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hat/Downloads/"/>
    </mc:Choice>
  </mc:AlternateContent>
  <xr:revisionPtr revIDLastSave="0" documentId="13_ncr:1_{C2891BBE-5611-2A45-A5E1-3E7F14EAEB3A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BIData" sheetId="2" r:id="rId1"/>
    <sheet name="ReferenceData" sheetId="3" r:id="rId2"/>
    <sheet name="Help-Referen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2" i="3" l="1"/>
  <c r="C190" i="3"/>
  <c r="C194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E206" i="3"/>
  <c r="D206" i="3"/>
  <c r="C206" i="3"/>
  <c r="B206" i="3"/>
  <c r="A206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205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204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203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202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201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200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199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198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197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196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195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194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193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192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191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190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E188" i="3"/>
  <c r="D188" i="3"/>
  <c r="C188" i="3"/>
  <c r="B188" i="3"/>
  <c r="A188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E187" i="3"/>
  <c r="D187" i="3"/>
  <c r="C187" i="3"/>
  <c r="B187" i="3"/>
  <c r="A187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E186" i="3"/>
  <c r="D186" i="3"/>
  <c r="C186" i="3"/>
  <c r="A186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E185" i="3"/>
  <c r="D185" i="3"/>
  <c r="C185" i="3"/>
  <c r="B185" i="3"/>
  <c r="A185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184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E183" i="3"/>
  <c r="D183" i="3"/>
  <c r="C183" i="3"/>
  <c r="B183" i="3"/>
  <c r="A183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E182" i="3"/>
  <c r="D182" i="3"/>
  <c r="C182" i="3"/>
  <c r="B182" i="3"/>
  <c r="A182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E181" i="3"/>
  <c r="D181" i="3"/>
  <c r="C181" i="3"/>
  <c r="B181" i="3"/>
  <c r="A181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E180" i="3"/>
  <c r="D180" i="3"/>
  <c r="C180" i="3"/>
  <c r="B180" i="3"/>
  <c r="A180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E179" i="3"/>
  <c r="D179" i="3"/>
  <c r="C179" i="3"/>
  <c r="B179" i="3"/>
  <c r="A179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E178" i="3"/>
  <c r="D178" i="3"/>
  <c r="C178" i="3"/>
  <c r="B178" i="3"/>
  <c r="A178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E118" i="3"/>
  <c r="D118" i="3"/>
  <c r="C118" i="3"/>
  <c r="B118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E117" i="3"/>
  <c r="D117" i="3"/>
  <c r="C117" i="3"/>
  <c r="B117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E116" i="3"/>
  <c r="D116" i="3"/>
  <c r="C116" i="3"/>
  <c r="A116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E115" i="3"/>
  <c r="D115" i="3"/>
  <c r="C115" i="3"/>
  <c r="A115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113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B112" i="3"/>
  <c r="A112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111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B110" i="3"/>
  <c r="A110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C109" i="3"/>
  <c r="B109" i="3"/>
  <c r="A109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B108" i="3"/>
  <c r="A108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106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E97" i="3"/>
  <c r="B97" i="3"/>
  <c r="A97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E96" i="3"/>
  <c r="B96" i="3"/>
  <c r="B96" i="2" s="1"/>
  <c r="A96" i="3"/>
  <c r="A96" i="2" s="1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E95" i="3"/>
  <c r="B95" i="3"/>
  <c r="A95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E94" i="3"/>
  <c r="E177" i="3" s="1"/>
  <c r="D94" i="3"/>
  <c r="D177" i="3" s="1"/>
  <c r="C94" i="3"/>
  <c r="C177" i="3" s="1"/>
  <c r="B94" i="3"/>
  <c r="B177" i="3" s="1"/>
  <c r="A94" i="3"/>
  <c r="A177" i="3" s="1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E93" i="3"/>
  <c r="E176" i="3" s="1"/>
  <c r="D93" i="3"/>
  <c r="D176" i="3" s="1"/>
  <c r="C93" i="3"/>
  <c r="C176" i="3" s="1"/>
  <c r="B93" i="3"/>
  <c r="B176" i="3" s="1"/>
  <c r="A93" i="3"/>
  <c r="A176" i="3" s="1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E92" i="3"/>
  <c r="B92" i="3"/>
  <c r="A92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E91" i="3"/>
  <c r="E175" i="3" s="1"/>
  <c r="D91" i="3"/>
  <c r="D175" i="3" s="1"/>
  <c r="C91" i="3"/>
  <c r="C175" i="3" s="1"/>
  <c r="B91" i="3"/>
  <c r="B175" i="3" s="1"/>
  <c r="A91" i="3"/>
  <c r="A175" i="3" s="1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E90" i="3"/>
  <c r="E174" i="3" s="1"/>
  <c r="D90" i="3"/>
  <c r="D174" i="3" s="1"/>
  <c r="C90" i="3"/>
  <c r="C174" i="3" s="1"/>
  <c r="B90" i="3"/>
  <c r="B174" i="3" s="1"/>
  <c r="A90" i="3"/>
  <c r="A174" i="3" s="1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E89" i="3"/>
  <c r="E89" i="2" s="1"/>
  <c r="B89" i="3"/>
  <c r="A89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E88" i="3"/>
  <c r="B88" i="3"/>
  <c r="A88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E87" i="3"/>
  <c r="E173" i="3" s="1"/>
  <c r="D87" i="3"/>
  <c r="D173" i="3" s="1"/>
  <c r="C87" i="3"/>
  <c r="C173" i="3" s="1"/>
  <c r="B87" i="3"/>
  <c r="B173" i="3" s="1"/>
  <c r="A87" i="3"/>
  <c r="A173" i="3" s="1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E86" i="3"/>
  <c r="E172" i="3" s="1"/>
  <c r="D86" i="3"/>
  <c r="D172" i="3" s="1"/>
  <c r="C86" i="3"/>
  <c r="C172" i="3" s="1"/>
  <c r="B86" i="3"/>
  <c r="B172" i="3" s="1"/>
  <c r="A86" i="3"/>
  <c r="A172" i="3" s="1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E85" i="3"/>
  <c r="E171" i="3" s="1"/>
  <c r="D85" i="3"/>
  <c r="D171" i="3" s="1"/>
  <c r="C85" i="3"/>
  <c r="C171" i="3" s="1"/>
  <c r="B85" i="3"/>
  <c r="B171" i="3" s="1"/>
  <c r="A85" i="3"/>
  <c r="A171" i="3" s="1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E84" i="3"/>
  <c r="B84" i="3"/>
  <c r="A84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E83" i="3"/>
  <c r="B83" i="3"/>
  <c r="A83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E82" i="3"/>
  <c r="B82" i="3"/>
  <c r="A82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E81" i="3"/>
  <c r="E81" i="2" s="1"/>
  <c r="B81" i="3"/>
  <c r="A81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E80" i="3"/>
  <c r="B80" i="3"/>
  <c r="A80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E79" i="3"/>
  <c r="B79" i="3"/>
  <c r="A79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E78" i="3"/>
  <c r="E170" i="3" s="1"/>
  <c r="D78" i="3"/>
  <c r="D170" i="3" s="1"/>
  <c r="C78" i="3"/>
  <c r="C170" i="3" s="1"/>
  <c r="B78" i="3"/>
  <c r="B170" i="3" s="1"/>
  <c r="A78" i="3"/>
  <c r="A170" i="3" s="1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E77" i="3"/>
  <c r="E169" i="3" s="1"/>
  <c r="D77" i="3"/>
  <c r="D169" i="3" s="1"/>
  <c r="C77" i="3"/>
  <c r="C169" i="3" s="1"/>
  <c r="B77" i="3"/>
  <c r="B169" i="3" s="1"/>
  <c r="A77" i="3"/>
  <c r="A169" i="3" s="1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E76" i="3"/>
  <c r="B76" i="3"/>
  <c r="A76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E75" i="3"/>
  <c r="E75" i="2" s="1"/>
  <c r="B75" i="3"/>
  <c r="A75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E74" i="3"/>
  <c r="E168" i="3" s="1"/>
  <c r="D74" i="3"/>
  <c r="D168" i="3" s="1"/>
  <c r="C74" i="3"/>
  <c r="C168" i="3" s="1"/>
  <c r="B74" i="3"/>
  <c r="B168" i="3" s="1"/>
  <c r="A74" i="3"/>
  <c r="A168" i="3" s="1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E73" i="3"/>
  <c r="E73" i="2" s="1"/>
  <c r="B73" i="3"/>
  <c r="A73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E72" i="3"/>
  <c r="E167" i="3" s="1"/>
  <c r="D72" i="3"/>
  <c r="D167" i="3" s="1"/>
  <c r="C72" i="3"/>
  <c r="C167" i="3" s="1"/>
  <c r="B72" i="3"/>
  <c r="B167" i="3" s="1"/>
  <c r="A72" i="3"/>
  <c r="A167" i="3" s="1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E71" i="3"/>
  <c r="E166" i="3" s="1"/>
  <c r="D71" i="3"/>
  <c r="D166" i="3" s="1"/>
  <c r="C71" i="3"/>
  <c r="C166" i="3" s="1"/>
  <c r="B71" i="3"/>
  <c r="B166" i="3" s="1"/>
  <c r="A71" i="3"/>
  <c r="A166" i="3" s="1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E70" i="3"/>
  <c r="B70" i="3"/>
  <c r="A70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E69" i="3"/>
  <c r="E165" i="3" s="1"/>
  <c r="D69" i="3"/>
  <c r="D165" i="3" s="1"/>
  <c r="C69" i="3"/>
  <c r="C165" i="3" s="1"/>
  <c r="B69" i="3"/>
  <c r="B165" i="3" s="1"/>
  <c r="A69" i="3"/>
  <c r="A165" i="3" s="1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E68" i="3"/>
  <c r="E164" i="3" s="1"/>
  <c r="D68" i="3"/>
  <c r="D164" i="3" s="1"/>
  <c r="C68" i="3"/>
  <c r="C164" i="3" s="1"/>
  <c r="B68" i="3"/>
  <c r="B164" i="3" s="1"/>
  <c r="A68" i="3"/>
  <c r="A164" i="3" s="1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E67" i="3"/>
  <c r="E163" i="3" s="1"/>
  <c r="D67" i="3"/>
  <c r="D163" i="3" s="1"/>
  <c r="C67" i="3"/>
  <c r="C163" i="3" s="1"/>
  <c r="B67" i="3"/>
  <c r="B163" i="3" s="1"/>
  <c r="A67" i="3"/>
  <c r="A163" i="3" s="1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E66" i="3"/>
  <c r="E162" i="3" s="1"/>
  <c r="D66" i="3"/>
  <c r="D162" i="3" s="1"/>
  <c r="C66" i="3"/>
  <c r="C162" i="3" s="1"/>
  <c r="B66" i="3"/>
  <c r="B162" i="3" s="1"/>
  <c r="A66" i="3"/>
  <c r="A162" i="3" s="1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E65" i="3"/>
  <c r="B65" i="3"/>
  <c r="A65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E64" i="3"/>
  <c r="B64" i="3"/>
  <c r="A64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E63" i="3"/>
  <c r="E63" i="2" s="1"/>
  <c r="B63" i="3"/>
  <c r="A63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E62" i="3"/>
  <c r="B62" i="3"/>
  <c r="A62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E61" i="3"/>
  <c r="B61" i="3"/>
  <c r="A61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E60" i="3"/>
  <c r="E161" i="3" s="1"/>
  <c r="D60" i="3"/>
  <c r="D161" i="3" s="1"/>
  <c r="C60" i="3"/>
  <c r="C161" i="3" s="1"/>
  <c r="B60" i="3"/>
  <c r="B161" i="3" s="1"/>
  <c r="A60" i="3"/>
  <c r="A161" i="3" s="1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E59" i="3"/>
  <c r="E160" i="3" s="1"/>
  <c r="D59" i="3"/>
  <c r="D160" i="3" s="1"/>
  <c r="C59" i="3"/>
  <c r="C160" i="3" s="1"/>
  <c r="B59" i="3"/>
  <c r="B160" i="3" s="1"/>
  <c r="A59" i="3"/>
  <c r="A160" i="3" s="1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E58" i="3"/>
  <c r="E159" i="3" s="1"/>
  <c r="D58" i="3"/>
  <c r="D159" i="3" s="1"/>
  <c r="C58" i="3"/>
  <c r="C159" i="3" s="1"/>
  <c r="B58" i="3"/>
  <c r="B159" i="3" s="1"/>
  <c r="A58" i="3"/>
  <c r="A159" i="3" s="1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E57" i="3"/>
  <c r="E158" i="3" s="1"/>
  <c r="D57" i="3"/>
  <c r="D158" i="3" s="1"/>
  <c r="C57" i="3"/>
  <c r="C158" i="3" s="1"/>
  <c r="B57" i="3"/>
  <c r="B158" i="3" s="1"/>
  <c r="A57" i="3"/>
  <c r="A158" i="3" s="1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E56" i="3"/>
  <c r="E157" i="3" s="1"/>
  <c r="D56" i="3"/>
  <c r="D157" i="3" s="1"/>
  <c r="C56" i="3"/>
  <c r="C157" i="3" s="1"/>
  <c r="B56" i="3"/>
  <c r="B157" i="3" s="1"/>
  <c r="A56" i="3"/>
  <c r="A157" i="3" s="1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E55" i="3"/>
  <c r="B55" i="3"/>
  <c r="A55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E54" i="3"/>
  <c r="B54" i="3"/>
  <c r="A54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E53" i="3"/>
  <c r="E156" i="3" s="1"/>
  <c r="D53" i="3"/>
  <c r="D156" i="3" s="1"/>
  <c r="C53" i="3"/>
  <c r="C156" i="3" s="1"/>
  <c r="B53" i="3"/>
  <c r="B156" i="3" s="1"/>
  <c r="A53" i="3"/>
  <c r="A156" i="3" s="1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E52" i="3"/>
  <c r="E155" i="3" s="1"/>
  <c r="D52" i="3"/>
  <c r="D155" i="3" s="1"/>
  <c r="C52" i="3"/>
  <c r="C155" i="3" s="1"/>
  <c r="B52" i="3"/>
  <c r="B155" i="3" s="1"/>
  <c r="A52" i="3"/>
  <c r="A155" i="3" s="1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E51" i="3"/>
  <c r="E154" i="3" s="1"/>
  <c r="D51" i="3"/>
  <c r="D154" i="3" s="1"/>
  <c r="C51" i="3"/>
  <c r="C154" i="3" s="1"/>
  <c r="B51" i="3"/>
  <c r="B154" i="3" s="1"/>
  <c r="A51" i="3"/>
  <c r="A154" i="3" s="1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E50" i="3"/>
  <c r="E153" i="3" s="1"/>
  <c r="D50" i="3"/>
  <c r="D153" i="3" s="1"/>
  <c r="C50" i="3"/>
  <c r="C153" i="3" s="1"/>
  <c r="B50" i="3"/>
  <c r="B153" i="3" s="1"/>
  <c r="A50" i="3"/>
  <c r="A153" i="3" s="1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E49" i="3"/>
  <c r="E152" i="3" s="1"/>
  <c r="D49" i="3"/>
  <c r="D152" i="3" s="1"/>
  <c r="C49" i="3"/>
  <c r="C152" i="3" s="1"/>
  <c r="B49" i="3"/>
  <c r="B152" i="3" s="1"/>
  <c r="A49" i="3"/>
  <c r="A152" i="3" s="1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E48" i="3"/>
  <c r="B48" i="3"/>
  <c r="A48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E47" i="3"/>
  <c r="E47" i="2" s="1"/>
  <c r="B47" i="3"/>
  <c r="A47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E46" i="3"/>
  <c r="B46" i="3"/>
  <c r="A46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E45" i="3"/>
  <c r="E151" i="3" s="1"/>
  <c r="D45" i="3"/>
  <c r="D151" i="3" s="1"/>
  <c r="C45" i="3"/>
  <c r="C151" i="3" s="1"/>
  <c r="B45" i="3"/>
  <c r="B151" i="3" s="1"/>
  <c r="A45" i="3"/>
  <c r="A151" i="3" s="1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E44" i="3"/>
  <c r="E150" i="3" s="1"/>
  <c r="D44" i="3"/>
  <c r="D150" i="3" s="1"/>
  <c r="C44" i="3"/>
  <c r="C150" i="3" s="1"/>
  <c r="B44" i="3"/>
  <c r="B150" i="3" s="1"/>
  <c r="A44" i="3"/>
  <c r="A150" i="3" s="1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E43" i="3"/>
  <c r="E149" i="3" s="1"/>
  <c r="D43" i="3"/>
  <c r="D149" i="3" s="1"/>
  <c r="C43" i="3"/>
  <c r="C149" i="3" s="1"/>
  <c r="B43" i="3"/>
  <c r="B149" i="3" s="1"/>
  <c r="A43" i="3"/>
  <c r="A149" i="3" s="1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E42" i="3"/>
  <c r="E148" i="3" s="1"/>
  <c r="D42" i="3"/>
  <c r="D148" i="3" s="1"/>
  <c r="C42" i="3"/>
  <c r="C148" i="3" s="1"/>
  <c r="B42" i="3"/>
  <c r="B148" i="3" s="1"/>
  <c r="A42" i="3"/>
  <c r="A148" i="3" s="1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E41" i="3"/>
  <c r="E147" i="3" s="1"/>
  <c r="D41" i="3"/>
  <c r="D147" i="3" s="1"/>
  <c r="C41" i="3"/>
  <c r="C147" i="3" s="1"/>
  <c r="B41" i="3"/>
  <c r="B147" i="3" s="1"/>
  <c r="A41" i="3"/>
  <c r="A147" i="3" s="1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E40" i="3"/>
  <c r="E146" i="3" s="1"/>
  <c r="D40" i="3"/>
  <c r="D146" i="3" s="1"/>
  <c r="C40" i="3"/>
  <c r="C146" i="3" s="1"/>
  <c r="B40" i="3"/>
  <c r="B146" i="3" s="1"/>
  <c r="A40" i="3"/>
  <c r="A146" i="3" s="1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E39" i="3"/>
  <c r="E145" i="3" s="1"/>
  <c r="D39" i="3"/>
  <c r="D145" i="3" s="1"/>
  <c r="C39" i="3"/>
  <c r="C145" i="3" s="1"/>
  <c r="B39" i="3"/>
  <c r="B145" i="3" s="1"/>
  <c r="A39" i="3"/>
  <c r="A145" i="3" s="1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E38" i="3"/>
  <c r="E144" i="3" s="1"/>
  <c r="D38" i="3"/>
  <c r="D144" i="3" s="1"/>
  <c r="C38" i="3"/>
  <c r="C144" i="3" s="1"/>
  <c r="B38" i="3"/>
  <c r="B144" i="3" s="1"/>
  <c r="A38" i="3"/>
  <c r="A144" i="3" s="1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E37" i="3"/>
  <c r="E143" i="3" s="1"/>
  <c r="D37" i="3"/>
  <c r="D143" i="3" s="1"/>
  <c r="C37" i="3"/>
  <c r="C143" i="3" s="1"/>
  <c r="B37" i="3"/>
  <c r="B143" i="3" s="1"/>
  <c r="A37" i="3"/>
  <c r="A143" i="3" s="1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E36" i="3"/>
  <c r="E142" i="3" s="1"/>
  <c r="D36" i="3"/>
  <c r="D142" i="3" s="1"/>
  <c r="C36" i="3"/>
  <c r="C142" i="3" s="1"/>
  <c r="B36" i="3"/>
  <c r="B142" i="3" s="1"/>
  <c r="A36" i="3"/>
  <c r="A142" i="3" s="1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E35" i="3"/>
  <c r="E141" i="3" s="1"/>
  <c r="D35" i="3"/>
  <c r="D141" i="3" s="1"/>
  <c r="C35" i="3"/>
  <c r="C141" i="3" s="1"/>
  <c r="B35" i="3"/>
  <c r="B141" i="3" s="1"/>
  <c r="A35" i="3"/>
  <c r="A141" i="3" s="1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E34" i="3"/>
  <c r="E140" i="3" s="1"/>
  <c r="D34" i="3"/>
  <c r="D140" i="3" s="1"/>
  <c r="C34" i="3"/>
  <c r="C140" i="3" s="1"/>
  <c r="B34" i="3"/>
  <c r="B140" i="3" s="1"/>
  <c r="A34" i="3"/>
  <c r="A140" i="3" s="1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E33" i="3"/>
  <c r="B33" i="3"/>
  <c r="A33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E32" i="3"/>
  <c r="E139" i="3" s="1"/>
  <c r="D32" i="3"/>
  <c r="D139" i="3" s="1"/>
  <c r="C32" i="3"/>
  <c r="C139" i="3" s="1"/>
  <c r="B32" i="3"/>
  <c r="B139" i="3" s="1"/>
  <c r="A32" i="3"/>
  <c r="A139" i="3" s="1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E31" i="3"/>
  <c r="E138" i="3" s="1"/>
  <c r="D31" i="3"/>
  <c r="D138" i="3" s="1"/>
  <c r="C31" i="3"/>
  <c r="C138" i="3" s="1"/>
  <c r="B31" i="3"/>
  <c r="B138" i="3" s="1"/>
  <c r="A31" i="3"/>
  <c r="A138" i="3" s="1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E30" i="3"/>
  <c r="B30" i="3"/>
  <c r="A30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E29" i="3"/>
  <c r="E29" i="2" s="1"/>
  <c r="B29" i="3"/>
  <c r="A29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E28" i="3"/>
  <c r="E137" i="3" s="1"/>
  <c r="D28" i="3"/>
  <c r="D137" i="3" s="1"/>
  <c r="C28" i="3"/>
  <c r="C137" i="3" s="1"/>
  <c r="B28" i="3"/>
  <c r="B137" i="3" s="1"/>
  <c r="A28" i="3"/>
  <c r="A137" i="3" s="1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E27" i="3"/>
  <c r="E136" i="3" s="1"/>
  <c r="D27" i="3"/>
  <c r="D136" i="3" s="1"/>
  <c r="C27" i="3"/>
  <c r="C136" i="3" s="1"/>
  <c r="B27" i="3"/>
  <c r="B136" i="3" s="1"/>
  <c r="A27" i="3"/>
  <c r="A136" i="3" s="1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E26" i="3"/>
  <c r="E135" i="3" s="1"/>
  <c r="D26" i="3"/>
  <c r="D135" i="3" s="1"/>
  <c r="C26" i="3"/>
  <c r="C135" i="3" s="1"/>
  <c r="B26" i="3"/>
  <c r="B135" i="3" s="1"/>
  <c r="A26" i="3"/>
  <c r="A135" i="3" s="1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E25" i="3"/>
  <c r="E134" i="3" s="1"/>
  <c r="D25" i="3"/>
  <c r="D134" i="3" s="1"/>
  <c r="C25" i="3"/>
  <c r="C134" i="3" s="1"/>
  <c r="B25" i="3"/>
  <c r="B134" i="3" s="1"/>
  <c r="A25" i="3"/>
  <c r="A134" i="3" s="1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E24" i="3"/>
  <c r="E133" i="3" s="1"/>
  <c r="D24" i="3"/>
  <c r="D133" i="3" s="1"/>
  <c r="C24" i="3"/>
  <c r="C133" i="3" s="1"/>
  <c r="B24" i="3"/>
  <c r="B133" i="3" s="1"/>
  <c r="A24" i="3"/>
  <c r="A133" i="3" s="1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E23" i="3"/>
  <c r="E132" i="3" s="1"/>
  <c r="D23" i="3"/>
  <c r="D132" i="3" s="1"/>
  <c r="C23" i="3"/>
  <c r="C132" i="3" s="1"/>
  <c r="B23" i="3"/>
  <c r="B132" i="3" s="1"/>
  <c r="A23" i="3"/>
  <c r="A132" i="3" s="1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E22" i="3"/>
  <c r="E131" i="3" s="1"/>
  <c r="D22" i="3"/>
  <c r="D131" i="3" s="1"/>
  <c r="C22" i="3"/>
  <c r="C131" i="3" s="1"/>
  <c r="B22" i="3"/>
  <c r="B131" i="3" s="1"/>
  <c r="A22" i="3"/>
  <c r="A131" i="3" s="1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E21" i="3"/>
  <c r="E130" i="3" s="1"/>
  <c r="D21" i="3"/>
  <c r="D130" i="3" s="1"/>
  <c r="C21" i="3"/>
  <c r="C130" i="3" s="1"/>
  <c r="B21" i="3"/>
  <c r="B130" i="3" s="1"/>
  <c r="A21" i="3"/>
  <c r="A130" i="3" s="1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E20" i="3"/>
  <c r="E129" i="3" s="1"/>
  <c r="D20" i="3"/>
  <c r="D129" i="3" s="1"/>
  <c r="C20" i="3"/>
  <c r="C129" i="3" s="1"/>
  <c r="B20" i="3"/>
  <c r="B129" i="3" s="1"/>
  <c r="A20" i="3"/>
  <c r="A129" i="3" s="1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E19" i="3"/>
  <c r="E19" i="2" s="1"/>
  <c r="B19" i="3"/>
  <c r="A19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E18" i="3"/>
  <c r="E128" i="3" s="1"/>
  <c r="D18" i="3"/>
  <c r="D128" i="3" s="1"/>
  <c r="C18" i="3"/>
  <c r="C128" i="3" s="1"/>
  <c r="B18" i="3"/>
  <c r="B128" i="3" s="1"/>
  <c r="A18" i="3"/>
  <c r="A128" i="3" s="1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E17" i="3"/>
  <c r="E127" i="3" s="1"/>
  <c r="D17" i="3"/>
  <c r="D127" i="3" s="1"/>
  <c r="C17" i="3"/>
  <c r="C127" i="3" s="1"/>
  <c r="B17" i="3"/>
  <c r="B127" i="3" s="1"/>
  <c r="A17" i="3"/>
  <c r="A127" i="3" s="1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E16" i="3"/>
  <c r="E126" i="3" s="1"/>
  <c r="D16" i="3"/>
  <c r="D126" i="3" s="1"/>
  <c r="C16" i="3"/>
  <c r="C126" i="3" s="1"/>
  <c r="B16" i="3"/>
  <c r="B126" i="3" s="1"/>
  <c r="A16" i="3"/>
  <c r="A126" i="3" s="1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E15" i="3"/>
  <c r="E125" i="3" s="1"/>
  <c r="D15" i="3"/>
  <c r="D125" i="3" s="1"/>
  <c r="C15" i="3"/>
  <c r="C125" i="3" s="1"/>
  <c r="B15" i="3"/>
  <c r="B125" i="3" s="1"/>
  <c r="A15" i="3"/>
  <c r="A125" i="3" s="1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E14" i="3"/>
  <c r="E124" i="3" s="1"/>
  <c r="D14" i="3"/>
  <c r="D124" i="3" s="1"/>
  <c r="C14" i="3"/>
  <c r="C124" i="3" s="1"/>
  <c r="B14" i="3"/>
  <c r="B124" i="3" s="1"/>
  <c r="A14" i="3"/>
  <c r="A124" i="3" s="1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E13" i="3"/>
  <c r="E123" i="3" s="1"/>
  <c r="D13" i="3"/>
  <c r="D123" i="3" s="1"/>
  <c r="C13" i="3"/>
  <c r="C123" i="3" s="1"/>
  <c r="B13" i="3"/>
  <c r="B123" i="3" s="1"/>
  <c r="A13" i="3"/>
  <c r="A123" i="3" s="1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E12" i="3"/>
  <c r="E122" i="3" s="1"/>
  <c r="D12" i="3"/>
  <c r="D122" i="3" s="1"/>
  <c r="C12" i="3"/>
  <c r="C122" i="3" s="1"/>
  <c r="B12" i="3"/>
  <c r="B122" i="3" s="1"/>
  <c r="A12" i="3"/>
  <c r="A122" i="3" s="1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E11" i="3"/>
  <c r="E121" i="3" s="1"/>
  <c r="D11" i="3"/>
  <c r="D121" i="3" s="1"/>
  <c r="C11" i="3"/>
  <c r="C121" i="3" s="1"/>
  <c r="B11" i="3"/>
  <c r="B121" i="3" s="1"/>
  <c r="A11" i="3"/>
  <c r="A121" i="3" s="1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E10" i="3"/>
  <c r="E120" i="3" s="1"/>
  <c r="D10" i="3"/>
  <c r="D120" i="3" s="1"/>
  <c r="C10" i="3"/>
  <c r="C120" i="3" s="1"/>
  <c r="B10" i="3"/>
  <c r="B120" i="3" s="1"/>
  <c r="A10" i="3"/>
  <c r="A120" i="3" s="1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E9" i="3"/>
  <c r="B9" i="3"/>
  <c r="A9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E8" i="3"/>
  <c r="B8" i="3"/>
  <c r="B8" i="2" s="1"/>
  <c r="A8" i="3"/>
  <c r="A8" i="2" s="1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E7" i="3"/>
  <c r="E119" i="3" s="1"/>
  <c r="D7" i="3"/>
  <c r="D119" i="3" s="1"/>
  <c r="C7" i="3"/>
  <c r="C119" i="3" s="1"/>
  <c r="B7" i="3"/>
  <c r="B119" i="3" s="1"/>
  <c r="A7" i="3"/>
  <c r="A119" i="3" s="1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E6" i="3"/>
  <c r="B6" i="3"/>
  <c r="A6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E5" i="3"/>
  <c r="E5" i="2" s="1"/>
  <c r="B5" i="3"/>
  <c r="A5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E4" i="3"/>
  <c r="B4" i="3"/>
  <c r="A4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E3" i="3"/>
  <c r="B3" i="3"/>
  <c r="A3" i="3"/>
  <c r="E2" i="3"/>
  <c r="D2" i="3"/>
  <c r="C2" i="3"/>
  <c r="B2" i="3"/>
  <c r="A2" i="3"/>
  <c r="E97" i="2"/>
  <c r="D97" i="2"/>
  <c r="C97" i="2"/>
  <c r="B97" i="2"/>
  <c r="A97" i="2"/>
  <c r="E96" i="2"/>
  <c r="D96" i="2"/>
  <c r="C96" i="2"/>
  <c r="E95" i="2"/>
  <c r="D95" i="2"/>
  <c r="C95" i="2"/>
  <c r="B95" i="2"/>
  <c r="A95" i="2"/>
  <c r="E94" i="2"/>
  <c r="D94" i="2"/>
  <c r="C94" i="2"/>
  <c r="A94" i="2"/>
  <c r="D93" i="2"/>
  <c r="C93" i="2"/>
  <c r="B93" i="2"/>
  <c r="A93" i="2"/>
  <c r="E92" i="2"/>
  <c r="D92" i="2"/>
  <c r="C92" i="2"/>
  <c r="B92" i="2"/>
  <c r="A92" i="2"/>
  <c r="D91" i="2"/>
  <c r="B91" i="2"/>
  <c r="A91" i="2"/>
  <c r="E90" i="2"/>
  <c r="D90" i="2"/>
  <c r="C90" i="2"/>
  <c r="B90" i="2"/>
  <c r="A90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D81" i="2"/>
  <c r="C81" i="2"/>
  <c r="B81" i="2"/>
  <c r="A81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D75" i="2"/>
  <c r="C75" i="2"/>
  <c r="B75" i="2"/>
  <c r="A75" i="2"/>
  <c r="E74" i="2"/>
  <c r="D74" i="2"/>
  <c r="C74" i="2"/>
  <c r="B74" i="2"/>
  <c r="A74" i="2"/>
  <c r="D73" i="2"/>
  <c r="C73" i="2"/>
  <c r="B73" i="2"/>
  <c r="A73" i="2"/>
  <c r="E72" i="2"/>
  <c r="D72" i="2"/>
  <c r="C72" i="2"/>
  <c r="B72" i="2"/>
  <c r="A72" i="2"/>
  <c r="E71" i="2"/>
  <c r="D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E64" i="2"/>
  <c r="D64" i="2"/>
  <c r="C64" i="2"/>
  <c r="B64" i="2"/>
  <c r="A64" i="2"/>
  <c r="D63" i="2"/>
  <c r="C63" i="2"/>
  <c r="B63" i="2"/>
  <c r="A63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D53" i="2"/>
  <c r="C53" i="2"/>
  <c r="B53" i="2"/>
  <c r="A53" i="2"/>
  <c r="E52" i="2"/>
  <c r="D52" i="2"/>
  <c r="C52" i="2"/>
  <c r="B52" i="2"/>
  <c r="A52" i="2"/>
  <c r="D51" i="2"/>
  <c r="C51" i="2"/>
  <c r="B51" i="2"/>
  <c r="A51" i="2"/>
  <c r="E50" i="2"/>
  <c r="D50" i="2"/>
  <c r="C50" i="2"/>
  <c r="B50" i="2"/>
  <c r="A50" i="2"/>
  <c r="D49" i="2"/>
  <c r="C49" i="2"/>
  <c r="B49" i="2"/>
  <c r="A49" i="2"/>
  <c r="E48" i="2"/>
  <c r="D48" i="2"/>
  <c r="C48" i="2"/>
  <c r="B48" i="2"/>
  <c r="A48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E31" i="2"/>
  <c r="D31" i="2"/>
  <c r="C31" i="2"/>
  <c r="B31" i="2"/>
  <c r="A31" i="2"/>
  <c r="E30" i="2"/>
  <c r="D30" i="2"/>
  <c r="C30" i="2"/>
  <c r="B30" i="2"/>
  <c r="A30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D29" i="2"/>
  <c r="C29" i="2"/>
  <c r="B29" i="2"/>
  <c r="A29" i="2"/>
  <c r="E28" i="2"/>
  <c r="D28" i="2"/>
  <c r="C28" i="2"/>
  <c r="B28" i="2"/>
  <c r="A28" i="2"/>
  <c r="D27" i="2"/>
  <c r="B27" i="2"/>
  <c r="A27" i="2"/>
  <c r="E26" i="2"/>
  <c r="D26" i="2"/>
  <c r="C26" i="2"/>
  <c r="B26" i="2"/>
  <c r="A26" i="2"/>
  <c r="D25" i="2"/>
  <c r="B25" i="2"/>
  <c r="A25" i="2"/>
  <c r="E24" i="2"/>
  <c r="D24" i="2"/>
  <c r="C24" i="2"/>
  <c r="B24" i="2"/>
  <c r="A24" i="2"/>
  <c r="D23" i="2"/>
  <c r="B23" i="2"/>
  <c r="A23" i="2"/>
  <c r="E22" i="2"/>
  <c r="D22" i="2"/>
  <c r="C22" i="2"/>
  <c r="B22" i="2"/>
  <c r="A22" i="2"/>
  <c r="D21" i="2"/>
  <c r="B21" i="2"/>
  <c r="A21" i="2"/>
  <c r="E20" i="2"/>
  <c r="D20" i="2"/>
  <c r="C20" i="2"/>
  <c r="B20" i="2"/>
  <c r="A20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D19" i="2"/>
  <c r="C19" i="2"/>
  <c r="B19" i="2"/>
  <c r="A19" i="2"/>
  <c r="E18" i="2"/>
  <c r="D18" i="2"/>
  <c r="C18" i="2"/>
  <c r="B18" i="2"/>
  <c r="A18" i="2"/>
  <c r="E17" i="2"/>
  <c r="D17" i="2"/>
  <c r="B17" i="2"/>
  <c r="A17" i="2"/>
  <c r="E16" i="2"/>
  <c r="D16" i="2"/>
  <c r="C16" i="2"/>
  <c r="B16" i="2"/>
  <c r="A16" i="2"/>
  <c r="E15" i="2"/>
  <c r="B15" i="2"/>
  <c r="A15" i="2"/>
  <c r="E14" i="2"/>
  <c r="D14" i="2"/>
  <c r="C14" i="2"/>
  <c r="B14" i="2"/>
  <c r="A14" i="2"/>
  <c r="E13" i="2"/>
  <c r="B13" i="2"/>
  <c r="A13" i="2"/>
  <c r="E12" i="2"/>
  <c r="D12" i="2"/>
  <c r="C12" i="2"/>
  <c r="B12" i="2"/>
  <c r="A12" i="2"/>
  <c r="E11" i="2"/>
  <c r="B11" i="2"/>
  <c r="A11" i="2"/>
  <c r="E10" i="2"/>
  <c r="D10" i="2"/>
  <c r="C10" i="2"/>
  <c r="B10" i="2"/>
  <c r="A10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E8" i="2"/>
  <c r="D8" i="2"/>
  <c r="C8" i="2"/>
  <c r="E7" i="2"/>
  <c r="D7" i="2"/>
  <c r="C7" i="2"/>
  <c r="B7" i="2"/>
  <c r="A7" i="2"/>
  <c r="E6" i="2"/>
  <c r="D6" i="2"/>
  <c r="C6" i="2"/>
  <c r="B6" i="2"/>
  <c r="A6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D5" i="2"/>
  <c r="C5" i="2"/>
  <c r="B5" i="2"/>
  <c r="A5" i="2"/>
  <c r="E4" i="2"/>
  <c r="D4" i="2"/>
  <c r="C4" i="2"/>
  <c r="B4" i="2"/>
  <c r="A4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2" i="2"/>
  <c r="D2" i="2"/>
  <c r="C2" i="2"/>
  <c r="B2" i="2"/>
  <c r="A2" i="2"/>
  <c r="C202" i="3"/>
  <c r="C198" i="3"/>
  <c r="C200" i="3"/>
  <c r="F132" i="3"/>
  <c r="F169" i="3"/>
  <c r="F129" i="3"/>
  <c r="F167" i="3"/>
  <c r="F176" i="3"/>
  <c r="F170" i="3"/>
  <c r="F139" i="3"/>
  <c r="F165" i="3"/>
  <c r="F130" i="3"/>
  <c r="F135" i="3"/>
  <c r="F134" i="3"/>
  <c r="F163" i="3"/>
  <c r="F118" i="3"/>
  <c r="F168" i="3"/>
  <c r="F138" i="3"/>
  <c r="F133" i="3"/>
  <c r="F131" i="3"/>
  <c r="F136" i="3"/>
  <c r="F117" i="3"/>
  <c r="F166" i="3"/>
  <c r="F174" i="3"/>
  <c r="F119" i="3"/>
  <c r="F175" i="3"/>
  <c r="F164" i="3"/>
  <c r="F137" i="3"/>
  <c r="F162" i="3"/>
  <c r="F177" i="3"/>
  <c r="A107" i="3"/>
  <c r="C11" i="2" l="1"/>
  <c r="C13" i="2"/>
  <c r="C15" i="2"/>
  <c r="C17" i="2"/>
  <c r="C21" i="2"/>
  <c r="C23" i="2"/>
  <c r="C25" i="2"/>
  <c r="C27" i="2"/>
  <c r="C71" i="2"/>
  <c r="C91" i="2"/>
  <c r="D11" i="2"/>
  <c r="D13" i="2"/>
  <c r="D15" i="2"/>
  <c r="C111" i="3"/>
  <c r="E21" i="2"/>
  <c r="E23" i="2"/>
  <c r="E25" i="2"/>
  <c r="E27" i="2"/>
  <c r="E49" i="2"/>
  <c r="E51" i="2"/>
  <c r="E53" i="2"/>
  <c r="E91" i="2"/>
  <c r="E93" i="2"/>
  <c r="A32" i="2"/>
  <c r="B111" i="3"/>
  <c r="B94" i="2"/>
  <c r="B186" i="3"/>
  <c r="B192" i="3"/>
  <c r="B200" i="3"/>
  <c r="B190" i="3"/>
  <c r="B194" i="3"/>
  <c r="B198" i="3"/>
  <c r="B202" i="3"/>
  <c r="G115" i="3"/>
  <c r="O115" i="3"/>
  <c r="W115" i="3"/>
  <c r="W140" i="3" s="1"/>
  <c r="AE115" i="3"/>
  <c r="AE126" i="3" s="1"/>
  <c r="AM115" i="3"/>
  <c r="K116" i="3"/>
  <c r="S116" i="3"/>
  <c r="AA116" i="3"/>
  <c r="AI116" i="3"/>
  <c r="AQ116" i="3"/>
  <c r="H115" i="3"/>
  <c r="P115" i="3"/>
  <c r="X115" i="3"/>
  <c r="X152" i="3" s="1"/>
  <c r="AF115" i="3"/>
  <c r="AF150" i="3" s="1"/>
  <c r="AN115" i="3"/>
  <c r="L116" i="3"/>
  <c r="T116" i="3"/>
  <c r="AB116" i="3"/>
  <c r="AJ116" i="3"/>
  <c r="AR116" i="3"/>
  <c r="I115" i="3"/>
  <c r="Q115" i="3"/>
  <c r="Y115" i="3"/>
  <c r="AG115" i="3"/>
  <c r="AO115" i="3"/>
  <c r="M116" i="3"/>
  <c r="U116" i="3"/>
  <c r="AC116" i="3"/>
  <c r="AK116" i="3"/>
  <c r="AS116" i="3"/>
  <c r="J115" i="3"/>
  <c r="R115" i="3"/>
  <c r="Z115" i="3"/>
  <c r="AH115" i="3"/>
  <c r="AP115" i="3"/>
  <c r="AP141" i="3" s="1"/>
  <c r="F116" i="3"/>
  <c r="N116" i="3"/>
  <c r="V116" i="3"/>
  <c r="V171" i="3" s="1"/>
  <c r="AD116" i="3"/>
  <c r="AL116" i="3"/>
  <c r="K115" i="3"/>
  <c r="K142" i="3" s="1"/>
  <c r="S115" i="3"/>
  <c r="AA115" i="3"/>
  <c r="AA145" i="3" s="1"/>
  <c r="AI115" i="3"/>
  <c r="AQ115" i="3"/>
  <c r="G116" i="3"/>
  <c r="O116" i="3"/>
  <c r="W116" i="3"/>
  <c r="W150" i="3" s="1"/>
  <c r="AE116" i="3"/>
  <c r="AM116" i="3"/>
  <c r="L115" i="3"/>
  <c r="T115" i="3"/>
  <c r="AB115" i="3"/>
  <c r="AJ115" i="3"/>
  <c r="AR115" i="3"/>
  <c r="H116" i="3"/>
  <c r="P116" i="3"/>
  <c r="X116" i="3"/>
  <c r="X160" i="3" s="1"/>
  <c r="AF116" i="3"/>
  <c r="AN116" i="3"/>
  <c r="M115" i="3"/>
  <c r="U115" i="3"/>
  <c r="AC115" i="3"/>
  <c r="AK115" i="3"/>
  <c r="AS115" i="3"/>
  <c r="AS152" i="3" s="1"/>
  <c r="I116" i="3"/>
  <c r="Q116" i="3"/>
  <c r="Y116" i="3"/>
  <c r="AG116" i="3"/>
  <c r="AO116" i="3"/>
  <c r="F115" i="3"/>
  <c r="N115" i="3"/>
  <c r="V115" i="3"/>
  <c r="V149" i="3" s="1"/>
  <c r="AD115" i="3"/>
  <c r="AL115" i="3"/>
  <c r="J116" i="3"/>
  <c r="R116" i="3"/>
  <c r="Z116" i="3"/>
  <c r="AH116" i="3"/>
  <c r="AP116" i="3"/>
  <c r="X145" i="3"/>
  <c r="W152" i="3"/>
  <c r="X156" i="3"/>
  <c r="V154" i="3"/>
  <c r="V145" i="3"/>
  <c r="V128" i="3"/>
  <c r="V159" i="3"/>
  <c r="X120" i="3"/>
  <c r="X127" i="3"/>
  <c r="AF173" i="3"/>
  <c r="AF161" i="3"/>
  <c r="AF145" i="3"/>
  <c r="AF153" i="3"/>
  <c r="AS147" i="3"/>
  <c r="V150" i="3"/>
  <c r="V158" i="3"/>
  <c r="V157" i="3"/>
  <c r="V173" i="3"/>
  <c r="V142" i="3"/>
  <c r="W142" i="3"/>
  <c r="W160" i="3"/>
  <c r="W147" i="3"/>
  <c r="W151" i="3"/>
  <c r="W158" i="3"/>
  <c r="AP124" i="3"/>
  <c r="AP150" i="3"/>
  <c r="AP161" i="3"/>
  <c r="AP146" i="3"/>
  <c r="AP142" i="3"/>
  <c r="AA152" i="3"/>
  <c r="AA140" i="3"/>
  <c r="AA128" i="3"/>
  <c r="AA149" i="3"/>
  <c r="AA161" i="3"/>
  <c r="AA155" i="3"/>
  <c r="AA146" i="3"/>
  <c r="AA141" i="3"/>
  <c r="AA143" i="3"/>
  <c r="AA142" i="3"/>
  <c r="AA148" i="3"/>
  <c r="AA156" i="3"/>
  <c r="AA122" i="3"/>
  <c r="AA159" i="3"/>
  <c r="AA158" i="3"/>
  <c r="AA144" i="3"/>
  <c r="AA127" i="3"/>
  <c r="AA171" i="3"/>
  <c r="AA147" i="3"/>
  <c r="AA126" i="3"/>
  <c r="AA150" i="3"/>
  <c r="AA121" i="3"/>
  <c r="AE151" i="3"/>
  <c r="AE158" i="3"/>
  <c r="AE128" i="3"/>
  <c r="AE145" i="3"/>
  <c r="AE127" i="3"/>
  <c r="AE143" i="3"/>
  <c r="AE155" i="3"/>
  <c r="AE150" i="3"/>
  <c r="AE153" i="3"/>
  <c r="AE144" i="3"/>
  <c r="AE142" i="3"/>
  <c r="AE147" i="3"/>
  <c r="AE123" i="3"/>
  <c r="AE148" i="3"/>
  <c r="AE122" i="3"/>
  <c r="K152" i="3"/>
  <c r="K145" i="3"/>
  <c r="K156" i="3"/>
  <c r="K144" i="3"/>
  <c r="K161" i="3"/>
  <c r="K121" i="3"/>
  <c r="K173" i="3"/>
  <c r="K151" i="3"/>
  <c r="K155" i="3"/>
  <c r="K159" i="3"/>
  <c r="K158" i="3"/>
  <c r="K172" i="3"/>
  <c r="AS124" i="3"/>
  <c r="AS161" i="3"/>
  <c r="AS127" i="3"/>
  <c r="AS173" i="3"/>
  <c r="AS140" i="3"/>
  <c r="AS122" i="3"/>
  <c r="AS172" i="3"/>
  <c r="AS144" i="3"/>
  <c r="AS158" i="3"/>
  <c r="AS171" i="3"/>
  <c r="AS148" i="3"/>
  <c r="AS126" i="3"/>
  <c r="AS146" i="3"/>
  <c r="V123" i="3"/>
  <c r="V122" i="3"/>
  <c r="V120" i="3"/>
  <c r="V153" i="3"/>
  <c r="V146" i="3"/>
  <c r="V121" i="3"/>
  <c r="V124" i="3"/>
  <c r="V127" i="3"/>
  <c r="V126" i="3"/>
  <c r="V140" i="3"/>
  <c r="V155" i="3"/>
  <c r="AP154" i="3"/>
  <c r="AP156" i="3"/>
  <c r="AP140" i="3"/>
  <c r="AA153" i="3"/>
  <c r="AA172" i="3"/>
  <c r="AE125" i="3"/>
  <c r="AE121" i="3"/>
  <c r="AE160" i="3"/>
  <c r="AE154" i="3"/>
  <c r="AE141" i="3"/>
  <c r="AE161" i="3"/>
  <c r="AE159" i="3"/>
  <c r="AE149" i="3"/>
  <c r="AE157" i="3"/>
  <c r="AE140" i="3"/>
  <c r="AE146" i="3"/>
  <c r="AE173" i="3"/>
  <c r="AF127" i="3"/>
  <c r="AF128" i="3"/>
  <c r="AF154" i="3"/>
  <c r="AF141" i="3"/>
  <c r="AF159" i="3"/>
  <c r="AF140" i="3"/>
  <c r="AF126" i="3"/>
  <c r="AF125" i="3"/>
  <c r="AF149" i="3"/>
  <c r="AF143" i="3"/>
  <c r="AF120" i="3"/>
  <c r="AF155" i="3"/>
  <c r="AF124" i="3"/>
  <c r="AF122" i="3"/>
  <c r="AF144" i="3"/>
  <c r="AF158" i="3"/>
  <c r="AF171" i="3"/>
  <c r="AF121" i="3"/>
  <c r="AF151" i="3"/>
  <c r="AI152" i="3"/>
  <c r="AI121" i="3"/>
  <c r="AI154" i="3"/>
  <c r="AI173" i="3"/>
  <c r="AI126" i="3"/>
  <c r="AI161" i="3"/>
  <c r="AI151" i="3"/>
  <c r="AI146" i="3"/>
  <c r="I156" i="3"/>
  <c r="I146" i="3"/>
  <c r="I152" i="3"/>
  <c r="I150" i="3"/>
  <c r="I158" i="3"/>
  <c r="I125" i="3"/>
  <c r="I142" i="3"/>
  <c r="I149" i="3"/>
  <c r="I126" i="3"/>
  <c r="I155" i="3"/>
  <c r="I127" i="3"/>
  <c r="K124" i="3"/>
  <c r="K149" i="3"/>
  <c r="K143" i="3"/>
  <c r="K171" i="3"/>
  <c r="K153" i="3"/>
  <c r="K127" i="3"/>
  <c r="K140" i="3"/>
  <c r="K147" i="3"/>
  <c r="K160" i="3"/>
  <c r="K154" i="3"/>
  <c r="K122" i="3"/>
  <c r="K128" i="3"/>
  <c r="K126" i="3"/>
  <c r="K120" i="3"/>
  <c r="AI127" i="3"/>
  <c r="AI149" i="3"/>
  <c r="AI157" i="3"/>
  <c r="AI155" i="3"/>
  <c r="AI144" i="3"/>
  <c r="AI124" i="3"/>
  <c r="AI143" i="3"/>
  <c r="AI158" i="3"/>
  <c r="AI122" i="3"/>
  <c r="AI148" i="3"/>
  <c r="AI142" i="3"/>
  <c r="AI171" i="3"/>
  <c r="AI159" i="3"/>
  <c r="AI160" i="3"/>
  <c r="AI128" i="3"/>
  <c r="AI156" i="3"/>
  <c r="AI145" i="3"/>
  <c r="AI123" i="3"/>
  <c r="AI120" i="3"/>
  <c r="AI147" i="3"/>
  <c r="AI150" i="3"/>
  <c r="AI141" i="3"/>
  <c r="AI172" i="3"/>
  <c r="AM159" i="3"/>
  <c r="AM160" i="3"/>
  <c r="AM151" i="3"/>
  <c r="AM171" i="3"/>
  <c r="AM146" i="3"/>
  <c r="AM150" i="3"/>
  <c r="AM128" i="3"/>
  <c r="AM154" i="3"/>
  <c r="I141" i="3"/>
  <c r="I160" i="3"/>
  <c r="I145" i="3"/>
  <c r="I121" i="3"/>
  <c r="I148" i="3"/>
  <c r="I153" i="3"/>
  <c r="I143" i="3"/>
  <c r="I172" i="3"/>
  <c r="I173" i="3"/>
  <c r="I124" i="3"/>
  <c r="I151" i="3"/>
  <c r="I144" i="3"/>
  <c r="I157" i="3"/>
  <c r="I120" i="3"/>
  <c r="I122" i="3"/>
  <c r="I154" i="3"/>
  <c r="I161" i="3"/>
  <c r="I123" i="3"/>
  <c r="I140" i="3"/>
  <c r="I128" i="3"/>
  <c r="AC143" i="3"/>
  <c r="AC146" i="3"/>
  <c r="AC149" i="3"/>
  <c r="AC152" i="3"/>
  <c r="AC151" i="3"/>
  <c r="AC161" i="3"/>
  <c r="AC124" i="3"/>
  <c r="AC154" i="3"/>
  <c r="AC153" i="3"/>
  <c r="AC145" i="3"/>
  <c r="AD123" i="3"/>
  <c r="AD152" i="3"/>
  <c r="AD142" i="3"/>
  <c r="AD158" i="3"/>
  <c r="AD150" i="3"/>
  <c r="AD148" i="3"/>
  <c r="AD125" i="3"/>
  <c r="AD147" i="3"/>
  <c r="AD155" i="3"/>
  <c r="AD160" i="3"/>
  <c r="AD153" i="3"/>
  <c r="AD172" i="3"/>
  <c r="AD120" i="3"/>
  <c r="AD121" i="3"/>
  <c r="AD122" i="3"/>
  <c r="AD126" i="3"/>
  <c r="AD161" i="3"/>
  <c r="AD145" i="3"/>
  <c r="AD151" i="3"/>
  <c r="AD140" i="3"/>
  <c r="AD141" i="3"/>
  <c r="AD156" i="3"/>
  <c r="AD127" i="3"/>
  <c r="AD173" i="3"/>
  <c r="AD171" i="3"/>
  <c r="AD159" i="3"/>
  <c r="AD124" i="3"/>
  <c r="AD157" i="3"/>
  <c r="AD143" i="3"/>
  <c r="AD128" i="3"/>
  <c r="AD149" i="3"/>
  <c r="AD146" i="3"/>
  <c r="AD144" i="3"/>
  <c r="AD154" i="3"/>
  <c r="L140" i="3"/>
  <c r="L121" i="3"/>
  <c r="L161" i="3"/>
  <c r="L153" i="3"/>
  <c r="L148" i="3"/>
  <c r="L125" i="3"/>
  <c r="L160" i="3"/>
  <c r="L155" i="3"/>
  <c r="L154" i="3"/>
  <c r="L141" i="3"/>
  <c r="AM156" i="3"/>
  <c r="AM127" i="3"/>
  <c r="AM145" i="3"/>
  <c r="AM152" i="3"/>
  <c r="AQ156" i="3"/>
  <c r="AQ158" i="3"/>
  <c r="AQ142" i="3"/>
  <c r="AQ154" i="3"/>
  <c r="AQ157" i="3"/>
  <c r="AQ140" i="3"/>
  <c r="AQ127" i="3"/>
  <c r="AQ148" i="3"/>
  <c r="AQ150" i="3"/>
  <c r="AQ128" i="3"/>
  <c r="AR126" i="3"/>
  <c r="AR121" i="3"/>
  <c r="AR125" i="3"/>
  <c r="AR171" i="3"/>
  <c r="AR147" i="3"/>
  <c r="AR152" i="3"/>
  <c r="AR156" i="3"/>
  <c r="AR128" i="3"/>
  <c r="AR155" i="3"/>
  <c r="AR141" i="3"/>
  <c r="Q123" i="3"/>
  <c r="Q124" i="3"/>
  <c r="Q155" i="3"/>
  <c r="Q149" i="3"/>
  <c r="Q128" i="3"/>
  <c r="Q154" i="3"/>
  <c r="Q122" i="3"/>
  <c r="Q160" i="3"/>
  <c r="Q145" i="3"/>
  <c r="Q120" i="3"/>
  <c r="Q140" i="3"/>
  <c r="Q156" i="3"/>
  <c r="Q157" i="3"/>
  <c r="Q153" i="3"/>
  <c r="Q161" i="3"/>
  <c r="Q142" i="3"/>
  <c r="Q171" i="3"/>
  <c r="Q159" i="3"/>
  <c r="Q143" i="3"/>
  <c r="Q146" i="3"/>
  <c r="AC127" i="3"/>
  <c r="AC157" i="3"/>
  <c r="AC125" i="3"/>
  <c r="AC159" i="3"/>
  <c r="AC122" i="3"/>
  <c r="AC126" i="3"/>
  <c r="AC172" i="3"/>
  <c r="AC173" i="3"/>
  <c r="AC144" i="3"/>
  <c r="AC158" i="3"/>
  <c r="AC156" i="3"/>
  <c r="AC121" i="3"/>
  <c r="AC140" i="3"/>
  <c r="AC147" i="3"/>
  <c r="AC171" i="3"/>
  <c r="AC155" i="3"/>
  <c r="AC141" i="3"/>
  <c r="AC120" i="3"/>
  <c r="AC150" i="3"/>
  <c r="AC148" i="3"/>
  <c r="AC142" i="3"/>
  <c r="AC123" i="3"/>
  <c r="AC160" i="3"/>
  <c r="AC128" i="3"/>
  <c r="H153" i="3"/>
  <c r="H173" i="3"/>
  <c r="H143" i="3"/>
  <c r="H151" i="3"/>
  <c r="H123" i="3"/>
  <c r="H126" i="3"/>
  <c r="H160" i="3"/>
  <c r="H152" i="3"/>
  <c r="H140" i="3"/>
  <c r="H158" i="3"/>
  <c r="L156" i="3"/>
  <c r="L144" i="3"/>
  <c r="L128" i="3"/>
  <c r="L126" i="3"/>
  <c r="L158" i="3"/>
  <c r="L124" i="3"/>
  <c r="L173" i="3"/>
  <c r="L152" i="3"/>
  <c r="L147" i="3"/>
  <c r="L149" i="3"/>
  <c r="AM147" i="3"/>
  <c r="AM120" i="3"/>
  <c r="AM158" i="3"/>
  <c r="AM142" i="3"/>
  <c r="AM173" i="3"/>
  <c r="AM144" i="3"/>
  <c r="AM122" i="3"/>
  <c r="AM148" i="3"/>
  <c r="AM149" i="3"/>
  <c r="AM123" i="3"/>
  <c r="AM157" i="3"/>
  <c r="AM140" i="3"/>
  <c r="AM124" i="3"/>
  <c r="AM143" i="3"/>
  <c r="AM126" i="3"/>
  <c r="AM125" i="3"/>
  <c r="AM141" i="3"/>
  <c r="AM155" i="3"/>
  <c r="AM161" i="3"/>
  <c r="AM172" i="3"/>
  <c r="AQ172" i="3"/>
  <c r="AQ147" i="3"/>
  <c r="AQ124" i="3"/>
  <c r="AQ122" i="3"/>
  <c r="AQ146" i="3"/>
  <c r="AQ145" i="3"/>
  <c r="AQ126" i="3"/>
  <c r="AQ171" i="3"/>
  <c r="AQ160" i="3"/>
  <c r="AQ155" i="3"/>
  <c r="AQ125" i="3"/>
  <c r="AQ151" i="3"/>
  <c r="AQ159" i="3"/>
  <c r="AQ149" i="3"/>
  <c r="Q147" i="3"/>
  <c r="Q152" i="3"/>
  <c r="Q121" i="3"/>
  <c r="Q141" i="3"/>
  <c r="Q148" i="3"/>
  <c r="Q126" i="3"/>
  <c r="Q144" i="3"/>
  <c r="Q127" i="3"/>
  <c r="Q150" i="3"/>
  <c r="Q172" i="3"/>
  <c r="Q125" i="3"/>
  <c r="Q158" i="3"/>
  <c r="Q173" i="3"/>
  <c r="Q151" i="3"/>
  <c r="AN126" i="3"/>
  <c r="AN144" i="3"/>
  <c r="AN161" i="3"/>
  <c r="AN160" i="3"/>
  <c r="AN123" i="3"/>
  <c r="AN151" i="3"/>
  <c r="AN159" i="3"/>
  <c r="AN156" i="3"/>
  <c r="AN172" i="3"/>
  <c r="AN155" i="3"/>
  <c r="AN145" i="3"/>
  <c r="AN157" i="3"/>
  <c r="AN158" i="3"/>
  <c r="AN153" i="3"/>
  <c r="AN147" i="3"/>
  <c r="AN122" i="3"/>
  <c r="AN143" i="3"/>
  <c r="AN171" i="3"/>
  <c r="AN149" i="3"/>
  <c r="AN148" i="3"/>
  <c r="AN141" i="3"/>
  <c r="AN120" i="3"/>
  <c r="AN121" i="3"/>
  <c r="AN142" i="3"/>
  <c r="AN152" i="3"/>
  <c r="AN124" i="3"/>
  <c r="AN150" i="3"/>
  <c r="AN173" i="3"/>
  <c r="AN125" i="3"/>
  <c r="AN128" i="3"/>
  <c r="AN140" i="3"/>
  <c r="AN127" i="3"/>
  <c r="AN146" i="3"/>
  <c r="AN154" i="3"/>
  <c r="AR150" i="3"/>
  <c r="AR140" i="3"/>
  <c r="AR151" i="3"/>
  <c r="AR127" i="3"/>
  <c r="AR160" i="3"/>
  <c r="AR120" i="3"/>
  <c r="AR157" i="3"/>
  <c r="AR172" i="3"/>
  <c r="AR159" i="3"/>
  <c r="AR145" i="3"/>
  <c r="H122" i="3"/>
  <c r="H161" i="3"/>
  <c r="H142" i="3"/>
  <c r="H141" i="3"/>
  <c r="H150" i="3"/>
  <c r="H146" i="3"/>
  <c r="H147" i="3"/>
  <c r="H149" i="3"/>
  <c r="H121" i="3"/>
  <c r="H124" i="3"/>
  <c r="H127" i="3"/>
  <c r="H120" i="3"/>
  <c r="H171" i="3"/>
  <c r="H154" i="3"/>
  <c r="H145" i="3"/>
  <c r="H144" i="3"/>
  <c r="H125" i="3"/>
  <c r="H148" i="3"/>
  <c r="H157" i="3"/>
  <c r="H155" i="3"/>
  <c r="H159" i="3"/>
  <c r="H156" i="3"/>
  <c r="H172" i="3"/>
  <c r="H128" i="3"/>
  <c r="T144" i="3"/>
  <c r="T147" i="3"/>
  <c r="T140" i="3"/>
  <c r="T141" i="3"/>
  <c r="T124" i="3"/>
  <c r="T148" i="3"/>
  <c r="T171" i="3"/>
  <c r="T120" i="3"/>
  <c r="T122" i="3"/>
  <c r="T142" i="3"/>
  <c r="T173" i="3"/>
  <c r="T151" i="3"/>
  <c r="T126" i="3"/>
  <c r="T150" i="3"/>
  <c r="T158" i="3"/>
  <c r="T161" i="3"/>
  <c r="T172" i="3"/>
  <c r="T155" i="3"/>
  <c r="T123" i="3"/>
  <c r="T156" i="3"/>
  <c r="T121" i="3"/>
  <c r="T153" i="3"/>
  <c r="T146" i="3"/>
  <c r="T149" i="3"/>
  <c r="T143" i="3"/>
  <c r="T159" i="3"/>
  <c r="T160" i="3"/>
  <c r="T128" i="3"/>
  <c r="T157" i="3"/>
  <c r="T127" i="3"/>
  <c r="T154" i="3"/>
  <c r="T152" i="3"/>
  <c r="T125" i="3"/>
  <c r="T145" i="3"/>
  <c r="AQ173" i="3"/>
  <c r="AQ120" i="3"/>
  <c r="AQ121" i="3"/>
  <c r="AQ143" i="3"/>
  <c r="AQ141" i="3"/>
  <c r="AQ144" i="3"/>
  <c r="AQ123" i="3"/>
  <c r="AQ161" i="3"/>
  <c r="AQ152" i="3"/>
  <c r="AQ153" i="3"/>
  <c r="AB152" i="3"/>
  <c r="AB151" i="3"/>
  <c r="AB124" i="3"/>
  <c r="AB146" i="3"/>
  <c r="AB147" i="3"/>
  <c r="AB158" i="3"/>
  <c r="AB120" i="3"/>
  <c r="AB140" i="3"/>
  <c r="AB160" i="3"/>
  <c r="AB143" i="3"/>
  <c r="AB172" i="3"/>
  <c r="AB127" i="3"/>
  <c r="AB150" i="3"/>
  <c r="AB121" i="3"/>
  <c r="AB125" i="3"/>
  <c r="AB142" i="3"/>
  <c r="AB161" i="3"/>
  <c r="AB157" i="3"/>
  <c r="AB141" i="3"/>
  <c r="AB159" i="3"/>
  <c r="AB128" i="3"/>
  <c r="AB148" i="3"/>
  <c r="AB144" i="3"/>
  <c r="AB145" i="3"/>
  <c r="AB122" i="3"/>
  <c r="AB123" i="3"/>
  <c r="AB153" i="3"/>
  <c r="AB126" i="3"/>
  <c r="AB171" i="3"/>
  <c r="AB173" i="3"/>
  <c r="AB154" i="3"/>
  <c r="AB155" i="3"/>
  <c r="AB149" i="3"/>
  <c r="AB156" i="3"/>
  <c r="M171" i="3"/>
  <c r="M144" i="3"/>
  <c r="M125" i="3"/>
  <c r="M159" i="3"/>
  <c r="M121" i="3"/>
  <c r="M147" i="3"/>
  <c r="M143" i="3"/>
  <c r="M122" i="3"/>
  <c r="M145" i="3"/>
  <c r="M150" i="3"/>
  <c r="M120" i="3"/>
  <c r="M128" i="3"/>
  <c r="M141" i="3"/>
  <c r="M161" i="3"/>
  <c r="M153" i="3"/>
  <c r="M123" i="3"/>
  <c r="M127" i="3"/>
  <c r="M149" i="3"/>
  <c r="M140" i="3"/>
  <c r="M154" i="3"/>
  <c r="M157" i="3"/>
  <c r="M146" i="3"/>
  <c r="M173" i="3"/>
  <c r="M126" i="3"/>
  <c r="M151" i="3"/>
  <c r="M155" i="3"/>
  <c r="M158" i="3"/>
  <c r="M142" i="3"/>
  <c r="M148" i="3"/>
  <c r="M152" i="3"/>
  <c r="M124" i="3"/>
  <c r="M160" i="3"/>
  <c r="M172" i="3"/>
  <c r="M156" i="3"/>
  <c r="AJ148" i="3"/>
  <c r="AJ160" i="3"/>
  <c r="AJ145" i="3"/>
  <c r="AJ121" i="3"/>
  <c r="AJ141" i="3"/>
  <c r="AJ142" i="3"/>
  <c r="AJ171" i="3"/>
  <c r="AJ158" i="3"/>
  <c r="AJ152" i="3"/>
  <c r="AJ124" i="3"/>
  <c r="AJ147" i="3"/>
  <c r="AJ157" i="3"/>
  <c r="AJ144" i="3"/>
  <c r="AJ155" i="3"/>
  <c r="AJ153" i="3"/>
  <c r="AJ150" i="3"/>
  <c r="AJ126" i="3"/>
  <c r="AJ127" i="3"/>
  <c r="AJ172" i="3"/>
  <c r="AJ143" i="3"/>
  <c r="AJ122" i="3"/>
  <c r="AJ140" i="3"/>
  <c r="AJ161" i="3"/>
  <c r="AJ123" i="3"/>
  <c r="AJ120" i="3"/>
  <c r="AJ159" i="3"/>
  <c r="AJ125" i="3"/>
  <c r="AJ173" i="3"/>
  <c r="AJ146" i="3"/>
  <c r="AJ154" i="3"/>
  <c r="AJ149" i="3"/>
  <c r="AJ151" i="3"/>
  <c r="AJ156" i="3"/>
  <c r="AJ128" i="3"/>
  <c r="U152" i="3"/>
  <c r="U173" i="3"/>
  <c r="U145" i="3"/>
  <c r="U171" i="3"/>
  <c r="U150" i="3"/>
  <c r="U158" i="3"/>
  <c r="U154" i="3"/>
  <c r="U128" i="3"/>
  <c r="U151" i="3"/>
  <c r="U155" i="3"/>
  <c r="U142" i="3"/>
  <c r="U144" i="3"/>
  <c r="U156" i="3"/>
  <c r="U124" i="3"/>
  <c r="U160" i="3"/>
  <c r="U141" i="3"/>
  <c r="U120" i="3"/>
  <c r="U159" i="3"/>
  <c r="U149" i="3"/>
  <c r="U153" i="3"/>
  <c r="U143" i="3"/>
  <c r="U126" i="3"/>
  <c r="U148" i="3"/>
  <c r="U146" i="3"/>
  <c r="U157" i="3"/>
  <c r="U121" i="3"/>
  <c r="U161" i="3"/>
  <c r="U140" i="3"/>
  <c r="U127" i="3"/>
  <c r="U172" i="3"/>
  <c r="U125" i="3"/>
  <c r="U122" i="3"/>
  <c r="U123" i="3"/>
  <c r="U147" i="3"/>
  <c r="Y122" i="3"/>
  <c r="Y161" i="3"/>
  <c r="Y171" i="3"/>
  <c r="Y160" i="3"/>
  <c r="Y149" i="3"/>
  <c r="Y121" i="3"/>
  <c r="Y125" i="3"/>
  <c r="Y140" i="3"/>
  <c r="Y145" i="3"/>
  <c r="Y142" i="3"/>
  <c r="Y151" i="3"/>
  <c r="Y155" i="3"/>
  <c r="Y152" i="3"/>
  <c r="Y153" i="3"/>
  <c r="Y128" i="3"/>
  <c r="Y123" i="3"/>
  <c r="Y127" i="3"/>
  <c r="Y154" i="3"/>
  <c r="Y157" i="3"/>
  <c r="Y172" i="3"/>
  <c r="Y146" i="3"/>
  <c r="Y148" i="3"/>
  <c r="Y141" i="3"/>
  <c r="Y159" i="3"/>
  <c r="Y143" i="3"/>
  <c r="Y158" i="3"/>
  <c r="Y147" i="3"/>
  <c r="Y126" i="3"/>
  <c r="Y150" i="3"/>
  <c r="Y120" i="3"/>
  <c r="Y156" i="3"/>
  <c r="Y173" i="3"/>
  <c r="Y144" i="3"/>
  <c r="Y124" i="3"/>
  <c r="J122" i="3"/>
  <c r="J126" i="3"/>
  <c r="J152" i="3"/>
  <c r="J124" i="3"/>
  <c r="J154" i="3"/>
  <c r="J147" i="3"/>
  <c r="J158" i="3"/>
  <c r="J157" i="3"/>
  <c r="J149" i="3"/>
  <c r="J140" i="3"/>
  <c r="J144" i="3"/>
  <c r="J172" i="3"/>
  <c r="J173" i="3"/>
  <c r="J146" i="3"/>
  <c r="J127" i="3"/>
  <c r="J143" i="3"/>
  <c r="J125" i="3"/>
  <c r="J155" i="3"/>
  <c r="J150" i="3"/>
  <c r="J160" i="3"/>
  <c r="J142" i="3"/>
  <c r="J171" i="3"/>
  <c r="J153" i="3"/>
  <c r="J156" i="3"/>
  <c r="J151" i="3"/>
  <c r="J159" i="3"/>
  <c r="J148" i="3"/>
  <c r="J141" i="3"/>
  <c r="J161" i="3"/>
  <c r="J120" i="3"/>
  <c r="J145" i="3"/>
  <c r="J121" i="3"/>
  <c r="J128" i="3"/>
  <c r="J123" i="3"/>
  <c r="AR123" i="3"/>
  <c r="AR146" i="3"/>
  <c r="AR154" i="3"/>
  <c r="AR173" i="3"/>
  <c r="AR148" i="3"/>
  <c r="AR142" i="3"/>
  <c r="AR161" i="3"/>
  <c r="AR143" i="3"/>
  <c r="AR144" i="3"/>
  <c r="AR153" i="3"/>
  <c r="AR124" i="3"/>
  <c r="AR122" i="3"/>
  <c r="AR149" i="3"/>
  <c r="AR158" i="3"/>
  <c r="F172" i="3"/>
  <c r="F127" i="3"/>
  <c r="F152" i="3"/>
  <c r="F146" i="3"/>
  <c r="F161" i="3"/>
  <c r="F158" i="3"/>
  <c r="F148" i="3"/>
  <c r="F141" i="3"/>
  <c r="F123" i="3"/>
  <c r="F142" i="3"/>
  <c r="F171" i="3"/>
  <c r="F149" i="3"/>
  <c r="F150" i="3"/>
  <c r="F155" i="3"/>
  <c r="F157" i="3"/>
  <c r="F122" i="3"/>
  <c r="F145" i="3"/>
  <c r="F121" i="3"/>
  <c r="F144" i="3"/>
  <c r="F124" i="3"/>
  <c r="F126" i="3"/>
  <c r="F128" i="3"/>
  <c r="F160" i="3"/>
  <c r="F147" i="3"/>
  <c r="F143" i="3"/>
  <c r="F173" i="3"/>
  <c r="F140" i="3"/>
  <c r="F153" i="3"/>
  <c r="F151" i="3"/>
  <c r="F154" i="3"/>
  <c r="F156" i="3"/>
  <c r="F125" i="3"/>
  <c r="F159" i="3"/>
  <c r="F120" i="3"/>
  <c r="N128" i="3"/>
  <c r="N124" i="3"/>
  <c r="N172" i="3"/>
  <c r="N155" i="3"/>
  <c r="N127" i="3"/>
  <c r="N125" i="3"/>
  <c r="N146" i="3"/>
  <c r="N153" i="3"/>
  <c r="N144" i="3"/>
  <c r="N173" i="3"/>
  <c r="N121" i="3"/>
  <c r="N151" i="3"/>
  <c r="N122" i="3"/>
  <c r="N154" i="3"/>
  <c r="N148" i="3"/>
  <c r="N159" i="3"/>
  <c r="N156" i="3"/>
  <c r="N152" i="3"/>
  <c r="N141" i="3"/>
  <c r="N149" i="3"/>
  <c r="N140" i="3"/>
  <c r="N126" i="3"/>
  <c r="N150" i="3"/>
  <c r="N160" i="3"/>
  <c r="N123" i="3"/>
  <c r="N158" i="3"/>
  <c r="N145" i="3"/>
  <c r="N147" i="3"/>
  <c r="N157" i="3"/>
  <c r="N143" i="3"/>
  <c r="N171" i="3"/>
  <c r="N120" i="3"/>
  <c r="N142" i="3"/>
  <c r="N161" i="3"/>
  <c r="AG159" i="3"/>
  <c r="AG123" i="3"/>
  <c r="AG157" i="3"/>
  <c r="AG150" i="3"/>
  <c r="AG161" i="3"/>
  <c r="AG128" i="3"/>
  <c r="AG120" i="3"/>
  <c r="AG155" i="3"/>
  <c r="AG160" i="3"/>
  <c r="AG146" i="3"/>
  <c r="AG151" i="3"/>
  <c r="AG154" i="3"/>
  <c r="AG121" i="3"/>
  <c r="AG144" i="3"/>
  <c r="AG143" i="3"/>
  <c r="AG124" i="3"/>
  <c r="AG142" i="3"/>
  <c r="AG172" i="3"/>
  <c r="AG153" i="3"/>
  <c r="AG171" i="3"/>
  <c r="AG125" i="3"/>
  <c r="AG148" i="3"/>
  <c r="AG145" i="3"/>
  <c r="AG147" i="3"/>
  <c r="AG173" i="3"/>
  <c r="AG126" i="3"/>
  <c r="AG158" i="3"/>
  <c r="AG127" i="3"/>
  <c r="AG140" i="3"/>
  <c r="AG156" i="3"/>
  <c r="AG152" i="3"/>
  <c r="AG122" i="3"/>
  <c r="AG149" i="3"/>
  <c r="AG141" i="3"/>
  <c r="R173" i="3"/>
  <c r="R120" i="3"/>
  <c r="R147" i="3"/>
  <c r="R157" i="3"/>
  <c r="R144" i="3"/>
  <c r="R159" i="3"/>
  <c r="R148" i="3"/>
  <c r="R123" i="3"/>
  <c r="R171" i="3"/>
  <c r="R122" i="3"/>
  <c r="R127" i="3"/>
  <c r="R128" i="3"/>
  <c r="R151" i="3"/>
  <c r="R121" i="3"/>
  <c r="R155" i="3"/>
  <c r="R141" i="3"/>
  <c r="R142" i="3"/>
  <c r="R145" i="3"/>
  <c r="R149" i="3"/>
  <c r="R140" i="3"/>
  <c r="R160" i="3"/>
  <c r="R124" i="3"/>
  <c r="R125" i="3"/>
  <c r="R161" i="3"/>
  <c r="R143" i="3"/>
  <c r="R158" i="3"/>
  <c r="R152" i="3"/>
  <c r="R126" i="3"/>
  <c r="R150" i="3"/>
  <c r="R153" i="3"/>
  <c r="R172" i="3"/>
  <c r="R154" i="3"/>
  <c r="R146" i="3"/>
  <c r="R156" i="3"/>
  <c r="AK158" i="3"/>
  <c r="AK123" i="3"/>
  <c r="AK127" i="3"/>
  <c r="AK143" i="3"/>
  <c r="AK122" i="3"/>
  <c r="AK159" i="3"/>
  <c r="AK149" i="3"/>
  <c r="AK126" i="3"/>
  <c r="AK140" i="3"/>
  <c r="AK120" i="3"/>
  <c r="AK172" i="3"/>
  <c r="AK156" i="3"/>
  <c r="AK148" i="3"/>
  <c r="AK151" i="3"/>
  <c r="AK173" i="3"/>
  <c r="AK155" i="3"/>
  <c r="AK154" i="3"/>
  <c r="AK153" i="3"/>
  <c r="AK161" i="3"/>
  <c r="AK121" i="3"/>
  <c r="AK141" i="3"/>
  <c r="AK157" i="3"/>
  <c r="AK147" i="3"/>
  <c r="AK146" i="3"/>
  <c r="AK128" i="3"/>
  <c r="AK142" i="3"/>
  <c r="AK124" i="3"/>
  <c r="AK160" i="3"/>
  <c r="AK125" i="3"/>
  <c r="AK144" i="3"/>
  <c r="AK171" i="3"/>
  <c r="AK152" i="3"/>
  <c r="AK150" i="3"/>
  <c r="AK145" i="3"/>
  <c r="G121" i="3"/>
  <c r="G148" i="3"/>
  <c r="G124" i="3"/>
  <c r="G140" i="3"/>
  <c r="G157" i="3"/>
  <c r="G127" i="3"/>
  <c r="G145" i="3"/>
  <c r="G123" i="3"/>
  <c r="G153" i="3"/>
  <c r="G147" i="3"/>
  <c r="G154" i="3"/>
  <c r="G120" i="3"/>
  <c r="G161" i="3"/>
  <c r="G126" i="3"/>
  <c r="G160" i="3"/>
  <c r="G173" i="3"/>
  <c r="G128" i="3"/>
  <c r="G150" i="3"/>
  <c r="G125" i="3"/>
  <c r="G155" i="3"/>
  <c r="G142" i="3"/>
  <c r="G172" i="3"/>
  <c r="G159" i="3"/>
  <c r="G158" i="3"/>
  <c r="G152" i="3"/>
  <c r="G141" i="3"/>
  <c r="G151" i="3"/>
  <c r="G122" i="3"/>
  <c r="G149" i="3"/>
  <c r="G144" i="3"/>
  <c r="G143" i="3"/>
  <c r="G171" i="3"/>
  <c r="G146" i="3"/>
  <c r="G156" i="3"/>
  <c r="AO140" i="3"/>
  <c r="AO142" i="3"/>
  <c r="AO161" i="3"/>
  <c r="AO173" i="3"/>
  <c r="AO145" i="3"/>
  <c r="AO146" i="3"/>
  <c r="AO172" i="3"/>
  <c r="AO149" i="3"/>
  <c r="AO171" i="3"/>
  <c r="AO152" i="3"/>
  <c r="AO127" i="3"/>
  <c r="AO143" i="3"/>
  <c r="AO128" i="3"/>
  <c r="AO122" i="3"/>
  <c r="AO126" i="3"/>
  <c r="AO121" i="3"/>
  <c r="AO156" i="3"/>
  <c r="AO153" i="3"/>
  <c r="AO157" i="3"/>
  <c r="AO141" i="3"/>
  <c r="AO155" i="3"/>
  <c r="AO120" i="3"/>
  <c r="AO148" i="3"/>
  <c r="AO160" i="3"/>
  <c r="AO150" i="3"/>
  <c r="AO124" i="3"/>
  <c r="AO147" i="3"/>
  <c r="AO151" i="3"/>
  <c r="AO159" i="3"/>
  <c r="AO125" i="3"/>
  <c r="AO144" i="3"/>
  <c r="AO158" i="3"/>
  <c r="AO123" i="3"/>
  <c r="AO154" i="3"/>
  <c r="Z157" i="3"/>
  <c r="Z122" i="3"/>
  <c r="Z161" i="3"/>
  <c r="Z172" i="3"/>
  <c r="Z171" i="3"/>
  <c r="Z144" i="3"/>
  <c r="Z120" i="3"/>
  <c r="Z142" i="3"/>
  <c r="Z153" i="3"/>
  <c r="Z141" i="3"/>
  <c r="Z160" i="3"/>
  <c r="Z150" i="3"/>
  <c r="Z125" i="3"/>
  <c r="Z124" i="3"/>
  <c r="Z140" i="3"/>
  <c r="Z148" i="3"/>
  <c r="Z126" i="3"/>
  <c r="Z155" i="3"/>
  <c r="Z145" i="3"/>
  <c r="Z121" i="3"/>
  <c r="Z143" i="3"/>
  <c r="Z173" i="3"/>
  <c r="Z158" i="3"/>
  <c r="Z152" i="3"/>
  <c r="Z156" i="3"/>
  <c r="Z123" i="3"/>
  <c r="Z147" i="3"/>
  <c r="Z149" i="3"/>
  <c r="Z151" i="3"/>
  <c r="Z154" i="3"/>
  <c r="Z146" i="3"/>
  <c r="Z159" i="3"/>
  <c r="Z127" i="3"/>
  <c r="Z128" i="3"/>
  <c r="O156" i="3"/>
  <c r="O151" i="3"/>
  <c r="O159" i="3"/>
  <c r="O121" i="3"/>
  <c r="O128" i="3"/>
  <c r="O141" i="3"/>
  <c r="O140" i="3"/>
  <c r="O149" i="3"/>
  <c r="O124" i="3"/>
  <c r="O172" i="3"/>
  <c r="O152" i="3"/>
  <c r="O148" i="3"/>
  <c r="O142" i="3"/>
  <c r="O160" i="3"/>
  <c r="O126" i="3"/>
  <c r="O120" i="3"/>
  <c r="O173" i="3"/>
  <c r="O123" i="3"/>
  <c r="O155" i="3"/>
  <c r="O153" i="3"/>
  <c r="O147" i="3"/>
  <c r="O158" i="3"/>
  <c r="O144" i="3"/>
  <c r="O122" i="3"/>
  <c r="O150" i="3"/>
  <c r="O171" i="3"/>
  <c r="O146" i="3"/>
  <c r="O154" i="3"/>
  <c r="O157" i="3"/>
  <c r="O127" i="3"/>
  <c r="O143" i="3"/>
  <c r="O145" i="3"/>
  <c r="O161" i="3"/>
  <c r="O125" i="3"/>
  <c r="AH153" i="3"/>
  <c r="AH140" i="3"/>
  <c r="AH159" i="3"/>
  <c r="AH150" i="3"/>
  <c r="AH151" i="3"/>
  <c r="AH160" i="3"/>
  <c r="AH145" i="3"/>
  <c r="AH122" i="3"/>
  <c r="AH127" i="3"/>
  <c r="AH143" i="3"/>
  <c r="AH144" i="3"/>
  <c r="AH126" i="3"/>
  <c r="AH121" i="3"/>
  <c r="AH148" i="3"/>
  <c r="AH173" i="3"/>
  <c r="AH152" i="3"/>
  <c r="AH161" i="3"/>
  <c r="AH142" i="3"/>
  <c r="AH157" i="3"/>
  <c r="AH141" i="3"/>
  <c r="AH158" i="3"/>
  <c r="AH124" i="3"/>
  <c r="AH171" i="3"/>
  <c r="AH172" i="3"/>
  <c r="AH156" i="3"/>
  <c r="AH120" i="3"/>
  <c r="AH155" i="3"/>
  <c r="AH146" i="3"/>
  <c r="AH147" i="3"/>
  <c r="AH125" i="3"/>
  <c r="AH149" i="3"/>
  <c r="AH123" i="3"/>
  <c r="AH128" i="3"/>
  <c r="AH154" i="3"/>
  <c r="S172" i="3"/>
  <c r="S120" i="3"/>
  <c r="S160" i="3"/>
  <c r="S152" i="3"/>
  <c r="S126" i="3"/>
  <c r="S150" i="3"/>
  <c r="S128" i="3"/>
  <c r="S148" i="3"/>
  <c r="S142" i="3"/>
  <c r="S121" i="3"/>
  <c r="S158" i="3"/>
  <c r="S140" i="3"/>
  <c r="S145" i="3"/>
  <c r="S161" i="3"/>
  <c r="S122" i="3"/>
  <c r="S147" i="3"/>
  <c r="S149" i="3"/>
  <c r="S144" i="3"/>
  <c r="S127" i="3"/>
  <c r="S155" i="3"/>
  <c r="S171" i="3"/>
  <c r="S124" i="3"/>
  <c r="S157" i="3"/>
  <c r="S159" i="3"/>
  <c r="S154" i="3"/>
  <c r="S123" i="3"/>
  <c r="S151" i="3"/>
  <c r="S173" i="3"/>
  <c r="S153" i="3"/>
  <c r="S141" i="3"/>
  <c r="S143" i="3"/>
  <c r="S156" i="3"/>
  <c r="S125" i="3"/>
  <c r="S146" i="3"/>
  <c r="L146" i="3"/>
  <c r="L143" i="3"/>
  <c r="L151" i="3"/>
  <c r="L157" i="3"/>
  <c r="L127" i="3"/>
  <c r="L142" i="3"/>
  <c r="L123" i="3"/>
  <c r="L120" i="3"/>
  <c r="L122" i="3"/>
  <c r="L172" i="3"/>
  <c r="L159" i="3"/>
  <c r="L150" i="3"/>
  <c r="L171" i="3"/>
  <c r="L145" i="3"/>
  <c r="AL122" i="3"/>
  <c r="AL156" i="3"/>
  <c r="AL125" i="3"/>
  <c r="AL148" i="3"/>
  <c r="AL141" i="3"/>
  <c r="AL120" i="3"/>
  <c r="AL128" i="3"/>
  <c r="AL140" i="3"/>
  <c r="AL155" i="3"/>
  <c r="AL151" i="3"/>
  <c r="AL147" i="3"/>
  <c r="AL161" i="3"/>
  <c r="AL123" i="3"/>
  <c r="AL121" i="3"/>
  <c r="AL159" i="3"/>
  <c r="AL160" i="3"/>
  <c r="AL143" i="3"/>
  <c r="AL152" i="3"/>
  <c r="AL158" i="3"/>
  <c r="AL157" i="3"/>
  <c r="AL124" i="3"/>
  <c r="AL127" i="3"/>
  <c r="AL145" i="3"/>
  <c r="AL153" i="3"/>
  <c r="AL126" i="3"/>
  <c r="AL173" i="3"/>
  <c r="AL149" i="3"/>
  <c r="AL171" i="3"/>
  <c r="AL146" i="3"/>
  <c r="AL150" i="3"/>
  <c r="AL154" i="3"/>
  <c r="AL144" i="3"/>
  <c r="AL172" i="3"/>
  <c r="AL142" i="3"/>
  <c r="P127" i="3"/>
  <c r="P125" i="3"/>
  <c r="P123" i="3"/>
  <c r="P154" i="3"/>
  <c r="P128" i="3"/>
  <c r="P172" i="3"/>
  <c r="P147" i="3"/>
  <c r="P126" i="3"/>
  <c r="P124" i="3"/>
  <c r="P144" i="3"/>
  <c r="P158" i="3"/>
  <c r="P122" i="3"/>
  <c r="P141" i="3"/>
  <c r="P142" i="3"/>
  <c r="P153" i="3"/>
  <c r="P156" i="3"/>
  <c r="P140" i="3"/>
  <c r="P155" i="3"/>
  <c r="P159" i="3"/>
  <c r="P152" i="3"/>
  <c r="P171" i="3"/>
  <c r="P146" i="3"/>
  <c r="P120" i="3"/>
  <c r="P151" i="3"/>
  <c r="P173" i="3"/>
  <c r="P160" i="3"/>
  <c r="P149" i="3"/>
  <c r="P145" i="3"/>
  <c r="P121" i="3"/>
  <c r="P157" i="3"/>
  <c r="P143" i="3"/>
  <c r="P148" i="3"/>
  <c r="P150" i="3"/>
  <c r="P161" i="3"/>
  <c r="W161" i="3" l="1"/>
  <c r="W149" i="3"/>
  <c r="W156" i="3"/>
  <c r="W122" i="3"/>
  <c r="K125" i="3"/>
  <c r="W128" i="3"/>
  <c r="X172" i="3"/>
  <c r="W148" i="3"/>
  <c r="X157" i="3"/>
  <c r="X123" i="3"/>
  <c r="AP151" i="3"/>
  <c r="AM153" i="3"/>
  <c r="AS155" i="3"/>
  <c r="K141" i="3"/>
  <c r="AA154" i="3"/>
  <c r="W141" i="3"/>
  <c r="X154" i="3"/>
  <c r="X146" i="3"/>
  <c r="AA173" i="3"/>
  <c r="W155" i="3"/>
  <c r="V147" i="3"/>
  <c r="AF123" i="3"/>
  <c r="W144" i="3"/>
  <c r="K150" i="3"/>
  <c r="W159" i="3"/>
  <c r="V160" i="3"/>
  <c r="AF160" i="3"/>
  <c r="AP160" i="3"/>
  <c r="AS160" i="3"/>
  <c r="AS149" i="3"/>
  <c r="AP144" i="3"/>
  <c r="AP159" i="3"/>
  <c r="AP147" i="3"/>
  <c r="AS153" i="3"/>
  <c r="AS154" i="3"/>
  <c r="AP125" i="3"/>
  <c r="AP123" i="3"/>
  <c r="AP171" i="3"/>
  <c r="AS159" i="3"/>
  <c r="X128" i="3"/>
  <c r="W123" i="3"/>
  <c r="X148" i="3"/>
  <c r="AP152" i="3"/>
  <c r="AP145" i="3"/>
  <c r="AS157" i="3"/>
  <c r="V161" i="3"/>
  <c r="X125" i="3"/>
  <c r="W172" i="3"/>
  <c r="X124" i="3"/>
  <c r="AP121" i="3"/>
  <c r="AP155" i="3"/>
  <c r="AS151" i="3"/>
  <c r="X155" i="3"/>
  <c r="W157" i="3"/>
  <c r="X159" i="3"/>
  <c r="X121" i="3"/>
  <c r="AP172" i="3"/>
  <c r="AP127" i="3"/>
  <c r="X142" i="3"/>
  <c r="V172" i="3"/>
  <c r="W154" i="3"/>
  <c r="W120" i="3"/>
  <c r="AF148" i="3"/>
  <c r="AE120" i="3"/>
  <c r="AI125" i="3"/>
  <c r="AS141" i="3"/>
  <c r="AS142" i="3"/>
  <c r="AP120" i="3"/>
  <c r="AP148" i="3"/>
  <c r="W145" i="3"/>
  <c r="AS121" i="3"/>
  <c r="AP173" i="3"/>
  <c r="W173" i="3"/>
  <c r="AS150" i="3"/>
  <c r="AF147" i="3"/>
  <c r="X153" i="3"/>
  <c r="X161" i="3"/>
  <c r="W127" i="3"/>
  <c r="X122" i="3"/>
  <c r="I159" i="3"/>
  <c r="K146" i="3"/>
  <c r="X140" i="3"/>
  <c r="AP158" i="3"/>
  <c r="AP153" i="3"/>
  <c r="AP122" i="3"/>
  <c r="W124" i="3"/>
  <c r="V156" i="3"/>
  <c r="AS156" i="3"/>
  <c r="AF142" i="3"/>
  <c r="X126" i="3"/>
  <c r="X149" i="3"/>
  <c r="V152" i="3"/>
  <c r="X143" i="3"/>
  <c r="W143" i="3"/>
  <c r="W146" i="3"/>
  <c r="X158" i="3"/>
  <c r="AM121" i="3"/>
  <c r="I171" i="3"/>
  <c r="I147" i="3"/>
  <c r="AI153" i="3"/>
  <c r="AF146" i="3"/>
  <c r="AF157" i="3"/>
  <c r="AE171" i="3"/>
  <c r="AA157" i="3"/>
  <c r="V151" i="3"/>
  <c r="V148" i="3"/>
  <c r="AS143" i="3"/>
  <c r="AS128" i="3"/>
  <c r="K157" i="3"/>
  <c r="K148" i="3"/>
  <c r="AE156" i="3"/>
  <c r="AE172" i="3"/>
  <c r="AA125" i="3"/>
  <c r="AA123" i="3"/>
  <c r="AA124" i="3"/>
  <c r="AP143" i="3"/>
  <c r="AP157" i="3"/>
  <c r="AP128" i="3"/>
  <c r="W126" i="3"/>
  <c r="V125" i="3"/>
  <c r="AS145" i="3"/>
  <c r="AF152" i="3"/>
  <c r="X144" i="3"/>
  <c r="X150" i="3"/>
  <c r="V143" i="3"/>
  <c r="X141" i="3"/>
  <c r="W153" i="3"/>
  <c r="W121" i="3"/>
  <c r="X173" i="3"/>
  <c r="AI140" i="3"/>
  <c r="AF172" i="3"/>
  <c r="AF156" i="3"/>
  <c r="AE124" i="3"/>
  <c r="AA160" i="3"/>
  <c r="V144" i="3"/>
  <c r="AS120" i="3"/>
  <c r="AS125" i="3"/>
  <c r="AS123" i="3"/>
  <c r="K123" i="3"/>
  <c r="AE152" i="3"/>
  <c r="AA151" i="3"/>
  <c r="AA120" i="3"/>
  <c r="AP149" i="3"/>
  <c r="AP126" i="3"/>
  <c r="W125" i="3"/>
  <c r="V141" i="3"/>
  <c r="X171" i="3"/>
  <c r="X147" i="3"/>
  <c r="X151" i="3"/>
  <c r="W171" i="3"/>
  <c r="AO204" i="3"/>
  <c r="AO205" i="3" s="1"/>
  <c r="AG204" i="3"/>
  <c r="AG205" i="3" s="1"/>
  <c r="Y204" i="3"/>
  <c r="Y205" i="3" s="1"/>
  <c r="Q204" i="3"/>
  <c r="Q205" i="3" s="1"/>
  <c r="I204" i="3"/>
  <c r="I205" i="3" s="1"/>
  <c r="AN204" i="3"/>
  <c r="AN205" i="3" s="1"/>
  <c r="AF204" i="3"/>
  <c r="AF205" i="3" s="1"/>
  <c r="X204" i="3"/>
  <c r="X205" i="3" s="1"/>
  <c r="P204" i="3"/>
  <c r="P205" i="3" s="1"/>
  <c r="H204" i="3"/>
  <c r="H205" i="3" s="1"/>
  <c r="AM204" i="3"/>
  <c r="AM205" i="3" s="1"/>
  <c r="AE204" i="3"/>
  <c r="AE205" i="3" s="1"/>
  <c r="W204" i="3"/>
  <c r="W205" i="3" s="1"/>
  <c r="O204" i="3"/>
  <c r="O205" i="3" s="1"/>
  <c r="G204" i="3"/>
  <c r="G205" i="3" s="1"/>
  <c r="AK204" i="3"/>
  <c r="AK205" i="3" s="1"/>
  <c r="AC204" i="3"/>
  <c r="AC205" i="3" s="1"/>
  <c r="U204" i="3"/>
  <c r="U205" i="3" s="1"/>
  <c r="M204" i="3"/>
  <c r="M205" i="3" s="1"/>
  <c r="E204" i="3"/>
  <c r="E205" i="3" s="1"/>
  <c r="AJ204" i="3"/>
  <c r="AJ205" i="3" s="1"/>
  <c r="AB204" i="3"/>
  <c r="AB205" i="3" s="1"/>
  <c r="T204" i="3"/>
  <c r="T205" i="3" s="1"/>
  <c r="L204" i="3"/>
  <c r="L205" i="3" s="1"/>
  <c r="D204" i="3"/>
  <c r="D205" i="3" s="1"/>
  <c r="AI204" i="3"/>
  <c r="AI205" i="3" s="1"/>
  <c r="AA204" i="3"/>
  <c r="AA205" i="3" s="1"/>
  <c r="S204" i="3"/>
  <c r="S205" i="3" s="1"/>
  <c r="K204" i="3"/>
  <c r="K205" i="3" s="1"/>
  <c r="C204" i="3"/>
  <c r="C205" i="3" s="1"/>
  <c r="AP204" i="3"/>
  <c r="AP205" i="3" s="1"/>
  <c r="AH204" i="3"/>
  <c r="AH205" i="3" s="1"/>
  <c r="Z204" i="3"/>
  <c r="Z205" i="3" s="1"/>
  <c r="R204" i="3"/>
  <c r="R205" i="3" s="1"/>
  <c r="J204" i="3"/>
  <c r="J205" i="3" s="1"/>
  <c r="B204" i="3"/>
  <c r="B205" i="3" s="1"/>
  <c r="AL204" i="3"/>
  <c r="AL205" i="3" s="1"/>
  <c r="AD204" i="3"/>
  <c r="AD205" i="3" s="1"/>
  <c r="V204" i="3"/>
  <c r="V205" i="3" s="1"/>
  <c r="N204" i="3"/>
  <c r="N205" i="3" s="1"/>
  <c r="F204" i="3"/>
  <c r="F205" i="3" s="1"/>
  <c r="AO196" i="3"/>
  <c r="AO197" i="3" s="1"/>
  <c r="AG196" i="3"/>
  <c r="AG197" i="3" s="1"/>
  <c r="Y196" i="3"/>
  <c r="Y197" i="3" s="1"/>
  <c r="Q196" i="3"/>
  <c r="Q197" i="3" s="1"/>
  <c r="I196" i="3"/>
  <c r="I197" i="3" s="1"/>
  <c r="AN196" i="3"/>
  <c r="AN197" i="3" s="1"/>
  <c r="AF196" i="3"/>
  <c r="AF197" i="3" s="1"/>
  <c r="X196" i="3"/>
  <c r="X197" i="3" s="1"/>
  <c r="P196" i="3"/>
  <c r="P197" i="3" s="1"/>
  <c r="H196" i="3"/>
  <c r="H197" i="3" s="1"/>
  <c r="AM196" i="3"/>
  <c r="AM197" i="3" s="1"/>
  <c r="AE196" i="3"/>
  <c r="AE197" i="3" s="1"/>
  <c r="W196" i="3"/>
  <c r="W197" i="3" s="1"/>
  <c r="O196" i="3"/>
  <c r="O197" i="3" s="1"/>
  <c r="G196" i="3"/>
  <c r="G197" i="3" s="1"/>
  <c r="AK196" i="3"/>
  <c r="AK197" i="3" s="1"/>
  <c r="AC196" i="3"/>
  <c r="AC197" i="3" s="1"/>
  <c r="U196" i="3"/>
  <c r="U197" i="3" s="1"/>
  <c r="M196" i="3"/>
  <c r="M197" i="3" s="1"/>
  <c r="E196" i="3"/>
  <c r="E197" i="3" s="1"/>
  <c r="AJ196" i="3"/>
  <c r="AJ197" i="3" s="1"/>
  <c r="AB196" i="3"/>
  <c r="AB197" i="3" s="1"/>
  <c r="T196" i="3"/>
  <c r="T197" i="3" s="1"/>
  <c r="L196" i="3"/>
  <c r="L197" i="3" s="1"/>
  <c r="D196" i="3"/>
  <c r="D197" i="3" s="1"/>
  <c r="AI196" i="3"/>
  <c r="AI197" i="3" s="1"/>
  <c r="AA196" i="3"/>
  <c r="AA197" i="3" s="1"/>
  <c r="S196" i="3"/>
  <c r="S197" i="3" s="1"/>
  <c r="K196" i="3"/>
  <c r="K197" i="3" s="1"/>
  <c r="C196" i="3"/>
  <c r="C197" i="3" s="1"/>
  <c r="AP196" i="3"/>
  <c r="AP197" i="3" s="1"/>
  <c r="AH196" i="3"/>
  <c r="AH197" i="3" s="1"/>
  <c r="Z196" i="3"/>
  <c r="Z197" i="3" s="1"/>
  <c r="R196" i="3"/>
  <c r="R197" i="3" s="1"/>
  <c r="J196" i="3"/>
  <c r="J197" i="3" s="1"/>
  <c r="B196" i="3"/>
  <c r="B197" i="3" s="1"/>
  <c r="AD196" i="3"/>
  <c r="AD197" i="3" s="1"/>
  <c r="V196" i="3"/>
  <c r="V197" i="3" s="1"/>
  <c r="N196" i="3"/>
  <c r="N197" i="3" s="1"/>
  <c r="F196" i="3"/>
  <c r="F197" i="3" s="1"/>
  <c r="AL196" i="3"/>
  <c r="AL197" i="3" s="1"/>
  <c r="BM2" i="3" l="1"/>
  <c r="Y2" i="3"/>
  <c r="AT2" i="3"/>
  <c r="F2" i="3"/>
  <c r="BS2" i="3"/>
  <c r="AE2" i="3"/>
  <c r="R2" i="3"/>
  <c r="BF2" i="3"/>
  <c r="CE2" i="3"/>
  <c r="AQ2" i="3"/>
  <c r="BU2" i="3"/>
  <c r="AG2" i="3"/>
  <c r="BB2" i="3"/>
  <c r="N2" i="3"/>
  <c r="CA2" i="3"/>
  <c r="AM2" i="3"/>
  <c r="Z2" i="3"/>
  <c r="BN2" i="3"/>
  <c r="AZ2" i="3"/>
  <c r="L2" i="3"/>
  <c r="BJ2" i="3"/>
  <c r="V2" i="3"/>
  <c r="AV2" i="3"/>
  <c r="H2" i="3"/>
  <c r="AH2" i="3"/>
  <c r="BV2" i="3"/>
  <c r="BH2" i="3"/>
  <c r="T2" i="3"/>
  <c r="BA2" i="3"/>
  <c r="M2" i="3"/>
  <c r="BR2" i="3"/>
  <c r="AD2" i="3"/>
  <c r="BD2" i="3"/>
  <c r="P2" i="3"/>
  <c r="AP2" i="3"/>
  <c r="CD2" i="3"/>
  <c r="BP2" i="3"/>
  <c r="AB2" i="3"/>
  <c r="BI2" i="3"/>
  <c r="U2" i="3"/>
  <c r="BZ2" i="3"/>
  <c r="AL2" i="3"/>
  <c r="BL2" i="3"/>
  <c r="X2" i="3"/>
  <c r="AY2" i="3"/>
  <c r="K2" i="3"/>
  <c r="BX2" i="3"/>
  <c r="AJ2" i="3"/>
  <c r="CC2" i="3"/>
  <c r="AO2" i="3"/>
  <c r="BQ2" i="3"/>
  <c r="AC2" i="3"/>
  <c r="AU2" i="3"/>
  <c r="G2" i="3"/>
  <c r="BT2" i="3"/>
  <c r="AF2" i="3"/>
  <c r="BG2" i="3"/>
  <c r="S2" i="3"/>
  <c r="CF2" i="3"/>
  <c r="AR2" i="3"/>
  <c r="AW2" i="3"/>
  <c r="I2" i="3"/>
  <c r="BY2" i="3"/>
  <c r="AK2" i="3"/>
  <c r="BC2" i="3"/>
  <c r="O2" i="3"/>
  <c r="CB2" i="3"/>
  <c r="AN2" i="3"/>
  <c r="BO2" i="3"/>
  <c r="AA2" i="3"/>
  <c r="BE2" i="3"/>
  <c r="Q2" i="3"/>
  <c r="CG2" i="3"/>
  <c r="AS2" i="3"/>
  <c r="BK2" i="3"/>
  <c r="W2" i="3"/>
  <c r="J2" i="3"/>
  <c r="AX2" i="3"/>
  <c r="BW2" i="3"/>
  <c r="AI2" i="3"/>
  <c r="F73" i="3"/>
  <c r="F70" i="3"/>
  <c r="F70" i="2" l="1"/>
  <c r="F73" i="2"/>
  <c r="Q2" i="2"/>
  <c r="AM2" i="2"/>
  <c r="U2" i="2"/>
  <c r="AA2" i="2"/>
  <c r="I2" i="2"/>
  <c r="G2" i="2"/>
  <c r="K2" i="2"/>
  <c r="AB2" i="2"/>
  <c r="M2" i="2"/>
  <c r="V2" i="2"/>
  <c r="N2" i="2"/>
  <c r="AE2" i="2"/>
  <c r="AD2" i="2"/>
  <c r="R2" i="2"/>
  <c r="J2" i="2"/>
  <c r="AK2" i="2"/>
  <c r="AN2" i="2"/>
  <c r="X2" i="2"/>
  <c r="T2" i="2"/>
  <c r="L2" i="2"/>
  <c r="AG2" i="2"/>
  <c r="F2" i="2"/>
  <c r="AF2" i="2"/>
  <c r="AR2" i="2"/>
  <c r="AJ2" i="2"/>
  <c r="W2" i="2"/>
  <c r="AC2" i="2"/>
  <c r="AP2" i="2"/>
  <c r="AS2" i="2"/>
  <c r="O2" i="2"/>
  <c r="S2" i="2"/>
  <c r="AO2" i="2"/>
  <c r="AL2" i="2"/>
  <c r="P2" i="2"/>
  <c r="AQ2" i="2"/>
  <c r="Y2" i="2"/>
  <c r="AI2" i="2"/>
  <c r="H2" i="2"/>
  <c r="AH2" i="2"/>
  <c r="Z2" i="2"/>
  <c r="W86" i="3"/>
  <c r="L14" i="3"/>
  <c r="W14" i="3"/>
  <c r="AL57" i="3"/>
  <c r="AK44" i="3"/>
  <c r="F38" i="3"/>
  <c r="I41" i="3"/>
  <c r="AO50" i="3"/>
  <c r="AS87" i="3"/>
  <c r="F56" i="3"/>
  <c r="W42" i="3"/>
  <c r="AL59" i="3"/>
  <c r="AK60" i="3"/>
  <c r="AM43" i="3"/>
  <c r="G44" i="3"/>
  <c r="I16" i="3"/>
  <c r="M44" i="3"/>
  <c r="AS43" i="3"/>
  <c r="F11" i="3"/>
  <c r="Z7" i="3"/>
  <c r="Z28" i="3"/>
  <c r="Z64" i="3"/>
  <c r="Z66" i="3"/>
  <c r="Z78" i="3"/>
  <c r="AH21" i="3"/>
  <c r="AH32" i="3"/>
  <c r="AH67" i="3"/>
  <c r="AH88" i="3"/>
  <c r="AH92" i="3"/>
  <c r="O49" i="3"/>
  <c r="AE41" i="3"/>
  <c r="T42" i="3"/>
  <c r="F52" i="3"/>
  <c r="H6" i="3"/>
  <c r="H28" i="3"/>
  <c r="H75" i="3"/>
  <c r="H89" i="3"/>
  <c r="H93" i="3"/>
  <c r="AI23" i="3"/>
  <c r="AI30" i="3"/>
  <c r="AI67" i="3"/>
  <c r="AI88" i="3"/>
  <c r="AI91" i="3"/>
  <c r="AD59" i="3"/>
  <c r="AJ41" i="3"/>
  <c r="AQ15" i="3"/>
  <c r="P86" i="3"/>
  <c r="T10" i="3"/>
  <c r="Z87" i="3"/>
  <c r="AQ35" i="3"/>
  <c r="AH36" i="3"/>
  <c r="AD35" i="3"/>
  <c r="AJ37" i="3"/>
  <c r="K15" i="3"/>
  <c r="J12" i="3"/>
  <c r="X60" i="3"/>
  <c r="Y43" i="3"/>
  <c r="Z40" i="3"/>
  <c r="Q87" i="3"/>
  <c r="P43" i="3"/>
  <c r="Y20" i="3"/>
  <c r="Y63" i="3"/>
  <c r="Y75" i="3"/>
  <c r="Y72" i="3"/>
  <c r="Y92" i="3"/>
  <c r="AQ8" i="3"/>
  <c r="AQ46" i="3"/>
  <c r="AQ90" i="3"/>
  <c r="AQ70" i="3"/>
  <c r="AQ95" i="3"/>
  <c r="P22" i="3"/>
  <c r="P61" i="3"/>
  <c r="P88" i="3"/>
  <c r="P81" i="3"/>
  <c r="AL27" i="3"/>
  <c r="AL21" i="3"/>
  <c r="AL54" i="3"/>
  <c r="AL72" i="3"/>
  <c r="AL77" i="3"/>
  <c r="AO7" i="3"/>
  <c r="AO27" i="3"/>
  <c r="AO64" i="3"/>
  <c r="AO94" i="3"/>
  <c r="AO81" i="3"/>
  <c r="S24" i="3"/>
  <c r="S32" i="3"/>
  <c r="S72" i="3"/>
  <c r="S75" i="3"/>
  <c r="S89" i="3"/>
  <c r="O8" i="3"/>
  <c r="O33" i="3"/>
  <c r="O88" i="3"/>
  <c r="O81" i="3"/>
  <c r="O91" i="3"/>
  <c r="AS4" i="3"/>
  <c r="AS27" i="3"/>
  <c r="AS83" i="3"/>
  <c r="AS73" i="3"/>
  <c r="AS90" i="3"/>
  <c r="AP7" i="3"/>
  <c r="AP32" i="3"/>
  <c r="AP64" i="3"/>
  <c r="AP66" i="3"/>
  <c r="AP90" i="3"/>
  <c r="AC8" i="3"/>
  <c r="AC28" i="3"/>
  <c r="AC68" i="3"/>
  <c r="AC84" i="3"/>
  <c r="AC93" i="3"/>
  <c r="AP11" i="3"/>
  <c r="Y56" i="3"/>
  <c r="Z44" i="3"/>
  <c r="J38" i="3"/>
  <c r="AD36" i="3"/>
  <c r="AJ39" i="3"/>
  <c r="K43" i="3"/>
  <c r="J50" i="3"/>
  <c r="X53" i="3"/>
  <c r="Y53" i="3"/>
  <c r="Z57" i="3"/>
  <c r="Q36" i="3"/>
  <c r="P40" i="3"/>
  <c r="AI56" i="3"/>
  <c r="R52" i="3"/>
  <c r="K39" i="3"/>
  <c r="J14" i="3"/>
  <c r="Z21" i="3"/>
  <c r="Z32" i="3"/>
  <c r="Z67" i="3"/>
  <c r="Z88" i="3"/>
  <c r="Z92" i="3"/>
  <c r="AH26" i="3"/>
  <c r="AH27" i="3"/>
  <c r="AH81" i="3"/>
  <c r="AH68" i="3"/>
  <c r="AH96" i="3"/>
  <c r="V38" i="3"/>
  <c r="AN86" i="3"/>
  <c r="P45" i="3"/>
  <c r="S57" i="3"/>
  <c r="H8" i="3"/>
  <c r="H32" i="3"/>
  <c r="H77" i="3"/>
  <c r="H72" i="3"/>
  <c r="H95" i="3"/>
  <c r="AI6" i="3"/>
  <c r="AI63" i="3"/>
  <c r="AI81" i="3"/>
  <c r="AI92" i="3"/>
  <c r="AI93" i="3"/>
  <c r="AM17" i="3"/>
  <c r="G40" i="3"/>
  <c r="AL15" i="3"/>
  <c r="S43" i="3"/>
  <c r="F10" i="3"/>
  <c r="AS85" i="3"/>
  <c r="AL39" i="3"/>
  <c r="AK14" i="3"/>
  <c r="AM18" i="3"/>
  <c r="G39" i="3"/>
  <c r="AF15" i="3"/>
  <c r="M17" i="3"/>
  <c r="AA58" i="3"/>
  <c r="H37" i="3"/>
  <c r="X59" i="3"/>
  <c r="L52" i="3"/>
  <c r="S42" i="3"/>
  <c r="Y25" i="3"/>
  <c r="Y46" i="3"/>
  <c r="Y77" i="3"/>
  <c r="Y74" i="3"/>
  <c r="Y96" i="3"/>
  <c r="AQ20" i="3"/>
  <c r="AQ61" i="3"/>
  <c r="AQ69" i="3"/>
  <c r="AQ76" i="3"/>
  <c r="P26" i="3"/>
  <c r="P24" i="3"/>
  <c r="P54" i="3"/>
  <c r="P68" i="3"/>
  <c r="P84" i="3"/>
  <c r="AL6" i="3"/>
  <c r="AL26" i="3"/>
  <c r="AL64" i="3"/>
  <c r="AL74" i="3"/>
  <c r="AL79" i="3"/>
  <c r="AO24" i="3"/>
  <c r="AO31" i="3"/>
  <c r="AO84" i="3"/>
  <c r="AO68" i="3"/>
  <c r="AO97" i="3"/>
  <c r="S7" i="3"/>
  <c r="S27" i="3"/>
  <c r="S74" i="3"/>
  <c r="S77" i="3"/>
  <c r="S96" i="3"/>
  <c r="O20" i="3"/>
  <c r="O30" i="3"/>
  <c r="O68" i="3"/>
  <c r="O84" i="3"/>
  <c r="O93" i="3"/>
  <c r="AS22" i="3"/>
  <c r="AS31" i="3"/>
  <c r="AS89" i="3"/>
  <c r="AS75" i="3"/>
  <c r="AS92" i="3"/>
  <c r="AP21" i="3"/>
  <c r="AP27" i="3"/>
  <c r="AP67" i="3"/>
  <c r="AP88" i="3"/>
  <c r="AP92" i="3"/>
  <c r="AC20" i="3"/>
  <c r="AC32" i="3"/>
  <c r="AC70" i="3"/>
  <c r="AC69" i="3"/>
  <c r="AA56" i="3"/>
  <c r="H45" i="3"/>
  <c r="AF39" i="3"/>
  <c r="M11" i="3"/>
  <c r="AM37" i="3"/>
  <c r="G11" i="3"/>
  <c r="AF51" i="3"/>
  <c r="M35" i="3"/>
  <c r="AA51" i="3"/>
  <c r="H49" i="3"/>
  <c r="X44" i="3"/>
  <c r="L35" i="3"/>
  <c r="S39" i="3"/>
  <c r="AC44" i="3"/>
  <c r="U43" i="3"/>
  <c r="AF16" i="3"/>
  <c r="AB85" i="3"/>
  <c r="Z26" i="3"/>
  <c r="Z27" i="3"/>
  <c r="Z81" i="3"/>
  <c r="Z90" i="3"/>
  <c r="Z96" i="3"/>
  <c r="AH23" i="3"/>
  <c r="AH31" i="3"/>
  <c r="AH84" i="3"/>
  <c r="AH70" i="3"/>
  <c r="AH94" i="3"/>
  <c r="AL52" i="3"/>
  <c r="R86" i="3"/>
  <c r="AA42" i="3"/>
  <c r="AE86" i="3"/>
  <c r="H20" i="3"/>
  <c r="H63" i="3"/>
  <c r="H79" i="3"/>
  <c r="H74" i="3"/>
  <c r="H92" i="3"/>
  <c r="AI8" i="3"/>
  <c r="AI46" i="3"/>
  <c r="AI84" i="3"/>
  <c r="AI68" i="3"/>
  <c r="AI95" i="3"/>
  <c r="Q43" i="3"/>
  <c r="P16" i="3"/>
  <c r="AR58" i="3"/>
  <c r="N59" i="3"/>
  <c r="AG87" i="3"/>
  <c r="X58" i="3"/>
  <c r="Y16" i="3"/>
  <c r="Z14" i="3"/>
  <c r="Q50" i="3"/>
  <c r="P35" i="3"/>
  <c r="I59" i="3"/>
  <c r="AO59" i="3"/>
  <c r="V35" i="3"/>
  <c r="AG40" i="3"/>
  <c r="W58" i="3"/>
  <c r="AR45" i="3"/>
  <c r="N36" i="3"/>
  <c r="Y4" i="3"/>
  <c r="Y61" i="3"/>
  <c r="Y79" i="3"/>
  <c r="Y78" i="3"/>
  <c r="AQ26" i="3"/>
  <c r="AQ25" i="3"/>
  <c r="AQ54" i="3"/>
  <c r="AQ71" i="3"/>
  <c r="AQ92" i="3"/>
  <c r="P7" i="3"/>
  <c r="P27" i="3"/>
  <c r="P64" i="3"/>
  <c r="P70" i="3"/>
  <c r="P90" i="3"/>
  <c r="AL8" i="3"/>
  <c r="AL30" i="3"/>
  <c r="AL63" i="3"/>
  <c r="AL78" i="3"/>
  <c r="AL91" i="3"/>
  <c r="AO26" i="3"/>
  <c r="AO33" i="3"/>
  <c r="AO69" i="3"/>
  <c r="AO70" i="3"/>
  <c r="AO91" i="3"/>
  <c r="S21" i="3"/>
  <c r="S31" i="3"/>
  <c r="S78" i="3"/>
  <c r="S79" i="3"/>
  <c r="S94" i="3"/>
  <c r="O25" i="3"/>
  <c r="O28" i="3"/>
  <c r="O70" i="3"/>
  <c r="O90" i="3"/>
  <c r="O95" i="3"/>
  <c r="AS26" i="3"/>
  <c r="AS33" i="3"/>
  <c r="AS72" i="3"/>
  <c r="AS77" i="3"/>
  <c r="AS96" i="3"/>
  <c r="AP23" i="3"/>
  <c r="AP31" i="3"/>
  <c r="AP81" i="3"/>
  <c r="AP68" i="3"/>
  <c r="AP96" i="3"/>
  <c r="AC4" i="3"/>
  <c r="AC27" i="3"/>
  <c r="AC76" i="3"/>
  <c r="AC71" i="3"/>
  <c r="AC90" i="3"/>
  <c r="W25" i="3"/>
  <c r="W28" i="3"/>
  <c r="W70" i="3"/>
  <c r="W69" i="3"/>
  <c r="W90" i="3"/>
  <c r="AD14" i="3"/>
  <c r="AL86" i="3"/>
  <c r="AA16" i="3"/>
  <c r="K34" i="3"/>
  <c r="AJ23" i="3"/>
  <c r="AJ33" i="3"/>
  <c r="AJ67" i="3"/>
  <c r="V86" i="3"/>
  <c r="AG44" i="3"/>
  <c r="AI36" i="3"/>
  <c r="R11" i="3"/>
  <c r="Q16" i="3"/>
  <c r="P10" i="3"/>
  <c r="AI50" i="3"/>
  <c r="R40" i="3"/>
  <c r="V87" i="3"/>
  <c r="AG53" i="3"/>
  <c r="W44" i="3"/>
  <c r="AR36" i="3"/>
  <c r="N14" i="3"/>
  <c r="AN43" i="3"/>
  <c r="O52" i="3"/>
  <c r="AI18" i="3"/>
  <c r="AO60" i="3"/>
  <c r="Z23" i="3"/>
  <c r="Z31" i="3"/>
  <c r="Z84" i="3"/>
  <c r="Z68" i="3"/>
  <c r="Z94" i="3"/>
  <c r="AH6" i="3"/>
  <c r="AH33" i="3"/>
  <c r="AH69" i="3"/>
  <c r="AH76" i="3"/>
  <c r="AH97" i="3"/>
  <c r="O86" i="3"/>
  <c r="AI11" i="3"/>
  <c r="AQ85" i="3"/>
  <c r="AR10" i="3"/>
  <c r="H25" i="3"/>
  <c r="H46" i="3"/>
  <c r="H66" i="3"/>
  <c r="H78" i="3"/>
  <c r="H96" i="3"/>
  <c r="AI20" i="3"/>
  <c r="AI61" i="3"/>
  <c r="AI69" i="3"/>
  <c r="AI70" i="3"/>
  <c r="AA39" i="3"/>
  <c r="L43" i="3"/>
  <c r="S13" i="3"/>
  <c r="T56" i="3"/>
  <c r="V44" i="3"/>
  <c r="AB87" i="3"/>
  <c r="AA17" i="3"/>
  <c r="H12" i="3"/>
  <c r="K11" i="3"/>
  <c r="L10" i="3"/>
  <c r="S12" i="3"/>
  <c r="AD44" i="3"/>
  <c r="AJ57" i="3"/>
  <c r="AE42" i="3"/>
  <c r="AB13" i="3"/>
  <c r="AP52" i="3"/>
  <c r="T16" i="3"/>
  <c r="Y7" i="3"/>
  <c r="Y22" i="3"/>
  <c r="Y54" i="3"/>
  <c r="Y66" i="3"/>
  <c r="Y67" i="3"/>
  <c r="AQ4" i="3"/>
  <c r="AQ28" i="3"/>
  <c r="AQ64" i="3"/>
  <c r="AQ73" i="3"/>
  <c r="AQ83" i="3"/>
  <c r="P21" i="3"/>
  <c r="P31" i="3"/>
  <c r="P69" i="3"/>
  <c r="P76" i="3"/>
  <c r="P94" i="3"/>
  <c r="AL20" i="3"/>
  <c r="AL28" i="3"/>
  <c r="AL93" i="3"/>
  <c r="AL67" i="3"/>
  <c r="AL88" i="3"/>
  <c r="AO23" i="3"/>
  <c r="AO30" i="3"/>
  <c r="AO71" i="3"/>
  <c r="AO76" i="3"/>
  <c r="AO93" i="3"/>
  <c r="S26" i="3"/>
  <c r="S33" i="3"/>
  <c r="S67" i="3"/>
  <c r="S92" i="3"/>
  <c r="S97" i="3"/>
  <c r="O4" i="3"/>
  <c r="O32" i="3"/>
  <c r="O76" i="3"/>
  <c r="O69" i="3"/>
  <c r="O92" i="3"/>
  <c r="AS24" i="3"/>
  <c r="AS61" i="3"/>
  <c r="AS74" i="3"/>
  <c r="AS79" i="3"/>
  <c r="AS94" i="3"/>
  <c r="AP6" i="3"/>
  <c r="AP33" i="3"/>
  <c r="AP84" i="3"/>
  <c r="AP70" i="3"/>
  <c r="AP94" i="3"/>
  <c r="AC22" i="3"/>
  <c r="AC31" i="3"/>
  <c r="AC83" i="3"/>
  <c r="AC73" i="3"/>
  <c r="AC92" i="3"/>
  <c r="W4" i="3"/>
  <c r="W32" i="3"/>
  <c r="W76" i="3"/>
  <c r="W71" i="3"/>
  <c r="W92" i="3"/>
  <c r="AG42" i="3"/>
  <c r="AO15" i="3"/>
  <c r="AD16" i="3"/>
  <c r="L39" i="3"/>
  <c r="AJ6" i="3"/>
  <c r="AJ54" i="3"/>
  <c r="AJ81" i="3"/>
  <c r="AJ68" i="3"/>
  <c r="AJ95" i="3"/>
  <c r="Q52" i="3"/>
  <c r="P39" i="3"/>
  <c r="Y15" i="3"/>
  <c r="N57" i="3"/>
  <c r="J13" i="3"/>
  <c r="X43" i="3"/>
  <c r="AE43" i="3"/>
  <c r="AB40" i="3"/>
  <c r="AC18" i="3"/>
  <c r="AJ60" i="3"/>
  <c r="L11" i="3"/>
  <c r="AH87" i="3"/>
  <c r="AC38" i="3"/>
  <c r="U17" i="3"/>
  <c r="AE17" i="3"/>
  <c r="AB37" i="3"/>
  <c r="AP12" i="3"/>
  <c r="T18" i="3"/>
  <c r="X15" i="3"/>
  <c r="AQ59" i="3"/>
  <c r="AH35" i="3"/>
  <c r="AD85" i="3"/>
  <c r="AJ42" i="3"/>
  <c r="Z6" i="3"/>
  <c r="Z33" i="3"/>
  <c r="Z69" i="3"/>
  <c r="Z70" i="3"/>
  <c r="Z97" i="3"/>
  <c r="AH8" i="3"/>
  <c r="AH54" i="3"/>
  <c r="AH71" i="3"/>
  <c r="AH83" i="3"/>
  <c r="AH91" i="3"/>
  <c r="AS52" i="3"/>
  <c r="F13" i="3"/>
  <c r="U53" i="3"/>
  <c r="G42" i="3"/>
  <c r="H4" i="3"/>
  <c r="H61" i="3"/>
  <c r="H88" i="3"/>
  <c r="H67" i="3"/>
  <c r="AI4" i="3"/>
  <c r="AI25" i="3"/>
  <c r="AI54" i="3"/>
  <c r="AI71" i="3"/>
  <c r="AI76" i="3"/>
  <c r="W18" i="3"/>
  <c r="AR18" i="3"/>
  <c r="AK53" i="3"/>
  <c r="F50" i="3"/>
  <c r="I87" i="3"/>
  <c r="AO52" i="3"/>
  <c r="V11" i="3"/>
  <c r="F58" i="3"/>
  <c r="W37" i="3"/>
  <c r="AR14" i="3"/>
  <c r="N17" i="3"/>
  <c r="AM59" i="3"/>
  <c r="G53" i="3"/>
  <c r="I50" i="3"/>
  <c r="AO13" i="3"/>
  <c r="AS59" i="3"/>
  <c r="F36" i="3"/>
  <c r="Y21" i="3"/>
  <c r="Y27" i="3"/>
  <c r="Y64" i="3"/>
  <c r="Y88" i="3"/>
  <c r="Y81" i="3"/>
  <c r="AQ22" i="3"/>
  <c r="AQ32" i="3"/>
  <c r="AQ72" i="3"/>
  <c r="AQ75" i="3"/>
  <c r="AQ89" i="3"/>
  <c r="P23" i="3"/>
  <c r="P33" i="3"/>
  <c r="P71" i="3"/>
  <c r="P83" i="3"/>
  <c r="P97" i="3"/>
  <c r="AL23" i="3"/>
  <c r="AL32" i="3"/>
  <c r="AL68" i="3"/>
  <c r="AL81" i="3"/>
  <c r="AL95" i="3"/>
  <c r="AO6" i="3"/>
  <c r="AO28" i="3"/>
  <c r="AO73" i="3"/>
  <c r="AO83" i="3"/>
  <c r="AO95" i="3"/>
  <c r="S23" i="3"/>
  <c r="S30" i="3"/>
  <c r="S81" i="3"/>
  <c r="S66" i="3"/>
  <c r="S91" i="3"/>
  <c r="O22" i="3"/>
  <c r="O63" i="3"/>
  <c r="O83" i="3"/>
  <c r="O71" i="3"/>
  <c r="O96" i="3"/>
  <c r="AS7" i="3"/>
  <c r="AS54" i="3"/>
  <c r="AS78" i="3"/>
  <c r="AS64" i="3"/>
  <c r="AS97" i="3"/>
  <c r="AP8" i="3"/>
  <c r="AP26" i="3"/>
  <c r="AP69" i="3"/>
  <c r="AP76" i="3"/>
  <c r="AP97" i="3"/>
  <c r="AC24" i="3"/>
  <c r="AC33" i="3"/>
  <c r="AC89" i="3"/>
  <c r="AC75" i="3"/>
  <c r="AC96" i="3"/>
  <c r="I86" i="3"/>
  <c r="AO35" i="3"/>
  <c r="AN10" i="3"/>
  <c r="G58" i="3"/>
  <c r="AR12" i="3"/>
  <c r="AK52" i="3"/>
  <c r="AN41" i="3"/>
  <c r="O14" i="3"/>
  <c r="I34" i="3"/>
  <c r="AO39" i="3"/>
  <c r="AS17" i="3"/>
  <c r="F14" i="3"/>
  <c r="K45" i="3"/>
  <c r="AL38" i="3"/>
  <c r="AK13" i="3"/>
  <c r="AM56" i="3"/>
  <c r="G45" i="3"/>
  <c r="Z8" i="3"/>
  <c r="Z54" i="3"/>
  <c r="Z71" i="3"/>
  <c r="Z76" i="3"/>
  <c r="Z91" i="3"/>
  <c r="AH20" i="3"/>
  <c r="AH30" i="3"/>
  <c r="AH73" i="3"/>
  <c r="AH89" i="3"/>
  <c r="AH93" i="3"/>
  <c r="T53" i="3"/>
  <c r="S17" i="3"/>
  <c r="X86" i="3"/>
  <c r="H26" i="3"/>
  <c r="H22" i="3"/>
  <c r="H54" i="3"/>
  <c r="H90" i="3"/>
  <c r="H81" i="3"/>
  <c r="AI22" i="3"/>
  <c r="AI28" i="3"/>
  <c r="AI64" i="3"/>
  <c r="AI73" i="3"/>
  <c r="AI83" i="3"/>
  <c r="AP40" i="3"/>
  <c r="T11" i="3"/>
  <c r="Z59" i="3"/>
  <c r="J18" i="3"/>
  <c r="AD50" i="3"/>
  <c r="AJ56" i="3"/>
  <c r="AE15" i="3"/>
  <c r="J51" i="3"/>
  <c r="AP16" i="3"/>
  <c r="Y59" i="3"/>
  <c r="Z86" i="3"/>
  <c r="Q45" i="3"/>
  <c r="P49" i="3"/>
  <c r="AD11" i="3"/>
  <c r="R87" i="3"/>
  <c r="K85" i="3"/>
  <c r="J36" i="3"/>
  <c r="Y24" i="3"/>
  <c r="Y31" i="3"/>
  <c r="Y84" i="3"/>
  <c r="Y68" i="3"/>
  <c r="Y97" i="3"/>
  <c r="AQ24" i="3"/>
  <c r="AQ27" i="3"/>
  <c r="AQ74" i="3"/>
  <c r="AQ77" i="3"/>
  <c r="AQ96" i="3"/>
  <c r="P6" i="3"/>
  <c r="P30" i="3"/>
  <c r="P73" i="3"/>
  <c r="P89" i="3"/>
  <c r="P91" i="3"/>
  <c r="AL25" i="3"/>
  <c r="AL31" i="3"/>
  <c r="AL70" i="3"/>
  <c r="AL84" i="3"/>
  <c r="AL92" i="3"/>
  <c r="AO8" i="3"/>
  <c r="AO32" i="3"/>
  <c r="AO75" i="3"/>
  <c r="AO89" i="3"/>
  <c r="AO90" i="3"/>
  <c r="S6" i="3"/>
  <c r="S63" i="3"/>
  <c r="S90" i="3"/>
  <c r="S88" i="3"/>
  <c r="S93" i="3"/>
  <c r="O24" i="3"/>
  <c r="O46" i="3"/>
  <c r="O89" i="3"/>
  <c r="O73" i="3"/>
  <c r="O94" i="3"/>
  <c r="AS21" i="3"/>
  <c r="AS63" i="3"/>
  <c r="AS67" i="3"/>
  <c r="AS66" i="3"/>
  <c r="F45" i="3"/>
  <c r="AP20" i="3"/>
  <c r="AP30" i="3"/>
  <c r="AP71" i="3"/>
  <c r="AP83" i="3"/>
  <c r="AP91" i="3"/>
  <c r="AC7" i="3"/>
  <c r="AC61" i="3"/>
  <c r="AC72" i="3"/>
  <c r="AC77" i="3"/>
  <c r="AC94" i="3"/>
  <c r="W24" i="3"/>
  <c r="W46" i="3"/>
  <c r="W89" i="3"/>
  <c r="W75" i="3"/>
  <c r="W94" i="3"/>
  <c r="AI41" i="3"/>
  <c r="AR87" i="3"/>
  <c r="AK56" i="3"/>
  <c r="AJ22" i="3"/>
  <c r="AJ20" i="3"/>
  <c r="AJ63" i="3"/>
  <c r="AJ69" i="3"/>
  <c r="AJ76" i="3"/>
  <c r="W49" i="3"/>
  <c r="AR51" i="3"/>
  <c r="N13" i="3"/>
  <c r="F53" i="3"/>
  <c r="AI13" i="3"/>
  <c r="AO87" i="3"/>
  <c r="V36" i="3"/>
  <c r="AD42" i="3"/>
  <c r="AJ15" i="3"/>
  <c r="Q57" i="3"/>
  <c r="P51" i="3"/>
  <c r="Y58" i="3"/>
  <c r="Z41" i="3"/>
  <c r="AQ12" i="3"/>
  <c r="AM44" i="3"/>
  <c r="G12" i="3"/>
  <c r="L53" i="3"/>
  <c r="S53" i="3"/>
  <c r="H42" i="3"/>
  <c r="AA59" i="3"/>
  <c r="AL12" i="3"/>
  <c r="S51" i="3"/>
  <c r="AM11" i="3"/>
  <c r="G18" i="3"/>
  <c r="AE58" i="3"/>
  <c r="AB57" i="3"/>
  <c r="AA35" i="3"/>
  <c r="H11" i="3"/>
  <c r="W35" i="3"/>
  <c r="L44" i="3"/>
  <c r="S36" i="3"/>
  <c r="Z25" i="3"/>
  <c r="Z63" i="3"/>
  <c r="Z75" i="3"/>
  <c r="Z89" i="3"/>
  <c r="Z95" i="3"/>
  <c r="AH4" i="3"/>
  <c r="AH46" i="3"/>
  <c r="AH77" i="3"/>
  <c r="AH74" i="3"/>
  <c r="AR38" i="3"/>
  <c r="V50" i="3"/>
  <c r="AJ18" i="3"/>
  <c r="AB41" i="3"/>
  <c r="H21" i="3"/>
  <c r="H31" i="3"/>
  <c r="H69" i="3"/>
  <c r="H70" i="3"/>
  <c r="H94" i="3"/>
  <c r="AI7" i="3"/>
  <c r="AI27" i="3"/>
  <c r="AI74" i="3"/>
  <c r="AI77" i="3"/>
  <c r="AI96" i="3"/>
  <c r="K18" i="3"/>
  <c r="AG45" i="3"/>
  <c r="AI42" i="3"/>
  <c r="R38" i="3"/>
  <c r="Q34" i="3"/>
  <c r="P38" i="3"/>
  <c r="AI43" i="3"/>
  <c r="R53" i="3"/>
  <c r="V53" i="3"/>
  <c r="AG57" i="3"/>
  <c r="W17" i="3"/>
  <c r="AR16" i="3"/>
  <c r="N39" i="3"/>
  <c r="AN87" i="3"/>
  <c r="O51" i="3"/>
  <c r="AI39" i="3"/>
  <c r="R14" i="3"/>
  <c r="Y23" i="3"/>
  <c r="Y30" i="3"/>
  <c r="Y69" i="3"/>
  <c r="Y76" i="3"/>
  <c r="Y93" i="3"/>
  <c r="AQ21" i="3"/>
  <c r="AQ33" i="3"/>
  <c r="AQ67" i="3"/>
  <c r="AQ66" i="3"/>
  <c r="AQ97" i="3"/>
  <c r="P20" i="3"/>
  <c r="P32" i="3"/>
  <c r="P77" i="3"/>
  <c r="P74" i="3"/>
  <c r="P95" i="3"/>
  <c r="AL22" i="3"/>
  <c r="AL46" i="3"/>
  <c r="AL90" i="3"/>
  <c r="AL71" i="3"/>
  <c r="AL94" i="3"/>
  <c r="AO25" i="3"/>
  <c r="AO46" i="3"/>
  <c r="AO79" i="3"/>
  <c r="AO74" i="3"/>
  <c r="AO96" i="3"/>
  <c r="S20" i="3"/>
  <c r="S61" i="3"/>
  <c r="S69" i="3"/>
  <c r="S70" i="3"/>
  <c r="O23" i="3"/>
  <c r="O21" i="3"/>
  <c r="O54" i="3"/>
  <c r="O74" i="3"/>
  <c r="O77" i="3"/>
  <c r="AS6" i="3"/>
  <c r="AS30" i="3"/>
  <c r="AS68" i="3"/>
  <c r="AS84" i="3"/>
  <c r="AS91" i="3"/>
  <c r="O13" i="3"/>
  <c r="AP4" i="3"/>
  <c r="AP63" i="3"/>
  <c r="AP75" i="3"/>
  <c r="AP72" i="3"/>
  <c r="AP95" i="3"/>
  <c r="AC26" i="3"/>
  <c r="AC64" i="3"/>
  <c r="AC78" i="3"/>
  <c r="AC66" i="3"/>
  <c r="Q18" i="3"/>
  <c r="O87" i="3"/>
  <c r="AR53" i="3"/>
  <c r="N38" i="3"/>
  <c r="AG41" i="3"/>
  <c r="X16" i="3"/>
  <c r="AR86" i="3"/>
  <c r="N45" i="3"/>
  <c r="Q10" i="3"/>
  <c r="P17" i="3"/>
  <c r="I53" i="3"/>
  <c r="AO51" i="3"/>
  <c r="V49" i="3"/>
  <c r="AG17" i="3"/>
  <c r="W40" i="3"/>
  <c r="AR44" i="3"/>
  <c r="N11" i="3"/>
  <c r="Z4" i="3"/>
  <c r="Z46" i="3"/>
  <c r="Z77" i="3"/>
  <c r="Z72" i="3"/>
  <c r="AH24" i="3"/>
  <c r="AH22" i="3"/>
  <c r="AH61" i="3"/>
  <c r="AH79" i="3"/>
  <c r="AH78" i="3"/>
  <c r="AE12" i="3"/>
  <c r="L17" i="3"/>
  <c r="Z37" i="3"/>
  <c r="Z49" i="3"/>
  <c r="H23" i="3"/>
  <c r="H33" i="3"/>
  <c r="H71" i="3"/>
  <c r="H76" i="3"/>
  <c r="H97" i="3"/>
  <c r="AI21" i="3"/>
  <c r="AI31" i="3"/>
  <c r="AI78" i="3"/>
  <c r="AI79" i="3"/>
  <c r="AI94" i="3"/>
  <c r="AE59" i="3"/>
  <c r="AB50" i="3"/>
  <c r="AC49" i="3"/>
  <c r="U13" i="3"/>
  <c r="L36" i="3"/>
  <c r="S15" i="3"/>
  <c r="AC50" i="3"/>
  <c r="U38" i="3"/>
  <c r="AE56" i="3"/>
  <c r="AB49" i="3"/>
  <c r="AP35" i="3"/>
  <c r="T40" i="3"/>
  <c r="AP18" i="3"/>
  <c r="AQ86" i="3"/>
  <c r="AH50" i="3"/>
  <c r="AC11" i="3"/>
  <c r="AJ85" i="3"/>
  <c r="Y6" i="3"/>
  <c r="Y28" i="3"/>
  <c r="Y71" i="3"/>
  <c r="Y83" i="3"/>
  <c r="Y95" i="3"/>
  <c r="AQ23" i="3"/>
  <c r="AQ30" i="3"/>
  <c r="AQ81" i="3"/>
  <c r="AQ88" i="3"/>
  <c r="AQ91" i="3"/>
  <c r="P25" i="3"/>
  <c r="P63" i="3"/>
  <c r="P79" i="3"/>
  <c r="P78" i="3"/>
  <c r="P92" i="3"/>
  <c r="AL24" i="3"/>
  <c r="AL61" i="3"/>
  <c r="AL83" i="3"/>
  <c r="AL73" i="3"/>
  <c r="AL97" i="3"/>
  <c r="AO4" i="3"/>
  <c r="AO61" i="3"/>
  <c r="AO66" i="3"/>
  <c r="AO78" i="3"/>
  <c r="S4" i="3"/>
  <c r="S25" i="3"/>
  <c r="S54" i="3"/>
  <c r="S71" i="3"/>
  <c r="S76" i="3"/>
  <c r="O26" i="3"/>
  <c r="O27" i="3"/>
  <c r="O64" i="3"/>
  <c r="O78" i="3"/>
  <c r="O79" i="3"/>
  <c r="AS8" i="3"/>
  <c r="AS28" i="3"/>
  <c r="AS70" i="3"/>
  <c r="AS69" i="3"/>
  <c r="AS93" i="3"/>
  <c r="S86" i="3"/>
  <c r="AP22" i="3"/>
  <c r="AP46" i="3"/>
  <c r="AP77" i="3"/>
  <c r="AP74" i="3"/>
  <c r="AC25" i="3"/>
  <c r="AC23" i="3"/>
  <c r="AC63" i="3"/>
  <c r="AC67" i="3"/>
  <c r="AC88" i="3"/>
  <c r="W26" i="3"/>
  <c r="W27" i="3"/>
  <c r="W64" i="3"/>
  <c r="W78" i="3"/>
  <c r="W97" i="3"/>
  <c r="AF56" i="3"/>
  <c r="AE53" i="3"/>
  <c r="AB51" i="3"/>
  <c r="G35" i="3"/>
  <c r="AJ24" i="3"/>
  <c r="AH59" i="3"/>
  <c r="AJ36" i="3"/>
  <c r="Z17" i="3"/>
  <c r="Z73" i="3"/>
  <c r="AH75" i="3"/>
  <c r="AM39" i="3"/>
  <c r="H84" i="3"/>
  <c r="AI89" i="3"/>
  <c r="AM52" i="3"/>
  <c r="H59" i="3"/>
  <c r="U56" i="3"/>
  <c r="Y94" i="3"/>
  <c r="AQ78" i="3"/>
  <c r="P75" i="3"/>
  <c r="AL76" i="3"/>
  <c r="AO77" i="3"/>
  <c r="S84" i="3"/>
  <c r="O72" i="3"/>
  <c r="AS81" i="3"/>
  <c r="AP73" i="3"/>
  <c r="AC74" i="3"/>
  <c r="W22" i="3"/>
  <c r="W88" i="3"/>
  <c r="W79" i="3"/>
  <c r="AH51" i="3"/>
  <c r="AC10" i="3"/>
  <c r="AJ25" i="3"/>
  <c r="AJ31" i="3"/>
  <c r="AJ73" i="3"/>
  <c r="AJ94" i="3"/>
  <c r="AD53" i="3"/>
  <c r="S45" i="3"/>
  <c r="M56" i="3"/>
  <c r="L37" i="3"/>
  <c r="W39" i="3"/>
  <c r="Y34" i="3"/>
  <c r="Z36" i="3"/>
  <c r="Q39" i="3"/>
  <c r="P60" i="3"/>
  <c r="AI12" i="3"/>
  <c r="R17" i="3"/>
  <c r="V85" i="3"/>
  <c r="AG39" i="3"/>
  <c r="X18" i="3"/>
  <c r="AR59" i="3"/>
  <c r="AR26" i="3"/>
  <c r="AR28" i="3"/>
  <c r="AR89" i="3"/>
  <c r="AR75" i="3"/>
  <c r="AR96" i="3"/>
  <c r="Z43" i="3"/>
  <c r="AH57" i="3"/>
  <c r="L59" i="3"/>
  <c r="AL11" i="3"/>
  <c r="AF6" i="3"/>
  <c r="AF30" i="3"/>
  <c r="AF73" i="3"/>
  <c r="AF89" i="3"/>
  <c r="AF93" i="3"/>
  <c r="AF34" i="3"/>
  <c r="M18" i="3"/>
  <c r="AC86" i="3"/>
  <c r="U42" i="3"/>
  <c r="L57" i="3"/>
  <c r="S44" i="3"/>
  <c r="AM14" i="3"/>
  <c r="U87" i="3"/>
  <c r="AF38" i="3"/>
  <c r="M37" i="3"/>
  <c r="AP85" i="3"/>
  <c r="T58" i="3"/>
  <c r="K41" i="3"/>
  <c r="L34" i="3"/>
  <c r="S16" i="3"/>
  <c r="AC59" i="3"/>
  <c r="U34" i="3"/>
  <c r="F28" i="3"/>
  <c r="F93" i="3"/>
  <c r="F68" i="3"/>
  <c r="F64" i="3"/>
  <c r="F88" i="3"/>
  <c r="AG8" i="3"/>
  <c r="AG32" i="3"/>
  <c r="AG75" i="3"/>
  <c r="AG89" i="3"/>
  <c r="AG90" i="3"/>
  <c r="L26" i="3"/>
  <c r="L33" i="3"/>
  <c r="L67" i="3"/>
  <c r="L88" i="3"/>
  <c r="L93" i="3"/>
  <c r="T27" i="3"/>
  <c r="T54" i="3"/>
  <c r="T81" i="3"/>
  <c r="T68" i="3"/>
  <c r="T95" i="3"/>
  <c r="X22" i="3"/>
  <c r="X61" i="3"/>
  <c r="X88" i="3"/>
  <c r="X67" i="3"/>
  <c r="AN7" i="3"/>
  <c r="AN27" i="3"/>
  <c r="AN54" i="3"/>
  <c r="AN68" i="3"/>
  <c r="AN84" i="3"/>
  <c r="R59" i="3"/>
  <c r="I42" i="3"/>
  <c r="AN50" i="3"/>
  <c r="AK87" i="3"/>
  <c r="AK26" i="3"/>
  <c r="AK64" i="3"/>
  <c r="AK78" i="3"/>
  <c r="AK66" i="3"/>
  <c r="X12" i="3"/>
  <c r="AL10" i="3"/>
  <c r="S49" i="3"/>
  <c r="H44" i="3"/>
  <c r="AE10" i="3"/>
  <c r="M38" i="3"/>
  <c r="AS15" i="3"/>
  <c r="H50" i="3"/>
  <c r="AA43" i="3"/>
  <c r="L85" i="3"/>
  <c r="S56" i="3"/>
  <c r="AC35" i="3"/>
  <c r="U40" i="3"/>
  <c r="AF12" i="3"/>
  <c r="T51" i="3"/>
  <c r="AH86" i="3"/>
  <c r="AP37" i="3"/>
  <c r="Z79" i="3"/>
  <c r="AH66" i="3"/>
  <c r="AI60" i="3"/>
  <c r="H91" i="3"/>
  <c r="AI97" i="3"/>
  <c r="AR34" i="3"/>
  <c r="AO86" i="3"/>
  <c r="AK49" i="3"/>
  <c r="Y73" i="3"/>
  <c r="AQ84" i="3"/>
  <c r="P66" i="3"/>
  <c r="AL89" i="3"/>
  <c r="AO88" i="3"/>
  <c r="S73" i="3"/>
  <c r="O67" i="3"/>
  <c r="AS71" i="3"/>
  <c r="AP79" i="3"/>
  <c r="AC81" i="3"/>
  <c r="W7" i="3"/>
  <c r="W68" i="3"/>
  <c r="W91" i="3"/>
  <c r="F51" i="3"/>
  <c r="J35" i="3"/>
  <c r="AJ7" i="3"/>
  <c r="AJ64" i="3"/>
  <c r="AJ75" i="3"/>
  <c r="AJ97" i="3"/>
  <c r="AM50" i="3"/>
  <c r="AP43" i="3"/>
  <c r="R39" i="3"/>
  <c r="AR41" i="3"/>
  <c r="K17" i="3"/>
  <c r="H41" i="3"/>
  <c r="W59" i="3"/>
  <c r="L38" i="3"/>
  <c r="S40" i="3"/>
  <c r="AC16" i="3"/>
  <c r="U12" i="3"/>
  <c r="AE49" i="3"/>
  <c r="AB53" i="3"/>
  <c r="AP60" i="3"/>
  <c r="T52" i="3"/>
  <c r="AR24" i="3"/>
  <c r="AR32" i="3"/>
  <c r="AR72" i="3"/>
  <c r="AR77" i="3"/>
  <c r="AR94" i="3"/>
  <c r="I14" i="3"/>
  <c r="AE44" i="3"/>
  <c r="U15" i="3"/>
  <c r="O35" i="3"/>
  <c r="AF8" i="3"/>
  <c r="AF28" i="3"/>
  <c r="AF75" i="3"/>
  <c r="AF72" i="3"/>
  <c r="AF95" i="3"/>
  <c r="AI45" i="3"/>
  <c r="R16" i="3"/>
  <c r="AN45" i="3"/>
  <c r="O17" i="3"/>
  <c r="AR50" i="3"/>
  <c r="N35" i="3"/>
  <c r="Q13" i="3"/>
  <c r="O58" i="3"/>
  <c r="AI15" i="3"/>
  <c r="R15" i="3"/>
  <c r="AS44" i="3"/>
  <c r="F85" i="3"/>
  <c r="W34" i="3"/>
  <c r="AR13" i="3"/>
  <c r="AK85" i="3"/>
  <c r="AN58" i="3"/>
  <c r="O40" i="3"/>
  <c r="F22" i="3"/>
  <c r="F32" i="3"/>
  <c r="F63" i="3"/>
  <c r="F92" i="3"/>
  <c r="AG20" i="3"/>
  <c r="AG63" i="3"/>
  <c r="AG77" i="3"/>
  <c r="AG72" i="3"/>
  <c r="AG92" i="3"/>
  <c r="L23" i="3"/>
  <c r="L54" i="3"/>
  <c r="L81" i="3"/>
  <c r="L68" i="3"/>
  <c r="L95" i="3"/>
  <c r="T6" i="3"/>
  <c r="T64" i="3"/>
  <c r="T84" i="3"/>
  <c r="T70" i="3"/>
  <c r="X26" i="3"/>
  <c r="X24" i="3"/>
  <c r="X54" i="3"/>
  <c r="X68" i="3"/>
  <c r="X81" i="3"/>
  <c r="AN21" i="3"/>
  <c r="AN31" i="3"/>
  <c r="AN64" i="3"/>
  <c r="AN70" i="3"/>
  <c r="AN94" i="3"/>
  <c r="AA50" i="3"/>
  <c r="O57" i="3"/>
  <c r="AJ17" i="3"/>
  <c r="AK25" i="3"/>
  <c r="AK23" i="3"/>
  <c r="AK63" i="3"/>
  <c r="AK67" i="3"/>
  <c r="AK88" i="3"/>
  <c r="X10" i="3"/>
  <c r="AR85" i="3"/>
  <c r="N51" i="3"/>
  <c r="AG43" i="3"/>
  <c r="AI85" i="3"/>
  <c r="R35" i="3"/>
  <c r="V52" i="3"/>
  <c r="AG52" i="3"/>
  <c r="W87" i="3"/>
  <c r="AR56" i="3"/>
  <c r="N56" i="3"/>
  <c r="AN57" i="3"/>
  <c r="AA87" i="3"/>
  <c r="V57" i="3"/>
  <c r="Q41" i="3"/>
  <c r="Z83" i="3"/>
  <c r="AH72" i="3"/>
  <c r="H7" i="3"/>
  <c r="AI24" i="3"/>
  <c r="AS13" i="3"/>
  <c r="G34" i="3"/>
  <c r="AA14" i="3"/>
  <c r="AF41" i="3"/>
  <c r="Y70" i="3"/>
  <c r="AQ79" i="3"/>
  <c r="P72" i="3"/>
  <c r="AL69" i="3"/>
  <c r="AO72" i="3"/>
  <c r="S68" i="3"/>
  <c r="O75" i="3"/>
  <c r="AS88" i="3"/>
  <c r="AP89" i="3"/>
  <c r="AC79" i="3"/>
  <c r="W21" i="3"/>
  <c r="W83" i="3"/>
  <c r="W93" i="3"/>
  <c r="S59" i="3"/>
  <c r="AG34" i="3"/>
  <c r="AJ21" i="3"/>
  <c r="AJ61" i="3"/>
  <c r="AJ77" i="3"/>
  <c r="AJ91" i="3"/>
  <c r="L51" i="3"/>
  <c r="AF87" i="3"/>
  <c r="U41" i="3"/>
  <c r="T36" i="3"/>
  <c r="AA34" i="3"/>
  <c r="AG16" i="3"/>
  <c r="W52" i="3"/>
  <c r="AR43" i="3"/>
  <c r="N18" i="3"/>
  <c r="AN12" i="3"/>
  <c r="G85" i="3"/>
  <c r="I36" i="3"/>
  <c r="AO38" i="3"/>
  <c r="AS56" i="3"/>
  <c r="J34" i="3"/>
  <c r="AR7" i="3"/>
  <c r="AR27" i="3"/>
  <c r="AR74" i="3"/>
  <c r="AR79" i="3"/>
  <c r="AR97" i="3"/>
  <c r="Y45" i="3"/>
  <c r="H39" i="3"/>
  <c r="X51" i="3"/>
  <c r="AP36" i="3"/>
  <c r="AF20" i="3"/>
  <c r="AF32" i="3"/>
  <c r="AF77" i="3"/>
  <c r="AF74" i="3"/>
  <c r="AF90" i="3"/>
  <c r="AC17" i="3"/>
  <c r="AJ58" i="3"/>
  <c r="AQ50" i="3"/>
  <c r="AH34" i="3"/>
  <c r="T45" i="3"/>
  <c r="X50" i="3"/>
  <c r="AQ56" i="3"/>
  <c r="AH49" i="3"/>
  <c r="AC12" i="3"/>
  <c r="U18" i="3"/>
  <c r="K50" i="3"/>
  <c r="J44" i="3"/>
  <c r="AP17" i="3"/>
  <c r="T12" i="3"/>
  <c r="Z51" i="3"/>
  <c r="AQ41" i="3"/>
  <c r="AH10" i="3"/>
  <c r="F77" i="3"/>
  <c r="F23" i="3"/>
  <c r="F8" i="3"/>
  <c r="F76" i="3"/>
  <c r="F96" i="3"/>
  <c r="AG25" i="3"/>
  <c r="AG46" i="3"/>
  <c r="AG79" i="3"/>
  <c r="AG74" i="3"/>
  <c r="AG96" i="3"/>
  <c r="L6" i="3"/>
  <c r="L64" i="3"/>
  <c r="L84" i="3"/>
  <c r="L70" i="3"/>
  <c r="T4" i="3"/>
  <c r="T8" i="3"/>
  <c r="T63" i="3"/>
  <c r="T69" i="3"/>
  <c r="T76" i="3"/>
  <c r="X7" i="3"/>
  <c r="X27" i="3"/>
  <c r="X64" i="3"/>
  <c r="X70" i="3"/>
  <c r="X84" i="3"/>
  <c r="AN23" i="3"/>
  <c r="AN33" i="3"/>
  <c r="AN69" i="3"/>
  <c r="AN76" i="3"/>
  <c r="AN97" i="3"/>
  <c r="AQ57" i="3"/>
  <c r="Q60" i="3"/>
  <c r="W15" i="3"/>
  <c r="AK6" i="3"/>
  <c r="AK30" i="3"/>
  <c r="AK46" i="3"/>
  <c r="AK81" i="3"/>
  <c r="AK91" i="3"/>
  <c r="AP86" i="3"/>
  <c r="T49" i="3"/>
  <c r="K49" i="3"/>
  <c r="AB34" i="3"/>
  <c r="AC36" i="3"/>
  <c r="U10" i="3"/>
  <c r="AE50" i="3"/>
  <c r="AB16" i="3"/>
  <c r="AB35" i="3"/>
  <c r="AD43" i="3"/>
  <c r="T39" i="3"/>
  <c r="Z74" i="3"/>
  <c r="AH90" i="3"/>
  <c r="H27" i="3"/>
  <c r="AI26" i="3"/>
  <c r="I60" i="3"/>
  <c r="N15" i="3"/>
  <c r="AS34" i="3"/>
  <c r="AM87" i="3"/>
  <c r="Y89" i="3"/>
  <c r="AQ68" i="3"/>
  <c r="P67" i="3"/>
  <c r="AL75" i="3"/>
  <c r="AO67" i="3"/>
  <c r="S83" i="3"/>
  <c r="O97" i="3"/>
  <c r="AS95" i="3"/>
  <c r="AP78" i="3"/>
  <c r="AC91" i="3"/>
  <c r="W31" i="3"/>
  <c r="W72" i="3"/>
  <c r="W95" i="3"/>
  <c r="AL53" i="3"/>
  <c r="V60" i="3"/>
  <c r="AJ26" i="3"/>
  <c r="AJ83" i="3"/>
  <c r="AJ79" i="3"/>
  <c r="AJ93" i="3"/>
  <c r="T41" i="3"/>
  <c r="AI59" i="3"/>
  <c r="O37" i="3"/>
  <c r="F40" i="3"/>
  <c r="AE34" i="3"/>
  <c r="AB11" i="3"/>
  <c r="AP45" i="3"/>
  <c r="T15" i="3"/>
  <c r="W11" i="3"/>
  <c r="AQ11" i="3"/>
  <c r="P57" i="3"/>
  <c r="AD18" i="3"/>
  <c r="AJ13" i="3"/>
  <c r="K44" i="3"/>
  <c r="M43" i="3"/>
  <c r="AR21" i="3"/>
  <c r="AR31" i="3"/>
  <c r="AR78" i="3"/>
  <c r="AR66" i="3"/>
  <c r="AR91" i="3"/>
  <c r="AJ11" i="3"/>
  <c r="AH41" i="3"/>
  <c r="AC53" i="3"/>
  <c r="AM40" i="3"/>
  <c r="AF25" i="3"/>
  <c r="AF63" i="3"/>
  <c r="AF79" i="3"/>
  <c r="AF78" i="3"/>
  <c r="AF92" i="3"/>
  <c r="AN13" i="3"/>
  <c r="G56" i="3"/>
  <c r="AL42" i="3"/>
  <c r="AK34" i="3"/>
  <c r="F35" i="3"/>
  <c r="AF11" i="3"/>
  <c r="AL44" i="3"/>
  <c r="AK51" i="3"/>
  <c r="AM86" i="3"/>
  <c r="G59" i="3"/>
  <c r="AF40" i="3"/>
  <c r="M40" i="3"/>
  <c r="AS14" i="3"/>
  <c r="H87" i="3"/>
  <c r="AS41" i="3"/>
  <c r="AL13" i="3"/>
  <c r="AK15" i="3"/>
  <c r="F91" i="3"/>
  <c r="F25" i="3"/>
  <c r="AA11" i="3"/>
  <c r="AG59" i="3"/>
  <c r="P34" i="3"/>
  <c r="Z93" i="3"/>
  <c r="AH95" i="3"/>
  <c r="H24" i="3"/>
  <c r="AI32" i="3"/>
  <c r="H86" i="3"/>
  <c r="AF86" i="3"/>
  <c r="L42" i="3"/>
  <c r="M16" i="3"/>
  <c r="Y91" i="3"/>
  <c r="AQ94" i="3"/>
  <c r="P93" i="3"/>
  <c r="AL96" i="3"/>
  <c r="AO92" i="3"/>
  <c r="S95" i="3"/>
  <c r="AS25" i="3"/>
  <c r="R36" i="3"/>
  <c r="AP93" i="3"/>
  <c r="AC95" i="3"/>
  <c r="W33" i="3"/>
  <c r="W74" i="3"/>
  <c r="W96" i="3"/>
  <c r="G15" i="3"/>
  <c r="AR11" i="3"/>
  <c r="AJ8" i="3"/>
  <c r="AJ89" i="3"/>
  <c r="AJ66" i="3"/>
  <c r="V16" i="3"/>
  <c r="F16" i="3"/>
  <c r="AC42" i="3"/>
  <c r="AH12" i="3"/>
  <c r="AB86" i="3"/>
  <c r="I12" i="3"/>
  <c r="M87" i="3"/>
  <c r="AS37" i="3"/>
  <c r="F12" i="3"/>
  <c r="AS16" i="3"/>
  <c r="L58" i="3"/>
  <c r="S52" i="3"/>
  <c r="AM41" i="3"/>
  <c r="G10" i="3"/>
  <c r="AF60" i="3"/>
  <c r="U14" i="3"/>
  <c r="AR23" i="3"/>
  <c r="AR33" i="3"/>
  <c r="AR67" i="3"/>
  <c r="AR88" i="3"/>
  <c r="AR93" i="3"/>
  <c r="X17" i="3"/>
  <c r="AD57" i="3"/>
  <c r="AB43" i="3"/>
  <c r="AB42" i="3"/>
  <c r="AF4" i="3"/>
  <c r="AF46" i="3"/>
  <c r="AF66" i="3"/>
  <c r="AF67" i="3"/>
  <c r="AF96" i="3"/>
  <c r="Q58" i="3"/>
  <c r="P59" i="3"/>
  <c r="Y50" i="3"/>
  <c r="Z12" i="3"/>
  <c r="J42" i="3"/>
  <c r="X87" i="3"/>
  <c r="Y51" i="3"/>
  <c r="Z34" i="3"/>
  <c r="Q51" i="3"/>
  <c r="P42" i="3"/>
  <c r="AI35" i="3"/>
  <c r="R37" i="3"/>
  <c r="V58" i="3"/>
  <c r="AG49" i="3"/>
  <c r="X40" i="3"/>
  <c r="Y18" i="3"/>
  <c r="N52" i="3"/>
  <c r="F94" i="3"/>
  <c r="F72" i="3"/>
  <c r="T59" i="3"/>
  <c r="AJ44" i="3"/>
  <c r="Z24" i="3"/>
  <c r="AH7" i="3"/>
  <c r="AL36" i="3"/>
  <c r="H30" i="3"/>
  <c r="AI33" i="3"/>
  <c r="AO44" i="3"/>
  <c r="AN52" i="3"/>
  <c r="F18" i="3"/>
  <c r="G50" i="3"/>
  <c r="Y90" i="3"/>
  <c r="AQ93" i="3"/>
  <c r="P96" i="3"/>
  <c r="AO21" i="3"/>
  <c r="S22" i="3"/>
  <c r="O6" i="3"/>
  <c r="AS20" i="3"/>
  <c r="AP24" i="3"/>
  <c r="AC6" i="3"/>
  <c r="AC97" i="3"/>
  <c r="W30" i="3"/>
  <c r="W67" i="3"/>
  <c r="AM60" i="3"/>
  <c r="AA52" i="3"/>
  <c r="AA10" i="3"/>
  <c r="AJ30" i="3"/>
  <c r="AJ72" i="3"/>
  <c r="AJ88" i="3"/>
  <c r="AP34" i="3"/>
  <c r="J11" i="3"/>
  <c r="AN36" i="3"/>
  <c r="AK12" i="3"/>
  <c r="AJ53" i="3"/>
  <c r="AD12" i="3"/>
  <c r="R57" i="3"/>
  <c r="K10" i="3"/>
  <c r="J15" i="3"/>
  <c r="W53" i="3"/>
  <c r="AR49" i="3"/>
  <c r="N85" i="3"/>
  <c r="Q17" i="3"/>
  <c r="O59" i="3"/>
  <c r="AI37" i="3"/>
  <c r="P87" i="3"/>
  <c r="AR6" i="3"/>
  <c r="AR54" i="3"/>
  <c r="AR81" i="3"/>
  <c r="AR68" i="3"/>
  <c r="AR95" i="3"/>
  <c r="AC34" i="3"/>
  <c r="J16" i="3"/>
  <c r="Z18" i="3"/>
  <c r="Z53" i="3"/>
  <c r="AF22" i="3"/>
  <c r="AF61" i="3"/>
  <c r="AF88" i="3"/>
  <c r="AF81" i="3"/>
  <c r="AE37" i="3"/>
  <c r="L49" i="3"/>
  <c r="S50" i="3"/>
  <c r="H38" i="3"/>
  <c r="V14" i="3"/>
  <c r="M13" i="3"/>
  <c r="AA85" i="3"/>
  <c r="H52" i="3"/>
  <c r="AP38" i="3"/>
  <c r="L56" i="3"/>
  <c r="S85" i="3"/>
  <c r="AC41" i="3"/>
  <c r="U49" i="3"/>
  <c r="AE60" i="3"/>
  <c r="AB45" i="3"/>
  <c r="AA15" i="3"/>
  <c r="T86" i="3"/>
  <c r="F20" i="3"/>
  <c r="F74" i="3"/>
  <c r="F21" i="3"/>
  <c r="AH14" i="3"/>
  <c r="X41" i="3"/>
  <c r="Z20" i="3"/>
  <c r="AH25" i="3"/>
  <c r="P50" i="3"/>
  <c r="H64" i="3"/>
  <c r="AI72" i="3"/>
  <c r="AF43" i="3"/>
  <c r="M58" i="3"/>
  <c r="S37" i="3"/>
  <c r="Y26" i="3"/>
  <c r="AQ7" i="3"/>
  <c r="P8" i="3"/>
  <c r="AL4" i="3"/>
  <c r="AO20" i="3"/>
  <c r="S8" i="3"/>
  <c r="O7" i="3"/>
  <c r="AS23" i="3"/>
  <c r="AP25" i="3"/>
  <c r="AC21" i="3"/>
  <c r="W23" i="3"/>
  <c r="W63" i="3"/>
  <c r="W81" i="3"/>
  <c r="X37" i="3"/>
  <c r="AF18" i="3"/>
  <c r="AQ40" i="3"/>
  <c r="AJ46" i="3"/>
  <c r="AJ74" i="3"/>
  <c r="AJ70" i="3"/>
  <c r="AS36" i="3"/>
  <c r="AB58" i="3"/>
  <c r="AQ38" i="3"/>
  <c r="AP39" i="3"/>
  <c r="G49" i="3"/>
  <c r="AC87" i="3"/>
  <c r="U44" i="3"/>
  <c r="AF10" i="3"/>
  <c r="M12" i="3"/>
  <c r="AP44" i="3"/>
  <c r="T50" i="3"/>
  <c r="AS10" i="3"/>
  <c r="L12" i="3"/>
  <c r="AH56" i="3"/>
  <c r="AC39" i="3"/>
  <c r="N40" i="3"/>
  <c r="AR8" i="3"/>
  <c r="AR64" i="3"/>
  <c r="AR84" i="3"/>
  <c r="AR70" i="3"/>
  <c r="Q86" i="3"/>
  <c r="J37" i="3"/>
  <c r="N60" i="3"/>
  <c r="AD34" i="3"/>
  <c r="AF26" i="3"/>
  <c r="AF24" i="3"/>
  <c r="AF54" i="3"/>
  <c r="AF68" i="3"/>
  <c r="AF84" i="3"/>
  <c r="W60" i="3"/>
  <c r="AR42" i="3"/>
  <c r="N41" i="3"/>
  <c r="AG15" i="3"/>
  <c r="AI40" i="3"/>
  <c r="R13" i="3"/>
  <c r="V45" i="3"/>
  <c r="AG37" i="3"/>
  <c r="W51" i="3"/>
  <c r="AR35" i="3"/>
  <c r="N43" i="3"/>
  <c r="AN37" i="3"/>
  <c r="O11" i="3"/>
  <c r="I51" i="3"/>
  <c r="AO40" i="3"/>
  <c r="V15" i="3"/>
  <c r="F86" i="3"/>
  <c r="F67" i="3"/>
  <c r="F31" i="3"/>
  <c r="F7" i="3"/>
  <c r="AS40" i="3"/>
  <c r="AE14" i="3"/>
  <c r="Z22" i="3"/>
  <c r="AH28" i="3"/>
  <c r="AJ10" i="3"/>
  <c r="H73" i="3"/>
  <c r="AI90" i="3"/>
  <c r="AN38" i="3"/>
  <c r="O18" i="3"/>
  <c r="AF36" i="3"/>
  <c r="Y8" i="3"/>
  <c r="AQ6" i="3"/>
  <c r="P4" i="3"/>
  <c r="AL7" i="3"/>
  <c r="AO22" i="3"/>
  <c r="S28" i="3"/>
  <c r="O31" i="3"/>
  <c r="AS32" i="3"/>
  <c r="AP28" i="3"/>
  <c r="AC30" i="3"/>
  <c r="W6" i="3"/>
  <c r="W61" i="3"/>
  <c r="W84" i="3"/>
  <c r="AQ37" i="3"/>
  <c r="P36" i="3"/>
  <c r="R34" i="3"/>
  <c r="AJ28" i="3"/>
  <c r="AJ78" i="3"/>
  <c r="AJ90" i="3"/>
  <c r="K36" i="3"/>
  <c r="AO53" i="3"/>
  <c r="AL34" i="3"/>
  <c r="AD58" i="3"/>
  <c r="P41" i="3"/>
  <c r="AN42" i="3"/>
  <c r="O44" i="3"/>
  <c r="I57" i="3"/>
  <c r="AO57" i="3"/>
  <c r="AS49" i="3"/>
  <c r="F43" i="3"/>
  <c r="W12" i="3"/>
  <c r="AL87" i="3"/>
  <c r="AK42" i="3"/>
  <c r="AN14" i="3"/>
  <c r="AR22" i="3"/>
  <c r="AR20" i="3"/>
  <c r="AR63" i="3"/>
  <c r="AR69" i="3"/>
  <c r="AR76" i="3"/>
  <c r="AA38" i="3"/>
  <c r="N87" i="3"/>
  <c r="AL50" i="3"/>
  <c r="AG60" i="3"/>
  <c r="AF7" i="3"/>
  <c r="AF27" i="3"/>
  <c r="AF64" i="3"/>
  <c r="AF70" i="3"/>
  <c r="AF94" i="3"/>
  <c r="AP57" i="3"/>
  <c r="T37" i="3"/>
  <c r="AS86" i="3"/>
  <c r="AB12" i="3"/>
  <c r="AC13" i="3"/>
  <c r="AJ86" i="3"/>
  <c r="AE52" i="3"/>
  <c r="AD60" i="3"/>
  <c r="Y40" i="3"/>
  <c r="Z30" i="3"/>
  <c r="AH63" i="3"/>
  <c r="AQ52" i="3"/>
  <c r="H68" i="3"/>
  <c r="AI75" i="3"/>
  <c r="M41" i="3"/>
  <c r="AS12" i="3"/>
  <c r="AM13" i="3"/>
  <c r="Y33" i="3"/>
  <c r="AQ31" i="3"/>
  <c r="P28" i="3"/>
  <c r="AL33" i="3"/>
  <c r="AO63" i="3"/>
  <c r="S46" i="3"/>
  <c r="O61" i="3"/>
  <c r="AS46" i="3"/>
  <c r="AP54" i="3"/>
  <c r="AQ87" i="3"/>
  <c r="Y32" i="3"/>
  <c r="AC46" i="3"/>
  <c r="X57" i="3"/>
  <c r="AI14" i="3"/>
  <c r="AL40" i="3"/>
  <c r="M34" i="3"/>
  <c r="AR25" i="3"/>
  <c r="AB17" i="3"/>
  <c r="AF33" i="3"/>
  <c r="J43" i="3"/>
  <c r="AD41" i="3"/>
  <c r="X49" i="3"/>
  <c r="AM36" i="3"/>
  <c r="R42" i="3"/>
  <c r="F90" i="3"/>
  <c r="F81" i="3"/>
  <c r="AG23" i="3"/>
  <c r="AG54" i="3"/>
  <c r="AG70" i="3"/>
  <c r="L4" i="3"/>
  <c r="L28" i="3"/>
  <c r="L78" i="3"/>
  <c r="L92" i="3"/>
  <c r="T26" i="3"/>
  <c r="T83" i="3"/>
  <c r="T79" i="3"/>
  <c r="X21" i="3"/>
  <c r="X28" i="3"/>
  <c r="X66" i="3"/>
  <c r="X91" i="3"/>
  <c r="AN22" i="3"/>
  <c r="AN73" i="3"/>
  <c r="AN78" i="3"/>
  <c r="G13" i="3"/>
  <c r="W85" i="3"/>
  <c r="H53" i="3"/>
  <c r="AK27" i="3"/>
  <c r="AK72" i="3"/>
  <c r="AK95" i="3"/>
  <c r="AC43" i="3"/>
  <c r="I35" i="3"/>
  <c r="O50" i="3"/>
  <c r="J39" i="3"/>
  <c r="AM34" i="3"/>
  <c r="AK58" i="3"/>
  <c r="T87" i="3"/>
  <c r="X11" i="3"/>
  <c r="AG11" i="3"/>
  <c r="AP53" i="3"/>
  <c r="F17" i="3"/>
  <c r="K16" i="3"/>
  <c r="AL35" i="3"/>
  <c r="AK10" i="3"/>
  <c r="J25" i="3"/>
  <c r="J63" i="3"/>
  <c r="J75" i="3"/>
  <c r="J89" i="3"/>
  <c r="J95" i="3"/>
  <c r="G87" i="3"/>
  <c r="R8" i="3"/>
  <c r="R54" i="3"/>
  <c r="R69" i="3"/>
  <c r="R76" i="3"/>
  <c r="R91" i="3"/>
  <c r="AG50" i="3"/>
  <c r="AO36" i="3"/>
  <c r="AD20" i="3"/>
  <c r="AD30" i="3"/>
  <c r="AD66" i="3"/>
  <c r="AD81" i="3"/>
  <c r="AD88" i="3"/>
  <c r="V12" i="3"/>
  <c r="F87" i="3"/>
  <c r="I44" i="3"/>
  <c r="AO37" i="3"/>
  <c r="AN40" i="3"/>
  <c r="O34" i="3"/>
  <c r="I58" i="3"/>
  <c r="AO49" i="3"/>
  <c r="AS53" i="3"/>
  <c r="F59" i="3"/>
  <c r="AF53" i="3"/>
  <c r="AL56" i="3"/>
  <c r="AK40" i="3"/>
  <c r="AM85" i="3"/>
  <c r="G51" i="3"/>
  <c r="I38" i="3"/>
  <c r="AO10" i="3"/>
  <c r="AE8" i="3"/>
  <c r="AE33" i="3"/>
  <c r="AE88" i="3"/>
  <c r="AE81" i="3"/>
  <c r="AE93" i="3"/>
  <c r="N25" i="3"/>
  <c r="N28" i="3"/>
  <c r="N70" i="3"/>
  <c r="N84" i="3"/>
  <c r="N95" i="3"/>
  <c r="V4" i="3"/>
  <c r="V46" i="3"/>
  <c r="V76" i="3"/>
  <c r="V84" i="3"/>
  <c r="V92" i="3"/>
  <c r="M24" i="3"/>
  <c r="M33" i="3"/>
  <c r="M89" i="3"/>
  <c r="M75" i="3"/>
  <c r="M96" i="3"/>
  <c r="AB23" i="3"/>
  <c r="AB46" i="3"/>
  <c r="AB67" i="3"/>
  <c r="AB88" i="3"/>
  <c r="AB93" i="3"/>
  <c r="K8" i="3"/>
  <c r="K46" i="3"/>
  <c r="K92" i="3"/>
  <c r="K68" i="3"/>
  <c r="K95" i="3"/>
  <c r="G7" i="3"/>
  <c r="G61" i="3"/>
  <c r="G89" i="3"/>
  <c r="G75" i="3"/>
  <c r="I7" i="3"/>
  <c r="I4" i="3"/>
  <c r="I54" i="3"/>
  <c r="I66" i="3"/>
  <c r="J87" i="3"/>
  <c r="AQ63" i="3"/>
  <c r="W8" i="3"/>
  <c r="AJ35" i="3"/>
  <c r="AJ50" i="3"/>
  <c r="AH18" i="3"/>
  <c r="X56" i="3"/>
  <c r="AR30" i="3"/>
  <c r="I43" i="3"/>
  <c r="AF69" i="3"/>
  <c r="I10" i="3"/>
  <c r="AB39" i="3"/>
  <c r="V59" i="3"/>
  <c r="Q35" i="3"/>
  <c r="F66" i="3"/>
  <c r="F6" i="3"/>
  <c r="F84" i="3"/>
  <c r="AG6" i="3"/>
  <c r="AG64" i="3"/>
  <c r="AG76" i="3"/>
  <c r="L22" i="3"/>
  <c r="L32" i="3"/>
  <c r="L69" i="3"/>
  <c r="L96" i="3"/>
  <c r="T23" i="3"/>
  <c r="T89" i="3"/>
  <c r="T66" i="3"/>
  <c r="X23" i="3"/>
  <c r="X32" i="3"/>
  <c r="X76" i="3"/>
  <c r="X93" i="3"/>
  <c r="AN24" i="3"/>
  <c r="AN75" i="3"/>
  <c r="AN67" i="3"/>
  <c r="AP87" i="3"/>
  <c r="AN16" i="3"/>
  <c r="AK8" i="3"/>
  <c r="AK31" i="3"/>
  <c r="AK74" i="3"/>
  <c r="AK90" i="3"/>
  <c r="AN11" i="3"/>
  <c r="AD86" i="3"/>
  <c r="AH52" i="3"/>
  <c r="O12" i="3"/>
  <c r="Q38" i="3"/>
  <c r="Z52" i="3"/>
  <c r="F42" i="3"/>
  <c r="AA13" i="3"/>
  <c r="J85" i="3"/>
  <c r="AS39" i="3"/>
  <c r="AG85" i="3"/>
  <c r="X36" i="3"/>
  <c r="Y42" i="3"/>
  <c r="Z10" i="3"/>
  <c r="J4" i="3"/>
  <c r="J46" i="3"/>
  <c r="J77" i="3"/>
  <c r="J72" i="3"/>
  <c r="T38" i="3"/>
  <c r="AP14" i="3"/>
  <c r="R20" i="3"/>
  <c r="R30" i="3"/>
  <c r="R71" i="3"/>
  <c r="R83" i="3"/>
  <c r="R93" i="3"/>
  <c r="AK43" i="3"/>
  <c r="V51" i="3"/>
  <c r="AD23" i="3"/>
  <c r="AD28" i="3"/>
  <c r="AD68" i="3"/>
  <c r="AD84" i="3"/>
  <c r="AD93" i="3"/>
  <c r="K57" i="3"/>
  <c r="J57" i="3"/>
  <c r="AD49" i="3"/>
  <c r="AJ34" i="3"/>
  <c r="AQ45" i="3"/>
  <c r="AH16" i="3"/>
  <c r="AD56" i="3"/>
  <c r="AJ16" i="3"/>
  <c r="K51" i="3"/>
  <c r="J59" i="3"/>
  <c r="X39" i="3"/>
  <c r="Y36" i="3"/>
  <c r="Z38" i="3"/>
  <c r="Q56" i="3"/>
  <c r="P85" i="3"/>
  <c r="AD17" i="3"/>
  <c r="R60" i="3"/>
  <c r="AE20" i="3"/>
  <c r="AE30" i="3"/>
  <c r="AE68" i="3"/>
  <c r="AE84" i="3"/>
  <c r="AE95" i="3"/>
  <c r="N4" i="3"/>
  <c r="N32" i="3"/>
  <c r="N76" i="3"/>
  <c r="N90" i="3"/>
  <c r="N92" i="3"/>
  <c r="V22" i="3"/>
  <c r="V31" i="3"/>
  <c r="V83" i="3"/>
  <c r="V69" i="3"/>
  <c r="V96" i="3"/>
  <c r="M7" i="3"/>
  <c r="M61" i="3"/>
  <c r="M72" i="3"/>
  <c r="M77" i="3"/>
  <c r="M94" i="3"/>
  <c r="AB6" i="3"/>
  <c r="AB54" i="3"/>
  <c r="AB81" i="3"/>
  <c r="AB68" i="3"/>
  <c r="AB95" i="3"/>
  <c r="K20" i="3"/>
  <c r="K61" i="3"/>
  <c r="K69" i="3"/>
  <c r="K70" i="3"/>
  <c r="G23" i="3"/>
  <c r="G21" i="3"/>
  <c r="G66" i="3"/>
  <c r="G72" i="3"/>
  <c r="G77" i="3"/>
  <c r="I21" i="3"/>
  <c r="I22" i="3"/>
  <c r="I64" i="3"/>
  <c r="I88" i="3"/>
  <c r="Z61" i="3"/>
  <c r="P46" i="3"/>
  <c r="W20" i="3"/>
  <c r="AJ4" i="3"/>
  <c r="G17" i="3"/>
  <c r="AK39" i="3"/>
  <c r="AA60" i="3"/>
  <c r="AR46" i="3"/>
  <c r="H51" i="3"/>
  <c r="AF71" i="3"/>
  <c r="AD10" i="3"/>
  <c r="AO12" i="3"/>
  <c r="X13" i="3"/>
  <c r="AJ38" i="3"/>
  <c r="F4" i="3"/>
  <c r="F75" i="3"/>
  <c r="AG4" i="3"/>
  <c r="AG84" i="3"/>
  <c r="AG83" i="3"/>
  <c r="L25" i="3"/>
  <c r="L46" i="3"/>
  <c r="L71" i="3"/>
  <c r="L94" i="3"/>
  <c r="T20" i="3"/>
  <c r="T72" i="3"/>
  <c r="T88" i="3"/>
  <c r="X6" i="3"/>
  <c r="X63" i="3"/>
  <c r="X90" i="3"/>
  <c r="X95" i="3"/>
  <c r="AN26" i="3"/>
  <c r="AN77" i="3"/>
  <c r="AN81" i="3"/>
  <c r="AQ13" i="3"/>
  <c r="R10" i="3"/>
  <c r="AK20" i="3"/>
  <c r="AK33" i="3"/>
  <c r="AK84" i="3"/>
  <c r="AK92" i="3"/>
  <c r="AQ18" i="3"/>
  <c r="AM16" i="3"/>
  <c r="AK41" i="3"/>
  <c r="P56" i="3"/>
  <c r="L13" i="3"/>
  <c r="AP59" i="3"/>
  <c r="J58" i="3"/>
  <c r="V10" i="3"/>
  <c r="M57" i="3"/>
  <c r="K12" i="3"/>
  <c r="AB59" i="3"/>
  <c r="AA45" i="3"/>
  <c r="H16" i="3"/>
  <c r="J24" i="3"/>
  <c r="J22" i="3"/>
  <c r="J61" i="3"/>
  <c r="J79" i="3"/>
  <c r="J74" i="3"/>
  <c r="V13" i="3"/>
  <c r="Q12" i="3"/>
  <c r="R25" i="3"/>
  <c r="R63" i="3"/>
  <c r="R73" i="3"/>
  <c r="R89" i="3"/>
  <c r="R95" i="3"/>
  <c r="K42" i="3"/>
  <c r="AC51" i="3"/>
  <c r="AD27" i="3"/>
  <c r="AD32" i="3"/>
  <c r="AD70" i="3"/>
  <c r="AD91" i="3"/>
  <c r="AD95" i="3"/>
  <c r="AF50" i="3"/>
  <c r="M45" i="3"/>
  <c r="AM45" i="3"/>
  <c r="G14" i="3"/>
  <c r="AL18" i="3"/>
  <c r="AK18" i="3"/>
  <c r="AM49" i="3"/>
  <c r="G52" i="3"/>
  <c r="AF58" i="3"/>
  <c r="M50" i="3"/>
  <c r="AA40" i="3"/>
  <c r="H58" i="3"/>
  <c r="AP10" i="3"/>
  <c r="L50" i="3"/>
  <c r="S34" i="3"/>
  <c r="AM10" i="3"/>
  <c r="U58" i="3"/>
  <c r="AE25" i="3"/>
  <c r="AE28" i="3"/>
  <c r="AE70" i="3"/>
  <c r="AE69" i="3"/>
  <c r="AE90" i="3"/>
  <c r="N22" i="3"/>
  <c r="N31" i="3"/>
  <c r="N83" i="3"/>
  <c r="N93" i="3"/>
  <c r="N96" i="3"/>
  <c r="V24" i="3"/>
  <c r="V33" i="3"/>
  <c r="V89" i="3"/>
  <c r="V71" i="3"/>
  <c r="V94" i="3"/>
  <c r="M21" i="3"/>
  <c r="M54" i="3"/>
  <c r="M74" i="3"/>
  <c r="M79" i="3"/>
  <c r="M97" i="3"/>
  <c r="AB8" i="3"/>
  <c r="AB64" i="3"/>
  <c r="AB84" i="3"/>
  <c r="AB70" i="3"/>
  <c r="K4" i="3"/>
  <c r="K25" i="3"/>
  <c r="K54" i="3"/>
  <c r="K71" i="3"/>
  <c r="K76" i="3"/>
  <c r="G26" i="3"/>
  <c r="G27" i="3"/>
  <c r="AH64" i="3"/>
  <c r="AL66" i="3"/>
  <c r="W54" i="3"/>
  <c r="AJ32" i="3"/>
  <c r="H10" i="3"/>
  <c r="AD87" i="3"/>
  <c r="Y60" i="3"/>
  <c r="AR61" i="3"/>
  <c r="AH53" i="3"/>
  <c r="AF76" i="3"/>
  <c r="M86" i="3"/>
  <c r="AJ14" i="3"/>
  <c r="AQ36" i="3"/>
  <c r="G41" i="3"/>
  <c r="F27" i="3"/>
  <c r="F46" i="3"/>
  <c r="F79" i="3"/>
  <c r="AG22" i="3"/>
  <c r="AG69" i="3"/>
  <c r="AG78" i="3"/>
  <c r="L24" i="3"/>
  <c r="L31" i="3"/>
  <c r="L73" i="3"/>
  <c r="L97" i="3"/>
  <c r="T30" i="3"/>
  <c r="T74" i="3"/>
  <c r="T90" i="3"/>
  <c r="X8" i="3"/>
  <c r="X46" i="3"/>
  <c r="X83" i="3"/>
  <c r="X92" i="3"/>
  <c r="AN30" i="3"/>
  <c r="AN79" i="3"/>
  <c r="AN91" i="3"/>
  <c r="U16" i="3"/>
  <c r="AF59" i="3"/>
  <c r="AK4" i="3"/>
  <c r="AK61" i="3"/>
  <c r="AK69" i="3"/>
  <c r="AK96" i="3"/>
  <c r="F60" i="3"/>
  <c r="AN56" i="3"/>
  <c r="Z45" i="3"/>
  <c r="S58" i="3"/>
  <c r="AR17" i="3"/>
  <c r="AS57" i="3"/>
  <c r="M49" i="3"/>
  <c r="K60" i="3"/>
  <c r="R41" i="3"/>
  <c r="I85" i="3"/>
  <c r="AO45" i="3"/>
  <c r="V34" i="3"/>
  <c r="AG13" i="3"/>
  <c r="J7" i="3"/>
  <c r="J28" i="3"/>
  <c r="J64" i="3"/>
  <c r="J66" i="3"/>
  <c r="J78" i="3"/>
  <c r="H17" i="3"/>
  <c r="AO42" i="3"/>
  <c r="R4" i="3"/>
  <c r="R46" i="3"/>
  <c r="R75" i="3"/>
  <c r="R72" i="3"/>
  <c r="X42" i="3"/>
  <c r="AR52" i="3"/>
  <c r="J41" i="3"/>
  <c r="AD25" i="3"/>
  <c r="AD31" i="3"/>
  <c r="AD76" i="3"/>
  <c r="AD69" i="3"/>
  <c r="AD92" i="3"/>
  <c r="AI53" i="3"/>
  <c r="AI17" i="3"/>
  <c r="AO54" i="3"/>
  <c r="W66" i="3"/>
  <c r="AJ27" i="3"/>
  <c r="J49" i="3"/>
  <c r="AM57" i="3"/>
  <c r="H43" i="3"/>
  <c r="AR83" i="3"/>
  <c r="AF44" i="3"/>
  <c r="AF83" i="3"/>
  <c r="R58" i="3"/>
  <c r="AP58" i="3"/>
  <c r="AL17" i="3"/>
  <c r="P18" i="3"/>
  <c r="F30" i="3"/>
  <c r="F95" i="3"/>
  <c r="AG27" i="3"/>
  <c r="AG71" i="3"/>
  <c r="AG67" i="3"/>
  <c r="L7" i="3"/>
  <c r="L63" i="3"/>
  <c r="L75" i="3"/>
  <c r="L91" i="3"/>
  <c r="T28" i="3"/>
  <c r="T78" i="3"/>
  <c r="T92" i="3"/>
  <c r="X20" i="3"/>
  <c r="X69" i="3"/>
  <c r="X89" i="3"/>
  <c r="X96" i="3"/>
  <c r="AN28" i="3"/>
  <c r="AN66" i="3"/>
  <c r="AN93" i="3"/>
  <c r="AA86" i="3"/>
  <c r="Q53" i="3"/>
  <c r="AK22" i="3"/>
  <c r="AK54" i="3"/>
  <c r="AK71" i="3"/>
  <c r="AK94" i="3"/>
  <c r="J45" i="3"/>
  <c r="AQ60" i="3"/>
  <c r="AN35" i="3"/>
  <c r="N86" i="3"/>
  <c r="Y57" i="3"/>
  <c r="K86" i="3"/>
  <c r="R43" i="3"/>
  <c r="AF45" i="3"/>
  <c r="O42" i="3"/>
  <c r="AD52" i="3"/>
  <c r="AJ45" i="3"/>
  <c r="AE11" i="3"/>
  <c r="J60" i="3"/>
  <c r="J21" i="3"/>
  <c r="J32" i="3"/>
  <c r="J67" i="3"/>
  <c r="J88" i="3"/>
  <c r="J92" i="3"/>
  <c r="AH39" i="3"/>
  <c r="R24" i="3"/>
  <c r="R22" i="3"/>
  <c r="R61" i="3"/>
  <c r="R77" i="3"/>
  <c r="R74" i="3"/>
  <c r="AM15" i="3"/>
  <c r="G86" i="3"/>
  <c r="N44" i="3"/>
  <c r="AD4" i="3"/>
  <c r="AD33" i="3"/>
  <c r="AD83" i="3"/>
  <c r="AD71" i="3"/>
  <c r="AD96" i="3"/>
  <c r="AC45" i="3"/>
  <c r="H83" i="3"/>
  <c r="S64" i="3"/>
  <c r="W73" i="3"/>
  <c r="AJ84" i="3"/>
  <c r="AM58" i="3"/>
  <c r="AJ87" i="3"/>
  <c r="Z50" i="3"/>
  <c r="AR71" i="3"/>
  <c r="P12" i="3"/>
  <c r="AF97" i="3"/>
  <c r="AN15" i="3"/>
  <c r="AS35" i="3"/>
  <c r="Y13" i="3"/>
  <c r="K87" i="3"/>
  <c r="F78" i="3"/>
  <c r="F33" i="3"/>
  <c r="F97" i="3"/>
  <c r="AG31" i="3"/>
  <c r="AG73" i="3"/>
  <c r="AG81" i="3"/>
  <c r="L21" i="3"/>
  <c r="L61" i="3"/>
  <c r="L77" i="3"/>
  <c r="T22" i="3"/>
  <c r="T32" i="3"/>
  <c r="T67" i="3"/>
  <c r="T96" i="3"/>
  <c r="X25" i="3"/>
  <c r="X71" i="3"/>
  <c r="X72" i="3"/>
  <c r="AN6" i="3"/>
  <c r="AN32" i="3"/>
  <c r="AN88" i="3"/>
  <c r="AN95" i="3"/>
  <c r="Y86" i="3"/>
  <c r="AJ40" i="3"/>
  <c r="AK24" i="3"/>
  <c r="AK68" i="3"/>
  <c r="AK73" i="3"/>
  <c r="AK97" i="3"/>
  <c r="M36" i="3"/>
  <c r="AL60" i="3"/>
  <c r="AQ16" i="3"/>
  <c r="AA49" i="3"/>
  <c r="AO34" i="3"/>
  <c r="AF85" i="3"/>
  <c r="U37" i="3"/>
  <c r="AI44" i="3"/>
  <c r="AH38" i="3"/>
  <c r="AM51" i="3"/>
  <c r="G36" i="3"/>
  <c r="I18" i="3"/>
  <c r="M52" i="3"/>
  <c r="J26" i="3"/>
  <c r="J54" i="3"/>
  <c r="J81" i="3"/>
  <c r="J90" i="3"/>
  <c r="J96" i="3"/>
  <c r="AE39" i="3"/>
  <c r="R7" i="3"/>
  <c r="R28" i="3"/>
  <c r="R64" i="3"/>
  <c r="R79" i="3"/>
  <c r="R78" i="3"/>
  <c r="AG35" i="3"/>
  <c r="V56" i="3"/>
  <c r="I45" i="3"/>
  <c r="AD22" i="3"/>
  <c r="AD46" i="3"/>
  <c r="AD89" i="3"/>
  <c r="AD73" i="3"/>
  <c r="AD94" i="3"/>
  <c r="AN39" i="3"/>
  <c r="AI66" i="3"/>
  <c r="O66" i="3"/>
  <c r="W77" i="3"/>
  <c r="AJ71" i="3"/>
  <c r="Q49" i="3"/>
  <c r="G43" i="3"/>
  <c r="AA36" i="3"/>
  <c r="AR73" i="3"/>
  <c r="V17" i="3"/>
  <c r="AF91" i="3"/>
  <c r="Q59" i="3"/>
  <c r="K35" i="3"/>
  <c r="AH17" i="3"/>
  <c r="AF57" i="3"/>
  <c r="F71" i="3"/>
  <c r="F61" i="3"/>
  <c r="AG7" i="3"/>
  <c r="AG33" i="3"/>
  <c r="AG94" i="3"/>
  <c r="AG97" i="3"/>
  <c r="L27" i="3"/>
  <c r="L83" i="3"/>
  <c r="L79" i="3"/>
  <c r="T25" i="3"/>
  <c r="T46" i="3"/>
  <c r="T71" i="3"/>
  <c r="T94" i="3"/>
  <c r="X4" i="3"/>
  <c r="X73" i="3"/>
  <c r="X74" i="3"/>
  <c r="AN8" i="3"/>
  <c r="AN63" i="3"/>
  <c r="AN83" i="3"/>
  <c r="AN90" i="3"/>
  <c r="O85" i="3"/>
  <c r="X38" i="3"/>
  <c r="AK7" i="3"/>
  <c r="AK70" i="3"/>
  <c r="AK75" i="3"/>
  <c r="AS60" i="3"/>
  <c r="R45" i="3"/>
  <c r="Y52" i="3"/>
  <c r="AL16" i="3"/>
  <c r="W13" i="3"/>
  <c r="AJ51" i="3"/>
  <c r="AI38" i="3"/>
  <c r="O16" i="3"/>
  <c r="AQ34" i="3"/>
  <c r="AK11" i="3"/>
  <c r="Q44" i="3"/>
  <c r="P37" i="3"/>
  <c r="AI87" i="3"/>
  <c r="R49" i="3"/>
  <c r="J23" i="3"/>
  <c r="J27" i="3"/>
  <c r="J84" i="3"/>
  <c r="J68" i="3"/>
  <c r="J94" i="3"/>
  <c r="H57" i="3"/>
  <c r="R21" i="3"/>
  <c r="R32" i="3"/>
  <c r="R67" i="3"/>
  <c r="R66" i="3"/>
  <c r="R92" i="3"/>
  <c r="AK35" i="3"/>
  <c r="Y39" i="3"/>
  <c r="T14" i="3"/>
  <c r="AD24" i="3"/>
  <c r="AD61" i="3"/>
  <c r="AD72" i="3"/>
  <c r="AD75" i="3"/>
  <c r="AD97" i="3"/>
  <c r="AQ17" i="3"/>
  <c r="I49" i="3"/>
  <c r="AP61" i="3"/>
  <c r="AE13" i="3"/>
  <c r="AJ96" i="3"/>
  <c r="N37" i="3"/>
  <c r="AF35" i="3"/>
  <c r="L86" i="3"/>
  <c r="AR92" i="3"/>
  <c r="AF23" i="3"/>
  <c r="K37" i="3"/>
  <c r="P58" i="3"/>
  <c r="F34" i="3"/>
  <c r="N50" i="3"/>
  <c r="J52" i="3"/>
  <c r="F69" i="3"/>
  <c r="F83" i="3"/>
  <c r="AG24" i="3"/>
  <c r="AG28" i="3"/>
  <c r="AG88" i="3"/>
  <c r="AG93" i="3"/>
  <c r="L20" i="3"/>
  <c r="L72" i="3"/>
  <c r="L76" i="3"/>
  <c r="T7" i="3"/>
  <c r="T33" i="3"/>
  <c r="T75" i="3"/>
  <c r="T91" i="3"/>
  <c r="X33" i="3"/>
  <c r="X77" i="3"/>
  <c r="X94" i="3"/>
  <c r="AN25" i="3"/>
  <c r="AN61" i="3"/>
  <c r="AN72" i="3"/>
  <c r="AN96" i="3"/>
  <c r="AD37" i="3"/>
  <c r="M51" i="3"/>
  <c r="AK28" i="3"/>
  <c r="AK83" i="3"/>
  <c r="AK79" i="3"/>
  <c r="AF49" i="3"/>
  <c r="O10" i="3"/>
  <c r="AJ12" i="3"/>
  <c r="T57" i="3"/>
  <c r="I52" i="3"/>
  <c r="P15" i="3"/>
  <c r="AN18" i="3"/>
  <c r="AA41" i="3"/>
  <c r="Y38" i="3"/>
  <c r="W57" i="3"/>
  <c r="AR40" i="3"/>
  <c r="N16" i="3"/>
  <c r="AN85" i="3"/>
  <c r="O36" i="3"/>
  <c r="J8" i="3"/>
  <c r="J33" i="3"/>
  <c r="J71" i="3"/>
  <c r="J76" i="3"/>
  <c r="J91" i="3"/>
  <c r="K58" i="3"/>
  <c r="R23" i="3"/>
  <c r="R31" i="3"/>
  <c r="R90" i="3"/>
  <c r="R68" i="3"/>
  <c r="R94" i="3"/>
  <c r="G38" i="3"/>
  <c r="AA53" i="3"/>
  <c r="O15" i="3"/>
  <c r="K40" i="3"/>
  <c r="G60" i="3"/>
  <c r="F24" i="3"/>
  <c r="AG91" i="3"/>
  <c r="T31" i="3"/>
  <c r="X78" i="3"/>
  <c r="AO56" i="3"/>
  <c r="K52" i="3"/>
  <c r="G16" i="3"/>
  <c r="L40" i="3"/>
  <c r="J31" i="3"/>
  <c r="R26" i="3"/>
  <c r="T44" i="3"/>
  <c r="AD54" i="3"/>
  <c r="X35" i="3"/>
  <c r="N53" i="3"/>
  <c r="AH85" i="3"/>
  <c r="M42" i="3"/>
  <c r="Q42" i="3"/>
  <c r="Z60" i="3"/>
  <c r="T85" i="3"/>
  <c r="I11" i="3"/>
  <c r="O43" i="3"/>
  <c r="T43" i="3"/>
  <c r="AA44" i="3"/>
  <c r="O56" i="3"/>
  <c r="AE7" i="3"/>
  <c r="AE64" i="3"/>
  <c r="AE75" i="3"/>
  <c r="N6" i="3"/>
  <c r="N61" i="3"/>
  <c r="N78" i="3"/>
  <c r="N94" i="3"/>
  <c r="V27" i="3"/>
  <c r="V70" i="3"/>
  <c r="V77" i="3"/>
  <c r="M4" i="3"/>
  <c r="M63" i="3"/>
  <c r="M69" i="3"/>
  <c r="AB22" i="3"/>
  <c r="AB32" i="3"/>
  <c r="AB78" i="3"/>
  <c r="AB92" i="3"/>
  <c r="K23" i="3"/>
  <c r="K72" i="3"/>
  <c r="K66" i="3"/>
  <c r="G6" i="3"/>
  <c r="G28" i="3"/>
  <c r="G76" i="3"/>
  <c r="G79" i="3"/>
  <c r="I23" i="3"/>
  <c r="I32" i="3"/>
  <c r="I79" i="3"/>
  <c r="I78" i="3"/>
  <c r="AA22" i="3"/>
  <c r="AA28" i="3"/>
  <c r="AA64" i="3"/>
  <c r="AA75" i="3"/>
  <c r="AA83" i="3"/>
  <c r="AI10" i="3"/>
  <c r="W10" i="3"/>
  <c r="AK50" i="3"/>
  <c r="AP51" i="3"/>
  <c r="K56" i="3"/>
  <c r="U20" i="3"/>
  <c r="U32" i="3"/>
  <c r="U70" i="3"/>
  <c r="U69" i="3"/>
  <c r="U95" i="3"/>
  <c r="AE35" i="3"/>
  <c r="J86" i="3"/>
  <c r="AD45" i="3"/>
  <c r="AJ43" i="3"/>
  <c r="AQ58" i="3"/>
  <c r="AK57" i="3"/>
  <c r="G57" i="3"/>
  <c r="AN17" i="3"/>
  <c r="AB60" i="3"/>
  <c r="W41" i="3"/>
  <c r="AM23" i="3"/>
  <c r="AM27" i="3"/>
  <c r="AM66" i="3"/>
  <c r="AM74" i="3"/>
  <c r="AM79" i="3"/>
  <c r="Q21" i="3"/>
  <c r="Q27" i="3"/>
  <c r="Q64" i="3"/>
  <c r="Q91" i="3"/>
  <c r="Q81" i="3"/>
  <c r="Q97" i="3"/>
  <c r="G93" i="3"/>
  <c r="I81" i="3"/>
  <c r="AA94" i="3"/>
  <c r="AB15" i="3"/>
  <c r="U24" i="3"/>
  <c r="U75" i="3"/>
  <c r="U45" i="3"/>
  <c r="H35" i="3"/>
  <c r="AD39" i="3"/>
  <c r="AM20" i="3"/>
  <c r="AM93" i="3"/>
  <c r="Q71" i="3"/>
  <c r="AD51" i="3"/>
  <c r="U77" i="3"/>
  <c r="N10" i="3"/>
  <c r="AG36" i="3"/>
  <c r="AM30" i="3"/>
  <c r="Q6" i="3"/>
  <c r="Q83" i="3"/>
  <c r="Z85" i="3"/>
  <c r="Z58" i="3"/>
  <c r="AM69" i="3"/>
  <c r="Q32" i="3"/>
  <c r="AM32" i="3"/>
  <c r="Q92" i="3"/>
  <c r="U50" i="3"/>
  <c r="AM63" i="3"/>
  <c r="Q96" i="3"/>
  <c r="AN92" i="3"/>
  <c r="R96" i="3"/>
  <c r="AB44" i="3"/>
  <c r="AL14" i="3"/>
  <c r="AE87" i="3"/>
  <c r="N46" i="3"/>
  <c r="V63" i="3"/>
  <c r="AB30" i="3"/>
  <c r="K91" i="3"/>
  <c r="AA20" i="3"/>
  <c r="U30" i="3"/>
  <c r="AC85" i="3"/>
  <c r="AM46" i="3"/>
  <c r="Q61" i="3"/>
  <c r="T21" i="3"/>
  <c r="AL85" i="3"/>
  <c r="J56" i="3"/>
  <c r="I37" i="3"/>
  <c r="F26" i="3"/>
  <c r="AG95" i="3"/>
  <c r="T61" i="3"/>
  <c r="X97" i="3"/>
  <c r="AO18" i="3"/>
  <c r="AI34" i="3"/>
  <c r="AH60" i="3"/>
  <c r="T34" i="3"/>
  <c r="J30" i="3"/>
  <c r="R6" i="3"/>
  <c r="AM12" i="3"/>
  <c r="AD64" i="3"/>
  <c r="AA12" i="3"/>
  <c r="AE51" i="3"/>
  <c r="AK59" i="3"/>
  <c r="R50" i="3"/>
  <c r="L41" i="3"/>
  <c r="V41" i="3"/>
  <c r="R44" i="3"/>
  <c r="AI51" i="3"/>
  <c r="AH45" i="3"/>
  <c r="F39" i="3"/>
  <c r="V42" i="3"/>
  <c r="AH44" i="3"/>
  <c r="AE21" i="3"/>
  <c r="AE76" i="3"/>
  <c r="AE77" i="3"/>
  <c r="N23" i="3"/>
  <c r="N54" i="3"/>
  <c r="N67" i="3"/>
  <c r="N97" i="3"/>
  <c r="V30" i="3"/>
  <c r="V90" i="3"/>
  <c r="V79" i="3"/>
  <c r="M22" i="3"/>
  <c r="M46" i="3"/>
  <c r="M71" i="3"/>
  <c r="AB4" i="3"/>
  <c r="AB27" i="3"/>
  <c r="AB69" i="3"/>
  <c r="AB96" i="3"/>
  <c r="K6" i="3"/>
  <c r="K74" i="3"/>
  <c r="K88" i="3"/>
  <c r="G8" i="3"/>
  <c r="G32" i="3"/>
  <c r="G83" i="3"/>
  <c r="G97" i="3"/>
  <c r="I27" i="3"/>
  <c r="I63" i="3"/>
  <c r="I91" i="3"/>
  <c r="I94" i="3"/>
  <c r="AA24" i="3"/>
  <c r="AA32" i="3"/>
  <c r="AA72" i="3"/>
  <c r="AA77" i="3"/>
  <c r="AA89" i="3"/>
  <c r="F37" i="3"/>
  <c r="AM35" i="3"/>
  <c r="V43" i="3"/>
  <c r="Q85" i="3"/>
  <c r="Y17" i="3"/>
  <c r="U4" i="3"/>
  <c r="U27" i="3"/>
  <c r="U76" i="3"/>
  <c r="U71" i="3"/>
  <c r="U90" i="3"/>
  <c r="I13" i="3"/>
  <c r="M60" i="3"/>
  <c r="AM38" i="3"/>
  <c r="G37" i="3"/>
  <c r="AL43" i="3"/>
  <c r="Z16" i="3"/>
  <c r="N34" i="3"/>
  <c r="M39" i="3"/>
  <c r="AP13" i="3"/>
  <c r="AE38" i="3"/>
  <c r="AM6" i="3"/>
  <c r="AM31" i="3"/>
  <c r="AM54" i="3"/>
  <c r="AM78" i="3"/>
  <c r="AM97" i="3"/>
  <c r="Q24" i="3"/>
  <c r="Q31" i="3"/>
  <c r="Q84" i="3"/>
  <c r="Q68" i="3"/>
  <c r="Q94" i="3"/>
  <c r="AM91" i="3"/>
  <c r="Q33" i="3"/>
  <c r="Q69" i="3"/>
  <c r="G46" i="3"/>
  <c r="AA31" i="3"/>
  <c r="AJ49" i="3"/>
  <c r="N49" i="3"/>
  <c r="U89" i="3"/>
  <c r="AC60" i="3"/>
  <c r="S10" i="3"/>
  <c r="AC56" i="3"/>
  <c r="AK86" i="3"/>
  <c r="AM81" i="3"/>
  <c r="Q30" i="3"/>
  <c r="Q93" i="3"/>
  <c r="U61" i="3"/>
  <c r="AN51" i="3"/>
  <c r="AB14" i="3"/>
  <c r="AS50" i="3"/>
  <c r="AM25" i="3"/>
  <c r="AM84" i="3"/>
  <c r="Q28" i="3"/>
  <c r="Q95" i="3"/>
  <c r="K38" i="3"/>
  <c r="T60" i="3"/>
  <c r="AM28" i="3"/>
  <c r="AM90" i="3"/>
  <c r="AH13" i="3"/>
  <c r="Q72" i="3"/>
  <c r="L45" i="3"/>
  <c r="AM83" i="3"/>
  <c r="J6" i="3"/>
  <c r="AD90" i="3"/>
  <c r="K13" i="3"/>
  <c r="V37" i="3"/>
  <c r="AE71" i="3"/>
  <c r="V21" i="3"/>
  <c r="M31" i="3"/>
  <c r="K77" i="3"/>
  <c r="I75" i="3"/>
  <c r="AA71" i="3"/>
  <c r="Y85" i="3"/>
  <c r="AE85" i="3"/>
  <c r="Q40" i="3"/>
  <c r="Q66" i="3"/>
  <c r="X79" i="3"/>
  <c r="AS76" i="3"/>
  <c r="AQ10" i="3"/>
  <c r="T35" i="3"/>
  <c r="F54" i="3"/>
  <c r="L8" i="3"/>
  <c r="T73" i="3"/>
  <c r="AN20" i="3"/>
  <c r="AN34" i="3"/>
  <c r="U11" i="3"/>
  <c r="AC37" i="3"/>
  <c r="S41" i="3"/>
  <c r="J69" i="3"/>
  <c r="R27" i="3"/>
  <c r="O60" i="3"/>
  <c r="AD63" i="3"/>
  <c r="AL37" i="3"/>
  <c r="Q14" i="3"/>
  <c r="Z56" i="3"/>
  <c r="U36" i="3"/>
  <c r="AR39" i="3"/>
  <c r="X14" i="3"/>
  <c r="U35" i="3"/>
  <c r="AC57" i="3"/>
  <c r="W50" i="3"/>
  <c r="J17" i="3"/>
  <c r="AE36" i="3"/>
  <c r="AK38" i="3"/>
  <c r="AE27" i="3"/>
  <c r="AE83" i="3"/>
  <c r="AE79" i="3"/>
  <c r="N24" i="3"/>
  <c r="N64" i="3"/>
  <c r="N81" i="3"/>
  <c r="V6" i="3"/>
  <c r="V28" i="3"/>
  <c r="V72" i="3"/>
  <c r="V93" i="3"/>
  <c r="M26" i="3"/>
  <c r="M68" i="3"/>
  <c r="M73" i="3"/>
  <c r="AB25" i="3"/>
  <c r="AB31" i="3"/>
  <c r="AB71" i="3"/>
  <c r="AB94" i="3"/>
  <c r="K28" i="3"/>
  <c r="K78" i="3"/>
  <c r="K90" i="3"/>
  <c r="G20" i="3"/>
  <c r="G63" i="3"/>
  <c r="G74" i="3"/>
  <c r="G91" i="3"/>
  <c r="I6" i="3"/>
  <c r="I46" i="3"/>
  <c r="I90" i="3"/>
  <c r="I67" i="3"/>
  <c r="AA7" i="3"/>
  <c r="AA27" i="3"/>
  <c r="AA74" i="3"/>
  <c r="AA79" i="3"/>
  <c r="AA96" i="3"/>
  <c r="M15" i="3"/>
  <c r="AB36" i="3"/>
  <c r="AQ51" i="3"/>
  <c r="M10" i="3"/>
  <c r="U57" i="3"/>
  <c r="U22" i="3"/>
  <c r="U31" i="3"/>
  <c r="U83" i="3"/>
  <c r="U73" i="3"/>
  <c r="U92" i="3"/>
  <c r="AI57" i="3"/>
  <c r="R56" i="3"/>
  <c r="Q37" i="3"/>
  <c r="P11" i="3"/>
  <c r="Y37" i="3"/>
  <c r="AE40" i="3"/>
  <c r="X34" i="3"/>
  <c r="AS42" i="3"/>
  <c r="Y49" i="3"/>
  <c r="H85" i="3"/>
  <c r="AM8" i="3"/>
  <c r="AM33" i="3"/>
  <c r="AM64" i="3"/>
  <c r="AM67" i="3"/>
  <c r="Q26" i="3"/>
  <c r="Q70" i="3"/>
  <c r="I8" i="3"/>
  <c r="I68" i="3"/>
  <c r="AA21" i="3"/>
  <c r="AA66" i="3"/>
  <c r="Z39" i="3"/>
  <c r="U33" i="3"/>
  <c r="U96" i="3"/>
  <c r="L87" i="3"/>
  <c r="W43" i="3"/>
  <c r="O53" i="3"/>
  <c r="AM88" i="3"/>
  <c r="Q23" i="3"/>
  <c r="Q76" i="3"/>
  <c r="U7" i="3"/>
  <c r="U94" i="3"/>
  <c r="AR15" i="3"/>
  <c r="AP50" i="3"/>
  <c r="AF42" i="3"/>
  <c r="AM95" i="3"/>
  <c r="Q73" i="3"/>
  <c r="M85" i="3"/>
  <c r="F41" i="3"/>
  <c r="AM70" i="3"/>
  <c r="Q75" i="3"/>
  <c r="AM22" i="3"/>
  <c r="Q63" i="3"/>
  <c r="Z15" i="3"/>
  <c r="AM96" i="3"/>
  <c r="AS45" i="3"/>
  <c r="AD21" i="3"/>
  <c r="F57" i="3"/>
  <c r="R85" i="3"/>
  <c r="N72" i="3"/>
  <c r="M8" i="3"/>
  <c r="K21" i="3"/>
  <c r="G33" i="3"/>
  <c r="I96" i="3"/>
  <c r="H36" i="3"/>
  <c r="H18" i="3"/>
  <c r="AL51" i="3"/>
  <c r="Q78" i="3"/>
  <c r="AC54" i="3"/>
  <c r="AR4" i="3"/>
  <c r="J40" i="3"/>
  <c r="F89" i="3"/>
  <c r="L30" i="3"/>
  <c r="T77" i="3"/>
  <c r="AN4" i="3"/>
  <c r="AS11" i="3"/>
  <c r="P53" i="3"/>
  <c r="AQ14" i="3"/>
  <c r="W56" i="3"/>
  <c r="J73" i="3"/>
  <c r="R33" i="3"/>
  <c r="L15" i="3"/>
  <c r="AD74" i="3"/>
  <c r="Y10" i="3"/>
  <c r="L18" i="3"/>
  <c r="AE57" i="3"/>
  <c r="N58" i="3"/>
  <c r="T17" i="3"/>
  <c r="AA18" i="3"/>
  <c r="O39" i="3"/>
  <c r="AN59" i="3"/>
  <c r="AP41" i="3"/>
  <c r="M14" i="3"/>
  <c r="AN53" i="3"/>
  <c r="Z42" i="3"/>
  <c r="AE31" i="3"/>
  <c r="AE89" i="3"/>
  <c r="AE97" i="3"/>
  <c r="N27" i="3"/>
  <c r="N66" i="3"/>
  <c r="N69" i="3"/>
  <c r="V8" i="3"/>
  <c r="V32" i="3"/>
  <c r="V74" i="3"/>
  <c r="V88" i="3"/>
  <c r="M23" i="3"/>
  <c r="M70" i="3"/>
  <c r="M66" i="3"/>
  <c r="AB24" i="3"/>
  <c r="AB33" i="3"/>
  <c r="AB73" i="3"/>
  <c r="AB97" i="3"/>
  <c r="K32" i="3"/>
  <c r="K67" i="3"/>
  <c r="K83" i="3"/>
  <c r="G25" i="3"/>
  <c r="G78" i="3"/>
  <c r="I61" i="3"/>
  <c r="AA78" i="3"/>
  <c r="W45" i="3"/>
  <c r="AM26" i="3"/>
  <c r="Q90" i="3"/>
  <c r="AM92" i="3"/>
  <c r="Q77" i="3"/>
  <c r="AG56" i="3"/>
  <c r="K14" i="3"/>
  <c r="Q46" i="3"/>
  <c r="T24" i="3"/>
  <c r="AE61" i="3"/>
  <c r="AB72" i="3"/>
  <c r="I72" i="3"/>
  <c r="AM42" i="3"/>
  <c r="AA37" i="3"/>
  <c r="U60" i="3"/>
  <c r="Q4" i="3"/>
  <c r="F49" i="3"/>
  <c r="M53" i="3"/>
  <c r="AR90" i="3"/>
  <c r="S87" i="3"/>
  <c r="AG21" i="3"/>
  <c r="L89" i="3"/>
  <c r="T97" i="3"/>
  <c r="AN46" i="3"/>
  <c r="AK21" i="3"/>
  <c r="AO16" i="3"/>
  <c r="AH11" i="3"/>
  <c r="AC52" i="3"/>
  <c r="J70" i="3"/>
  <c r="R81" i="3"/>
  <c r="P14" i="3"/>
  <c r="AD78" i="3"/>
  <c r="H13" i="3"/>
  <c r="AL58" i="3"/>
  <c r="AI49" i="3"/>
  <c r="V40" i="3"/>
  <c r="F15" i="3"/>
  <c r="AI86" i="3"/>
  <c r="AH40" i="3"/>
  <c r="AQ49" i="3"/>
  <c r="AS51" i="3"/>
  <c r="AO85" i="3"/>
  <c r="AQ43" i="3"/>
  <c r="AE23" i="3"/>
  <c r="AE32" i="3"/>
  <c r="AE72" i="3"/>
  <c r="AE91" i="3"/>
  <c r="N7" i="3"/>
  <c r="N63" i="3"/>
  <c r="N71" i="3"/>
  <c r="V20" i="3"/>
  <c r="V61" i="3"/>
  <c r="V78" i="3"/>
  <c r="V95" i="3"/>
  <c r="M30" i="3"/>
  <c r="M76" i="3"/>
  <c r="M88" i="3"/>
  <c r="AB7" i="3"/>
  <c r="AB63" i="3"/>
  <c r="AB75" i="3"/>
  <c r="AB91" i="3"/>
  <c r="K27" i="3"/>
  <c r="K81" i="3"/>
  <c r="K89" i="3"/>
  <c r="G4" i="3"/>
  <c r="G54" i="3"/>
  <c r="G67" i="3"/>
  <c r="G95" i="3"/>
  <c r="I20" i="3"/>
  <c r="I84" i="3"/>
  <c r="I70" i="3"/>
  <c r="I97" i="3"/>
  <c r="AA26" i="3"/>
  <c r="AA33" i="3"/>
  <c r="AA67" i="3"/>
  <c r="AA88" i="3"/>
  <c r="AA97" i="3"/>
  <c r="P52" i="3"/>
  <c r="AF52" i="3"/>
  <c r="Z35" i="3"/>
  <c r="I17" i="3"/>
  <c r="U72" i="3"/>
  <c r="O41" i="3"/>
  <c r="AG14" i="3"/>
  <c r="AM68" i="3"/>
  <c r="Q89" i="3"/>
  <c r="S60" i="3"/>
  <c r="Q20" i="3"/>
  <c r="X52" i="3"/>
  <c r="Y41" i="3"/>
  <c r="AM73" i="3"/>
  <c r="S38" i="3"/>
  <c r="N8" i="3"/>
  <c r="AB76" i="3"/>
  <c r="I24" i="3"/>
  <c r="AG12" i="3"/>
  <c r="U81" i="3"/>
  <c r="J10" i="3"/>
  <c r="AM75" i="3"/>
  <c r="AG68" i="3"/>
  <c r="Q11" i="3"/>
  <c r="AN49" i="3"/>
  <c r="AD40" i="3"/>
  <c r="AG26" i="3"/>
  <c r="L74" i="3"/>
  <c r="T93" i="3"/>
  <c r="AN71" i="3"/>
  <c r="AK32" i="3"/>
  <c r="U86" i="3"/>
  <c r="AE45" i="3"/>
  <c r="AQ42" i="3"/>
  <c r="J83" i="3"/>
  <c r="R84" i="3"/>
  <c r="AD6" i="3"/>
  <c r="AD67" i="3"/>
  <c r="R18" i="3"/>
  <c r="Y87" i="3"/>
  <c r="AC58" i="3"/>
  <c r="W36" i="3"/>
  <c r="AG58" i="3"/>
  <c r="AC40" i="3"/>
  <c r="AK17" i="3"/>
  <c r="AG18" i="3"/>
  <c r="K59" i="3"/>
  <c r="AJ59" i="3"/>
  <c r="AL45" i="3"/>
  <c r="AE26" i="3"/>
  <c r="AE63" i="3"/>
  <c r="AE74" i="3"/>
  <c r="AE92" i="3"/>
  <c r="N21" i="3"/>
  <c r="N68" i="3"/>
  <c r="N73" i="3"/>
  <c r="V23" i="3"/>
  <c r="V54" i="3"/>
  <c r="V67" i="3"/>
  <c r="V97" i="3"/>
  <c r="M28" i="3"/>
  <c r="M83" i="3"/>
  <c r="M91" i="3"/>
  <c r="AB21" i="3"/>
  <c r="AB61" i="3"/>
  <c r="AB77" i="3"/>
  <c r="K22" i="3"/>
  <c r="K31" i="3"/>
  <c r="K84" i="3"/>
  <c r="K96" i="3"/>
  <c r="G22" i="3"/>
  <c r="G64" i="3"/>
  <c r="G81" i="3"/>
  <c r="G92" i="3"/>
  <c r="I25" i="3"/>
  <c r="I69" i="3"/>
  <c r="I76" i="3"/>
  <c r="I93" i="3"/>
  <c r="AA23" i="3"/>
  <c r="AA30" i="3"/>
  <c r="AA81" i="3"/>
  <c r="AA92" i="3"/>
  <c r="AA91" i="3"/>
  <c r="S35" i="3"/>
  <c r="L60" i="3"/>
  <c r="L16" i="3"/>
  <c r="H40" i="3"/>
  <c r="AG51" i="3"/>
  <c r="U21" i="3"/>
  <c r="U54" i="3"/>
  <c r="U74" i="3"/>
  <c r="U79" i="3"/>
  <c r="U97" i="3"/>
  <c r="AQ53" i="3"/>
  <c r="AH37" i="3"/>
  <c r="T13" i="3"/>
  <c r="AK36" i="3"/>
  <c r="AM4" i="3"/>
  <c r="Q8" i="3"/>
  <c r="AM71" i="3"/>
  <c r="U88" i="3"/>
  <c r="Q15" i="3"/>
  <c r="AM24" i="3"/>
  <c r="Q79" i="3"/>
  <c r="AG66" i="3"/>
  <c r="AE22" i="3"/>
  <c r="M90" i="3"/>
  <c r="I30" i="3"/>
  <c r="AA70" i="3"/>
  <c r="U46" i="3"/>
  <c r="O38" i="3"/>
  <c r="AM89" i="3"/>
  <c r="AD38" i="3"/>
  <c r="AJ92" i="3"/>
  <c r="AF21" i="3"/>
  <c r="AI52" i="3"/>
  <c r="AG30" i="3"/>
  <c r="L66" i="3"/>
  <c r="X31" i="3"/>
  <c r="AN89" i="3"/>
  <c r="AK76" i="3"/>
  <c r="AR60" i="3"/>
  <c r="AL49" i="3"/>
  <c r="U51" i="3"/>
  <c r="J97" i="3"/>
  <c r="R88" i="3"/>
  <c r="AD8" i="3"/>
  <c r="AD77" i="3"/>
  <c r="U39" i="3"/>
  <c r="H60" i="3"/>
  <c r="Y12" i="3"/>
  <c r="AP42" i="3"/>
  <c r="AB52" i="3"/>
  <c r="AN44" i="3"/>
  <c r="Z11" i="3"/>
  <c r="AB18" i="3"/>
  <c r="AF37" i="3"/>
  <c r="N42" i="3"/>
  <c r="Y44" i="3"/>
  <c r="AE6" i="3"/>
  <c r="AE66" i="3"/>
  <c r="AE78" i="3"/>
  <c r="AE96" i="3"/>
  <c r="N26" i="3"/>
  <c r="N89" i="3"/>
  <c r="N75" i="3"/>
  <c r="V25" i="3"/>
  <c r="V64" i="3"/>
  <c r="V81" i="3"/>
  <c r="M25" i="3"/>
  <c r="M32" i="3"/>
  <c r="M78" i="3"/>
  <c r="M93" i="3"/>
  <c r="AB26" i="3"/>
  <c r="AB83" i="3"/>
  <c r="AB79" i="3"/>
  <c r="K24" i="3"/>
  <c r="K33" i="3"/>
  <c r="K73" i="3"/>
  <c r="K94" i="3"/>
  <c r="G24" i="3"/>
  <c r="G88" i="3"/>
  <c r="G84" i="3"/>
  <c r="G96" i="3"/>
  <c r="I31" i="3"/>
  <c r="I71" i="3"/>
  <c r="I83" i="3"/>
  <c r="I95" i="3"/>
  <c r="AA6" i="3"/>
  <c r="AA63" i="3"/>
  <c r="AA84" i="3"/>
  <c r="AA90" i="3"/>
  <c r="AA93" i="3"/>
  <c r="K53" i="3"/>
  <c r="R12" i="3"/>
  <c r="AJ52" i="3"/>
  <c r="AH58" i="3"/>
  <c r="S11" i="3"/>
  <c r="U26" i="3"/>
  <c r="U64" i="3"/>
  <c r="U78" i="3"/>
  <c r="U66" i="3"/>
  <c r="AS58" i="3"/>
  <c r="AL41" i="3"/>
  <c r="AK37" i="3"/>
  <c r="H56" i="3"/>
  <c r="I15" i="3"/>
  <c r="R51" i="3"/>
  <c r="AF17" i="3"/>
  <c r="X45" i="3"/>
  <c r="AD13" i="3"/>
  <c r="AM76" i="3"/>
  <c r="Y35" i="3"/>
  <c r="AE18" i="3"/>
  <c r="Q25" i="3"/>
  <c r="X75" i="3"/>
  <c r="AG38" i="3"/>
  <c r="M81" i="3"/>
  <c r="G71" i="3"/>
  <c r="Y14" i="3"/>
  <c r="U91" i="3"/>
  <c r="AO14" i="3"/>
  <c r="AM94" i="3"/>
  <c r="AC15" i="3"/>
  <c r="AF14" i="3"/>
  <c r="AF31" i="3"/>
  <c r="M59" i="3"/>
  <c r="AG61" i="3"/>
  <c r="L90" i="3"/>
  <c r="X30" i="3"/>
  <c r="AN74" i="3"/>
  <c r="AK89" i="3"/>
  <c r="F44" i="3"/>
  <c r="H14" i="3"/>
  <c r="AH43" i="3"/>
  <c r="J93" i="3"/>
  <c r="R70" i="3"/>
  <c r="AD7" i="3"/>
  <c r="AD79" i="3"/>
  <c r="O45" i="3"/>
  <c r="AG86" i="3"/>
  <c r="H15" i="3"/>
  <c r="AS18" i="3"/>
  <c r="P44" i="3"/>
  <c r="AQ39" i="3"/>
  <c r="V39" i="3"/>
  <c r="AO11" i="3"/>
  <c r="AI16" i="3"/>
  <c r="AP49" i="3"/>
  <c r="H34" i="3"/>
  <c r="AE4" i="3"/>
  <c r="AE46" i="3"/>
  <c r="AE67" i="3"/>
  <c r="AE94" i="3"/>
  <c r="N30" i="3"/>
  <c r="N91" i="3"/>
  <c r="N77" i="3"/>
  <c r="V7" i="3"/>
  <c r="V66" i="3"/>
  <c r="V91" i="3"/>
  <c r="M6" i="3"/>
  <c r="M27" i="3"/>
  <c r="M67" i="3"/>
  <c r="M95" i="3"/>
  <c r="AB20" i="3"/>
  <c r="AB89" i="3"/>
  <c r="AB66" i="3"/>
  <c r="K7" i="3"/>
  <c r="K30" i="3"/>
  <c r="K75" i="3"/>
  <c r="K97" i="3"/>
  <c r="G31" i="3"/>
  <c r="G90" i="3"/>
  <c r="G69" i="3"/>
  <c r="G94" i="3"/>
  <c r="I33" i="3"/>
  <c r="I73" i="3"/>
  <c r="I89" i="3"/>
  <c r="I92" i="3"/>
  <c r="AA8" i="3"/>
  <c r="AA46" i="3"/>
  <c r="AA69" i="3"/>
  <c r="AA68" i="3"/>
  <c r="AA95" i="3"/>
  <c r="AI58" i="3"/>
  <c r="W16" i="3"/>
  <c r="I40" i="3"/>
  <c r="I39" i="3"/>
  <c r="U25" i="3"/>
  <c r="U23" i="3"/>
  <c r="U63" i="3"/>
  <c r="U67" i="3"/>
  <c r="AD15" i="3"/>
  <c r="Q74" i="3"/>
  <c r="AK77" i="3"/>
  <c r="AP15" i="3"/>
  <c r="Z13" i="3"/>
  <c r="AK45" i="3"/>
  <c r="AH15" i="3"/>
  <c r="S18" i="3"/>
  <c r="AC14" i="3"/>
  <c r="N79" i="3"/>
  <c r="V73" i="3"/>
  <c r="K63" i="3"/>
  <c r="G68" i="3"/>
  <c r="AA61" i="3"/>
  <c r="U6" i="3"/>
  <c r="AB56" i="3"/>
  <c r="AM7" i="3"/>
  <c r="AQ44" i="3"/>
  <c r="AK93" i="3"/>
  <c r="AF13" i="3"/>
  <c r="AE73" i="3"/>
  <c r="M84" i="3"/>
  <c r="G70" i="3"/>
  <c r="AA76" i="3"/>
  <c r="U93" i="3"/>
  <c r="AO17" i="3"/>
  <c r="Q67" i="3"/>
  <c r="AR57" i="3"/>
  <c r="I28" i="3"/>
  <c r="AM61" i="3"/>
  <c r="N88" i="3"/>
  <c r="AO41" i="3"/>
  <c r="AD26" i="3"/>
  <c r="K26" i="3"/>
  <c r="AN60" i="3"/>
  <c r="X85" i="3"/>
  <c r="U8" i="3"/>
  <c r="AK16" i="3"/>
  <c r="K79" i="3"/>
  <c r="P13" i="3"/>
  <c r="AA57" i="3"/>
  <c r="AA73" i="3"/>
  <c r="W38" i="3"/>
  <c r="N12" i="3"/>
  <c r="N20" i="3"/>
  <c r="M92" i="3"/>
  <c r="G73" i="3"/>
  <c r="AS38" i="3"/>
  <c r="V18" i="3"/>
  <c r="AO43" i="3"/>
  <c r="AM21" i="3"/>
  <c r="N74" i="3"/>
  <c r="I56" i="3"/>
  <c r="R97" i="3"/>
  <c r="I77" i="3"/>
  <c r="AM72" i="3"/>
  <c r="V26" i="3"/>
  <c r="S14" i="3"/>
  <c r="AP56" i="3"/>
  <c r="K64" i="3"/>
  <c r="AH42" i="3"/>
  <c r="AB10" i="3"/>
  <c r="AE24" i="3"/>
  <c r="Q54" i="3"/>
  <c r="G30" i="3"/>
  <c r="J20" i="3"/>
  <c r="Y11" i="3"/>
  <c r="N33" i="3"/>
  <c r="AB28" i="3"/>
  <c r="I26" i="3"/>
  <c r="U59" i="3"/>
  <c r="AG10" i="3"/>
  <c r="AE16" i="3"/>
  <c r="AB38" i="3"/>
  <c r="U52" i="3"/>
  <c r="U85" i="3"/>
  <c r="AR37" i="3"/>
  <c r="I74" i="3"/>
  <c r="AM77" i="3"/>
  <c r="V68" i="3"/>
  <c r="AA4" i="3"/>
  <c r="Q7" i="3"/>
  <c r="V75" i="3"/>
  <c r="Q22" i="3"/>
  <c r="U68" i="3"/>
  <c r="Q88" i="3"/>
  <c r="AB74" i="3"/>
  <c r="AO58" i="3"/>
  <c r="K93" i="3"/>
  <c r="AE54" i="3"/>
  <c r="AB90" i="3"/>
  <c r="U28" i="3"/>
  <c r="M20" i="3"/>
  <c r="M64" i="3"/>
  <c r="U84" i="3"/>
  <c r="AA25" i="3"/>
  <c r="AA54" i="3"/>
  <c r="J53" i="3"/>
  <c r="AM53" i="3"/>
  <c r="AM53" i="2" l="1"/>
  <c r="J53" i="2"/>
  <c r="AA54" i="2"/>
  <c r="AA25" i="2"/>
  <c r="U84" i="2"/>
  <c r="M64" i="2"/>
  <c r="M20" i="2"/>
  <c r="U28" i="2"/>
  <c r="AB90" i="2"/>
  <c r="AE54" i="2"/>
  <c r="K93" i="2"/>
  <c r="AO58" i="2"/>
  <c r="AB74" i="2"/>
  <c r="Q88" i="2"/>
  <c r="U68" i="2"/>
  <c r="Q22" i="2"/>
  <c r="V75" i="2"/>
  <c r="Q7" i="2"/>
  <c r="AA4" i="2"/>
  <c r="V68" i="2"/>
  <c r="AM77" i="2"/>
  <c r="I74" i="2"/>
  <c r="AR37" i="2"/>
  <c r="U85" i="2"/>
  <c r="U52" i="2"/>
  <c r="AB38" i="2"/>
  <c r="AE16" i="2"/>
  <c r="AG10" i="2"/>
  <c r="U59" i="2"/>
  <c r="I26" i="2"/>
  <c r="AB28" i="2"/>
  <c r="N33" i="2"/>
  <c r="Y11" i="2"/>
  <c r="J20" i="2"/>
  <c r="G30" i="2"/>
  <c r="Q54" i="2"/>
  <c r="AE24" i="2"/>
  <c r="AB10" i="2"/>
  <c r="AH42" i="2"/>
  <c r="K64" i="2"/>
  <c r="AP56" i="2"/>
  <c r="AP55" i="3"/>
  <c r="AP55" i="2" s="1"/>
  <c r="S14" i="2"/>
  <c r="V26" i="2"/>
  <c r="AM72" i="2"/>
  <c r="I77" i="2"/>
  <c r="R97" i="2"/>
  <c r="I55" i="3"/>
  <c r="I55" i="2" s="1"/>
  <c r="I56" i="2"/>
  <c r="N74" i="2"/>
  <c r="AM21" i="2"/>
  <c r="AO43" i="2"/>
  <c r="V18" i="2"/>
  <c r="AS38" i="2"/>
  <c r="G73" i="2"/>
  <c r="M92" i="2"/>
  <c r="N20" i="2"/>
  <c r="N12" i="2"/>
  <c r="W38" i="2"/>
  <c r="AA73" i="2"/>
  <c r="AA57" i="2"/>
  <c r="P13" i="2"/>
  <c r="K79" i="2"/>
  <c r="AK16" i="2"/>
  <c r="U8" i="2"/>
  <c r="X85" i="2"/>
  <c r="AN60" i="2"/>
  <c r="K26" i="2"/>
  <c r="AD26" i="2"/>
  <c r="AO41" i="2"/>
  <c r="N88" i="2"/>
  <c r="AM61" i="2"/>
  <c r="I28" i="2"/>
  <c r="AR57" i="2"/>
  <c r="Q67" i="2"/>
  <c r="AO17" i="2"/>
  <c r="U93" i="2"/>
  <c r="AA76" i="2"/>
  <c r="G70" i="2"/>
  <c r="M84" i="2"/>
  <c r="AE73" i="2"/>
  <c r="AF13" i="2"/>
  <c r="AK93" i="2"/>
  <c r="AQ44" i="2"/>
  <c r="AM7" i="2"/>
  <c r="AB55" i="3"/>
  <c r="AB55" i="2" s="1"/>
  <c r="AB56" i="2"/>
  <c r="U6" i="2"/>
  <c r="AA61" i="2"/>
  <c r="G68" i="2"/>
  <c r="K63" i="2"/>
  <c r="V73" i="2"/>
  <c r="N79" i="2"/>
  <c r="AC14" i="2"/>
  <c r="S18" i="2"/>
  <c r="AH15" i="2"/>
  <c r="AK45" i="2"/>
  <c r="Z13" i="2"/>
  <c r="AP15" i="2"/>
  <c r="AK77" i="2"/>
  <c r="Q74" i="2"/>
  <c r="AD15" i="2"/>
  <c r="U67" i="2"/>
  <c r="U63" i="2"/>
  <c r="U23" i="2"/>
  <c r="U25" i="2"/>
  <c r="I39" i="2"/>
  <c r="I40" i="2"/>
  <c r="W16" i="2"/>
  <c r="AI58" i="2"/>
  <c r="AA95" i="2"/>
  <c r="AA68" i="2"/>
  <c r="AA69" i="2"/>
  <c r="AA46" i="2"/>
  <c r="AA8" i="2"/>
  <c r="I92" i="2"/>
  <c r="I89" i="2"/>
  <c r="I73" i="2"/>
  <c r="I33" i="2"/>
  <c r="G94" i="2"/>
  <c r="G69" i="2"/>
  <c r="G90" i="2"/>
  <c r="G31" i="2"/>
  <c r="K97" i="2"/>
  <c r="K75" i="2"/>
  <c r="K30" i="2"/>
  <c r="K7" i="2"/>
  <c r="AB66" i="2"/>
  <c r="AB89" i="2"/>
  <c r="AB20" i="2"/>
  <c r="M95" i="2"/>
  <c r="M67" i="2"/>
  <c r="M27" i="2"/>
  <c r="M6" i="2"/>
  <c r="V91" i="2"/>
  <c r="V66" i="2"/>
  <c r="V7" i="2"/>
  <c r="N77" i="2"/>
  <c r="N91" i="2"/>
  <c r="N30" i="2"/>
  <c r="AE94" i="2"/>
  <c r="AE67" i="2"/>
  <c r="AE46" i="2"/>
  <c r="AE4" i="2"/>
  <c r="H34" i="2"/>
  <c r="AP48" i="3"/>
  <c r="AP48" i="2" s="1"/>
  <c r="AP49" i="2"/>
  <c r="AI16" i="2"/>
  <c r="AO11" i="2"/>
  <c r="V39" i="2"/>
  <c r="AQ39" i="2"/>
  <c r="P44" i="2"/>
  <c r="AS18" i="2"/>
  <c r="H15" i="2"/>
  <c r="AG86" i="2"/>
  <c r="O45" i="2"/>
  <c r="AD79" i="2"/>
  <c r="AD7" i="2"/>
  <c r="R70" i="2"/>
  <c r="J93" i="2"/>
  <c r="AH43" i="2"/>
  <c r="H14" i="2"/>
  <c r="F44" i="2"/>
  <c r="AK89" i="2"/>
  <c r="AN74" i="2"/>
  <c r="X30" i="2"/>
  <c r="L90" i="2"/>
  <c r="AG61" i="2"/>
  <c r="M59" i="2"/>
  <c r="AF31" i="2"/>
  <c r="AF14" i="2"/>
  <c r="AC15" i="2"/>
  <c r="AM94" i="2"/>
  <c r="AO14" i="2"/>
  <c r="U91" i="2"/>
  <c r="Y14" i="2"/>
  <c r="G71" i="2"/>
  <c r="M81" i="2"/>
  <c r="AG38" i="2"/>
  <c r="X75" i="2"/>
  <c r="Q25" i="2"/>
  <c r="AE18" i="2"/>
  <c r="Y35" i="2"/>
  <c r="AM76" i="2"/>
  <c r="AD13" i="2"/>
  <c r="X45" i="2"/>
  <c r="AF17" i="2"/>
  <c r="R51" i="2"/>
  <c r="I15" i="2"/>
  <c r="H56" i="2"/>
  <c r="H55" i="3"/>
  <c r="H55" i="2" s="1"/>
  <c r="AK37" i="2"/>
  <c r="AL41" i="2"/>
  <c r="AS58" i="2"/>
  <c r="U66" i="2"/>
  <c r="U78" i="2"/>
  <c r="U64" i="2"/>
  <c r="U26" i="2"/>
  <c r="S11" i="2"/>
  <c r="AH58" i="2"/>
  <c r="AJ52" i="2"/>
  <c r="R12" i="2"/>
  <c r="K53" i="2"/>
  <c r="AA93" i="2"/>
  <c r="AA90" i="2"/>
  <c r="AA84" i="2"/>
  <c r="AA63" i="2"/>
  <c r="AA6" i="2"/>
  <c r="I95" i="2"/>
  <c r="I83" i="2"/>
  <c r="I71" i="2"/>
  <c r="I31" i="2"/>
  <c r="G96" i="2"/>
  <c r="G84" i="2"/>
  <c r="G88" i="2"/>
  <c r="G24" i="2"/>
  <c r="K94" i="2"/>
  <c r="K73" i="2"/>
  <c r="K33" i="2"/>
  <c r="K24" i="2"/>
  <c r="AB79" i="2"/>
  <c r="AB83" i="2"/>
  <c r="AB26" i="2"/>
  <c r="M93" i="2"/>
  <c r="M78" i="2"/>
  <c r="M32" i="2"/>
  <c r="M25" i="2"/>
  <c r="V81" i="2"/>
  <c r="V64" i="2"/>
  <c r="V25" i="2"/>
  <c r="N75" i="2"/>
  <c r="N89" i="2"/>
  <c r="N26" i="2"/>
  <c r="AE96" i="2"/>
  <c r="AE78" i="2"/>
  <c r="AE66" i="2"/>
  <c r="AE6" i="2"/>
  <c r="Y44" i="2"/>
  <c r="N42" i="2"/>
  <c r="AF37" i="2"/>
  <c r="AB18" i="2"/>
  <c r="Z11" i="2"/>
  <c r="AN44" i="2"/>
  <c r="AB52" i="2"/>
  <c r="AP42" i="2"/>
  <c r="Y12" i="2"/>
  <c r="H60" i="2"/>
  <c r="U39" i="2"/>
  <c r="AD77" i="2"/>
  <c r="AD8" i="2"/>
  <c r="R88" i="2"/>
  <c r="J97" i="2"/>
  <c r="U51" i="2"/>
  <c r="AL48" i="3"/>
  <c r="AL48" i="2" s="1"/>
  <c r="AL49" i="2"/>
  <c r="AR60" i="2"/>
  <c r="AK76" i="2"/>
  <c r="AN89" i="2"/>
  <c r="X31" i="2"/>
  <c r="L66" i="2"/>
  <c r="AG30" i="2"/>
  <c r="AI52" i="2"/>
  <c r="AF21" i="2"/>
  <c r="AJ92" i="2"/>
  <c r="AD38" i="2"/>
  <c r="AM89" i="2"/>
  <c r="O38" i="2"/>
  <c r="U46" i="2"/>
  <c r="AA70" i="2"/>
  <c r="I30" i="2"/>
  <c r="M90" i="2"/>
  <c r="AE22" i="2"/>
  <c r="AG66" i="2"/>
  <c r="Q79" i="2"/>
  <c r="AM24" i="2"/>
  <c r="Q15" i="2"/>
  <c r="U88" i="2"/>
  <c r="AM71" i="2"/>
  <c r="Q8" i="2"/>
  <c r="AM4" i="2"/>
  <c r="AK36" i="2"/>
  <c r="T13" i="2"/>
  <c r="AH37" i="2"/>
  <c r="AQ53" i="2"/>
  <c r="U97" i="2"/>
  <c r="U79" i="2"/>
  <c r="U74" i="2"/>
  <c r="U54" i="2"/>
  <c r="U21" i="2"/>
  <c r="AG51" i="2"/>
  <c r="H40" i="2"/>
  <c r="L16" i="2"/>
  <c r="L60" i="2"/>
  <c r="S35" i="2"/>
  <c r="AA91" i="2"/>
  <c r="AA92" i="2"/>
  <c r="AA81" i="2"/>
  <c r="AA30" i="2"/>
  <c r="AA23" i="2"/>
  <c r="I93" i="2"/>
  <c r="I76" i="2"/>
  <c r="I69" i="2"/>
  <c r="I25" i="2"/>
  <c r="G92" i="2"/>
  <c r="G81" i="2"/>
  <c r="G64" i="2"/>
  <c r="G22" i="2"/>
  <c r="K96" i="2"/>
  <c r="K84" i="2"/>
  <c r="K31" i="2"/>
  <c r="K22" i="2"/>
  <c r="AB77" i="2"/>
  <c r="AB61" i="2"/>
  <c r="AB21" i="2"/>
  <c r="M91" i="2"/>
  <c r="M83" i="2"/>
  <c r="M28" i="2"/>
  <c r="V97" i="2"/>
  <c r="V67" i="2"/>
  <c r="V54" i="2"/>
  <c r="V23" i="2"/>
  <c r="N73" i="2"/>
  <c r="N68" i="2"/>
  <c r="N21" i="2"/>
  <c r="AE92" i="2"/>
  <c r="AE74" i="2"/>
  <c r="AE63" i="2"/>
  <c r="AE26" i="2"/>
  <c r="AL45" i="2"/>
  <c r="AJ59" i="2"/>
  <c r="K59" i="2"/>
  <c r="AG18" i="2"/>
  <c r="AK17" i="2"/>
  <c r="AC40" i="2"/>
  <c r="AG58" i="2"/>
  <c r="W36" i="2"/>
  <c r="AC58" i="2"/>
  <c r="Y87" i="2"/>
  <c r="R18" i="2"/>
  <c r="AD67" i="2"/>
  <c r="AD6" i="2"/>
  <c r="R84" i="2"/>
  <c r="J83" i="2"/>
  <c r="AQ42" i="2"/>
  <c r="AE45" i="2"/>
  <c r="U86" i="2"/>
  <c r="AK32" i="2"/>
  <c r="AN71" i="2"/>
  <c r="T93" i="2"/>
  <c r="L74" i="2"/>
  <c r="AG26" i="2"/>
  <c r="AD40" i="2"/>
  <c r="AN48" i="3"/>
  <c r="AN48" i="2" s="1"/>
  <c r="AN49" i="2"/>
  <c r="Q11" i="2"/>
  <c r="AG68" i="2"/>
  <c r="AM75" i="2"/>
  <c r="J10" i="2"/>
  <c r="U81" i="2"/>
  <c r="AG12" i="2"/>
  <c r="I24" i="2"/>
  <c r="AB76" i="2"/>
  <c r="N8" i="2"/>
  <c r="S38" i="2"/>
  <c r="AM73" i="2"/>
  <c r="Y41" i="2"/>
  <c r="X52" i="2"/>
  <c r="Q20" i="2"/>
  <c r="S60" i="2"/>
  <c r="Q89" i="2"/>
  <c r="AM68" i="2"/>
  <c r="AG14" i="2"/>
  <c r="O41" i="2"/>
  <c r="U72" i="2"/>
  <c r="I17" i="2"/>
  <c r="Z35" i="2"/>
  <c r="AF52" i="2"/>
  <c r="P52" i="2"/>
  <c r="AA97" i="2"/>
  <c r="AA88" i="2"/>
  <c r="AA67" i="2"/>
  <c r="AA33" i="2"/>
  <c r="AA26" i="2"/>
  <c r="I97" i="2"/>
  <c r="I70" i="2"/>
  <c r="I84" i="2"/>
  <c r="I20" i="2"/>
  <c r="G95" i="2"/>
  <c r="G67" i="2"/>
  <c r="G54" i="2"/>
  <c r="G4" i="2"/>
  <c r="K89" i="2"/>
  <c r="K81" i="2"/>
  <c r="K27" i="2"/>
  <c r="AB91" i="2"/>
  <c r="AB75" i="2"/>
  <c r="AB63" i="2"/>
  <c r="AB7" i="2"/>
  <c r="M88" i="2"/>
  <c r="M76" i="2"/>
  <c r="M30" i="2"/>
  <c r="V95" i="2"/>
  <c r="V78" i="2"/>
  <c r="V61" i="2"/>
  <c r="V20" i="2"/>
  <c r="N71" i="2"/>
  <c r="N63" i="2"/>
  <c r="N7" i="2"/>
  <c r="AE91" i="2"/>
  <c r="AE72" i="2"/>
  <c r="AE32" i="2"/>
  <c r="AE23" i="2"/>
  <c r="AQ43" i="2"/>
  <c r="AO85" i="2"/>
  <c r="AS51" i="2"/>
  <c r="AQ48" i="3"/>
  <c r="AQ48" i="2" s="1"/>
  <c r="AQ49" i="2"/>
  <c r="AH40" i="2"/>
  <c r="AI86" i="2"/>
  <c r="F15" i="2"/>
  <c r="V40" i="2"/>
  <c r="AI48" i="3"/>
  <c r="AI48" i="2" s="1"/>
  <c r="AI49" i="2"/>
  <c r="AL58" i="2"/>
  <c r="H13" i="2"/>
  <c r="AD78" i="2"/>
  <c r="P14" i="2"/>
  <c r="R81" i="2"/>
  <c r="J70" i="2"/>
  <c r="AC52" i="2"/>
  <c r="AH11" i="2"/>
  <c r="AO16" i="2"/>
  <c r="AK21" i="2"/>
  <c r="AN46" i="2"/>
  <c r="T97" i="2"/>
  <c r="L89" i="2"/>
  <c r="AG21" i="2"/>
  <c r="S87" i="2"/>
  <c r="AR90" i="2"/>
  <c r="M53" i="2"/>
  <c r="F49" i="2"/>
  <c r="F48" i="3"/>
  <c r="F48" i="2" s="1"/>
  <c r="Q4" i="2"/>
  <c r="U60" i="2"/>
  <c r="AA37" i="2"/>
  <c r="AM42" i="2"/>
  <c r="I72" i="2"/>
  <c r="AB72" i="2"/>
  <c r="AE61" i="2"/>
  <c r="T24" i="2"/>
  <c r="Q46" i="2"/>
  <c r="K14" i="2"/>
  <c r="AG55" i="3"/>
  <c r="AG55" i="2" s="1"/>
  <c r="AG56" i="2"/>
  <c r="Q77" i="2"/>
  <c r="AM92" i="2"/>
  <c r="Q90" i="2"/>
  <c r="AM26" i="2"/>
  <c r="W45" i="2"/>
  <c r="AA78" i="2"/>
  <c r="I61" i="2"/>
  <c r="G78" i="2"/>
  <c r="G25" i="2"/>
  <c r="K83" i="2"/>
  <c r="K67" i="2"/>
  <c r="K32" i="2"/>
  <c r="AB97" i="2"/>
  <c r="AB73" i="2"/>
  <c r="AB33" i="2"/>
  <c r="AB24" i="2"/>
  <c r="M66" i="2"/>
  <c r="M70" i="2"/>
  <c r="M23" i="2"/>
  <c r="V88" i="2"/>
  <c r="V74" i="2"/>
  <c r="V32" i="2"/>
  <c r="V8" i="2"/>
  <c r="N69" i="2"/>
  <c r="N66" i="2"/>
  <c r="N27" i="2"/>
  <c r="AE97" i="2"/>
  <c r="AE89" i="2"/>
  <c r="AE31" i="2"/>
  <c r="Z42" i="2"/>
  <c r="AN53" i="2"/>
  <c r="M14" i="2"/>
  <c r="AP41" i="2"/>
  <c r="AN59" i="2"/>
  <c r="O39" i="2"/>
  <c r="AA18" i="2"/>
  <c r="T17" i="2"/>
  <c r="N58" i="2"/>
  <c r="AE57" i="2"/>
  <c r="L18" i="2"/>
  <c r="Y10" i="2"/>
  <c r="AD74" i="2"/>
  <c r="L15" i="2"/>
  <c r="R33" i="2"/>
  <c r="J73" i="2"/>
  <c r="W55" i="3"/>
  <c r="W55" i="2" s="1"/>
  <c r="W56" i="2"/>
  <c r="AQ14" i="2"/>
  <c r="P53" i="2"/>
  <c r="AS11" i="2"/>
  <c r="AN4" i="2"/>
  <c r="T77" i="2"/>
  <c r="L30" i="2"/>
  <c r="F89" i="2"/>
  <c r="J40" i="2"/>
  <c r="AR4" i="2"/>
  <c r="AC54" i="2"/>
  <c r="Q78" i="2"/>
  <c r="AL51" i="2"/>
  <c r="H18" i="2"/>
  <c r="H36" i="2"/>
  <c r="I96" i="2"/>
  <c r="G33" i="2"/>
  <c r="K21" i="2"/>
  <c r="M8" i="2"/>
  <c r="N72" i="2"/>
  <c r="R85" i="2"/>
  <c r="F57" i="2"/>
  <c r="AD21" i="2"/>
  <c r="AS45" i="2"/>
  <c r="AM96" i="2"/>
  <c r="Z15" i="2"/>
  <c r="Q63" i="2"/>
  <c r="AM22" i="2"/>
  <c r="Q75" i="2"/>
  <c r="AM70" i="2"/>
  <c r="F41" i="2"/>
  <c r="M85" i="2"/>
  <c r="Q73" i="2"/>
  <c r="AM95" i="2"/>
  <c r="AF42" i="2"/>
  <c r="AP50" i="2"/>
  <c r="AR15" i="2"/>
  <c r="U94" i="2"/>
  <c r="U7" i="2"/>
  <c r="Q76" i="2"/>
  <c r="Q23" i="2"/>
  <c r="AM88" i="2"/>
  <c r="O53" i="2"/>
  <c r="W43" i="2"/>
  <c r="L87" i="2"/>
  <c r="U96" i="2"/>
  <c r="U33" i="2"/>
  <c r="Z39" i="2"/>
  <c r="AA66" i="2"/>
  <c r="AA21" i="2"/>
  <c r="I68" i="2"/>
  <c r="I8" i="2"/>
  <c r="Q70" i="2"/>
  <c r="Q26" i="2"/>
  <c r="AM67" i="2"/>
  <c r="AM64" i="2"/>
  <c r="AM33" i="2"/>
  <c r="AM8" i="2"/>
  <c r="H85" i="2"/>
  <c r="Y48" i="3"/>
  <c r="Y48" i="2" s="1"/>
  <c r="Y49" i="2"/>
  <c r="AS42" i="2"/>
  <c r="X34" i="2"/>
  <c r="AE40" i="2"/>
  <c r="Y37" i="2"/>
  <c r="P11" i="2"/>
  <c r="Q37" i="2"/>
  <c r="R55" i="3"/>
  <c r="R55" i="2" s="1"/>
  <c r="R56" i="2"/>
  <c r="AI57" i="2"/>
  <c r="U92" i="2"/>
  <c r="U73" i="2"/>
  <c r="U83" i="2"/>
  <c r="U31" i="2"/>
  <c r="U22" i="2"/>
  <c r="U57" i="2"/>
  <c r="M10" i="2"/>
  <c r="AQ51" i="2"/>
  <c r="AB36" i="2"/>
  <c r="M15" i="2"/>
  <c r="AA96" i="2"/>
  <c r="AA79" i="2"/>
  <c r="AA74" i="2"/>
  <c r="AA27" i="2"/>
  <c r="AA7" i="2"/>
  <c r="I67" i="2"/>
  <c r="I90" i="2"/>
  <c r="I46" i="2"/>
  <c r="I6" i="2"/>
  <c r="G91" i="2"/>
  <c r="G74" i="2"/>
  <c r="G63" i="2"/>
  <c r="G20" i="2"/>
  <c r="K90" i="2"/>
  <c r="K78" i="2"/>
  <c r="K28" i="2"/>
  <c r="AB94" i="2"/>
  <c r="AB71" i="2"/>
  <c r="AB31" i="2"/>
  <c r="AB25" i="2"/>
  <c r="M73" i="2"/>
  <c r="M68" i="2"/>
  <c r="M26" i="2"/>
  <c r="V93" i="2"/>
  <c r="V72" i="2"/>
  <c r="V28" i="2"/>
  <c r="V6" i="2"/>
  <c r="N81" i="2"/>
  <c r="N64" i="2"/>
  <c r="N24" i="2"/>
  <c r="AE79" i="2"/>
  <c r="AE83" i="2"/>
  <c r="AE27" i="2"/>
  <c r="AK38" i="2"/>
  <c r="AE36" i="2"/>
  <c r="J17" i="2"/>
  <c r="W50" i="2"/>
  <c r="AC57" i="2"/>
  <c r="U35" i="2"/>
  <c r="X14" i="2"/>
  <c r="AR39" i="2"/>
  <c r="U36" i="2"/>
  <c r="Z55" i="3"/>
  <c r="Z55" i="2" s="1"/>
  <c r="Z56" i="2"/>
  <c r="Q14" i="2"/>
  <c r="AL37" i="2"/>
  <c r="AD63" i="2"/>
  <c r="O60" i="2"/>
  <c r="R27" i="2"/>
  <c r="J69" i="2"/>
  <c r="S41" i="2"/>
  <c r="AC37" i="2"/>
  <c r="U11" i="2"/>
  <c r="AN34" i="2"/>
  <c r="AN20" i="2"/>
  <c r="T73" i="2"/>
  <c r="L8" i="2"/>
  <c r="F54" i="2"/>
  <c r="T35" i="2"/>
  <c r="AQ10" i="2"/>
  <c r="AS76" i="2"/>
  <c r="X79" i="2"/>
  <c r="Q66" i="2"/>
  <c r="Q40" i="2"/>
  <c r="AE85" i="2"/>
  <c r="Y85" i="2"/>
  <c r="AA71" i="2"/>
  <c r="I75" i="2"/>
  <c r="K77" i="2"/>
  <c r="M31" i="2"/>
  <c r="V21" i="2"/>
  <c r="AE71" i="2"/>
  <c r="V37" i="2"/>
  <c r="K13" i="2"/>
  <c r="AD90" i="2"/>
  <c r="J6" i="2"/>
  <c r="AM83" i="2"/>
  <c r="L45" i="2"/>
  <c r="Q72" i="2"/>
  <c r="AH13" i="2"/>
  <c r="AM90" i="2"/>
  <c r="AM28" i="2"/>
  <c r="T60" i="2"/>
  <c r="K38" i="2"/>
  <c r="Q95" i="2"/>
  <c r="Q28" i="2"/>
  <c r="AM84" i="2"/>
  <c r="AM25" i="2"/>
  <c r="AS50" i="2"/>
  <c r="AB14" i="2"/>
  <c r="AN51" i="2"/>
  <c r="U61" i="2"/>
  <c r="Q93" i="2"/>
  <c r="Q30" i="2"/>
  <c r="AM81" i="2"/>
  <c r="AK86" i="2"/>
  <c r="AC55" i="3"/>
  <c r="AC55" i="2" s="1"/>
  <c r="AC56" i="2"/>
  <c r="S10" i="2"/>
  <c r="AC60" i="2"/>
  <c r="U89" i="2"/>
  <c r="N48" i="3"/>
  <c r="N48" i="2" s="1"/>
  <c r="N49" i="2"/>
  <c r="AJ48" i="3"/>
  <c r="AJ48" i="2" s="1"/>
  <c r="AJ49" i="2"/>
  <c r="AA31" i="2"/>
  <c r="G46" i="2"/>
  <c r="Q69" i="2"/>
  <c r="Q33" i="2"/>
  <c r="AM91" i="2"/>
  <c r="Q94" i="2"/>
  <c r="Q68" i="2"/>
  <c r="Q84" i="2"/>
  <c r="Q31" i="2"/>
  <c r="Q24" i="2"/>
  <c r="AM97" i="2"/>
  <c r="AM78" i="2"/>
  <c r="AM54" i="2"/>
  <c r="AM31" i="2"/>
  <c r="AM6" i="2"/>
  <c r="AE38" i="2"/>
  <c r="AP13" i="2"/>
  <c r="M39" i="2"/>
  <c r="N34" i="2"/>
  <c r="Z16" i="2"/>
  <c r="AL43" i="2"/>
  <c r="G37" i="2"/>
  <c r="AM38" i="2"/>
  <c r="M60" i="2"/>
  <c r="I13" i="2"/>
  <c r="U90" i="2"/>
  <c r="U71" i="2"/>
  <c r="U76" i="2"/>
  <c r="U27" i="2"/>
  <c r="U4" i="2"/>
  <c r="Y17" i="2"/>
  <c r="Q85" i="2"/>
  <c r="V43" i="2"/>
  <c r="AM35" i="2"/>
  <c r="F37" i="2"/>
  <c r="AA89" i="2"/>
  <c r="AA77" i="2"/>
  <c r="AA72" i="2"/>
  <c r="AA32" i="2"/>
  <c r="AA24" i="2"/>
  <c r="I94" i="2"/>
  <c r="I91" i="2"/>
  <c r="I63" i="2"/>
  <c r="I27" i="2"/>
  <c r="G97" i="2"/>
  <c r="G83" i="2"/>
  <c r="G32" i="2"/>
  <c r="G8" i="2"/>
  <c r="K88" i="2"/>
  <c r="K74" i="2"/>
  <c r="K6" i="2"/>
  <c r="AB96" i="2"/>
  <c r="AB69" i="2"/>
  <c r="AB27" i="2"/>
  <c r="AB4" i="2"/>
  <c r="M71" i="2"/>
  <c r="M46" i="2"/>
  <c r="M22" i="2"/>
  <c r="V79" i="2"/>
  <c r="V90" i="2"/>
  <c r="V30" i="2"/>
  <c r="N97" i="2"/>
  <c r="N67" i="2"/>
  <c r="N54" i="2"/>
  <c r="N23" i="2"/>
  <c r="AE77" i="2"/>
  <c r="AE76" i="2"/>
  <c r="AE21" i="2"/>
  <c r="AH44" i="2"/>
  <c r="V42" i="2"/>
  <c r="F39" i="2"/>
  <c r="AH45" i="2"/>
  <c r="AI51" i="2"/>
  <c r="R44" i="2"/>
  <c r="V41" i="2"/>
  <c r="L41" i="2"/>
  <c r="R50" i="2"/>
  <c r="AK59" i="2"/>
  <c r="AE51" i="2"/>
  <c r="AA12" i="2"/>
  <c r="AD64" i="2"/>
  <c r="AM12" i="2"/>
  <c r="R6" i="2"/>
  <c r="J30" i="2"/>
  <c r="T34" i="2"/>
  <c r="AH60" i="2"/>
  <c r="AI34" i="2"/>
  <c r="AO18" i="2"/>
  <c r="X97" i="2"/>
  <c r="T61" i="2"/>
  <c r="AG95" i="2"/>
  <c r="F26" i="2"/>
  <c r="I37" i="2"/>
  <c r="J55" i="3"/>
  <c r="J55" i="2" s="1"/>
  <c r="J56" i="2"/>
  <c r="AL85" i="2"/>
  <c r="T21" i="2"/>
  <c r="Q61" i="2"/>
  <c r="AM46" i="2"/>
  <c r="AC85" i="2"/>
  <c r="U30" i="2"/>
  <c r="AA20" i="2"/>
  <c r="K91" i="2"/>
  <c r="AB30" i="2"/>
  <c r="V63" i="2"/>
  <c r="N46" i="2"/>
  <c r="AE87" i="2"/>
  <c r="AL14" i="2"/>
  <c r="AB44" i="2"/>
  <c r="R96" i="2"/>
  <c r="AN92" i="2"/>
  <c r="Q96" i="2"/>
  <c r="AM63" i="2"/>
  <c r="U50" i="2"/>
  <c r="Q92" i="2"/>
  <c r="AM32" i="2"/>
  <c r="Q32" i="2"/>
  <c r="AM69" i="2"/>
  <c r="Z58" i="2"/>
  <c r="Z85" i="2"/>
  <c r="Q83" i="2"/>
  <c r="Q6" i="2"/>
  <c r="AM30" i="2"/>
  <c r="AG36" i="2"/>
  <c r="N10" i="2"/>
  <c r="U77" i="2"/>
  <c r="AD51" i="2"/>
  <c r="Q71" i="2"/>
  <c r="AM93" i="2"/>
  <c r="AM20" i="2"/>
  <c r="AD39" i="2"/>
  <c r="H35" i="2"/>
  <c r="U45" i="2"/>
  <c r="U75" i="2"/>
  <c r="U24" i="2"/>
  <c r="AB15" i="2"/>
  <c r="AA94" i="2"/>
  <c r="I81" i="2"/>
  <c r="G93" i="2"/>
  <c r="Q97" i="2"/>
  <c r="Q81" i="2"/>
  <c r="Q91" i="2"/>
  <c r="Q64" i="2"/>
  <c r="Q27" i="2"/>
  <c r="Q21" i="2"/>
  <c r="AM79" i="2"/>
  <c r="AM74" i="2"/>
  <c r="AM66" i="2"/>
  <c r="AM27" i="2"/>
  <c r="AM23" i="2"/>
  <c r="W41" i="2"/>
  <c r="AB60" i="2"/>
  <c r="AN17" i="2"/>
  <c r="G57" i="2"/>
  <c r="AK57" i="2"/>
  <c r="AQ58" i="2"/>
  <c r="AJ43" i="2"/>
  <c r="AD45" i="2"/>
  <c r="J86" i="2"/>
  <c r="AE35" i="2"/>
  <c r="U95" i="2"/>
  <c r="U69" i="2"/>
  <c r="U70" i="2"/>
  <c r="U32" i="2"/>
  <c r="U20" i="2"/>
  <c r="K55" i="3"/>
  <c r="K55" i="2" s="1"/>
  <c r="K56" i="2"/>
  <c r="AP51" i="2"/>
  <c r="AK50" i="2"/>
  <c r="W10" i="2"/>
  <c r="AI10" i="2"/>
  <c r="AA83" i="2"/>
  <c r="AA75" i="2"/>
  <c r="AA64" i="2"/>
  <c r="AA28" i="2"/>
  <c r="AA22" i="2"/>
  <c r="I78" i="2"/>
  <c r="I79" i="2"/>
  <c r="I32" i="2"/>
  <c r="I23" i="2"/>
  <c r="G79" i="2"/>
  <c r="G76" i="2"/>
  <c r="G28" i="2"/>
  <c r="G6" i="2"/>
  <c r="K66" i="2"/>
  <c r="K72" i="2"/>
  <c r="K23" i="2"/>
  <c r="AB92" i="2"/>
  <c r="AB78" i="2"/>
  <c r="AB32" i="2"/>
  <c r="AB22" i="2"/>
  <c r="M69" i="2"/>
  <c r="M63" i="2"/>
  <c r="M4" i="2"/>
  <c r="V77" i="2"/>
  <c r="V70" i="2"/>
  <c r="V27" i="2"/>
  <c r="N94" i="2"/>
  <c r="N78" i="2"/>
  <c r="N61" i="2"/>
  <c r="N6" i="2"/>
  <c r="AE75" i="2"/>
  <c r="AE64" i="2"/>
  <c r="AE7" i="2"/>
  <c r="O55" i="3"/>
  <c r="O55" i="2" s="1"/>
  <c r="O56" i="2"/>
  <c r="AA44" i="2"/>
  <c r="T43" i="2"/>
  <c r="O43" i="2"/>
  <c r="I11" i="2"/>
  <c r="T85" i="2"/>
  <c r="Z60" i="2"/>
  <c r="Q42" i="2"/>
  <c r="M42" i="2"/>
  <c r="AH85" i="2"/>
  <c r="N53" i="2"/>
  <c r="X35" i="2"/>
  <c r="AD54" i="2"/>
  <c r="T44" i="2"/>
  <c r="R26" i="2"/>
  <c r="J31" i="2"/>
  <c r="L40" i="2"/>
  <c r="G16" i="2"/>
  <c r="K52" i="2"/>
  <c r="AO55" i="3"/>
  <c r="AO55" i="2" s="1"/>
  <c r="AO56" i="2"/>
  <c r="X78" i="2"/>
  <c r="T31" i="2"/>
  <c r="AG91" i="2"/>
  <c r="F24" i="2"/>
  <c r="G60" i="2"/>
  <c r="K40" i="2"/>
  <c r="O15" i="2"/>
  <c r="AA53" i="2"/>
  <c r="G38" i="2"/>
  <c r="R94" i="2"/>
  <c r="R68" i="2"/>
  <c r="R90" i="2"/>
  <c r="R31" i="2"/>
  <c r="R23" i="2"/>
  <c r="K58" i="2"/>
  <c r="J91" i="2"/>
  <c r="J76" i="2"/>
  <c r="J71" i="2"/>
  <c r="J33" i="2"/>
  <c r="J8" i="2"/>
  <c r="O36" i="2"/>
  <c r="AN85" i="2"/>
  <c r="N16" i="2"/>
  <c r="AR40" i="2"/>
  <c r="W57" i="2"/>
  <c r="Y38" i="2"/>
  <c r="AA41" i="2"/>
  <c r="AN18" i="2"/>
  <c r="P15" i="2"/>
  <c r="I52" i="2"/>
  <c r="T57" i="2"/>
  <c r="AJ12" i="2"/>
  <c r="O10" i="2"/>
  <c r="AF48" i="3"/>
  <c r="AF48" i="2" s="1"/>
  <c r="AF49" i="2"/>
  <c r="AK79" i="2"/>
  <c r="AK83" i="2"/>
  <c r="AK28" i="2"/>
  <c r="M51" i="2"/>
  <c r="AD37" i="2"/>
  <c r="AN96" i="2"/>
  <c r="AN72" i="2"/>
  <c r="AN61" i="2"/>
  <c r="AN25" i="2"/>
  <c r="X94" i="2"/>
  <c r="X77" i="2"/>
  <c r="X33" i="2"/>
  <c r="T91" i="2"/>
  <c r="T75" i="2"/>
  <c r="T33" i="2"/>
  <c r="T7" i="2"/>
  <c r="L76" i="2"/>
  <c r="L72" i="2"/>
  <c r="L20" i="2"/>
  <c r="AG93" i="2"/>
  <c r="AG88" i="2"/>
  <c r="AG28" i="2"/>
  <c r="AG24" i="2"/>
  <c r="F83" i="2"/>
  <c r="F69" i="2"/>
  <c r="J52" i="2"/>
  <c r="N50" i="2"/>
  <c r="F34" i="2"/>
  <c r="P58" i="2"/>
  <c r="K37" i="2"/>
  <c r="AF23" i="2"/>
  <c r="AR92" i="2"/>
  <c r="L86" i="2"/>
  <c r="AF35" i="2"/>
  <c r="N37" i="2"/>
  <c r="AJ96" i="2"/>
  <c r="AE13" i="2"/>
  <c r="AP61" i="2"/>
  <c r="I48" i="3"/>
  <c r="I48" i="2" s="1"/>
  <c r="I49" i="2"/>
  <c r="AQ17" i="2"/>
  <c r="AD97" i="2"/>
  <c r="AD75" i="2"/>
  <c r="AD72" i="2"/>
  <c r="AD61" i="2"/>
  <c r="AD24" i="2"/>
  <c r="T14" i="2"/>
  <c r="Y39" i="2"/>
  <c r="AK35" i="2"/>
  <c r="R92" i="2"/>
  <c r="R66" i="2"/>
  <c r="R67" i="2"/>
  <c r="R32" i="2"/>
  <c r="R21" i="2"/>
  <c r="H57" i="2"/>
  <c r="J94" i="2"/>
  <c r="J68" i="2"/>
  <c r="J84" i="2"/>
  <c r="J27" i="2"/>
  <c r="J23" i="2"/>
  <c r="R49" i="2"/>
  <c r="R48" i="3"/>
  <c r="R48" i="2" s="1"/>
  <c r="AI87" i="2"/>
  <c r="P37" i="2"/>
  <c r="Q44" i="2"/>
  <c r="AK11" i="2"/>
  <c r="AQ34" i="2"/>
  <c r="O16" i="2"/>
  <c r="AI38" i="2"/>
  <c r="AJ51" i="2"/>
  <c r="W13" i="2"/>
  <c r="AL16" i="2"/>
  <c r="Y52" i="2"/>
  <c r="R45" i="2"/>
  <c r="AS60" i="2"/>
  <c r="AK75" i="2"/>
  <c r="AK70" i="2"/>
  <c r="AK7" i="2"/>
  <c r="X38" i="2"/>
  <c r="O85" i="2"/>
  <c r="AN90" i="2"/>
  <c r="AN83" i="2"/>
  <c r="AN63" i="2"/>
  <c r="AN8" i="2"/>
  <c r="X74" i="2"/>
  <c r="X73" i="2"/>
  <c r="X4" i="2"/>
  <c r="T94" i="2"/>
  <c r="T71" i="2"/>
  <c r="T46" i="2"/>
  <c r="T25" i="2"/>
  <c r="L79" i="2"/>
  <c r="L83" i="2"/>
  <c r="L27" i="2"/>
  <c r="AG97" i="2"/>
  <c r="AG94" i="2"/>
  <c r="AG33" i="2"/>
  <c r="AG7" i="2"/>
  <c r="F61" i="2"/>
  <c r="F71" i="2"/>
  <c r="AF57" i="2"/>
  <c r="AH17" i="2"/>
  <c r="K35" i="2"/>
  <c r="Q59" i="2"/>
  <c r="AF91" i="2"/>
  <c r="V17" i="2"/>
  <c r="AR73" i="2"/>
  <c r="AA36" i="2"/>
  <c r="G43" i="2"/>
  <c r="Q49" i="2"/>
  <c r="Q48" i="3"/>
  <c r="Q48" i="2" s="1"/>
  <c r="AJ71" i="2"/>
  <c r="W77" i="2"/>
  <c r="O66" i="2"/>
  <c r="AI66" i="2"/>
  <c r="AN39" i="2"/>
  <c r="AD94" i="2"/>
  <c r="AD73" i="2"/>
  <c r="AD89" i="2"/>
  <c r="AD46" i="2"/>
  <c r="AD22" i="2"/>
  <c r="I45" i="2"/>
  <c r="V55" i="3"/>
  <c r="V55" i="2" s="1"/>
  <c r="V56" i="2"/>
  <c r="AG35" i="2"/>
  <c r="R78" i="2"/>
  <c r="R79" i="2"/>
  <c r="R64" i="2"/>
  <c r="R28" i="2"/>
  <c r="R7" i="2"/>
  <c r="AE39" i="2"/>
  <c r="J96" i="2"/>
  <c r="J90" i="2"/>
  <c r="J81" i="2"/>
  <c r="J54" i="2"/>
  <c r="J26" i="2"/>
  <c r="M52" i="2"/>
  <c r="I18" i="2"/>
  <c r="G36" i="2"/>
  <c r="AM51" i="2"/>
  <c r="AH38" i="2"/>
  <c r="AI44" i="2"/>
  <c r="U37" i="2"/>
  <c r="AF85" i="2"/>
  <c r="AO34" i="2"/>
  <c r="AA48" i="3"/>
  <c r="AA48" i="2" s="1"/>
  <c r="AA49" i="2"/>
  <c r="AQ16" i="2"/>
  <c r="AL60" i="2"/>
  <c r="M36" i="2"/>
  <c r="AK97" i="2"/>
  <c r="AK73" i="2"/>
  <c r="AK68" i="2"/>
  <c r="AK24" i="2"/>
  <c r="AJ40" i="2"/>
  <c r="Y86" i="2"/>
  <c r="AN95" i="2"/>
  <c r="AN88" i="2"/>
  <c r="AN32" i="2"/>
  <c r="AN6" i="2"/>
  <c r="X72" i="2"/>
  <c r="X71" i="2"/>
  <c r="X25" i="2"/>
  <c r="T96" i="2"/>
  <c r="T67" i="2"/>
  <c r="T32" i="2"/>
  <c r="T22" i="2"/>
  <c r="L77" i="2"/>
  <c r="L61" i="2"/>
  <c r="L21" i="2"/>
  <c r="AG81" i="2"/>
  <c r="AG73" i="2"/>
  <c r="AG31" i="2"/>
  <c r="F97" i="2"/>
  <c r="F33" i="2"/>
  <c r="F78" i="2"/>
  <c r="K87" i="2"/>
  <c r="Y13" i="2"/>
  <c r="AS35" i="2"/>
  <c r="AN15" i="2"/>
  <c r="AF97" i="2"/>
  <c r="P12" i="2"/>
  <c r="AR71" i="2"/>
  <c r="Z50" i="2"/>
  <c r="AJ87" i="2"/>
  <c r="AM58" i="2"/>
  <c r="AJ84" i="2"/>
  <c r="W73" i="2"/>
  <c r="S64" i="2"/>
  <c r="H83" i="2"/>
  <c r="AC45" i="2"/>
  <c r="AD96" i="2"/>
  <c r="AD71" i="2"/>
  <c r="AD83" i="2"/>
  <c r="AD33" i="2"/>
  <c r="AD4" i="2"/>
  <c r="N44" i="2"/>
  <c r="G86" i="2"/>
  <c r="AM15" i="2"/>
  <c r="R74" i="2"/>
  <c r="R77" i="2"/>
  <c r="R61" i="2"/>
  <c r="R22" i="2"/>
  <c r="R24" i="2"/>
  <c r="AH39" i="2"/>
  <c r="J92" i="2"/>
  <c r="J88" i="2"/>
  <c r="J67" i="2"/>
  <c r="J32" i="2"/>
  <c r="J21" i="2"/>
  <c r="J60" i="2"/>
  <c r="AE11" i="2"/>
  <c r="AJ45" i="2"/>
  <c r="AD52" i="2"/>
  <c r="O42" i="2"/>
  <c r="AF45" i="2"/>
  <c r="R43" i="2"/>
  <c r="K86" i="2"/>
  <c r="Y57" i="2"/>
  <c r="N86" i="2"/>
  <c r="AN35" i="2"/>
  <c r="AQ60" i="2"/>
  <c r="J45" i="2"/>
  <c r="AK94" i="2"/>
  <c r="AK71" i="2"/>
  <c r="AK54" i="2"/>
  <c r="AK22" i="2"/>
  <c r="Q53" i="2"/>
  <c r="AA86" i="2"/>
  <c r="AN93" i="2"/>
  <c r="AN66" i="2"/>
  <c r="AN28" i="2"/>
  <c r="X96" i="2"/>
  <c r="X89" i="2"/>
  <c r="X69" i="2"/>
  <c r="X20" i="2"/>
  <c r="T92" i="2"/>
  <c r="T78" i="2"/>
  <c r="T28" i="2"/>
  <c r="L91" i="2"/>
  <c r="L75" i="2"/>
  <c r="L63" i="2"/>
  <c r="L7" i="2"/>
  <c r="AG67" i="2"/>
  <c r="AG71" i="2"/>
  <c r="AG27" i="2"/>
  <c r="F95" i="2"/>
  <c r="F30" i="2"/>
  <c r="P18" i="2"/>
  <c r="AL17" i="2"/>
  <c r="AP58" i="2"/>
  <c r="R58" i="2"/>
  <c r="AF83" i="2"/>
  <c r="AF44" i="2"/>
  <c r="AR83" i="2"/>
  <c r="H43" i="2"/>
  <c r="AM57" i="2"/>
  <c r="J48" i="3"/>
  <c r="J48" i="2" s="1"/>
  <c r="J49" i="2"/>
  <c r="AJ27" i="2"/>
  <c r="W66" i="2"/>
  <c r="AO54" i="2"/>
  <c r="AI17" i="2"/>
  <c r="AI53" i="2"/>
  <c r="AD92" i="2"/>
  <c r="AD69" i="2"/>
  <c r="AD76" i="2"/>
  <c r="AD31" i="2"/>
  <c r="AD25" i="2"/>
  <c r="J41" i="2"/>
  <c r="AR52" i="2"/>
  <c r="X42" i="2"/>
  <c r="R72" i="2"/>
  <c r="R75" i="2"/>
  <c r="R46" i="2"/>
  <c r="R4" i="2"/>
  <c r="AO42" i="2"/>
  <c r="H17" i="2"/>
  <c r="J78" i="2"/>
  <c r="J66" i="2"/>
  <c r="J64" i="2"/>
  <c r="J28" i="2"/>
  <c r="J7" i="2"/>
  <c r="AG13" i="2"/>
  <c r="V34" i="2"/>
  <c r="AO45" i="2"/>
  <c r="I85" i="2"/>
  <c r="R41" i="2"/>
  <c r="K60" i="2"/>
  <c r="M48" i="3"/>
  <c r="M48" i="2" s="1"/>
  <c r="M49" i="2"/>
  <c r="AS57" i="2"/>
  <c r="AR17" i="2"/>
  <c r="S58" i="2"/>
  <c r="Z45" i="2"/>
  <c r="AN55" i="3"/>
  <c r="AN55" i="2" s="1"/>
  <c r="AN56" i="2"/>
  <c r="F60" i="2"/>
  <c r="AK96" i="2"/>
  <c r="AK69" i="2"/>
  <c r="AK61" i="2"/>
  <c r="AK4" i="2"/>
  <c r="AF59" i="2"/>
  <c r="U16" i="2"/>
  <c r="AN91" i="2"/>
  <c r="AN79" i="2"/>
  <c r="AN30" i="2"/>
  <c r="X92" i="2"/>
  <c r="X83" i="2"/>
  <c r="X46" i="2"/>
  <c r="X8" i="2"/>
  <c r="T90" i="2"/>
  <c r="T74" i="2"/>
  <c r="T30" i="2"/>
  <c r="L97" i="2"/>
  <c r="L73" i="2"/>
  <c r="L31" i="2"/>
  <c r="L24" i="2"/>
  <c r="AG78" i="2"/>
  <c r="AG69" i="2"/>
  <c r="AG22" i="2"/>
  <c r="F79" i="2"/>
  <c r="F46" i="2"/>
  <c r="F27" i="2"/>
  <c r="G41" i="2"/>
  <c r="AQ36" i="2"/>
  <c r="AJ14" i="2"/>
  <c r="M86" i="2"/>
  <c r="AF76" i="2"/>
  <c r="AH53" i="2"/>
  <c r="AR61" i="2"/>
  <c r="Y60" i="2"/>
  <c r="AD87" i="2"/>
  <c r="H10" i="2"/>
  <c r="AJ32" i="2"/>
  <c r="W54" i="2"/>
  <c r="AL66" i="2"/>
  <c r="AH64" i="2"/>
  <c r="G27" i="2"/>
  <c r="G26" i="2"/>
  <c r="K76" i="2"/>
  <c r="K71" i="2"/>
  <c r="K54" i="2"/>
  <c r="K25" i="2"/>
  <c r="K4" i="2"/>
  <c r="AB70" i="2"/>
  <c r="AB84" i="2"/>
  <c r="AB64" i="2"/>
  <c r="AB8" i="2"/>
  <c r="M97" i="2"/>
  <c r="M79" i="2"/>
  <c r="M74" i="2"/>
  <c r="M54" i="2"/>
  <c r="M21" i="2"/>
  <c r="V94" i="2"/>
  <c r="V71" i="2"/>
  <c r="V89" i="2"/>
  <c r="V33" i="2"/>
  <c r="V24" i="2"/>
  <c r="N96" i="2"/>
  <c r="N93" i="2"/>
  <c r="N83" i="2"/>
  <c r="N31" i="2"/>
  <c r="N22" i="2"/>
  <c r="AE90" i="2"/>
  <c r="AE69" i="2"/>
  <c r="AE70" i="2"/>
  <c r="AE28" i="2"/>
  <c r="AE25" i="2"/>
  <c r="U58" i="2"/>
  <c r="AM10" i="2"/>
  <c r="S34" i="2"/>
  <c r="L50" i="2"/>
  <c r="AP10" i="2"/>
  <c r="H58" i="2"/>
  <c r="AA40" i="2"/>
  <c r="M50" i="2"/>
  <c r="AF58" i="2"/>
  <c r="G52" i="2"/>
  <c r="AM49" i="2"/>
  <c r="AM48" i="3"/>
  <c r="AM48" i="2" s="1"/>
  <c r="AK18" i="2"/>
  <c r="AL18" i="2"/>
  <c r="G14" i="2"/>
  <c r="AM45" i="2"/>
  <c r="M45" i="2"/>
  <c r="AF50" i="2"/>
  <c r="AD95" i="2"/>
  <c r="AD91" i="2"/>
  <c r="AD70" i="2"/>
  <c r="AD32" i="2"/>
  <c r="AD27" i="2"/>
  <c r="AC51" i="2"/>
  <c r="K42" i="2"/>
  <c r="R95" i="2"/>
  <c r="R89" i="2"/>
  <c r="R73" i="2"/>
  <c r="R63" i="2"/>
  <c r="R25" i="2"/>
  <c r="Q12" i="2"/>
  <c r="V13" i="2"/>
  <c r="J74" i="2"/>
  <c r="J79" i="2"/>
  <c r="J61" i="2"/>
  <c r="J22" i="2"/>
  <c r="J24" i="2"/>
  <c r="H16" i="2"/>
  <c r="AA45" i="2"/>
  <c r="AB59" i="2"/>
  <c r="K12" i="2"/>
  <c r="M57" i="2"/>
  <c r="V10" i="2"/>
  <c r="J58" i="2"/>
  <c r="AP59" i="2"/>
  <c r="L13" i="2"/>
  <c r="P55" i="3"/>
  <c r="P55" i="2" s="1"/>
  <c r="P56" i="2"/>
  <c r="AK41" i="2"/>
  <c r="AM16" i="2"/>
  <c r="AQ18" i="2"/>
  <c r="AK92" i="2"/>
  <c r="AK84" i="2"/>
  <c r="AK33" i="2"/>
  <c r="AK20" i="2"/>
  <c r="R10" i="2"/>
  <c r="AQ13" i="2"/>
  <c r="AN81" i="2"/>
  <c r="AN77" i="2"/>
  <c r="AN26" i="2"/>
  <c r="X95" i="2"/>
  <c r="X90" i="2"/>
  <c r="X63" i="2"/>
  <c r="X6" i="2"/>
  <c r="T88" i="2"/>
  <c r="T72" i="2"/>
  <c r="T20" i="2"/>
  <c r="L94" i="2"/>
  <c r="L71" i="2"/>
  <c r="L46" i="2"/>
  <c r="L25" i="2"/>
  <c r="AG83" i="2"/>
  <c r="AG84" i="2"/>
  <c r="AG4" i="2"/>
  <c r="F75" i="2"/>
  <c r="F4" i="2"/>
  <c r="AJ38" i="2"/>
  <c r="X13" i="2"/>
  <c r="AO12" i="2"/>
  <c r="AD10" i="2"/>
  <c r="AF71" i="2"/>
  <c r="H51" i="2"/>
  <c r="AR46" i="2"/>
  <c r="AA60" i="2"/>
  <c r="AK39" i="2"/>
  <c r="G17" i="2"/>
  <c r="AJ4" i="2"/>
  <c r="W20" i="2"/>
  <c r="P46" i="2"/>
  <c r="Z61" i="2"/>
  <c r="I88" i="2"/>
  <c r="I64" i="2"/>
  <c r="I22" i="2"/>
  <c r="I21" i="2"/>
  <c r="G77" i="2"/>
  <c r="G72" i="2"/>
  <c r="G66" i="2"/>
  <c r="G21" i="2"/>
  <c r="G23" i="2"/>
  <c r="K70" i="2"/>
  <c r="K69" i="2"/>
  <c r="K61" i="2"/>
  <c r="K20" i="2"/>
  <c r="AB95" i="2"/>
  <c r="AB68" i="2"/>
  <c r="AB81" i="2"/>
  <c r="AB54" i="2"/>
  <c r="AB6" i="2"/>
  <c r="M94" i="2"/>
  <c r="M77" i="2"/>
  <c r="M72" i="2"/>
  <c r="M61" i="2"/>
  <c r="M7" i="2"/>
  <c r="V96" i="2"/>
  <c r="V69" i="2"/>
  <c r="V83" i="2"/>
  <c r="V31" i="2"/>
  <c r="V22" i="2"/>
  <c r="N92" i="2"/>
  <c r="N90" i="2"/>
  <c r="N76" i="2"/>
  <c r="N32" i="2"/>
  <c r="N4" i="2"/>
  <c r="AE95" i="2"/>
  <c r="AE84" i="2"/>
  <c r="AE68" i="2"/>
  <c r="AE30" i="2"/>
  <c r="AE20" i="2"/>
  <c r="R60" i="2"/>
  <c r="AD17" i="2"/>
  <c r="P85" i="2"/>
  <c r="Q55" i="3"/>
  <c r="Q55" i="2" s="1"/>
  <c r="Q56" i="2"/>
  <c r="Z38" i="2"/>
  <c r="Y36" i="2"/>
  <c r="X39" i="2"/>
  <c r="J59" i="2"/>
  <c r="K51" i="2"/>
  <c r="AJ16" i="2"/>
  <c r="AD55" i="3"/>
  <c r="AD55" i="2" s="1"/>
  <c r="AD56" i="2"/>
  <c r="AH16" i="2"/>
  <c r="AQ45" i="2"/>
  <c r="AJ34" i="2"/>
  <c r="AD48" i="3"/>
  <c r="AD48" i="2" s="1"/>
  <c r="AD49" i="2"/>
  <c r="J57" i="2"/>
  <c r="K57" i="2"/>
  <c r="AD93" i="2"/>
  <c r="AD84" i="2"/>
  <c r="AD68" i="2"/>
  <c r="AD28" i="2"/>
  <c r="AD23" i="2"/>
  <c r="V51" i="2"/>
  <c r="AK43" i="2"/>
  <c r="R93" i="2"/>
  <c r="R83" i="2"/>
  <c r="R71" i="2"/>
  <c r="R30" i="2"/>
  <c r="R20" i="2"/>
  <c r="AP14" i="2"/>
  <c r="T38" i="2"/>
  <c r="J72" i="2"/>
  <c r="J77" i="2"/>
  <c r="J46" i="2"/>
  <c r="J4" i="2"/>
  <c r="Z10" i="2"/>
  <c r="Y42" i="2"/>
  <c r="X36" i="2"/>
  <c r="AG85" i="2"/>
  <c r="AS39" i="2"/>
  <c r="J85" i="2"/>
  <c r="AA13" i="2"/>
  <c r="F42" i="2"/>
  <c r="Z52" i="2"/>
  <c r="Q38" i="2"/>
  <c r="O12" i="2"/>
  <c r="AH52" i="2"/>
  <c r="AD86" i="2"/>
  <c r="AN11" i="2"/>
  <c r="AK90" i="2"/>
  <c r="AK74" i="2"/>
  <c r="AK31" i="2"/>
  <c r="AK8" i="2"/>
  <c r="AN16" i="2"/>
  <c r="AP87" i="2"/>
  <c r="AN67" i="2"/>
  <c r="AN75" i="2"/>
  <c r="AN24" i="2"/>
  <c r="X93" i="2"/>
  <c r="X76" i="2"/>
  <c r="X32" i="2"/>
  <c r="X23" i="2"/>
  <c r="T66" i="2"/>
  <c r="T89" i="2"/>
  <c r="T23" i="2"/>
  <c r="L96" i="2"/>
  <c r="L69" i="2"/>
  <c r="L32" i="2"/>
  <c r="L22" i="2"/>
  <c r="AG76" i="2"/>
  <c r="AG64" i="2"/>
  <c r="AG6" i="2"/>
  <c r="F84" i="2"/>
  <c r="F6" i="2"/>
  <c r="F66" i="2"/>
  <c r="Q35" i="2"/>
  <c r="V59" i="2"/>
  <c r="AB39" i="2"/>
  <c r="I10" i="2"/>
  <c r="AF69" i="2"/>
  <c r="I43" i="2"/>
  <c r="AR30" i="2"/>
  <c r="X55" i="3"/>
  <c r="X55" i="2" s="1"/>
  <c r="X56" i="2"/>
  <c r="AH18" i="2"/>
  <c r="AJ50" i="2"/>
  <c r="AJ35" i="2"/>
  <c r="W8" i="2"/>
  <c r="AQ63" i="2"/>
  <c r="J87" i="2"/>
  <c r="I66" i="2"/>
  <c r="I54" i="2"/>
  <c r="I4" i="2"/>
  <c r="I7" i="2"/>
  <c r="G75" i="2"/>
  <c r="G89" i="2"/>
  <c r="G61" i="2"/>
  <c r="G7" i="2"/>
  <c r="K95" i="2"/>
  <c r="K68" i="2"/>
  <c r="K92" i="2"/>
  <c r="K46" i="2"/>
  <c r="K8" i="2"/>
  <c r="AB93" i="2"/>
  <c r="AB88" i="2"/>
  <c r="AB67" i="2"/>
  <c r="AB46" i="2"/>
  <c r="AB23" i="2"/>
  <c r="M96" i="2"/>
  <c r="M75" i="2"/>
  <c r="M89" i="2"/>
  <c r="M33" i="2"/>
  <c r="M24" i="2"/>
  <c r="V92" i="2"/>
  <c r="V84" i="2"/>
  <c r="V76" i="2"/>
  <c r="V46" i="2"/>
  <c r="V4" i="2"/>
  <c r="N95" i="2"/>
  <c r="N84" i="2"/>
  <c r="N70" i="2"/>
  <c r="N28" i="2"/>
  <c r="N25" i="2"/>
  <c r="AE93" i="2"/>
  <c r="AE81" i="2"/>
  <c r="AE88" i="2"/>
  <c r="AE33" i="2"/>
  <c r="AE8" i="2"/>
  <c r="AO10" i="2"/>
  <c r="I38" i="2"/>
  <c r="G51" i="2"/>
  <c r="AM85" i="2"/>
  <c r="AK40" i="2"/>
  <c r="AL55" i="3"/>
  <c r="AL55" i="2" s="1"/>
  <c r="AL56" i="2"/>
  <c r="AF53" i="2"/>
  <c r="F59" i="2"/>
  <c r="AS53" i="2"/>
  <c r="AO48" i="3"/>
  <c r="AO48" i="2" s="1"/>
  <c r="AO49" i="2"/>
  <c r="I58" i="2"/>
  <c r="O34" i="2"/>
  <c r="AN40" i="2"/>
  <c r="AO37" i="2"/>
  <c r="I44" i="2"/>
  <c r="F87" i="2"/>
  <c r="V12" i="2"/>
  <c r="AD88" i="2"/>
  <c r="AD81" i="2"/>
  <c r="AD66" i="2"/>
  <c r="AD30" i="2"/>
  <c r="AD20" i="2"/>
  <c r="AO36" i="2"/>
  <c r="AG50" i="2"/>
  <c r="R91" i="2"/>
  <c r="R76" i="2"/>
  <c r="R69" i="2"/>
  <c r="R54" i="2"/>
  <c r="R8" i="2"/>
  <c r="G87" i="2"/>
  <c r="J95" i="2"/>
  <c r="J89" i="2"/>
  <c r="J75" i="2"/>
  <c r="J63" i="2"/>
  <c r="J25" i="2"/>
  <c r="AK10" i="2"/>
  <c r="AL35" i="2"/>
  <c r="K16" i="2"/>
  <c r="F17" i="2"/>
  <c r="AP53" i="2"/>
  <c r="AG11" i="2"/>
  <c r="X11" i="2"/>
  <c r="T87" i="2"/>
  <c r="AK58" i="2"/>
  <c r="AM34" i="2"/>
  <c r="J39" i="2"/>
  <c r="O50" i="2"/>
  <c r="I35" i="2"/>
  <c r="AC43" i="2"/>
  <c r="AK95" i="2"/>
  <c r="AK72" i="2"/>
  <c r="AK27" i="2"/>
  <c r="H53" i="2"/>
  <c r="W85" i="2"/>
  <c r="G13" i="2"/>
  <c r="AN78" i="2"/>
  <c r="AN73" i="2"/>
  <c r="AN22" i="2"/>
  <c r="X91" i="2"/>
  <c r="X66" i="2"/>
  <c r="X28" i="2"/>
  <c r="X21" i="2"/>
  <c r="T79" i="2"/>
  <c r="T83" i="2"/>
  <c r="T26" i="2"/>
  <c r="L92" i="2"/>
  <c r="L78" i="2"/>
  <c r="L28" i="2"/>
  <c r="L4" i="2"/>
  <c r="AG70" i="2"/>
  <c r="AG54" i="2"/>
  <c r="AG23" i="2"/>
  <c r="F81" i="2"/>
  <c r="F90" i="2"/>
  <c r="R42" i="2"/>
  <c r="AM36" i="2"/>
  <c r="X48" i="3"/>
  <c r="X48" i="2" s="1"/>
  <c r="X49" i="2"/>
  <c r="AD41" i="2"/>
  <c r="J43" i="2"/>
  <c r="AF33" i="2"/>
  <c r="AB17" i="2"/>
  <c r="AR25" i="2"/>
  <c r="M34" i="2"/>
  <c r="AL40" i="2"/>
  <c r="AI14" i="2"/>
  <c r="X57" i="2"/>
  <c r="AC46" i="2"/>
  <c r="Y32" i="2"/>
  <c r="AQ87" i="2"/>
  <c r="AP54" i="2"/>
  <c r="AS46" i="2"/>
  <c r="O61" i="2"/>
  <c r="S46" i="2"/>
  <c r="AO63" i="2"/>
  <c r="AL33" i="2"/>
  <c r="P28" i="2"/>
  <c r="AQ31" i="2"/>
  <c r="Y33" i="2"/>
  <c r="AM13" i="2"/>
  <c r="AS12" i="2"/>
  <c r="M41" i="2"/>
  <c r="AI75" i="2"/>
  <c r="H68" i="2"/>
  <c r="AQ52" i="2"/>
  <c r="AH63" i="2"/>
  <c r="Z30" i="2"/>
  <c r="Y40" i="2"/>
  <c r="AD60" i="2"/>
  <c r="AE52" i="2"/>
  <c r="AJ86" i="2"/>
  <c r="AC13" i="2"/>
  <c r="AB12" i="2"/>
  <c r="AS86" i="2"/>
  <c r="T37" i="2"/>
  <c r="AP57" i="2"/>
  <c r="AF94" i="2"/>
  <c r="AF70" i="2"/>
  <c r="AF64" i="2"/>
  <c r="AF27" i="2"/>
  <c r="AF7" i="2"/>
  <c r="AG60" i="2"/>
  <c r="AL50" i="2"/>
  <c r="N87" i="2"/>
  <c r="AA38" i="2"/>
  <c r="AR76" i="2"/>
  <c r="AR69" i="2"/>
  <c r="AR63" i="2"/>
  <c r="AR20" i="2"/>
  <c r="AR22" i="2"/>
  <c r="AN14" i="2"/>
  <c r="AK42" i="2"/>
  <c r="AL87" i="2"/>
  <c r="W12" i="2"/>
  <c r="F43" i="2"/>
  <c r="AS48" i="3"/>
  <c r="AS48" i="2" s="1"/>
  <c r="AS49" i="2"/>
  <c r="AO57" i="2"/>
  <c r="I57" i="2"/>
  <c r="O44" i="2"/>
  <c r="AN42" i="2"/>
  <c r="P41" i="2"/>
  <c r="AD58" i="2"/>
  <c r="AL34" i="2"/>
  <c r="AO53" i="2"/>
  <c r="K36" i="2"/>
  <c r="AJ90" i="2"/>
  <c r="AJ78" i="2"/>
  <c r="AJ28" i="2"/>
  <c r="R34" i="2"/>
  <c r="P36" i="2"/>
  <c r="AQ37" i="2"/>
  <c r="W84" i="2"/>
  <c r="W61" i="2"/>
  <c r="W6" i="2"/>
  <c r="AC30" i="2"/>
  <c r="AP28" i="2"/>
  <c r="AS32" i="2"/>
  <c r="O31" i="2"/>
  <c r="S28" i="2"/>
  <c r="AO22" i="2"/>
  <c r="AL7" i="2"/>
  <c r="P4" i="2"/>
  <c r="AQ6" i="2"/>
  <c r="Y8" i="2"/>
  <c r="AF36" i="2"/>
  <c r="O18" i="2"/>
  <c r="AN38" i="2"/>
  <c r="AI90" i="2"/>
  <c r="H73" i="2"/>
  <c r="AJ10" i="2"/>
  <c r="AH28" i="2"/>
  <c r="Z22" i="2"/>
  <c r="AE14" i="2"/>
  <c r="AS40" i="2"/>
  <c r="F7" i="2"/>
  <c r="F31" i="2"/>
  <c r="F67" i="2"/>
  <c r="F86" i="2"/>
  <c r="V15" i="2"/>
  <c r="AO40" i="2"/>
  <c r="I51" i="2"/>
  <c r="O11" i="2"/>
  <c r="AN37" i="2"/>
  <c r="N43" i="2"/>
  <c r="AR35" i="2"/>
  <c r="W51" i="2"/>
  <c r="AG37" i="2"/>
  <c r="V45" i="2"/>
  <c r="R13" i="2"/>
  <c r="AI40" i="2"/>
  <c r="AG15" i="2"/>
  <c r="N41" i="2"/>
  <c r="AR42" i="2"/>
  <c r="W60" i="2"/>
  <c r="AF84" i="2"/>
  <c r="AF68" i="2"/>
  <c r="AF54" i="2"/>
  <c r="AF24" i="2"/>
  <c r="AF26" i="2"/>
  <c r="AD34" i="2"/>
  <c r="N60" i="2"/>
  <c r="J37" i="2"/>
  <c r="Q86" i="2"/>
  <c r="AR70" i="2"/>
  <c r="AR84" i="2"/>
  <c r="AR64" i="2"/>
  <c r="AR8" i="2"/>
  <c r="N40" i="2"/>
  <c r="AC39" i="2"/>
  <c r="AH55" i="3"/>
  <c r="AH55" i="2" s="1"/>
  <c r="AH56" i="2"/>
  <c r="L12" i="2"/>
  <c r="AS10" i="2"/>
  <c r="T50" i="2"/>
  <c r="AP44" i="2"/>
  <c r="M12" i="2"/>
  <c r="AF10" i="2"/>
  <c r="U44" i="2"/>
  <c r="AC87" i="2"/>
  <c r="G49" i="2"/>
  <c r="G48" i="3"/>
  <c r="G48" i="2" s="1"/>
  <c r="AP39" i="2"/>
  <c r="AQ38" i="2"/>
  <c r="AB58" i="2"/>
  <c r="AS36" i="2"/>
  <c r="AJ70" i="2"/>
  <c r="AJ74" i="2"/>
  <c r="AJ46" i="2"/>
  <c r="AQ40" i="2"/>
  <c r="AF18" i="2"/>
  <c r="X37" i="2"/>
  <c r="W81" i="2"/>
  <c r="W63" i="2"/>
  <c r="W23" i="2"/>
  <c r="AC21" i="2"/>
  <c r="AP25" i="2"/>
  <c r="AS23" i="2"/>
  <c r="O7" i="2"/>
  <c r="S8" i="2"/>
  <c r="AO20" i="2"/>
  <c r="AL4" i="2"/>
  <c r="P8" i="2"/>
  <c r="AQ7" i="2"/>
  <c r="Y26" i="2"/>
  <c r="S37" i="2"/>
  <c r="M58" i="2"/>
  <c r="AF43" i="2"/>
  <c r="AI72" i="2"/>
  <c r="H64" i="2"/>
  <c r="P50" i="2"/>
  <c r="AH25" i="2"/>
  <c r="Z20" i="2"/>
  <c r="X41" i="2"/>
  <c r="AH14" i="2"/>
  <c r="F21" i="2"/>
  <c r="F74" i="2"/>
  <c r="F20" i="2"/>
  <c r="T86" i="2"/>
  <c r="AA15" i="2"/>
  <c r="AB45" i="2"/>
  <c r="AE60" i="2"/>
  <c r="U48" i="3"/>
  <c r="U48" i="2" s="1"/>
  <c r="U49" i="2"/>
  <c r="AC41" i="2"/>
  <c r="S85" i="2"/>
  <c r="L56" i="2"/>
  <c r="L55" i="3"/>
  <c r="L55" i="2" s="1"/>
  <c r="AP38" i="2"/>
  <c r="H52" i="2"/>
  <c r="AA85" i="2"/>
  <c r="M13" i="2"/>
  <c r="V14" i="2"/>
  <c r="H38" i="2"/>
  <c r="S50" i="2"/>
  <c r="L48" i="3"/>
  <c r="L48" i="2" s="1"/>
  <c r="L49" i="2"/>
  <c r="AE37" i="2"/>
  <c r="AF81" i="2"/>
  <c r="AF88" i="2"/>
  <c r="AF61" i="2"/>
  <c r="AF22" i="2"/>
  <c r="Z53" i="2"/>
  <c r="Z18" i="2"/>
  <c r="J16" i="2"/>
  <c r="AC34" i="2"/>
  <c r="AR95" i="2"/>
  <c r="AR68" i="2"/>
  <c r="AR81" i="2"/>
  <c r="AR54" i="2"/>
  <c r="AR6" i="2"/>
  <c r="P87" i="2"/>
  <c r="AI37" i="2"/>
  <c r="O59" i="2"/>
  <c r="Q17" i="2"/>
  <c r="N85" i="2"/>
  <c r="AR49" i="2"/>
  <c r="AR48" i="3"/>
  <c r="AR48" i="2" s="1"/>
  <c r="W53" i="2"/>
  <c r="J15" i="2"/>
  <c r="K10" i="2"/>
  <c r="R57" i="2"/>
  <c r="AD12" i="2"/>
  <c r="AJ53" i="2"/>
  <c r="AK12" i="2"/>
  <c r="AN36" i="2"/>
  <c r="J11" i="2"/>
  <c r="AP34" i="2"/>
  <c r="AJ88" i="2"/>
  <c r="AJ72" i="2"/>
  <c r="AJ30" i="2"/>
  <c r="AA10" i="2"/>
  <c r="AA52" i="2"/>
  <c r="AM60" i="2"/>
  <c r="W67" i="2"/>
  <c r="W30" i="2"/>
  <c r="AC97" i="2"/>
  <c r="AC6" i="2"/>
  <c r="AP24" i="2"/>
  <c r="AS20" i="2"/>
  <c r="O6" i="2"/>
  <c r="S22" i="2"/>
  <c r="AO21" i="2"/>
  <c r="P96" i="2"/>
  <c r="AQ93" i="2"/>
  <c r="Y90" i="2"/>
  <c r="G50" i="2"/>
  <c r="F18" i="2"/>
  <c r="AN52" i="2"/>
  <c r="AO44" i="2"/>
  <c r="AI33" i="2"/>
  <c r="H30" i="2"/>
  <c r="AL36" i="2"/>
  <c r="AH7" i="2"/>
  <c r="Z24" i="2"/>
  <c r="AJ44" i="2"/>
  <c r="T59" i="2"/>
  <c r="F72" i="2"/>
  <c r="F94" i="2"/>
  <c r="N52" i="2"/>
  <c r="Y18" i="2"/>
  <c r="X40" i="2"/>
  <c r="AG48" i="3"/>
  <c r="AG48" i="2" s="1"/>
  <c r="AG49" i="2"/>
  <c r="V58" i="2"/>
  <c r="R37" i="2"/>
  <c r="AI35" i="2"/>
  <c r="P42" i="2"/>
  <c r="Q51" i="2"/>
  <c r="Z34" i="2"/>
  <c r="Y51" i="2"/>
  <c r="X87" i="2"/>
  <c r="J42" i="2"/>
  <c r="Z12" i="2"/>
  <c r="Y50" i="2"/>
  <c r="P59" i="2"/>
  <c r="Q58" i="2"/>
  <c r="AF96" i="2"/>
  <c r="AF67" i="2"/>
  <c r="AF66" i="2"/>
  <c r="AF46" i="2"/>
  <c r="AF4" i="2"/>
  <c r="AB42" i="2"/>
  <c r="AB43" i="2"/>
  <c r="AD57" i="2"/>
  <c r="X17" i="2"/>
  <c r="AR93" i="2"/>
  <c r="AR88" i="2"/>
  <c r="AR67" i="2"/>
  <c r="AR33" i="2"/>
  <c r="AR23" i="2"/>
  <c r="U14" i="2"/>
  <c r="AF60" i="2"/>
  <c r="G10" i="2"/>
  <c r="AM41" i="2"/>
  <c r="S52" i="2"/>
  <c r="L58" i="2"/>
  <c r="AS16" i="2"/>
  <c r="F12" i="2"/>
  <c r="AS37" i="2"/>
  <c r="M87" i="2"/>
  <c r="I12" i="2"/>
  <c r="AB86" i="2"/>
  <c r="AH12" i="2"/>
  <c r="AC42" i="2"/>
  <c r="F16" i="2"/>
  <c r="V16" i="2"/>
  <c r="AJ66" i="2"/>
  <c r="AJ89" i="2"/>
  <c r="AJ8" i="2"/>
  <c r="AR11" i="2"/>
  <c r="G15" i="2"/>
  <c r="W96" i="2"/>
  <c r="W74" i="2"/>
  <c r="W33" i="2"/>
  <c r="AC95" i="2"/>
  <c r="AP93" i="2"/>
  <c r="R36" i="2"/>
  <c r="AS25" i="2"/>
  <c r="S95" i="2"/>
  <c r="AO92" i="2"/>
  <c r="AL96" i="2"/>
  <c r="P93" i="2"/>
  <c r="AQ94" i="2"/>
  <c r="Y91" i="2"/>
  <c r="M16" i="2"/>
  <c r="L42" i="2"/>
  <c r="AF86" i="2"/>
  <c r="H86" i="2"/>
  <c r="AI32" i="2"/>
  <c r="H24" i="2"/>
  <c r="AH95" i="2"/>
  <c r="Z93" i="2"/>
  <c r="P34" i="2"/>
  <c r="AG59" i="2"/>
  <c r="AA11" i="2"/>
  <c r="F25" i="2"/>
  <c r="F91" i="2"/>
  <c r="AK15" i="2"/>
  <c r="AL13" i="2"/>
  <c r="AS41" i="2"/>
  <c r="H87" i="2"/>
  <c r="AS14" i="2"/>
  <c r="M40" i="2"/>
  <c r="AF40" i="2"/>
  <c r="G59" i="2"/>
  <c r="AM86" i="2"/>
  <c r="AK51" i="2"/>
  <c r="AL44" i="2"/>
  <c r="AF11" i="2"/>
  <c r="F35" i="2"/>
  <c r="AK34" i="2"/>
  <c r="AL42" i="2"/>
  <c r="G55" i="3"/>
  <c r="G55" i="2" s="1"/>
  <c r="G56" i="2"/>
  <c r="AN13" i="2"/>
  <c r="AF92" i="2"/>
  <c r="AF78" i="2"/>
  <c r="AF79" i="2"/>
  <c r="AF63" i="2"/>
  <c r="AF25" i="2"/>
  <c r="AM40" i="2"/>
  <c r="AC53" i="2"/>
  <c r="AH41" i="2"/>
  <c r="AJ11" i="2"/>
  <c r="AR91" i="2"/>
  <c r="AR66" i="2"/>
  <c r="AR78" i="2"/>
  <c r="AR31" i="2"/>
  <c r="AR21" i="2"/>
  <c r="M43" i="2"/>
  <c r="K44" i="2"/>
  <c r="AJ13" i="2"/>
  <c r="AD18" i="2"/>
  <c r="P57" i="2"/>
  <c r="AQ11" i="2"/>
  <c r="W11" i="2"/>
  <c r="T15" i="2"/>
  <c r="AP45" i="2"/>
  <c r="AB11" i="2"/>
  <c r="AE34" i="2"/>
  <c r="F40" i="2"/>
  <c r="O37" i="2"/>
  <c r="AI59" i="2"/>
  <c r="T41" i="2"/>
  <c r="AJ93" i="2"/>
  <c r="AJ79" i="2"/>
  <c r="AJ83" i="2"/>
  <c r="AJ26" i="2"/>
  <c r="V60" i="2"/>
  <c r="AL53" i="2"/>
  <c r="W95" i="2"/>
  <c r="W72" i="2"/>
  <c r="W31" i="2"/>
  <c r="AC91" i="2"/>
  <c r="AP78" i="2"/>
  <c r="AS95" i="2"/>
  <c r="O97" i="2"/>
  <c r="S83" i="2"/>
  <c r="AO67" i="2"/>
  <c r="AL75" i="2"/>
  <c r="P67" i="2"/>
  <c r="AQ68" i="2"/>
  <c r="Y89" i="2"/>
  <c r="AM87" i="2"/>
  <c r="AS34" i="2"/>
  <c r="N15" i="2"/>
  <c r="I60" i="2"/>
  <c r="AI26" i="2"/>
  <c r="H27" i="2"/>
  <c r="AH90" i="2"/>
  <c r="Z74" i="2"/>
  <c r="T39" i="2"/>
  <c r="AD43" i="2"/>
  <c r="AB35" i="2"/>
  <c r="AB16" i="2"/>
  <c r="AE50" i="2"/>
  <c r="U10" i="2"/>
  <c r="AC36" i="2"/>
  <c r="AB34" i="2"/>
  <c r="K48" i="3"/>
  <c r="K48" i="2" s="1"/>
  <c r="K49" i="2"/>
  <c r="T48" i="3"/>
  <c r="T48" i="2" s="1"/>
  <c r="T49" i="2"/>
  <c r="AP86" i="2"/>
  <c r="AK91" i="2"/>
  <c r="AK81" i="2"/>
  <c r="AK46" i="2"/>
  <c r="AK30" i="2"/>
  <c r="AK6" i="2"/>
  <c r="W15" i="2"/>
  <c r="Q60" i="2"/>
  <c r="AQ57" i="2"/>
  <c r="AN97" i="2"/>
  <c r="AN76" i="2"/>
  <c r="AN69" i="2"/>
  <c r="AN33" i="2"/>
  <c r="AN23" i="2"/>
  <c r="X84" i="2"/>
  <c r="X70" i="2"/>
  <c r="X64" i="2"/>
  <c r="X27" i="2"/>
  <c r="X7" i="2"/>
  <c r="T76" i="2"/>
  <c r="T69" i="2"/>
  <c r="T63" i="2"/>
  <c r="T8" i="2"/>
  <c r="T4" i="2"/>
  <c r="L70" i="2"/>
  <c r="L84" i="2"/>
  <c r="L64" i="2"/>
  <c r="L6" i="2"/>
  <c r="AG96" i="2"/>
  <c r="AG74" i="2"/>
  <c r="AG79" i="2"/>
  <c r="AG46" i="2"/>
  <c r="AG25" i="2"/>
  <c r="F96" i="2"/>
  <c r="F76" i="2"/>
  <c r="F8" i="2"/>
  <c r="F23" i="2"/>
  <c r="F77" i="2"/>
  <c r="AH10" i="2"/>
  <c r="AQ41" i="2"/>
  <c r="Z51" i="2"/>
  <c r="T12" i="2"/>
  <c r="AP17" i="2"/>
  <c r="J44" i="2"/>
  <c r="K50" i="2"/>
  <c r="U18" i="2"/>
  <c r="AC12" i="2"/>
  <c r="AH48" i="3"/>
  <c r="AH48" i="2" s="1"/>
  <c r="AH49" i="2"/>
  <c r="AQ55" i="3"/>
  <c r="AQ55" i="2" s="1"/>
  <c r="AQ56" i="2"/>
  <c r="X50" i="2"/>
  <c r="T45" i="2"/>
  <c r="AH34" i="2"/>
  <c r="AQ50" i="2"/>
  <c r="AJ58" i="2"/>
  <c r="AC17" i="2"/>
  <c r="AF90" i="2"/>
  <c r="AF74" i="2"/>
  <c r="AF77" i="2"/>
  <c r="AF32" i="2"/>
  <c r="AF20" i="2"/>
  <c r="AP36" i="2"/>
  <c r="X51" i="2"/>
  <c r="H39" i="2"/>
  <c r="Y45" i="2"/>
  <c r="AR97" i="2"/>
  <c r="AR79" i="2"/>
  <c r="AR74" i="2"/>
  <c r="AR27" i="2"/>
  <c r="AR7" i="2"/>
  <c r="J34" i="2"/>
  <c r="AS55" i="3"/>
  <c r="AS55" i="2" s="1"/>
  <c r="AS56" i="2"/>
  <c r="AO38" i="2"/>
  <c r="I36" i="2"/>
  <c r="G85" i="2"/>
  <c r="AN12" i="2"/>
  <c r="N18" i="2"/>
  <c r="AR43" i="2"/>
  <c r="W52" i="2"/>
  <c r="AG16" i="2"/>
  <c r="AA34" i="2"/>
  <c r="T36" i="2"/>
  <c r="U41" i="2"/>
  <c r="AF87" i="2"/>
  <c r="L51" i="2"/>
  <c r="AJ91" i="2"/>
  <c r="AJ77" i="2"/>
  <c r="AJ61" i="2"/>
  <c r="AJ21" i="2"/>
  <c r="AG34" i="2"/>
  <c r="S59" i="2"/>
  <c r="W93" i="2"/>
  <c r="W83" i="2"/>
  <c r="W21" i="2"/>
  <c r="AC79" i="2"/>
  <c r="AP89" i="2"/>
  <c r="AS88" i="2"/>
  <c r="O75" i="2"/>
  <c r="S68" i="2"/>
  <c r="AO72" i="2"/>
  <c r="AL69" i="2"/>
  <c r="P72" i="2"/>
  <c r="AQ79" i="2"/>
  <c r="Y70" i="2"/>
  <c r="AF41" i="2"/>
  <c r="AA14" i="2"/>
  <c r="G34" i="2"/>
  <c r="AS13" i="2"/>
  <c r="AI24" i="2"/>
  <c r="H7" i="2"/>
  <c r="AH72" i="2"/>
  <c r="Z83" i="2"/>
  <c r="Q41" i="2"/>
  <c r="V57" i="2"/>
  <c r="AA87" i="2"/>
  <c r="AN57" i="2"/>
  <c r="N55" i="3"/>
  <c r="N55" i="2" s="1"/>
  <c r="N56" i="2"/>
  <c r="AR55" i="3"/>
  <c r="AR55" i="2" s="1"/>
  <c r="AR56" i="2"/>
  <c r="W87" i="2"/>
  <c r="AG52" i="2"/>
  <c r="V52" i="2"/>
  <c r="R35" i="2"/>
  <c r="AI85" i="2"/>
  <c r="AG43" i="2"/>
  <c r="N51" i="2"/>
  <c r="AR85" i="2"/>
  <c r="X10" i="2"/>
  <c r="AK88" i="2"/>
  <c r="AK67" i="2"/>
  <c r="AK63" i="2"/>
  <c r="AK23" i="2"/>
  <c r="AK25" i="2"/>
  <c r="AJ17" i="2"/>
  <c r="O57" i="2"/>
  <c r="AA50" i="2"/>
  <c r="AN94" i="2"/>
  <c r="AN70" i="2"/>
  <c r="AN64" i="2"/>
  <c r="AN31" i="2"/>
  <c r="AN21" i="2"/>
  <c r="X81" i="2"/>
  <c r="X68" i="2"/>
  <c r="X54" i="2"/>
  <c r="X24" i="2"/>
  <c r="X26" i="2"/>
  <c r="T70" i="2"/>
  <c r="T84" i="2"/>
  <c r="T64" i="2"/>
  <c r="T6" i="2"/>
  <c r="L95" i="2"/>
  <c r="L68" i="2"/>
  <c r="L81" i="2"/>
  <c r="L54" i="2"/>
  <c r="L23" i="2"/>
  <c r="AG92" i="2"/>
  <c r="AG72" i="2"/>
  <c r="AG77" i="2"/>
  <c r="AG63" i="2"/>
  <c r="AG20" i="2"/>
  <c r="F92" i="2"/>
  <c r="F63" i="2"/>
  <c r="F32" i="2"/>
  <c r="F22" i="2"/>
  <c r="O40" i="2"/>
  <c r="AN58" i="2"/>
  <c r="AK85" i="2"/>
  <c r="AR13" i="2"/>
  <c r="W34" i="2"/>
  <c r="F85" i="2"/>
  <c r="AS44" i="2"/>
  <c r="R15" i="2"/>
  <c r="AI15" i="2"/>
  <c r="O58" i="2"/>
  <c r="Q13" i="2"/>
  <c r="N35" i="2"/>
  <c r="AR50" i="2"/>
  <c r="O17" i="2"/>
  <c r="AN45" i="2"/>
  <c r="R16" i="2"/>
  <c r="AI45" i="2"/>
  <c r="AF95" i="2"/>
  <c r="AF72" i="2"/>
  <c r="AF75" i="2"/>
  <c r="AF28" i="2"/>
  <c r="AF8" i="2"/>
  <c r="O35" i="2"/>
  <c r="U15" i="2"/>
  <c r="AE44" i="2"/>
  <c r="I14" i="2"/>
  <c r="AR94" i="2"/>
  <c r="AR77" i="2"/>
  <c r="AR72" i="2"/>
  <c r="AR32" i="2"/>
  <c r="AR24" i="2"/>
  <c r="T52" i="2"/>
  <c r="AP60" i="2"/>
  <c r="AB53" i="2"/>
  <c r="AE48" i="3"/>
  <c r="AE48" i="2" s="1"/>
  <c r="AE49" i="2"/>
  <c r="U12" i="2"/>
  <c r="AC16" i="2"/>
  <c r="S40" i="2"/>
  <c r="L38" i="2"/>
  <c r="W59" i="2"/>
  <c r="H41" i="2"/>
  <c r="K17" i="2"/>
  <c r="AR41" i="2"/>
  <c r="R39" i="2"/>
  <c r="AP43" i="2"/>
  <c r="AM50" i="2"/>
  <c r="AJ97" i="2"/>
  <c r="AJ75" i="2"/>
  <c r="AJ64" i="2"/>
  <c r="AJ7" i="2"/>
  <c r="J35" i="2"/>
  <c r="F51" i="2"/>
  <c r="W91" i="2"/>
  <c r="W68" i="2"/>
  <c r="W7" i="2"/>
  <c r="AC81" i="2"/>
  <c r="AP79" i="2"/>
  <c r="AS71" i="2"/>
  <c r="O67" i="2"/>
  <c r="S73" i="2"/>
  <c r="AO88" i="2"/>
  <c r="AL89" i="2"/>
  <c r="P66" i="2"/>
  <c r="AQ84" i="2"/>
  <c r="Y73" i="2"/>
  <c r="AK48" i="3"/>
  <c r="AK48" i="2" s="1"/>
  <c r="AK49" i="2"/>
  <c r="AO86" i="2"/>
  <c r="AR34" i="2"/>
  <c r="AI97" i="2"/>
  <c r="H91" i="2"/>
  <c r="AI60" i="2"/>
  <c r="AH66" i="2"/>
  <c r="Z79" i="2"/>
  <c r="AP37" i="2"/>
  <c r="AH86" i="2"/>
  <c r="T51" i="2"/>
  <c r="AF12" i="2"/>
  <c r="U40" i="2"/>
  <c r="AC35" i="2"/>
  <c r="S55" i="3"/>
  <c r="S55" i="2" s="1"/>
  <c r="S56" i="2"/>
  <c r="L85" i="2"/>
  <c r="AA43" i="2"/>
  <c r="H50" i="2"/>
  <c r="AS15" i="2"/>
  <c r="M38" i="2"/>
  <c r="AE10" i="2"/>
  <c r="H44" i="2"/>
  <c r="S48" i="3"/>
  <c r="S48" i="2" s="1"/>
  <c r="S49" i="2"/>
  <c r="AL10" i="2"/>
  <c r="X12" i="2"/>
  <c r="AK66" i="2"/>
  <c r="AK78" i="2"/>
  <c r="AK64" i="2"/>
  <c r="AK26" i="2"/>
  <c r="AK87" i="2"/>
  <c r="AN50" i="2"/>
  <c r="I42" i="2"/>
  <c r="R59" i="2"/>
  <c r="AN84" i="2"/>
  <c r="AN68" i="2"/>
  <c r="AN54" i="2"/>
  <c r="AN27" i="2"/>
  <c r="AN7" i="2"/>
  <c r="X67" i="2"/>
  <c r="X88" i="2"/>
  <c r="X61" i="2"/>
  <c r="X22" i="2"/>
  <c r="T95" i="2"/>
  <c r="T68" i="2"/>
  <c r="T81" i="2"/>
  <c r="T54" i="2"/>
  <c r="T27" i="2"/>
  <c r="L93" i="2"/>
  <c r="L88" i="2"/>
  <c r="L67" i="2"/>
  <c r="L33" i="2"/>
  <c r="L26" i="2"/>
  <c r="AG90" i="2"/>
  <c r="AG89" i="2"/>
  <c r="AG75" i="2"/>
  <c r="AG32" i="2"/>
  <c r="AG8" i="2"/>
  <c r="F88" i="2"/>
  <c r="F64" i="2"/>
  <c r="F68" i="2"/>
  <c r="F93" i="2"/>
  <c r="F28" i="2"/>
  <c r="U34" i="2"/>
  <c r="AC59" i="2"/>
  <c r="S16" i="2"/>
  <c r="L34" i="2"/>
  <c r="K41" i="2"/>
  <c r="T58" i="2"/>
  <c r="AP85" i="2"/>
  <c r="M37" i="2"/>
  <c r="AF38" i="2"/>
  <c r="U87" i="2"/>
  <c r="AM14" i="2"/>
  <c r="S44" i="2"/>
  <c r="L57" i="2"/>
  <c r="U42" i="2"/>
  <c r="AC86" i="2"/>
  <c r="M18" i="2"/>
  <c r="AF34" i="2"/>
  <c r="AF93" i="2"/>
  <c r="AF89" i="2"/>
  <c r="AF73" i="2"/>
  <c r="AF30" i="2"/>
  <c r="AF6" i="2"/>
  <c r="AL11" i="2"/>
  <c r="L59" i="2"/>
  <c r="AH57" i="2"/>
  <c r="Z43" i="2"/>
  <c r="AR96" i="2"/>
  <c r="AR75" i="2"/>
  <c r="AR89" i="2"/>
  <c r="AR28" i="2"/>
  <c r="AR26" i="2"/>
  <c r="AR59" i="2"/>
  <c r="X18" i="2"/>
  <c r="AG39" i="2"/>
  <c r="V85" i="2"/>
  <c r="R17" i="2"/>
  <c r="AI12" i="2"/>
  <c r="P60" i="2"/>
  <c r="Q39" i="2"/>
  <c r="Z36" i="2"/>
  <c r="Y34" i="2"/>
  <c r="W39" i="2"/>
  <c r="L37" i="2"/>
  <c r="M55" i="3"/>
  <c r="M55" i="2" s="1"/>
  <c r="M56" i="2"/>
  <c r="S45" i="2"/>
  <c r="AD53" i="2"/>
  <c r="AJ94" i="2"/>
  <c r="AJ73" i="2"/>
  <c r="AJ31" i="2"/>
  <c r="AJ25" i="2"/>
  <c r="AC10" i="2"/>
  <c r="AH51" i="2"/>
  <c r="W79" i="2"/>
  <c r="W88" i="2"/>
  <c r="W22" i="2"/>
  <c r="AC74" i="2"/>
  <c r="AP73" i="2"/>
  <c r="AS81" i="2"/>
  <c r="O72" i="2"/>
  <c r="S84" i="2"/>
  <c r="AO77" i="2"/>
  <c r="AL76" i="2"/>
  <c r="P75" i="2"/>
  <c r="AQ78" i="2"/>
  <c r="Y94" i="2"/>
  <c r="U55" i="3"/>
  <c r="U55" i="2" s="1"/>
  <c r="U56" i="2"/>
  <c r="H59" i="2"/>
  <c r="AM52" i="2"/>
  <c r="AI89" i="2"/>
  <c r="H84" i="2"/>
  <c r="AM39" i="2"/>
  <c r="AH75" i="2"/>
  <c r="Z73" i="2"/>
  <c r="Z17" i="2"/>
  <c r="AJ36" i="2"/>
  <c r="AH59" i="2"/>
  <c r="AJ24" i="2"/>
  <c r="G35" i="2"/>
  <c r="AB51" i="2"/>
  <c r="AE53" i="2"/>
  <c r="AF55" i="3"/>
  <c r="AF55" i="2" s="1"/>
  <c r="AF56" i="2"/>
  <c r="W97" i="2"/>
  <c r="W78" i="2"/>
  <c r="W64" i="2"/>
  <c r="W27" i="2"/>
  <c r="W26" i="2"/>
  <c r="AC88" i="2"/>
  <c r="AC67" i="2"/>
  <c r="AC63" i="2"/>
  <c r="AC23" i="2"/>
  <c r="AC25" i="2"/>
  <c r="AP74" i="2"/>
  <c r="AP77" i="2"/>
  <c r="AP46" i="2"/>
  <c r="AP22" i="2"/>
  <c r="S86" i="2"/>
  <c r="AS93" i="2"/>
  <c r="AS69" i="2"/>
  <c r="AS70" i="2"/>
  <c r="AS28" i="2"/>
  <c r="AS8" i="2"/>
  <c r="O79" i="2"/>
  <c r="O78" i="2"/>
  <c r="O64" i="2"/>
  <c r="O27" i="2"/>
  <c r="O26" i="2"/>
  <c r="S76" i="2"/>
  <c r="S71" i="2"/>
  <c r="S54" i="2"/>
  <c r="S25" i="2"/>
  <c r="S4" i="2"/>
  <c r="AO78" i="2"/>
  <c r="AO66" i="2"/>
  <c r="AO61" i="2"/>
  <c r="AO4" i="2"/>
  <c r="AL97" i="2"/>
  <c r="AL73" i="2"/>
  <c r="AL83" i="2"/>
  <c r="AL61" i="2"/>
  <c r="AL24" i="2"/>
  <c r="P92" i="2"/>
  <c r="P78" i="2"/>
  <c r="P79" i="2"/>
  <c r="P63" i="2"/>
  <c r="P25" i="2"/>
  <c r="AQ91" i="2"/>
  <c r="AQ88" i="2"/>
  <c r="AQ81" i="2"/>
  <c r="AQ30" i="2"/>
  <c r="AQ23" i="2"/>
  <c r="Y95" i="2"/>
  <c r="Y83" i="2"/>
  <c r="Y71" i="2"/>
  <c r="Y28" i="2"/>
  <c r="Y6" i="2"/>
  <c r="AJ85" i="2"/>
  <c r="AC11" i="2"/>
  <c r="AH50" i="2"/>
  <c r="AQ86" i="2"/>
  <c r="AP18" i="2"/>
  <c r="T40" i="2"/>
  <c r="AP35" i="2"/>
  <c r="AB48" i="3"/>
  <c r="AB48" i="2" s="1"/>
  <c r="AB49" i="2"/>
  <c r="AE55" i="3"/>
  <c r="AE55" i="2" s="1"/>
  <c r="AE56" i="2"/>
  <c r="U38" i="2"/>
  <c r="AC50" i="2"/>
  <c r="S15" i="2"/>
  <c r="L36" i="2"/>
  <c r="U13" i="2"/>
  <c r="AC48" i="3"/>
  <c r="AC48" i="2" s="1"/>
  <c r="AC49" i="2"/>
  <c r="AB50" i="2"/>
  <c r="AE59" i="2"/>
  <c r="AI94" i="2"/>
  <c r="AI79" i="2"/>
  <c r="AI78" i="2"/>
  <c r="AI31" i="2"/>
  <c r="AI21" i="2"/>
  <c r="H97" i="2"/>
  <c r="H76" i="2"/>
  <c r="H71" i="2"/>
  <c r="H33" i="2"/>
  <c r="H23" i="2"/>
  <c r="Z49" i="2"/>
  <c r="Z48" i="3"/>
  <c r="Z48" i="2" s="1"/>
  <c r="Z37" i="2"/>
  <c r="L17" i="2"/>
  <c r="AE12" i="2"/>
  <c r="AH78" i="2"/>
  <c r="AH79" i="2"/>
  <c r="AH61" i="2"/>
  <c r="AH22" i="2"/>
  <c r="AH24" i="2"/>
  <c r="Z72" i="2"/>
  <c r="Z77" i="2"/>
  <c r="Z46" i="2"/>
  <c r="Z4" i="2"/>
  <c r="N11" i="2"/>
  <c r="AR44" i="2"/>
  <c r="W40" i="2"/>
  <c r="AG17" i="2"/>
  <c r="V48" i="3"/>
  <c r="V48" i="2" s="1"/>
  <c r="V49" i="2"/>
  <c r="AO51" i="2"/>
  <c r="I53" i="2"/>
  <c r="P17" i="2"/>
  <c r="Q10" i="2"/>
  <c r="N45" i="2"/>
  <c r="AR86" i="2"/>
  <c r="X16" i="2"/>
  <c r="AG41" i="2"/>
  <c r="N38" i="2"/>
  <c r="AR53" i="2"/>
  <c r="O87" i="2"/>
  <c r="Q18" i="2"/>
  <c r="AC66" i="2"/>
  <c r="AC78" i="2"/>
  <c r="AC64" i="2"/>
  <c r="AC26" i="2"/>
  <c r="AP95" i="2"/>
  <c r="AP72" i="2"/>
  <c r="AP75" i="2"/>
  <c r="AP63" i="2"/>
  <c r="AP4" i="2"/>
  <c r="O13" i="2"/>
  <c r="AS91" i="2"/>
  <c r="AS84" i="2"/>
  <c r="AS68" i="2"/>
  <c r="AS30" i="2"/>
  <c r="AS6" i="2"/>
  <c r="O77" i="2"/>
  <c r="O74" i="2"/>
  <c r="O54" i="2"/>
  <c r="O21" i="2"/>
  <c r="O23" i="2"/>
  <c r="S70" i="2"/>
  <c r="S69" i="2"/>
  <c r="S61" i="2"/>
  <c r="S20" i="2"/>
  <c r="AO96" i="2"/>
  <c r="AO74" i="2"/>
  <c r="AO79" i="2"/>
  <c r="AO46" i="2"/>
  <c r="AO25" i="2"/>
  <c r="AL94" i="2"/>
  <c r="AL71" i="2"/>
  <c r="AL90" i="2"/>
  <c r="AL46" i="2"/>
  <c r="AL22" i="2"/>
  <c r="P95" i="2"/>
  <c r="P74" i="2"/>
  <c r="P77" i="2"/>
  <c r="P32" i="2"/>
  <c r="P20" i="2"/>
  <c r="AQ97" i="2"/>
  <c r="AQ66" i="2"/>
  <c r="AQ67" i="2"/>
  <c r="AQ33" i="2"/>
  <c r="AQ21" i="2"/>
  <c r="Y93" i="2"/>
  <c r="Y76" i="2"/>
  <c r="Y69" i="2"/>
  <c r="Y30" i="2"/>
  <c r="Y23" i="2"/>
  <c r="R14" i="2"/>
  <c r="AI39" i="2"/>
  <c r="O51" i="2"/>
  <c r="AN87" i="2"/>
  <c r="N39" i="2"/>
  <c r="AR16" i="2"/>
  <c r="W17" i="2"/>
  <c r="AG57" i="2"/>
  <c r="V53" i="2"/>
  <c r="R53" i="2"/>
  <c r="AI43" i="2"/>
  <c r="P38" i="2"/>
  <c r="Q34" i="2"/>
  <c r="R38" i="2"/>
  <c r="AI42" i="2"/>
  <c r="AG45" i="2"/>
  <c r="K18" i="2"/>
  <c r="AI96" i="2"/>
  <c r="AI77" i="2"/>
  <c r="AI74" i="2"/>
  <c r="AI27" i="2"/>
  <c r="AI7" i="2"/>
  <c r="H94" i="2"/>
  <c r="H70" i="2"/>
  <c r="H69" i="2"/>
  <c r="H31" i="2"/>
  <c r="H21" i="2"/>
  <c r="AB41" i="2"/>
  <c r="AJ18" i="2"/>
  <c r="V50" i="2"/>
  <c r="AR38" i="2"/>
  <c r="AH74" i="2"/>
  <c r="AH77" i="2"/>
  <c r="AH46" i="2"/>
  <c r="AH4" i="2"/>
  <c r="Z95" i="2"/>
  <c r="Z89" i="2"/>
  <c r="Z75" i="2"/>
  <c r="Z63" i="2"/>
  <c r="Z25" i="2"/>
  <c r="S36" i="2"/>
  <c r="L44" i="2"/>
  <c r="W35" i="2"/>
  <c r="H11" i="2"/>
  <c r="AA35" i="2"/>
  <c r="AB57" i="2"/>
  <c r="AE58" i="2"/>
  <c r="G18" i="2"/>
  <c r="AM11" i="2"/>
  <c r="S51" i="2"/>
  <c r="AL12" i="2"/>
  <c r="AA59" i="2"/>
  <c r="H42" i="2"/>
  <c r="S53" i="2"/>
  <c r="L53" i="2"/>
  <c r="G12" i="2"/>
  <c r="AM44" i="2"/>
  <c r="AQ12" i="2"/>
  <c r="Z41" i="2"/>
  <c r="Y58" i="2"/>
  <c r="P51" i="2"/>
  <c r="Q57" i="2"/>
  <c r="AJ15" i="2"/>
  <c r="AD42" i="2"/>
  <c r="V36" i="2"/>
  <c r="AO87" i="2"/>
  <c r="AI13" i="2"/>
  <c r="F53" i="2"/>
  <c r="N13" i="2"/>
  <c r="AR51" i="2"/>
  <c r="W48" i="3"/>
  <c r="W48" i="2" s="1"/>
  <c r="W49" i="2"/>
  <c r="AJ76" i="2"/>
  <c r="AJ69" i="2"/>
  <c r="AJ63" i="2"/>
  <c r="AJ20" i="2"/>
  <c r="AJ22" i="2"/>
  <c r="AK56" i="2"/>
  <c r="AK55" i="3"/>
  <c r="AK55" i="2" s="1"/>
  <c r="AR87" i="2"/>
  <c r="AI41" i="2"/>
  <c r="W94" i="2"/>
  <c r="W75" i="2"/>
  <c r="W89" i="2"/>
  <c r="W46" i="2"/>
  <c r="W24" i="2"/>
  <c r="AC94" i="2"/>
  <c r="AC77" i="2"/>
  <c r="AC72" i="2"/>
  <c r="AC61" i="2"/>
  <c r="AC7" i="2"/>
  <c r="AP91" i="2"/>
  <c r="AP83" i="2"/>
  <c r="AP71" i="2"/>
  <c r="AP30" i="2"/>
  <c r="AP20" i="2"/>
  <c r="F45" i="2"/>
  <c r="AS66" i="2"/>
  <c r="AS67" i="2"/>
  <c r="AS63" i="2"/>
  <c r="AS21" i="2"/>
  <c r="O94" i="2"/>
  <c r="O73" i="2"/>
  <c r="O89" i="2"/>
  <c r="O46" i="2"/>
  <c r="O24" i="2"/>
  <c r="S93" i="2"/>
  <c r="S88" i="2"/>
  <c r="S90" i="2"/>
  <c r="S63" i="2"/>
  <c r="S6" i="2"/>
  <c r="AO90" i="2"/>
  <c r="AO89" i="2"/>
  <c r="AO75" i="2"/>
  <c r="AO32" i="2"/>
  <c r="AO8" i="2"/>
  <c r="AL92" i="2"/>
  <c r="AL84" i="2"/>
  <c r="AL70" i="2"/>
  <c r="AL31" i="2"/>
  <c r="AL25" i="2"/>
  <c r="P91" i="2"/>
  <c r="P89" i="2"/>
  <c r="P73" i="2"/>
  <c r="P30" i="2"/>
  <c r="P6" i="2"/>
  <c r="AQ96" i="2"/>
  <c r="AQ77" i="2"/>
  <c r="AQ74" i="2"/>
  <c r="AQ27" i="2"/>
  <c r="AQ24" i="2"/>
  <c r="Y97" i="2"/>
  <c r="Y68" i="2"/>
  <c r="Y84" i="2"/>
  <c r="Y31" i="2"/>
  <c r="Y24" i="2"/>
  <c r="J36" i="2"/>
  <c r="K85" i="2"/>
  <c r="R87" i="2"/>
  <c r="AD11" i="2"/>
  <c r="P48" i="3"/>
  <c r="P48" i="2" s="1"/>
  <c r="P49" i="2"/>
  <c r="Q45" i="2"/>
  <c r="Z86" i="2"/>
  <c r="Y59" i="2"/>
  <c r="AP16" i="2"/>
  <c r="J51" i="2"/>
  <c r="AE15" i="2"/>
  <c r="AJ55" i="3"/>
  <c r="AJ55" i="2" s="1"/>
  <c r="AJ56" i="2"/>
  <c r="AD50" i="2"/>
  <c r="J18" i="2"/>
  <c r="Z59" i="2"/>
  <c r="T11" i="2"/>
  <c r="AP40" i="2"/>
  <c r="AI83" i="2"/>
  <c r="AI73" i="2"/>
  <c r="AI64" i="2"/>
  <c r="AI28" i="2"/>
  <c r="AI22" i="2"/>
  <c r="H81" i="2"/>
  <c r="H90" i="2"/>
  <c r="H54" i="2"/>
  <c r="H22" i="2"/>
  <c r="H26" i="2"/>
  <c r="X86" i="2"/>
  <c r="S17" i="2"/>
  <c r="T53" i="2"/>
  <c r="AH93" i="2"/>
  <c r="AH89" i="2"/>
  <c r="AH73" i="2"/>
  <c r="AH30" i="2"/>
  <c r="AH20" i="2"/>
  <c r="Z91" i="2"/>
  <c r="Z76" i="2"/>
  <c r="Z71" i="2"/>
  <c r="Z54" i="2"/>
  <c r="Z8" i="2"/>
  <c r="G45" i="2"/>
  <c r="AM56" i="2"/>
  <c r="AM55" i="3"/>
  <c r="AM55" i="2" s="1"/>
  <c r="AK13" i="2"/>
  <c r="AL38" i="2"/>
  <c r="K45" i="2"/>
  <c r="F14" i="2"/>
  <c r="AS17" i="2"/>
  <c r="AO39" i="2"/>
  <c r="I34" i="2"/>
  <c r="O14" i="2"/>
  <c r="AN41" i="2"/>
  <c r="AK52" i="2"/>
  <c r="AR12" i="2"/>
  <c r="G58" i="2"/>
  <c r="AN10" i="2"/>
  <c r="AO35" i="2"/>
  <c r="I86" i="2"/>
  <c r="AC96" i="2"/>
  <c r="AC75" i="2"/>
  <c r="AC89" i="2"/>
  <c r="AC33" i="2"/>
  <c r="AC24" i="2"/>
  <c r="AP97" i="2"/>
  <c r="AP76" i="2"/>
  <c r="AP69" i="2"/>
  <c r="AP26" i="2"/>
  <c r="AP8" i="2"/>
  <c r="AS97" i="2"/>
  <c r="AS64" i="2"/>
  <c r="AS78" i="2"/>
  <c r="AS54" i="2"/>
  <c r="AS7" i="2"/>
  <c r="O96" i="2"/>
  <c r="O71" i="2"/>
  <c r="O83" i="2"/>
  <c r="O63" i="2"/>
  <c r="O22" i="2"/>
  <c r="S91" i="2"/>
  <c r="S66" i="2"/>
  <c r="S81" i="2"/>
  <c r="S30" i="2"/>
  <c r="S23" i="2"/>
  <c r="AO95" i="2"/>
  <c r="AO83" i="2"/>
  <c r="AO73" i="2"/>
  <c r="AO28" i="2"/>
  <c r="AO6" i="2"/>
  <c r="AL95" i="2"/>
  <c r="AL81" i="2"/>
  <c r="AL68" i="2"/>
  <c r="AL32" i="2"/>
  <c r="AL23" i="2"/>
  <c r="P97" i="2"/>
  <c r="P83" i="2"/>
  <c r="P71" i="2"/>
  <c r="P33" i="2"/>
  <c r="P23" i="2"/>
  <c r="AQ89" i="2"/>
  <c r="AQ75" i="2"/>
  <c r="AQ72" i="2"/>
  <c r="AQ32" i="2"/>
  <c r="AQ22" i="2"/>
  <c r="Y81" i="2"/>
  <c r="Y88" i="2"/>
  <c r="Y64" i="2"/>
  <c r="Y27" i="2"/>
  <c r="Y21" i="2"/>
  <c r="F36" i="2"/>
  <c r="AS59" i="2"/>
  <c r="AO13" i="2"/>
  <c r="I50" i="2"/>
  <c r="G53" i="2"/>
  <c r="AM59" i="2"/>
  <c r="N17" i="2"/>
  <c r="AR14" i="2"/>
  <c r="W37" i="2"/>
  <c r="F58" i="2"/>
  <c r="V11" i="2"/>
  <c r="AO52" i="2"/>
  <c r="I87" i="2"/>
  <c r="F50" i="2"/>
  <c r="AK53" i="2"/>
  <c r="AR18" i="2"/>
  <c r="W18" i="2"/>
  <c r="AI76" i="2"/>
  <c r="AI71" i="2"/>
  <c r="AI54" i="2"/>
  <c r="AI25" i="2"/>
  <c r="AI4" i="2"/>
  <c r="H67" i="2"/>
  <c r="H88" i="2"/>
  <c r="H61" i="2"/>
  <c r="H4" i="2"/>
  <c r="G42" i="2"/>
  <c r="U53" i="2"/>
  <c r="F13" i="2"/>
  <c r="AS52" i="2"/>
  <c r="AH91" i="2"/>
  <c r="AH83" i="2"/>
  <c r="AH71" i="2"/>
  <c r="AH54" i="2"/>
  <c r="AH8" i="2"/>
  <c r="Z97" i="2"/>
  <c r="Z70" i="2"/>
  <c r="Z69" i="2"/>
  <c r="Z33" i="2"/>
  <c r="Z6" i="2"/>
  <c r="AJ42" i="2"/>
  <c r="AD85" i="2"/>
  <c r="AH35" i="2"/>
  <c r="AQ59" i="2"/>
  <c r="X15" i="2"/>
  <c r="T18" i="2"/>
  <c r="AP12" i="2"/>
  <c r="AB37" i="2"/>
  <c r="AE17" i="2"/>
  <c r="U17" i="2"/>
  <c r="AC38" i="2"/>
  <c r="AH87" i="2"/>
  <c r="L11" i="2"/>
  <c r="AJ60" i="2"/>
  <c r="AC18" i="2"/>
  <c r="AB40" i="2"/>
  <c r="AE43" i="2"/>
  <c r="X43" i="2"/>
  <c r="J13" i="2"/>
  <c r="N57" i="2"/>
  <c r="Y15" i="2"/>
  <c r="P39" i="2"/>
  <c r="Q52" i="2"/>
  <c r="AJ95" i="2"/>
  <c r="AJ68" i="2"/>
  <c r="AJ81" i="2"/>
  <c r="AJ54" i="2"/>
  <c r="AJ6" i="2"/>
  <c r="L39" i="2"/>
  <c r="AD16" i="2"/>
  <c r="AO15" i="2"/>
  <c r="AG42" i="2"/>
  <c r="W92" i="2"/>
  <c r="W71" i="2"/>
  <c r="W76" i="2"/>
  <c r="W32" i="2"/>
  <c r="W4" i="2"/>
  <c r="AC92" i="2"/>
  <c r="AC73" i="2"/>
  <c r="AC83" i="2"/>
  <c r="AC31" i="2"/>
  <c r="AC22" i="2"/>
  <c r="AP94" i="2"/>
  <c r="AP70" i="2"/>
  <c r="AP84" i="2"/>
  <c r="AP33" i="2"/>
  <c r="AP6" i="2"/>
  <c r="AS94" i="2"/>
  <c r="AS79" i="2"/>
  <c r="AS74" i="2"/>
  <c r="AS61" i="2"/>
  <c r="AS24" i="2"/>
  <c r="O92" i="2"/>
  <c r="O69" i="2"/>
  <c r="O76" i="2"/>
  <c r="O32" i="2"/>
  <c r="O4" i="2"/>
  <c r="S97" i="2"/>
  <c r="S92" i="2"/>
  <c r="S67" i="2"/>
  <c r="S33" i="2"/>
  <c r="S26" i="2"/>
  <c r="AO93" i="2"/>
  <c r="AO76" i="2"/>
  <c r="AO71" i="2"/>
  <c r="AO30" i="2"/>
  <c r="AO23" i="2"/>
  <c r="AL88" i="2"/>
  <c r="AL67" i="2"/>
  <c r="AL93" i="2"/>
  <c r="AL28" i="2"/>
  <c r="AL20" i="2"/>
  <c r="P94" i="2"/>
  <c r="P76" i="2"/>
  <c r="P69" i="2"/>
  <c r="P31" i="2"/>
  <c r="P21" i="2"/>
  <c r="AQ83" i="2"/>
  <c r="AQ73" i="2"/>
  <c r="AQ64" i="2"/>
  <c r="AQ28" i="2"/>
  <c r="AQ4" i="2"/>
  <c r="Y67" i="2"/>
  <c r="Y66" i="2"/>
  <c r="Y54" i="2"/>
  <c r="Y22" i="2"/>
  <c r="Y7" i="2"/>
  <c r="T16" i="2"/>
  <c r="AP52" i="2"/>
  <c r="AB13" i="2"/>
  <c r="AE42" i="2"/>
  <c r="AJ57" i="2"/>
  <c r="AD44" i="2"/>
  <c r="S12" i="2"/>
  <c r="L10" i="2"/>
  <c r="K11" i="2"/>
  <c r="H12" i="2"/>
  <c r="AA17" i="2"/>
  <c r="AB87" i="2"/>
  <c r="V44" i="2"/>
  <c r="T56" i="2"/>
  <c r="T55" i="3"/>
  <c r="T55" i="2" s="1"/>
  <c r="S13" i="2"/>
  <c r="L43" i="2"/>
  <c r="AA39" i="2"/>
  <c r="AI70" i="2"/>
  <c r="AI69" i="2"/>
  <c r="AI61" i="2"/>
  <c r="AI20" i="2"/>
  <c r="H96" i="2"/>
  <c r="H78" i="2"/>
  <c r="H66" i="2"/>
  <c r="H46" i="2"/>
  <c r="H25" i="2"/>
  <c r="AR10" i="2"/>
  <c r="AQ85" i="2"/>
  <c r="AI11" i="2"/>
  <c r="O86" i="2"/>
  <c r="AH97" i="2"/>
  <c r="AH76" i="2"/>
  <c r="AH69" i="2"/>
  <c r="AH33" i="2"/>
  <c r="AH6" i="2"/>
  <c r="Z94" i="2"/>
  <c r="Z68" i="2"/>
  <c r="Z84" i="2"/>
  <c r="Z31" i="2"/>
  <c r="Z23" i="2"/>
  <c r="AO60" i="2"/>
  <c r="AI18" i="2"/>
  <c r="O52" i="2"/>
  <c r="AN43" i="2"/>
  <c r="N14" i="2"/>
  <c r="AR36" i="2"/>
  <c r="W44" i="2"/>
  <c r="AG53" i="2"/>
  <c r="V87" i="2"/>
  <c r="R40" i="2"/>
  <c r="AI50" i="2"/>
  <c r="P10" i="2"/>
  <c r="Q16" i="2"/>
  <c r="R11" i="2"/>
  <c r="AI36" i="2"/>
  <c r="AG44" i="2"/>
  <c r="V86" i="2"/>
  <c r="AJ67" i="2"/>
  <c r="AJ33" i="2"/>
  <c r="AJ23" i="2"/>
  <c r="K34" i="2"/>
  <c r="AA16" i="2"/>
  <c r="AL86" i="2"/>
  <c r="AD14" i="2"/>
  <c r="W90" i="2"/>
  <c r="W69" i="2"/>
  <c r="W70" i="2"/>
  <c r="W28" i="2"/>
  <c r="W25" i="2"/>
  <c r="AC90" i="2"/>
  <c r="AC71" i="2"/>
  <c r="AC76" i="2"/>
  <c r="AC27" i="2"/>
  <c r="AC4" i="2"/>
  <c r="AP96" i="2"/>
  <c r="AP68" i="2"/>
  <c r="AP81" i="2"/>
  <c r="AP31" i="2"/>
  <c r="AP23" i="2"/>
  <c r="AS96" i="2"/>
  <c r="AS77" i="2"/>
  <c r="AS72" i="2"/>
  <c r="AS33" i="2"/>
  <c r="AS26" i="2"/>
  <c r="O95" i="2"/>
  <c r="O90" i="2"/>
  <c r="O70" i="2"/>
  <c r="O28" i="2"/>
  <c r="O25" i="2"/>
  <c r="S94" i="2"/>
  <c r="S79" i="2"/>
  <c r="S78" i="2"/>
  <c r="S31" i="2"/>
  <c r="S21" i="2"/>
  <c r="AO91" i="2"/>
  <c r="AO70" i="2"/>
  <c r="AO69" i="2"/>
  <c r="AO33" i="2"/>
  <c r="AO26" i="2"/>
  <c r="AL91" i="2"/>
  <c r="AL78" i="2"/>
  <c r="AL63" i="2"/>
  <c r="AL30" i="2"/>
  <c r="AL8" i="2"/>
  <c r="P90" i="2"/>
  <c r="P70" i="2"/>
  <c r="P64" i="2"/>
  <c r="P27" i="2"/>
  <c r="P7" i="2"/>
  <c r="AQ92" i="2"/>
  <c r="AQ71" i="2"/>
  <c r="AQ54" i="2"/>
  <c r="AQ25" i="2"/>
  <c r="AQ26" i="2"/>
  <c r="Y78" i="2"/>
  <c r="Y79" i="2"/>
  <c r="Y61" i="2"/>
  <c r="Y4" i="2"/>
  <c r="N36" i="2"/>
  <c r="AR45" i="2"/>
  <c r="W58" i="2"/>
  <c r="AG40" i="2"/>
  <c r="V35" i="2"/>
  <c r="AO59" i="2"/>
  <c r="I59" i="2"/>
  <c r="P35" i="2"/>
  <c r="Q50" i="2"/>
  <c r="Z14" i="2"/>
  <c r="Y16" i="2"/>
  <c r="X58" i="2"/>
  <c r="AG87" i="2"/>
  <c r="N59" i="2"/>
  <c r="AR58" i="2"/>
  <c r="P16" i="2"/>
  <c r="Q43" i="2"/>
  <c r="AI95" i="2"/>
  <c r="AI68" i="2"/>
  <c r="AI84" i="2"/>
  <c r="AI46" i="2"/>
  <c r="AI8" i="2"/>
  <c r="H92" i="2"/>
  <c r="H74" i="2"/>
  <c r="H79" i="2"/>
  <c r="H63" i="2"/>
  <c r="H20" i="2"/>
  <c r="AE86" i="2"/>
  <c r="AA42" i="2"/>
  <c r="R86" i="2"/>
  <c r="AL52" i="2"/>
  <c r="AH94" i="2"/>
  <c r="AH70" i="2"/>
  <c r="AH84" i="2"/>
  <c r="AH31" i="2"/>
  <c r="AH23" i="2"/>
  <c r="Z96" i="2"/>
  <c r="Z90" i="2"/>
  <c r="Z81" i="2"/>
  <c r="Z27" i="2"/>
  <c r="Z26" i="2"/>
  <c r="AB85" i="2"/>
  <c r="AF16" i="2"/>
  <c r="U43" i="2"/>
  <c r="AC44" i="2"/>
  <c r="S39" i="2"/>
  <c r="L35" i="2"/>
  <c r="X44" i="2"/>
  <c r="H49" i="2"/>
  <c r="H48" i="3"/>
  <c r="H48" i="2" s="1"/>
  <c r="AA51" i="2"/>
  <c r="M35" i="2"/>
  <c r="AF51" i="2"/>
  <c r="G11" i="2"/>
  <c r="AM37" i="2"/>
  <c r="M11" i="2"/>
  <c r="AF39" i="2"/>
  <c r="H45" i="2"/>
  <c r="AA55" i="3"/>
  <c r="AA55" i="2" s="1"/>
  <c r="AA56" i="2"/>
  <c r="AC69" i="2"/>
  <c r="AC70" i="2"/>
  <c r="AC32" i="2"/>
  <c r="AC20" i="2"/>
  <c r="AP92" i="2"/>
  <c r="AP88" i="2"/>
  <c r="AP67" i="2"/>
  <c r="AP27" i="2"/>
  <c r="AP21" i="2"/>
  <c r="AS92" i="2"/>
  <c r="AS75" i="2"/>
  <c r="AS89" i="2"/>
  <c r="AS31" i="2"/>
  <c r="AS22" i="2"/>
  <c r="O93" i="2"/>
  <c r="O84" i="2"/>
  <c r="O68" i="2"/>
  <c r="O30" i="2"/>
  <c r="O20" i="2"/>
  <c r="S96" i="2"/>
  <c r="S77" i="2"/>
  <c r="S74" i="2"/>
  <c r="S27" i="2"/>
  <c r="S7" i="2"/>
  <c r="AO97" i="2"/>
  <c r="AO68" i="2"/>
  <c r="AO84" i="2"/>
  <c r="AO31" i="2"/>
  <c r="AO24" i="2"/>
  <c r="AL79" i="2"/>
  <c r="AL74" i="2"/>
  <c r="AL64" i="2"/>
  <c r="AL26" i="2"/>
  <c r="AL6" i="2"/>
  <c r="P84" i="2"/>
  <c r="P68" i="2"/>
  <c r="P54" i="2"/>
  <c r="P24" i="2"/>
  <c r="P26" i="2"/>
  <c r="AQ76" i="2"/>
  <c r="AQ69" i="2"/>
  <c r="AQ61" i="2"/>
  <c r="AQ20" i="2"/>
  <c r="Y96" i="2"/>
  <c r="Y74" i="2"/>
  <c r="Y77" i="2"/>
  <c r="Y46" i="2"/>
  <c r="Y25" i="2"/>
  <c r="S42" i="2"/>
  <c r="L52" i="2"/>
  <c r="X59" i="2"/>
  <c r="H37" i="2"/>
  <c r="AA58" i="2"/>
  <c r="M17" i="2"/>
  <c r="AF15" i="2"/>
  <c r="G39" i="2"/>
  <c r="AM18" i="2"/>
  <c r="AK14" i="2"/>
  <c r="AL39" i="2"/>
  <c r="AS85" i="2"/>
  <c r="F10" i="2"/>
  <c r="S43" i="2"/>
  <c r="AL15" i="2"/>
  <c r="G40" i="2"/>
  <c r="AM17" i="2"/>
  <c r="AI93" i="2"/>
  <c r="AI92" i="2"/>
  <c r="AI81" i="2"/>
  <c r="AI63" i="2"/>
  <c r="AI6" i="2"/>
  <c r="H95" i="2"/>
  <c r="H72" i="2"/>
  <c r="H77" i="2"/>
  <c r="H32" i="2"/>
  <c r="H8" i="2"/>
  <c r="S57" i="2"/>
  <c r="P45" i="2"/>
  <c r="AN86" i="2"/>
  <c r="V38" i="2"/>
  <c r="AH96" i="2"/>
  <c r="AH68" i="2"/>
  <c r="AH81" i="2"/>
  <c r="AH27" i="2"/>
  <c r="AH26" i="2"/>
  <c r="Z92" i="2"/>
  <c r="Z88" i="2"/>
  <c r="Z67" i="2"/>
  <c r="Z32" i="2"/>
  <c r="Z21" i="2"/>
  <c r="J14" i="2"/>
  <c r="K39" i="2"/>
  <c r="R52" i="2"/>
  <c r="AI55" i="3"/>
  <c r="AI55" i="2" s="1"/>
  <c r="AI56" i="2"/>
  <c r="P40" i="2"/>
  <c r="Q36" i="2"/>
  <c r="Z57" i="2"/>
  <c r="Y53" i="2"/>
  <c r="X53" i="2"/>
  <c r="J50" i="2"/>
  <c r="K43" i="2"/>
  <c r="AJ39" i="2"/>
  <c r="AD36" i="2"/>
  <c r="J38" i="2"/>
  <c r="Z44" i="2"/>
  <c r="Y55" i="3"/>
  <c r="Y55" i="2" s="1"/>
  <c r="Y56" i="2"/>
  <c r="AP11" i="2"/>
  <c r="AC93" i="2"/>
  <c r="AC84" i="2"/>
  <c r="AC68" i="2"/>
  <c r="AC28" i="2"/>
  <c r="AC8" i="2"/>
  <c r="AP90" i="2"/>
  <c r="AP66" i="2"/>
  <c r="AP64" i="2"/>
  <c r="AP32" i="2"/>
  <c r="AP7" i="2"/>
  <c r="AS90" i="2"/>
  <c r="AS73" i="2"/>
  <c r="AS83" i="2"/>
  <c r="AS27" i="2"/>
  <c r="AS4" i="2"/>
  <c r="O91" i="2"/>
  <c r="O81" i="2"/>
  <c r="O88" i="2"/>
  <c r="O33" i="2"/>
  <c r="O8" i="2"/>
  <c r="S89" i="2"/>
  <c r="S75" i="2"/>
  <c r="S72" i="2"/>
  <c r="S32" i="2"/>
  <c r="S24" i="2"/>
  <c r="AO81" i="2"/>
  <c r="AO94" i="2"/>
  <c r="AO64" i="2"/>
  <c r="AO27" i="2"/>
  <c r="AO7" i="2"/>
  <c r="AL77" i="2"/>
  <c r="AL72" i="2"/>
  <c r="AL54" i="2"/>
  <c r="AL21" i="2"/>
  <c r="AL27" i="2"/>
  <c r="P81" i="2"/>
  <c r="P88" i="2"/>
  <c r="P61" i="2"/>
  <c r="P22" i="2"/>
  <c r="AQ95" i="2"/>
  <c r="AQ70" i="2"/>
  <c r="AQ90" i="2"/>
  <c r="AQ46" i="2"/>
  <c r="AQ8" i="2"/>
  <c r="Y92" i="2"/>
  <c r="Y72" i="2"/>
  <c r="Y75" i="2"/>
  <c r="Y63" i="2"/>
  <c r="Y20" i="2"/>
  <c r="P43" i="2"/>
  <c r="Q87" i="2"/>
  <c r="Z40" i="2"/>
  <c r="Y43" i="2"/>
  <c r="X60" i="2"/>
  <c r="J12" i="2"/>
  <c r="K15" i="2"/>
  <c r="AJ37" i="2"/>
  <c r="AD35" i="2"/>
  <c r="AH36" i="2"/>
  <c r="AQ35" i="2"/>
  <c r="Z87" i="2"/>
  <c r="T10" i="2"/>
  <c r="P86" i="2"/>
  <c r="AQ15" i="2"/>
  <c r="AJ41" i="2"/>
  <c r="AD59" i="2"/>
  <c r="AI91" i="2"/>
  <c r="AI88" i="2"/>
  <c r="AI67" i="2"/>
  <c r="AI30" i="2"/>
  <c r="AI23" i="2"/>
  <c r="H93" i="2"/>
  <c r="H89" i="2"/>
  <c r="H75" i="2"/>
  <c r="H28" i="2"/>
  <c r="H6" i="2"/>
  <c r="F52" i="2"/>
  <c r="T42" i="2"/>
  <c r="AE41" i="2"/>
  <c r="O49" i="2"/>
  <c r="O48" i="3"/>
  <c r="O48" i="2" s="1"/>
  <c r="AH92" i="2"/>
  <c r="AH88" i="2"/>
  <c r="AH67" i="2"/>
  <c r="AH32" i="2"/>
  <c r="AH21" i="2"/>
  <c r="Z78" i="2"/>
  <c r="Z66" i="2"/>
  <c r="Z64" i="2"/>
  <c r="Z28" i="2"/>
  <c r="Z7" i="2"/>
  <c r="F11" i="2"/>
  <c r="AS43" i="2"/>
  <c r="M44" i="2"/>
  <c r="I16" i="2"/>
  <c r="G44" i="2"/>
  <c r="AM43" i="2"/>
  <c r="AK60" i="2"/>
  <c r="AL59" i="2"/>
  <c r="W42" i="2"/>
  <c r="F55" i="3"/>
  <c r="F55" i="2" s="1"/>
  <c r="F56" i="2"/>
  <c r="AS87" i="2"/>
  <c r="AO50" i="2"/>
  <c r="I41" i="2"/>
  <c r="F38" i="2"/>
  <c r="AK44" i="2"/>
  <c r="AL57" i="2"/>
  <c r="W14" i="2"/>
  <c r="L14" i="2"/>
  <c r="W86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<sst xmlns="http://schemas.openxmlformats.org/spreadsheetml/2006/main" count="29" uniqueCount="28">
  <si>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</si>
  <si>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SRZ LIBRARY at SCHULTE ROTH &amp; ZABEL.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</si>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</sst>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 t="e">
        <v>#N/A</v>
        <stp/>
        <stp>#track</stp>
        <stp>DBG</stp>
        <stp>BIHITX</stp>
        <stp>1.0</stp>
        <stp>RepeatHit</stp>
        <tr r="A10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7"/>
  <sheetViews>
    <sheetView tabSelected="1" zoomScale="207" workbookViewId="0">
      <selection activeCell="C13" sqref="C13"/>
    </sheetView>
  </sheetViews>
  <sheetFormatPr baseColWidth="10" defaultColWidth="8.83203125" defaultRowHeight="15" x14ac:dyDescent="0.2"/>
  <cols>
    <col min="1" max="1" width="48.5" bestFit="1" customWidth="1"/>
    <col min="2" max="2" width="14.6640625" bestFit="1" customWidth="1"/>
    <col min="3" max="3" width="6.83203125" bestFit="1" customWidth="1"/>
    <col min="4" max="4" width="13.33203125" bestFit="1" customWidth="1"/>
    <col min="5" max="5" width="9.1640625" bestFit="1" customWidth="1"/>
    <col min="6" max="13" width="12.1640625" bestFit="1" customWidth="1"/>
    <col min="14" max="25" width="10.1640625" bestFit="1" customWidth="1"/>
    <col min="26" max="26" width="11.1640625" bestFit="1" customWidth="1"/>
    <col min="27" max="29" width="10.1640625" bestFit="1" customWidth="1"/>
    <col min="30" max="30" width="11.1640625" bestFit="1" customWidth="1"/>
    <col min="31" max="33" width="8.6640625" bestFit="1" customWidth="1"/>
    <col min="34" max="45" width="8.1640625" bestFit="1" customWidth="1"/>
  </cols>
  <sheetData>
    <row r="1" spans="1:4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 ca="1">IFERROR(IF(0=LEN(ReferenceData!$F$2),"",ReferenceData!$F$2),"")</f>
        <v>2023</v>
      </c>
      <c r="G2" t="str">
        <f ca="1">IFERROR(IF(0=LEN(ReferenceData!$G$2),"",ReferenceData!$G$2),"")</f>
        <v>2022</v>
      </c>
      <c r="H2" t="str">
        <f ca="1">IFERROR(IF(0=LEN(ReferenceData!$H$2),"",ReferenceData!$H$2),"")</f>
        <v>2021</v>
      </c>
      <c r="I2" t="str">
        <f ca="1">IFERROR(IF(0=LEN(ReferenceData!$I$2),"",ReferenceData!$I$2),"")</f>
        <v>2020</v>
      </c>
      <c r="J2" t="str">
        <f ca="1">IFERROR(IF(0=LEN(ReferenceData!$J$2),"",ReferenceData!$J$2),"")</f>
        <v>2019</v>
      </c>
      <c r="K2" t="str">
        <f ca="1">IFERROR(IF(0=LEN(ReferenceData!$K$2),"",ReferenceData!$K$2),"")</f>
        <v>2018</v>
      </c>
      <c r="L2" t="str">
        <f ca="1">IFERROR(IF(0=LEN(ReferenceData!$L$2),"",ReferenceData!$L$2),"")</f>
        <v>2017</v>
      </c>
      <c r="M2" t="str">
        <f ca="1">IFERROR(IF(0=LEN(ReferenceData!$M$2),"",ReferenceData!$M$2),"")</f>
        <v>2016</v>
      </c>
      <c r="N2" t="str">
        <f ca="1">IFERROR(IF(0=LEN(ReferenceData!$N$2),"",ReferenceData!$N$2),"")</f>
        <v>2015</v>
      </c>
      <c r="O2" t="str">
        <f ca="1">IFERROR(IF(0=LEN(ReferenceData!$O$2),"",ReferenceData!$O$2),"")</f>
        <v>2014</v>
      </c>
      <c r="P2" t="str">
        <f ca="1">IFERROR(IF(0=LEN(ReferenceData!$P$2),"",ReferenceData!$P$2),"")</f>
        <v>2013</v>
      </c>
      <c r="Q2" t="str">
        <f ca="1">IFERROR(IF(0=LEN(ReferenceData!$Q$2),"",ReferenceData!$Q$2),"")</f>
        <v>2012</v>
      </c>
      <c r="R2" t="str">
        <f ca="1">IFERROR(IF(0=LEN(ReferenceData!$R$2),"",ReferenceData!$R$2),"")</f>
        <v>2011</v>
      </c>
      <c r="S2" t="str">
        <f ca="1">IFERROR(IF(0=LEN(ReferenceData!$S$2),"",ReferenceData!$S$2),"")</f>
        <v>2010</v>
      </c>
      <c r="T2" t="str">
        <f ca="1">IFERROR(IF(0=LEN(ReferenceData!$T$2),"",ReferenceData!$T$2),"")</f>
        <v>2009</v>
      </c>
      <c r="U2" t="str">
        <f ca="1">IFERROR(IF(0=LEN(ReferenceData!$U$2),"",ReferenceData!$U$2),"")</f>
        <v>2008</v>
      </c>
      <c r="V2" t="str">
        <f ca="1">IFERROR(IF(0=LEN(ReferenceData!$V$2),"",ReferenceData!$V$2),"")</f>
        <v>2007</v>
      </c>
      <c r="W2" t="str">
        <f ca="1">IFERROR(IF(0=LEN(ReferenceData!$W$2),"",ReferenceData!$W$2),"")</f>
        <v>2006</v>
      </c>
      <c r="X2" t="str">
        <f ca="1">IFERROR(IF(0=LEN(ReferenceData!$X$2),"",ReferenceData!$X$2),"")</f>
        <v>2005</v>
      </c>
      <c r="Y2" t="str">
        <f ca="1">IFERROR(IF(0=LEN(ReferenceData!$Y$2),"",ReferenceData!$Y$2),"")</f>
        <v>2004</v>
      </c>
      <c r="Z2" t="str">
        <f ca="1">IFERROR(IF(0=LEN(ReferenceData!$Z$2),"",ReferenceData!$Z$2),"")</f>
        <v>2003</v>
      </c>
      <c r="AA2" t="str">
        <f ca="1">IFERROR(IF(0=LEN(ReferenceData!$AA$2),"",ReferenceData!$AA$2),"")</f>
        <v>2002</v>
      </c>
      <c r="AB2" t="str">
        <f ca="1">IFERROR(IF(0=LEN(ReferenceData!$AB$2),"",ReferenceData!$AB$2),"")</f>
        <v>2001</v>
      </c>
      <c r="AC2" t="str">
        <f ca="1">IFERROR(IF(0=LEN(ReferenceData!$AC$2),"",ReferenceData!$AC$2),"")</f>
        <v>2000</v>
      </c>
      <c r="AD2" t="str">
        <f ca="1">IFERROR(IF(0=LEN(ReferenceData!$AD$2),"",ReferenceData!$AD$2),"")</f>
        <v>1999</v>
      </c>
      <c r="AE2" t="str">
        <f ca="1">IFERROR(IF(0=LEN(ReferenceData!$AE$2),"",ReferenceData!$AE$2),"")</f>
        <v>1998</v>
      </c>
      <c r="AF2" t="str">
        <f ca="1">IFERROR(IF(0=LEN(ReferenceData!$AF$2),"",ReferenceData!$AF$2),"")</f>
        <v>1997</v>
      </c>
      <c r="AG2" t="str">
        <f ca="1">IFERROR(IF(0=LEN(ReferenceData!$AG$2),"",ReferenceData!$AG$2),"")</f>
        <v>1996</v>
      </c>
      <c r="AH2" t="str">
        <f ca="1">IFERROR(IF(0=LEN(ReferenceData!$AH$2),"",ReferenceData!$AH$2),"")</f>
        <v>1995</v>
      </c>
      <c r="AI2" t="str">
        <f ca="1">IFERROR(IF(0=LEN(ReferenceData!$AI$2),"",ReferenceData!$AI$2),"")</f>
        <v>1994</v>
      </c>
      <c r="AJ2" t="str">
        <f ca="1">IFERROR(IF(0=LEN(ReferenceData!$AJ$2),"",ReferenceData!$AJ$2),"")</f>
        <v>1993</v>
      </c>
      <c r="AK2" t="str">
        <f ca="1">IFERROR(IF(0=LEN(ReferenceData!$AK$2),"",ReferenceData!$AK$2),"")</f>
        <v>1992</v>
      </c>
      <c r="AL2" t="str">
        <f ca="1">IFERROR(IF(0=LEN(ReferenceData!$AL$2),"",ReferenceData!$AL$2),"")</f>
        <v>1991</v>
      </c>
      <c r="AM2" t="str">
        <f ca="1">IFERROR(IF(0=LEN(ReferenceData!$AM$2),"",ReferenceData!$AM$2),"")</f>
        <v>1990</v>
      </c>
      <c r="AN2" t="str">
        <f ca="1">IFERROR(IF(0=LEN(ReferenceData!$AN$2),"",ReferenceData!$AN$2),"")</f>
        <v>1989</v>
      </c>
      <c r="AO2" t="str">
        <f ca="1">IFERROR(IF(0=LEN(ReferenceData!$AO$2),"",ReferenceData!$AO$2),"")</f>
        <v>1988</v>
      </c>
      <c r="AP2" t="str">
        <f ca="1">IFERROR(IF(0=LEN(ReferenceData!$AP$2),"",ReferenceData!$AP$2),"")</f>
        <v>1987</v>
      </c>
      <c r="AQ2" t="str">
        <f ca="1">IFERROR(IF(0=LEN(ReferenceData!$AQ$2),"",ReferenceData!$AQ$2),"")</f>
        <v>1986</v>
      </c>
      <c r="AR2" t="str">
        <f ca="1">IFERROR(IF(0=LEN(ReferenceData!$AR$2),"",ReferenceData!$AR$2),"")</f>
        <v>1985</v>
      </c>
      <c r="AS2" t="str">
        <f ca="1">IFERROR(IF(0=LEN(ReferenceData!$AS$2),"",ReferenceData!$AS$2),"")</f>
        <v>1984</v>
      </c>
    </row>
    <row r="3" spans="1:45" x14ac:dyDescent="0.2">
      <c r="A3" t="str">
        <f>IFERROR(IF(0=LEN(ReferenceData!$A$3),"",ReferenceData!$A$3),"")</f>
        <v>* Switch View For More Data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IFERROR(IF(0=LEN(ReferenceData!$F$3),"",ReferenceData!$F$3),"")</f>
        <v/>
      </c>
      <c r="G3" t="str">
        <f>IFERROR(IF(0=LEN(ReferenceData!$G$3),"",ReferenceData!$G$3),"")</f>
        <v/>
      </c>
      <c r="H3" t="str">
        <f>IFERROR(IF(0=LEN(ReferenceData!$H$3),"",ReferenceData!$H$3),"")</f>
        <v/>
      </c>
      <c r="I3" t="str">
        <f>IFERROR(IF(0=LEN(ReferenceData!$I$3),"",ReferenceData!$I$3),"")</f>
        <v/>
      </c>
      <c r="J3" t="str">
        <f>IFERROR(IF(0=LEN(ReferenceData!$J$3),"",ReferenceData!$J$3),"")</f>
        <v/>
      </c>
      <c r="K3" t="str">
        <f>IFERROR(IF(0=LEN(ReferenceData!$K$3),"",ReferenceData!$K$3),"")</f>
        <v/>
      </c>
      <c r="L3" t="str">
        <f>IFERROR(IF(0=LEN(ReferenceData!$L$3),"",ReferenceData!$L$3),"")</f>
        <v/>
      </c>
      <c r="M3" t="str">
        <f>IFERROR(IF(0=LEN(ReferenceData!$M$3),"",ReferenceData!$M$3),"")</f>
        <v/>
      </c>
      <c r="N3" t="str">
        <f>IFERROR(IF(0=LEN(ReferenceData!$N$3),"",ReferenceData!$N$3),"")</f>
        <v/>
      </c>
      <c r="O3" t="str">
        <f>IFERROR(IF(0=LEN(ReferenceData!$O$3),"",ReferenceData!$O$3),"")</f>
        <v/>
      </c>
      <c r="P3" t="str">
        <f>IFERROR(IF(0=LEN(ReferenceData!$P$3),"",ReferenceData!$P$3),"")</f>
        <v/>
      </c>
      <c r="Q3" t="str">
        <f>IFERROR(IF(0=LEN(ReferenceData!$Q$3),"",ReferenceData!$Q$3),"")</f>
        <v/>
      </c>
      <c r="R3" t="str">
        <f>IFERROR(IF(0=LEN(ReferenceData!$R$3),"",ReferenceData!$R$3),"")</f>
        <v/>
      </c>
      <c r="S3" t="str">
        <f>IFERROR(IF(0=LEN(ReferenceData!$S$3),"",ReferenceData!$S$3),"")</f>
        <v/>
      </c>
      <c r="T3" t="str">
        <f>IFERROR(IF(0=LEN(ReferenceData!$T$3),"",ReferenceData!$T$3),"")</f>
        <v/>
      </c>
      <c r="U3" t="str">
        <f>IFERROR(IF(0=LEN(ReferenceData!$U$3),"",ReferenceData!$U$3),"")</f>
        <v/>
      </c>
      <c r="V3" t="str">
        <f>IFERROR(IF(0=LEN(ReferenceData!$V$3),"",ReferenceData!$V$3),"")</f>
        <v/>
      </c>
      <c r="W3" t="str">
        <f>IFERROR(IF(0=LEN(ReferenceData!$W$3),"",ReferenceData!$W$3),"")</f>
        <v/>
      </c>
      <c r="X3" t="str">
        <f>IFERROR(IF(0=LEN(ReferenceData!$X$3),"",ReferenceData!$X$3),"")</f>
        <v/>
      </c>
      <c r="Y3" t="str">
        <f>IFERROR(IF(0=LEN(ReferenceData!$Y$3),"",ReferenceData!$Y$3),"")</f>
        <v/>
      </c>
      <c r="Z3" t="str">
        <f>IFERROR(IF(0=LEN(ReferenceData!$Z$3),"",ReferenceData!$Z$3),"")</f>
        <v/>
      </c>
      <c r="AA3" t="str">
        <f>IFERROR(IF(0=LEN(ReferenceData!$AA$3),"",ReferenceData!$AA$3),"")</f>
        <v/>
      </c>
      <c r="AB3" t="str">
        <f>IFERROR(IF(0=LEN(ReferenceData!$AB$3),"",ReferenceData!$AB$3),"")</f>
        <v/>
      </c>
      <c r="AC3" t="str">
        <f>IFERROR(IF(0=LEN(ReferenceData!$AC$3),"",ReferenceData!$AC$3),"")</f>
        <v/>
      </c>
      <c r="AD3" t="str">
        <f>IFERROR(IF(0=LEN(ReferenceData!$AD$3),"",ReferenceData!$AD$3),"")</f>
        <v/>
      </c>
      <c r="AE3" t="str">
        <f>IFERROR(IF(0=LEN(ReferenceData!$AE$3),"",ReferenceData!$AE$3),"")</f>
        <v/>
      </c>
      <c r="AF3" t="str">
        <f>IFERROR(IF(0=LEN(ReferenceData!$AF$3),"",ReferenceData!$AF$3),"")</f>
        <v/>
      </c>
      <c r="AG3" t="str">
        <f>IFERROR(IF(0=LEN(ReferenceData!$AG$3),"",ReferenceData!$AG$3),"")</f>
        <v/>
      </c>
      <c r="AH3" t="str">
        <f>IFERROR(IF(0=LEN(ReferenceData!$AH$3),"",ReferenceData!$AH$3),"")</f>
        <v/>
      </c>
      <c r="AI3" t="str">
        <f>IFERROR(IF(0=LEN(ReferenceData!$AI$3),"",ReferenceData!$AI$3),"")</f>
        <v/>
      </c>
      <c r="AJ3" t="str">
        <f>IFERROR(IF(0=LEN(ReferenceData!$AJ$3),"",ReferenceData!$AJ$3),"")</f>
        <v/>
      </c>
      <c r="AK3" t="str">
        <f>IFERROR(IF(0=LEN(ReferenceData!$AK$3),"",ReferenceData!$AK$3),"")</f>
        <v/>
      </c>
      <c r="AL3" t="str">
        <f>IFERROR(IF(0=LEN(ReferenceData!$AL$3),"",ReferenceData!$AL$3),"")</f>
        <v/>
      </c>
      <c r="AM3" t="str">
        <f>IFERROR(IF(0=LEN(ReferenceData!$AM$3),"",ReferenceData!$AM$3),"")</f>
        <v/>
      </c>
      <c r="AN3" t="str">
        <f>IFERROR(IF(0=LEN(ReferenceData!$AN$3),"",ReferenceData!$AN$3),"")</f>
        <v/>
      </c>
      <c r="AO3" t="str">
        <f>IFERROR(IF(0=LEN(ReferenceData!$AO$3),"",ReferenceData!$AO$3),"")</f>
        <v/>
      </c>
      <c r="AP3" t="str">
        <f>IFERROR(IF(0=LEN(ReferenceData!$AP$3),"",ReferenceData!$AP$3),"")</f>
        <v/>
      </c>
      <c r="AQ3" t="str">
        <f>IFERROR(IF(0=LEN(ReferenceData!$AQ$3),"",ReferenceData!$AQ$3),"")</f>
        <v/>
      </c>
      <c r="AR3" t="str">
        <f>IFERROR(IF(0=LEN(ReferenceData!$AR$3),"",ReferenceData!$AR$3),"")</f>
        <v/>
      </c>
      <c r="AS3" t="str">
        <f>IFERROR(IF(0=LEN(ReferenceData!$AS$3),"",ReferenceData!$AS$3),"")</f>
        <v/>
      </c>
    </row>
    <row r="4" spans="1:45" x14ac:dyDescent="0.2">
      <c r="A4" t="str">
        <f>IFERROR(IF(0=LEN(ReferenceData!$A$4),"",ReferenceData!$A$4),"")</f>
        <v/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Static</v>
      </c>
      <c r="F4" t="str">
        <f ca="1">IFERROR(IF(0=LEN(ReferenceData!$F$4),"",ReferenceData!$F$4),"")</f>
        <v/>
      </c>
      <c r="G4" t="str">
        <f ca="1">IFERROR(IF(0=LEN(ReferenceData!$G$4),"",ReferenceData!$G$4),"")</f>
        <v/>
      </c>
      <c r="H4" t="str">
        <f ca="1">IFERROR(IF(0=LEN(ReferenceData!$H$4),"",ReferenceData!$H$4),"")</f>
        <v/>
      </c>
      <c r="I4" t="str">
        <f ca="1">IFERROR(IF(0=LEN(ReferenceData!$I$4),"",ReferenceData!$I$4),"")</f>
        <v/>
      </c>
      <c r="J4" t="str">
        <f ca="1">IFERROR(IF(0=LEN(ReferenceData!$J$4),"",ReferenceData!$J$4),"")</f>
        <v/>
      </c>
      <c r="K4" t="str">
        <f ca="1">IFERROR(IF(0=LEN(ReferenceData!$K$4),"",ReferenceData!$K$4),"")</f>
        <v/>
      </c>
      <c r="L4" t="str">
        <f ca="1">IFERROR(IF(0=LEN(ReferenceData!$L$4),"",ReferenceData!$L$4),"")</f>
        <v/>
      </c>
      <c r="M4" t="str">
        <f ca="1">IFERROR(IF(0=LEN(ReferenceData!$M$4),"",ReferenceData!$M$4),"")</f>
        <v/>
      </c>
      <c r="N4" t="str">
        <f ca="1">IFERROR(IF(0=LEN(ReferenceData!$N$4),"",ReferenceData!$N$4),"")</f>
        <v/>
      </c>
      <c r="O4" t="str">
        <f ca="1">IFERROR(IF(0=LEN(ReferenceData!$O$4),"",ReferenceData!$O$4),"")</f>
        <v/>
      </c>
      <c r="P4" t="str">
        <f ca="1">IFERROR(IF(0=LEN(ReferenceData!$P$4),"",ReferenceData!$P$4),"")</f>
        <v/>
      </c>
      <c r="Q4" t="str">
        <f ca="1">IFERROR(IF(0=LEN(ReferenceData!$Q$4),"",ReferenceData!$Q$4),"")</f>
        <v/>
      </c>
      <c r="R4" t="str">
        <f ca="1">IFERROR(IF(0=LEN(ReferenceData!$R$4),"",ReferenceData!$R$4),"")</f>
        <v/>
      </c>
      <c r="S4" t="str">
        <f ca="1">IFERROR(IF(0=LEN(ReferenceData!$S$4),"",ReferenceData!$S$4),"")</f>
        <v/>
      </c>
      <c r="T4" t="str">
        <f ca="1">IFERROR(IF(0=LEN(ReferenceData!$T$4),"",ReferenceData!$T$4),"")</f>
        <v/>
      </c>
      <c r="U4" t="str">
        <f ca="1">IFERROR(IF(0=LEN(ReferenceData!$U$4),"",ReferenceData!$U$4),"")</f>
        <v/>
      </c>
      <c r="V4" t="str">
        <f ca="1">IFERROR(IF(0=LEN(ReferenceData!$V$4),"",ReferenceData!$V$4),"")</f>
        <v/>
      </c>
      <c r="W4" t="str">
        <f ca="1">IFERROR(IF(0=LEN(ReferenceData!$W$4),"",ReferenceData!$W$4),"")</f>
        <v/>
      </c>
      <c r="X4" t="str">
        <f ca="1">IFERROR(IF(0=LEN(ReferenceData!$X$4),"",ReferenceData!$X$4),"")</f>
        <v/>
      </c>
      <c r="Y4" t="str">
        <f ca="1">IFERROR(IF(0=LEN(ReferenceData!$Y$4),"",ReferenceData!$Y$4),"")</f>
        <v/>
      </c>
      <c r="Z4" t="str">
        <f ca="1">IFERROR(IF(0=LEN(ReferenceData!$Z$4),"",ReferenceData!$Z$4),"")</f>
        <v/>
      </c>
      <c r="AA4" t="str">
        <f ca="1">IFERROR(IF(0=LEN(ReferenceData!$AA$4),"",ReferenceData!$AA$4),"")</f>
        <v/>
      </c>
      <c r="AB4" t="str">
        <f ca="1">IFERROR(IF(0=LEN(ReferenceData!$AB$4),"",ReferenceData!$AB$4),"")</f>
        <v/>
      </c>
      <c r="AC4" t="str">
        <f ca="1">IFERROR(IF(0=LEN(ReferenceData!$AC$4),"",ReferenceData!$AC$4),"")</f>
        <v/>
      </c>
      <c r="AD4" t="str">
        <f ca="1">IFERROR(IF(0=LEN(ReferenceData!$AD$4),"",ReferenceData!$AD$4),"")</f>
        <v/>
      </c>
      <c r="AE4" t="str">
        <f ca="1">IFERROR(IF(0=LEN(ReferenceData!$AE$4),"",ReferenceData!$AE$4),"")</f>
        <v/>
      </c>
      <c r="AF4" t="str">
        <f ca="1">IFERROR(IF(0=LEN(ReferenceData!$AF$4),"",ReferenceData!$AF$4),"")</f>
        <v/>
      </c>
      <c r="AG4" t="str">
        <f ca="1">IFERROR(IF(0=LEN(ReferenceData!$AG$4),"",ReferenceData!$AG$4),"")</f>
        <v/>
      </c>
      <c r="AH4" t="str">
        <f ca="1">IFERROR(IF(0=LEN(ReferenceData!$AH$4),"",ReferenceData!$AH$4),"")</f>
        <v/>
      </c>
      <c r="AI4" t="str">
        <f ca="1">IFERROR(IF(0=LEN(ReferenceData!$AI$4),"",ReferenceData!$AI$4),"")</f>
        <v/>
      </c>
      <c r="AJ4" t="str">
        <f ca="1">IFERROR(IF(0=LEN(ReferenceData!$AJ$4),"",ReferenceData!$AJ$4),"")</f>
        <v/>
      </c>
      <c r="AK4" t="str">
        <f ca="1">IFERROR(IF(0=LEN(ReferenceData!$AK$4),"",ReferenceData!$AK$4),"")</f>
        <v/>
      </c>
      <c r="AL4" t="str">
        <f ca="1">IFERROR(IF(0=LEN(ReferenceData!$AL$4),"",ReferenceData!$AL$4),"")</f>
        <v/>
      </c>
      <c r="AM4" t="str">
        <f ca="1">IFERROR(IF(0=LEN(ReferenceData!$AM$4),"",ReferenceData!$AM$4),"")</f>
        <v/>
      </c>
      <c r="AN4" t="str">
        <f ca="1">IFERROR(IF(0=LEN(ReferenceData!$AN$4),"",ReferenceData!$AN$4),"")</f>
        <v/>
      </c>
      <c r="AO4" t="str">
        <f ca="1">IFERROR(IF(0=LEN(ReferenceData!$AO$4),"",ReferenceData!$AO$4),"")</f>
        <v/>
      </c>
      <c r="AP4" t="str">
        <f ca="1">IFERROR(IF(0=LEN(ReferenceData!$AP$4),"",ReferenceData!$AP$4),"")</f>
        <v/>
      </c>
      <c r="AQ4" t="str">
        <f ca="1">IFERROR(IF(0=LEN(ReferenceData!$AQ$4),"",ReferenceData!$AQ$4),"")</f>
        <v/>
      </c>
      <c r="AR4" t="str">
        <f ca="1">IFERROR(IF(0=LEN(ReferenceData!$AR$4),"",ReferenceData!$AR$4),"")</f>
        <v/>
      </c>
      <c r="AS4" t="str">
        <f ca="1">IFERROR(IF(0=LEN(ReferenceData!$AS$4),"",ReferenceData!$AS$4),"")</f>
        <v/>
      </c>
    </row>
    <row r="5" spans="1:45" x14ac:dyDescent="0.2">
      <c r="A5" t="str">
        <f>IFERROR(IF(0=LEN(ReferenceData!$A$5),"",ReferenceData!$A$5),"")</f>
        <v>United States</v>
      </c>
      <c r="B5" t="str">
        <f>IFERROR(IF(0=LEN(ReferenceData!$B$5),"",ReferenceData!$B$5),"")</f>
        <v/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Heading</v>
      </c>
      <c r="F5" t="str">
        <f>IFERROR(IF(0=LEN(ReferenceData!$F$5),"",ReferenceData!$F$5),"")</f>
        <v/>
      </c>
      <c r="G5" t="str">
        <f>IFERROR(IF(0=LEN(ReferenceData!$G$5),"",ReferenceData!$G$5),"")</f>
        <v/>
      </c>
      <c r="H5" t="str">
        <f>IFERROR(IF(0=LEN(ReferenceData!$H$5),"",ReferenceData!$H$5),"")</f>
        <v/>
      </c>
      <c r="I5" t="str">
        <f>IFERROR(IF(0=LEN(ReferenceData!$I$5),"",ReferenceData!$I$5),"")</f>
        <v/>
      </c>
      <c r="J5" t="str">
        <f>IFERROR(IF(0=LEN(ReferenceData!$J$5),"",ReferenceData!$J$5),"")</f>
        <v/>
      </c>
      <c r="K5" t="str">
        <f>IFERROR(IF(0=LEN(ReferenceData!$K$5),"",ReferenceData!$K$5),"")</f>
        <v/>
      </c>
      <c r="L5" t="str">
        <f>IFERROR(IF(0=LEN(ReferenceData!$L$5),"",ReferenceData!$L$5),"")</f>
        <v/>
      </c>
      <c r="M5" t="str">
        <f>IFERROR(IF(0=LEN(ReferenceData!$M$5),"",ReferenceData!$M$5),"")</f>
        <v/>
      </c>
      <c r="N5" t="str">
        <f>IFERROR(IF(0=LEN(ReferenceData!$N$5),"",ReferenceData!$N$5),"")</f>
        <v/>
      </c>
      <c r="O5" t="str">
        <f>IFERROR(IF(0=LEN(ReferenceData!$O$5),"",ReferenceData!$O$5),"")</f>
        <v/>
      </c>
      <c r="P5" t="str">
        <f>IFERROR(IF(0=LEN(ReferenceData!$P$5),"",ReferenceData!$P$5),"")</f>
        <v/>
      </c>
      <c r="Q5" t="str">
        <f>IFERROR(IF(0=LEN(ReferenceData!$Q$5),"",ReferenceData!$Q$5),"")</f>
        <v/>
      </c>
      <c r="R5" t="str">
        <f>IFERROR(IF(0=LEN(ReferenceData!$R$5),"",ReferenceData!$R$5),"")</f>
        <v/>
      </c>
      <c r="S5" t="str">
        <f>IFERROR(IF(0=LEN(ReferenceData!$S$5),"",ReferenceData!$S$5),"")</f>
        <v/>
      </c>
      <c r="T5" t="str">
        <f>IFERROR(IF(0=LEN(ReferenceData!$T$5),"",ReferenceData!$T$5),"")</f>
        <v/>
      </c>
      <c r="U5" t="str">
        <f>IFERROR(IF(0=LEN(ReferenceData!$U$5),"",ReferenceData!$U$5),"")</f>
        <v/>
      </c>
      <c r="V5" t="str">
        <f>IFERROR(IF(0=LEN(ReferenceData!$V$5),"",ReferenceData!$V$5),"")</f>
        <v/>
      </c>
      <c r="W5" t="str">
        <f>IFERROR(IF(0=LEN(ReferenceData!$W$5),"",ReferenceData!$W$5),"")</f>
        <v/>
      </c>
      <c r="X5" t="str">
        <f>IFERROR(IF(0=LEN(ReferenceData!$X$5),"",ReferenceData!$X$5),"")</f>
        <v/>
      </c>
      <c r="Y5" t="str">
        <f>IFERROR(IF(0=LEN(ReferenceData!$Y$5),"",ReferenceData!$Y$5),"")</f>
        <v/>
      </c>
      <c r="Z5" t="str">
        <f>IFERROR(IF(0=LEN(ReferenceData!$Z$5),"",ReferenceData!$Z$5),"")</f>
        <v/>
      </c>
      <c r="AA5" t="str">
        <f>IFERROR(IF(0=LEN(ReferenceData!$AA$5),"",ReferenceData!$AA$5),"")</f>
        <v/>
      </c>
      <c r="AB5" t="str">
        <f>IFERROR(IF(0=LEN(ReferenceData!$AB$5),"",ReferenceData!$AB$5),"")</f>
        <v/>
      </c>
      <c r="AC5" t="str">
        <f>IFERROR(IF(0=LEN(ReferenceData!$AC$5),"",ReferenceData!$AC$5),"")</f>
        <v/>
      </c>
      <c r="AD5" t="str">
        <f>IFERROR(IF(0=LEN(ReferenceData!$AD$5),"",ReferenceData!$AD$5),"")</f>
        <v/>
      </c>
      <c r="AE5" t="str">
        <f>IFERROR(IF(0=LEN(ReferenceData!$AE$5),"",ReferenceData!$AE$5),"")</f>
        <v/>
      </c>
      <c r="AF5" t="str">
        <f>IFERROR(IF(0=LEN(ReferenceData!$AF$5),"",ReferenceData!$AF$5),"")</f>
        <v/>
      </c>
      <c r="AG5" t="str">
        <f>IFERROR(IF(0=LEN(ReferenceData!$AG$5),"",ReferenceData!$AG$5),"")</f>
        <v/>
      </c>
      <c r="AH5" t="str">
        <f>IFERROR(IF(0=LEN(ReferenceData!$AH$5),"",ReferenceData!$AH$5),"")</f>
        <v/>
      </c>
      <c r="AI5" t="str">
        <f>IFERROR(IF(0=LEN(ReferenceData!$AI$5),"",ReferenceData!$AI$5),"")</f>
        <v/>
      </c>
      <c r="AJ5" t="str">
        <f>IFERROR(IF(0=LEN(ReferenceData!$AJ$5),"",ReferenceData!$AJ$5),"")</f>
        <v/>
      </c>
      <c r="AK5" t="str">
        <f>IFERROR(IF(0=LEN(ReferenceData!$AK$5),"",ReferenceData!$AK$5),"")</f>
        <v/>
      </c>
      <c r="AL5" t="str">
        <f>IFERROR(IF(0=LEN(ReferenceData!$AL$5),"",ReferenceData!$AL$5),"")</f>
        <v/>
      </c>
      <c r="AM5" t="str">
        <f>IFERROR(IF(0=LEN(ReferenceData!$AM$5),"",ReferenceData!$AM$5),"")</f>
        <v/>
      </c>
      <c r="AN5" t="str">
        <f>IFERROR(IF(0=LEN(ReferenceData!$AN$5),"",ReferenceData!$AN$5),"")</f>
        <v/>
      </c>
      <c r="AO5" t="str">
        <f>IFERROR(IF(0=LEN(ReferenceData!$AO$5),"",ReferenceData!$AO$5),"")</f>
        <v/>
      </c>
      <c r="AP5" t="str">
        <f>IFERROR(IF(0=LEN(ReferenceData!$AP$5),"",ReferenceData!$AP$5),"")</f>
        <v/>
      </c>
      <c r="AQ5" t="str">
        <f>IFERROR(IF(0=LEN(ReferenceData!$AQ$5),"",ReferenceData!$AQ$5),"")</f>
        <v/>
      </c>
      <c r="AR5" t="str">
        <f>IFERROR(IF(0=LEN(ReferenceData!$AR$5),"",ReferenceData!$AR$5),"")</f>
        <v/>
      </c>
      <c r="AS5" t="str">
        <f>IFERROR(IF(0=LEN(ReferenceData!$AS$5),"",ReferenceData!$AS$5),"")</f>
        <v/>
      </c>
    </row>
    <row r="6" spans="1:45" x14ac:dyDescent="0.2">
      <c r="A6" t="str">
        <f>IFERROR(IF(0=LEN(ReferenceData!$A$6),"",ReferenceData!$A$6),"")</f>
        <v xml:space="preserve">    </v>
      </c>
      <c r="B6" t="str">
        <f>IFERROR(IF(0=LEN(ReferenceData!$B$6),"",ReferenceData!$B$6),"")</f>
        <v/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Static</v>
      </c>
      <c r="F6" t="str">
        <f ca="1">IFERROR(IF(0=LEN(ReferenceData!$F$6),"",ReferenceData!$F$6),"")</f>
        <v/>
      </c>
      <c r="G6" t="str">
        <f ca="1">IFERROR(IF(0=LEN(ReferenceData!$G$6),"",ReferenceData!$G$6),"")</f>
        <v/>
      </c>
      <c r="H6" t="str">
        <f ca="1">IFERROR(IF(0=LEN(ReferenceData!$H$6),"",ReferenceData!$H$6),"")</f>
        <v/>
      </c>
      <c r="I6" t="str">
        <f ca="1">IFERROR(IF(0=LEN(ReferenceData!$I$6),"",ReferenceData!$I$6),"")</f>
        <v/>
      </c>
      <c r="J6" t="str">
        <f ca="1">IFERROR(IF(0=LEN(ReferenceData!$J$6),"",ReferenceData!$J$6),"")</f>
        <v/>
      </c>
      <c r="K6" t="str">
        <f ca="1">IFERROR(IF(0=LEN(ReferenceData!$K$6),"",ReferenceData!$K$6),"")</f>
        <v/>
      </c>
      <c r="L6" t="str">
        <f ca="1">IFERROR(IF(0=LEN(ReferenceData!$L$6),"",ReferenceData!$L$6),"")</f>
        <v/>
      </c>
      <c r="M6" t="str">
        <f ca="1">IFERROR(IF(0=LEN(ReferenceData!$M$6),"",ReferenceData!$M$6),"")</f>
        <v/>
      </c>
      <c r="N6" t="str">
        <f ca="1">IFERROR(IF(0=LEN(ReferenceData!$N$6),"",ReferenceData!$N$6),"")</f>
        <v/>
      </c>
      <c r="O6" t="str">
        <f ca="1">IFERROR(IF(0=LEN(ReferenceData!$O$6),"",ReferenceData!$O$6),"")</f>
        <v/>
      </c>
      <c r="P6" t="str">
        <f ca="1">IFERROR(IF(0=LEN(ReferenceData!$P$6),"",ReferenceData!$P$6),"")</f>
        <v/>
      </c>
      <c r="Q6" t="str">
        <f ca="1">IFERROR(IF(0=LEN(ReferenceData!$Q$6),"",ReferenceData!$Q$6),"")</f>
        <v/>
      </c>
      <c r="R6" t="str">
        <f ca="1">IFERROR(IF(0=LEN(ReferenceData!$R$6),"",ReferenceData!$R$6),"")</f>
        <v/>
      </c>
      <c r="S6" t="str">
        <f ca="1">IFERROR(IF(0=LEN(ReferenceData!$S$6),"",ReferenceData!$S$6),"")</f>
        <v/>
      </c>
      <c r="T6" t="str">
        <f ca="1">IFERROR(IF(0=LEN(ReferenceData!$T$6),"",ReferenceData!$T$6),"")</f>
        <v/>
      </c>
      <c r="U6" t="str">
        <f ca="1">IFERROR(IF(0=LEN(ReferenceData!$U$6),"",ReferenceData!$U$6),"")</f>
        <v/>
      </c>
      <c r="V6" t="str">
        <f ca="1">IFERROR(IF(0=LEN(ReferenceData!$V$6),"",ReferenceData!$V$6),"")</f>
        <v/>
      </c>
      <c r="W6" t="str">
        <f ca="1">IFERROR(IF(0=LEN(ReferenceData!$W$6),"",ReferenceData!$W$6),"")</f>
        <v/>
      </c>
      <c r="X6" t="str">
        <f ca="1">IFERROR(IF(0=LEN(ReferenceData!$X$6),"",ReferenceData!$X$6),"")</f>
        <v/>
      </c>
      <c r="Y6" t="str">
        <f ca="1">IFERROR(IF(0=LEN(ReferenceData!$Y$6),"",ReferenceData!$Y$6),"")</f>
        <v/>
      </c>
      <c r="Z6" t="str">
        <f ca="1">IFERROR(IF(0=LEN(ReferenceData!$Z$6),"",ReferenceData!$Z$6),"")</f>
        <v/>
      </c>
      <c r="AA6" t="str">
        <f ca="1">IFERROR(IF(0=LEN(ReferenceData!$AA$6),"",ReferenceData!$AA$6),"")</f>
        <v/>
      </c>
      <c r="AB6" t="str">
        <f ca="1">IFERROR(IF(0=LEN(ReferenceData!$AB$6),"",ReferenceData!$AB$6),"")</f>
        <v/>
      </c>
      <c r="AC6" t="str">
        <f ca="1">IFERROR(IF(0=LEN(ReferenceData!$AC$6),"",ReferenceData!$AC$6),"")</f>
        <v/>
      </c>
      <c r="AD6" t="str">
        <f ca="1">IFERROR(IF(0=LEN(ReferenceData!$AD$6),"",ReferenceData!$AD$6),"")</f>
        <v/>
      </c>
      <c r="AE6" t="str">
        <f ca="1">IFERROR(IF(0=LEN(ReferenceData!$AE$6),"",ReferenceData!$AE$6),"")</f>
        <v/>
      </c>
      <c r="AF6" t="str">
        <f ca="1">IFERROR(IF(0=LEN(ReferenceData!$AF$6),"",ReferenceData!$AF$6),"")</f>
        <v/>
      </c>
      <c r="AG6" t="str">
        <f ca="1">IFERROR(IF(0=LEN(ReferenceData!$AG$6),"",ReferenceData!$AG$6),"")</f>
        <v/>
      </c>
      <c r="AH6" t="str">
        <f ca="1">IFERROR(IF(0=LEN(ReferenceData!$AH$6),"",ReferenceData!$AH$6),"")</f>
        <v/>
      </c>
      <c r="AI6" t="str">
        <f ca="1">IFERROR(IF(0=LEN(ReferenceData!$AI$6),"",ReferenceData!$AI$6),"")</f>
        <v/>
      </c>
      <c r="AJ6" t="str">
        <f ca="1">IFERROR(IF(0=LEN(ReferenceData!$AJ$6),"",ReferenceData!$AJ$6),"")</f>
        <v/>
      </c>
      <c r="AK6" t="str">
        <f ca="1">IFERROR(IF(0=LEN(ReferenceData!$AK$6),"",ReferenceData!$AK$6),"")</f>
        <v/>
      </c>
      <c r="AL6" t="str">
        <f ca="1">IFERROR(IF(0=LEN(ReferenceData!$AL$6),"",ReferenceData!$AL$6),"")</f>
        <v/>
      </c>
      <c r="AM6" t="str">
        <f ca="1">IFERROR(IF(0=LEN(ReferenceData!$AM$6),"",ReferenceData!$AM$6),"")</f>
        <v/>
      </c>
      <c r="AN6" t="str">
        <f ca="1">IFERROR(IF(0=LEN(ReferenceData!$AN$6),"",ReferenceData!$AN$6),"")</f>
        <v/>
      </c>
      <c r="AO6" t="str">
        <f ca="1">IFERROR(IF(0=LEN(ReferenceData!$AO$6),"",ReferenceData!$AO$6),"")</f>
        <v/>
      </c>
      <c r="AP6" t="str">
        <f ca="1">IFERROR(IF(0=LEN(ReferenceData!$AP$6),"",ReferenceData!$AP$6),"")</f>
        <v/>
      </c>
      <c r="AQ6" t="str">
        <f ca="1">IFERROR(IF(0=LEN(ReferenceData!$AQ$6),"",ReferenceData!$AQ$6),"")</f>
        <v/>
      </c>
      <c r="AR6" t="str">
        <f ca="1">IFERROR(IF(0=LEN(ReferenceData!$AR$6),"",ReferenceData!$AR$6),"")</f>
        <v/>
      </c>
      <c r="AS6" t="str">
        <f ca="1">IFERROR(IF(0=LEN(ReferenceData!$AS$6),"",ReferenceData!$AS$6),"")</f>
        <v/>
      </c>
    </row>
    <row r="7" spans="1:45" x14ac:dyDescent="0.2">
      <c r="A7" t="str">
        <f>IFERROR(IF(0=LEN(ReferenceData!$A$7),"",ReferenceData!$A$7),"")</f>
        <v xml:space="preserve">    FW Dodge Construction Index</v>
      </c>
      <c r="B7" t="str">
        <f>IFERROR(IF(0=LEN(ReferenceData!$B$7),"",ReferenceData!$B$7),"")</f>
        <v>DODGINDX Index</v>
      </c>
      <c r="C7" t="str">
        <f>IFERROR(IF(0=LEN(ReferenceData!$C$7),"",ReferenceData!$C$7),"")</f>
        <v>PR005</v>
      </c>
      <c r="D7" t="str">
        <f>IFERROR(IF(0=LEN(ReferenceData!$D$7),"",ReferenceData!$D$7),"")</f>
        <v>PX_LAST</v>
      </c>
      <c r="E7" t="str">
        <f>IFERROR(IF(0=LEN(ReferenceData!$E$7),"",ReferenceData!$E$7),"")</f>
        <v>Dynamic</v>
      </c>
      <c r="F7">
        <f ca="1">IFERROR(IF(0=LEN(ReferenceData!$F$7),"",ReferenceData!$F$7),"")</f>
        <v>253</v>
      </c>
      <c r="G7">
        <f ca="1">IFERROR(IF(0=LEN(ReferenceData!$G$7),"",ReferenceData!$G$7),"")</f>
        <v>251</v>
      </c>
      <c r="H7">
        <f ca="1">IFERROR(IF(0=LEN(ReferenceData!$H$7),"",ReferenceData!$H$7),"")</f>
        <v>188</v>
      </c>
      <c r="I7">
        <f ca="1">IFERROR(IF(0=LEN(ReferenceData!$I$7),"",ReferenceData!$I$7),"")</f>
        <v>175</v>
      </c>
      <c r="J7">
        <f ca="1">IFERROR(IF(0=LEN(ReferenceData!$J$7),"",ReferenceData!$J$7),"")</f>
        <v>171</v>
      </c>
      <c r="K7">
        <f ca="1">IFERROR(IF(0=LEN(ReferenceData!$K$7),"",ReferenceData!$K$7),"")</f>
        <v>150</v>
      </c>
      <c r="L7">
        <f ca="1">IFERROR(IF(0=LEN(ReferenceData!$L$7),"",ReferenceData!$L$7),"")</f>
        <v>156</v>
      </c>
      <c r="M7">
        <f ca="1">IFERROR(IF(0=LEN(ReferenceData!$M$7),"",ReferenceData!$M$7),"")</f>
        <v>130</v>
      </c>
      <c r="N7">
        <f ca="1">IFERROR(IF(0=LEN(ReferenceData!$N$7),"",ReferenceData!$N$7),"")</f>
        <v>127</v>
      </c>
      <c r="O7">
        <f ca="1">IFERROR(IF(0=LEN(ReferenceData!$O$7),"",ReferenceData!$O$7),"")</f>
        <v>120</v>
      </c>
      <c r="P7">
        <f ca="1">IFERROR(IF(0=LEN(ReferenceData!$P$7),"",ReferenceData!$P$7),"")</f>
        <v>118</v>
      </c>
      <c r="Q7">
        <f ca="1">IFERROR(IF(0=LEN(ReferenceData!$Q$7),"",ReferenceData!$Q$7),"")</f>
        <v>112</v>
      </c>
      <c r="R7">
        <f ca="1">IFERROR(IF(0=LEN(ReferenceData!$R$7),"",ReferenceData!$R$7),"")</f>
        <v>87</v>
      </c>
      <c r="S7">
        <f ca="1">IFERROR(IF(0=LEN(ReferenceData!$S$7),"",ReferenceData!$S$7),"")</f>
        <v>90</v>
      </c>
      <c r="T7">
        <f ca="1">IFERROR(IF(0=LEN(ReferenceData!$T$7),"",ReferenceData!$T$7),"")</f>
        <v>90</v>
      </c>
      <c r="U7">
        <f ca="1">IFERROR(IF(0=LEN(ReferenceData!$U$7),"",ReferenceData!$U$7),"")</f>
        <v>86</v>
      </c>
      <c r="V7">
        <f ca="1">IFERROR(IF(0=LEN(ReferenceData!$V$7),"",ReferenceData!$V$7),"")</f>
        <v>108</v>
      </c>
      <c r="W7">
        <f ca="1">IFERROR(IF(0=LEN(ReferenceData!$W$7),"",ReferenceData!$W$7),"")</f>
        <v>140.08699999999999</v>
      </c>
      <c r="X7">
        <f ca="1">IFERROR(IF(0=LEN(ReferenceData!$X$7),"",ReferenceData!$X$7),"")</f>
        <v>144.93299999999999</v>
      </c>
      <c r="Y7">
        <f ca="1">IFERROR(IF(0=LEN(ReferenceData!$Y$7),"",ReferenceData!$Y$7),"")</f>
        <v>126.461</v>
      </c>
      <c r="Z7">
        <f ca="1">IFERROR(IF(0=LEN(ReferenceData!$Z$7),"",ReferenceData!$Z$7),"")</f>
        <v>118.06</v>
      </c>
      <c r="AA7">
        <f ca="1">IFERROR(IF(0=LEN(ReferenceData!$AA$7),"",ReferenceData!$AA$7),"")</f>
        <v>104.81</v>
      </c>
      <c r="AB7">
        <f ca="1">IFERROR(IF(0=LEN(ReferenceData!$AB$7),"",ReferenceData!$AB$7),"")</f>
        <v>101.782</v>
      </c>
      <c r="AC7">
        <f ca="1">IFERROR(IF(0=LEN(ReferenceData!$AC$7),"",ReferenceData!$AC$7),"")</f>
        <v>99.902000000000001</v>
      </c>
      <c r="AD7">
        <f ca="1">IFERROR(IF(0=LEN(ReferenceData!$AD$7),"",ReferenceData!$AD$7),"")</f>
        <v>92.59</v>
      </c>
      <c r="AE7">
        <f ca="1">IFERROR(IF(0=LEN(ReferenceData!$AE$7),"",ReferenceData!$AE$7),"")</f>
        <v>91.295000000000002</v>
      </c>
      <c r="AF7">
        <f ca="1">IFERROR(IF(0=LEN(ReferenceData!$AF$7),"",ReferenceData!$AF$7),"")</f>
        <v>78.652000000000001</v>
      </c>
      <c r="AG7">
        <f ca="1">IFERROR(IF(0=LEN(ReferenceData!$AG$7),"",ReferenceData!$AG$7),"")</f>
        <v>70.501999999999995</v>
      </c>
      <c r="AH7">
        <f ca="1">IFERROR(IF(0=LEN(ReferenceData!$AH$7),"",ReferenceData!$AH$7),"")</f>
        <v>65.649000000000001</v>
      </c>
      <c r="AI7">
        <f ca="1">IFERROR(IF(0=LEN(ReferenceData!$AI$7),"",ReferenceData!$AI$7),"")</f>
        <v>61.06</v>
      </c>
      <c r="AJ7">
        <f ca="1">IFERROR(IF(0=LEN(ReferenceData!$AJ$7),"",ReferenceData!$AJ$7),"")</f>
        <v>60.671999999999997</v>
      </c>
      <c r="AK7">
        <f ca="1">IFERROR(IF(0=LEN(ReferenceData!$AK$7),"",ReferenceData!$AK$7),"")</f>
        <v>55.658000000000001</v>
      </c>
      <c r="AL7">
        <f ca="1">IFERROR(IF(0=LEN(ReferenceData!$AL$7),"",ReferenceData!$AL$7),"")</f>
        <v>55.088000000000001</v>
      </c>
      <c r="AM7">
        <f ca="1">IFERROR(IF(0=LEN(ReferenceData!$AM$7),"",ReferenceData!$AM$7),"")</f>
        <v>45.838999999999999</v>
      </c>
      <c r="AN7">
        <f ca="1">IFERROR(IF(0=LEN(ReferenceData!$AN$7),"",ReferenceData!$AN$7),"")</f>
        <v>59.131999999999998</v>
      </c>
      <c r="AO7">
        <f ca="1">IFERROR(IF(0=LEN(ReferenceData!$AO$7),"",ReferenceData!$AO$7),"")</f>
        <v>59.389000000000003</v>
      </c>
      <c r="AP7">
        <f ca="1">IFERROR(IF(0=LEN(ReferenceData!$AP$7),"",ReferenceData!$AP$7),"")</f>
        <v>56.808999999999997</v>
      </c>
      <c r="AQ7">
        <f ca="1">IFERROR(IF(0=LEN(ReferenceData!$AQ$7),"",ReferenceData!$AQ$7),"")</f>
        <v>54.734999999999999</v>
      </c>
      <c r="AR7">
        <f ca="1">IFERROR(IF(0=LEN(ReferenceData!$AR$7),"",ReferenceData!$AR$7),"")</f>
        <v>51.027999999999999</v>
      </c>
      <c r="AS7">
        <f ca="1">IFERROR(IF(0=LEN(ReferenceData!$AS$7),"",ReferenceData!$AS$7),"")</f>
        <v>45.820999999999998</v>
      </c>
    </row>
    <row r="8" spans="1:45" x14ac:dyDescent="0.2">
      <c r="A8" t="str">
        <f>IFERROR(IF(0=LEN(ReferenceData!$A$8),"",ReferenceData!$A$8),"")</f>
        <v xml:space="preserve">    </v>
      </c>
      <c r="B8" t="str">
        <f>IFERROR(IF(0=LEN(ReferenceData!$B$8),"",ReferenceData!$B$8),"")</f>
        <v/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Static</v>
      </c>
      <c r="F8" t="str">
        <f ca="1">IFERROR(IF(0=LEN(ReferenceData!$F$8),"",ReferenceData!$F$8),"")</f>
        <v/>
      </c>
      <c r="G8" t="str">
        <f ca="1">IFERROR(IF(0=LEN(ReferenceData!$G$8),"",ReferenceData!$G$8),"")</f>
        <v/>
      </c>
      <c r="H8" t="str">
        <f ca="1">IFERROR(IF(0=LEN(ReferenceData!$H$8),"",ReferenceData!$H$8),"")</f>
        <v/>
      </c>
      <c r="I8" t="str">
        <f ca="1">IFERROR(IF(0=LEN(ReferenceData!$I$8),"",ReferenceData!$I$8),"")</f>
        <v/>
      </c>
      <c r="J8" t="str">
        <f ca="1">IFERROR(IF(0=LEN(ReferenceData!$J$8),"",ReferenceData!$J$8),"")</f>
        <v/>
      </c>
      <c r="K8" t="str">
        <f ca="1">IFERROR(IF(0=LEN(ReferenceData!$K$8),"",ReferenceData!$K$8),"")</f>
        <v/>
      </c>
      <c r="L8" t="str">
        <f ca="1">IFERROR(IF(0=LEN(ReferenceData!$L$8),"",ReferenceData!$L$8),"")</f>
        <v/>
      </c>
      <c r="M8" t="str">
        <f ca="1">IFERROR(IF(0=LEN(ReferenceData!$M$8),"",ReferenceData!$M$8),"")</f>
        <v/>
      </c>
      <c r="N8" t="str">
        <f ca="1">IFERROR(IF(0=LEN(ReferenceData!$N$8),"",ReferenceData!$N$8),"")</f>
        <v/>
      </c>
      <c r="O8" t="str">
        <f ca="1">IFERROR(IF(0=LEN(ReferenceData!$O$8),"",ReferenceData!$O$8),"")</f>
        <v/>
      </c>
      <c r="P8" t="str">
        <f ca="1">IFERROR(IF(0=LEN(ReferenceData!$P$8),"",ReferenceData!$P$8),"")</f>
        <v/>
      </c>
      <c r="Q8" t="str">
        <f ca="1">IFERROR(IF(0=LEN(ReferenceData!$Q$8),"",ReferenceData!$Q$8),"")</f>
        <v/>
      </c>
      <c r="R8" t="str">
        <f ca="1">IFERROR(IF(0=LEN(ReferenceData!$R$8),"",ReferenceData!$R$8),"")</f>
        <v/>
      </c>
      <c r="S8" t="str">
        <f ca="1">IFERROR(IF(0=LEN(ReferenceData!$S$8),"",ReferenceData!$S$8),"")</f>
        <v/>
      </c>
      <c r="T8" t="str">
        <f ca="1">IFERROR(IF(0=LEN(ReferenceData!$T$8),"",ReferenceData!$T$8),"")</f>
        <v/>
      </c>
      <c r="U8" t="str">
        <f ca="1">IFERROR(IF(0=LEN(ReferenceData!$U$8),"",ReferenceData!$U$8),"")</f>
        <v/>
      </c>
      <c r="V8" t="str">
        <f ca="1">IFERROR(IF(0=LEN(ReferenceData!$V$8),"",ReferenceData!$V$8),"")</f>
        <v/>
      </c>
      <c r="W8" t="str">
        <f ca="1">IFERROR(IF(0=LEN(ReferenceData!$W$8),"",ReferenceData!$W$8),"")</f>
        <v/>
      </c>
      <c r="X8" t="str">
        <f ca="1">IFERROR(IF(0=LEN(ReferenceData!$X$8),"",ReferenceData!$X$8),"")</f>
        <v/>
      </c>
      <c r="Y8" t="str">
        <f ca="1">IFERROR(IF(0=LEN(ReferenceData!$Y$8),"",ReferenceData!$Y$8),"")</f>
        <v/>
      </c>
      <c r="Z8" t="str">
        <f ca="1">IFERROR(IF(0=LEN(ReferenceData!$Z$8),"",ReferenceData!$Z$8),"")</f>
        <v/>
      </c>
      <c r="AA8" t="str">
        <f ca="1">IFERROR(IF(0=LEN(ReferenceData!$AA$8),"",ReferenceData!$AA$8),"")</f>
        <v/>
      </c>
      <c r="AB8" t="str">
        <f ca="1">IFERROR(IF(0=LEN(ReferenceData!$AB$8),"",ReferenceData!$AB$8),"")</f>
        <v/>
      </c>
      <c r="AC8" t="str">
        <f ca="1">IFERROR(IF(0=LEN(ReferenceData!$AC$8),"",ReferenceData!$AC$8),"")</f>
        <v/>
      </c>
      <c r="AD8" t="str">
        <f ca="1">IFERROR(IF(0=LEN(ReferenceData!$AD$8),"",ReferenceData!$AD$8),"")</f>
        <v/>
      </c>
      <c r="AE8" t="str">
        <f ca="1">IFERROR(IF(0=LEN(ReferenceData!$AE$8),"",ReferenceData!$AE$8),"")</f>
        <v/>
      </c>
      <c r="AF8" t="str">
        <f ca="1">IFERROR(IF(0=LEN(ReferenceData!$AF$8),"",ReferenceData!$AF$8),"")</f>
        <v/>
      </c>
      <c r="AG8" t="str">
        <f ca="1">IFERROR(IF(0=LEN(ReferenceData!$AG$8),"",ReferenceData!$AG$8),"")</f>
        <v/>
      </c>
      <c r="AH8" t="str">
        <f ca="1">IFERROR(IF(0=LEN(ReferenceData!$AH$8),"",ReferenceData!$AH$8),"")</f>
        <v/>
      </c>
      <c r="AI8" t="str">
        <f ca="1">IFERROR(IF(0=LEN(ReferenceData!$AI$8),"",ReferenceData!$AI$8),"")</f>
        <v/>
      </c>
      <c r="AJ8" t="str">
        <f ca="1">IFERROR(IF(0=LEN(ReferenceData!$AJ$8),"",ReferenceData!$AJ$8),"")</f>
        <v/>
      </c>
      <c r="AK8" t="str">
        <f ca="1">IFERROR(IF(0=LEN(ReferenceData!$AK$8),"",ReferenceData!$AK$8),"")</f>
        <v/>
      </c>
      <c r="AL8" t="str">
        <f ca="1">IFERROR(IF(0=LEN(ReferenceData!$AL$8),"",ReferenceData!$AL$8),"")</f>
        <v/>
      </c>
      <c r="AM8" t="str">
        <f ca="1">IFERROR(IF(0=LEN(ReferenceData!$AM$8),"",ReferenceData!$AM$8),"")</f>
        <v/>
      </c>
      <c r="AN8" t="str">
        <f ca="1">IFERROR(IF(0=LEN(ReferenceData!$AN$8),"",ReferenceData!$AN$8),"")</f>
        <v/>
      </c>
      <c r="AO8" t="str">
        <f ca="1">IFERROR(IF(0=LEN(ReferenceData!$AO$8),"",ReferenceData!$AO$8),"")</f>
        <v/>
      </c>
      <c r="AP8" t="str">
        <f ca="1">IFERROR(IF(0=LEN(ReferenceData!$AP$8),"",ReferenceData!$AP$8),"")</f>
        <v/>
      </c>
      <c r="AQ8" t="str">
        <f ca="1">IFERROR(IF(0=LEN(ReferenceData!$AQ$8),"",ReferenceData!$AQ$8),"")</f>
        <v/>
      </c>
      <c r="AR8" t="str">
        <f ca="1">IFERROR(IF(0=LEN(ReferenceData!$AR$8),"",ReferenceData!$AR$8),"")</f>
        <v/>
      </c>
      <c r="AS8" t="str">
        <f ca="1">IFERROR(IF(0=LEN(ReferenceData!$AS$8),"",ReferenceData!$AS$8),"")</f>
        <v/>
      </c>
    </row>
    <row r="9" spans="1:45" x14ac:dyDescent="0.2">
      <c r="A9" t="str">
        <f>IFERROR(IF(0=LEN(ReferenceData!$A$9),"",ReferenceData!$A$9),"")</f>
        <v xml:space="preserve">    US Construction Spending Monthly ($m)</v>
      </c>
      <c r="B9" t="str">
        <f>IFERROR(IF(0=LEN(ReferenceData!$B$9),"",ReferenceData!$B$9),"")</f>
        <v/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Heading</v>
      </c>
      <c r="F9" t="str">
        <f>IFERROR(IF(0=LEN(ReferenceData!$F$9),"",ReferenceData!$F$9),"")</f>
        <v/>
      </c>
      <c r="G9" t="str">
        <f>IFERROR(IF(0=LEN(ReferenceData!$G$9),"",ReferenceData!$G$9),"")</f>
        <v/>
      </c>
      <c r="H9" t="str">
        <f>IFERROR(IF(0=LEN(ReferenceData!$H$9),"",ReferenceData!$H$9),"")</f>
        <v/>
      </c>
      <c r="I9" t="str">
        <f>IFERROR(IF(0=LEN(ReferenceData!$I$9),"",ReferenceData!$I$9),"")</f>
        <v/>
      </c>
      <c r="J9" t="str">
        <f>IFERROR(IF(0=LEN(ReferenceData!$J$9),"",ReferenceData!$J$9),"")</f>
        <v/>
      </c>
      <c r="K9" t="str">
        <f>IFERROR(IF(0=LEN(ReferenceData!$K$9),"",ReferenceData!$K$9),"")</f>
        <v/>
      </c>
      <c r="L9" t="str">
        <f>IFERROR(IF(0=LEN(ReferenceData!$L$9),"",ReferenceData!$L$9),"")</f>
        <v/>
      </c>
      <c r="M9" t="str">
        <f>IFERROR(IF(0=LEN(ReferenceData!$M$9),"",ReferenceData!$M$9),"")</f>
        <v/>
      </c>
      <c r="N9" t="str">
        <f>IFERROR(IF(0=LEN(ReferenceData!$N$9),"",ReferenceData!$N$9),"")</f>
        <v/>
      </c>
      <c r="O9" t="str">
        <f>IFERROR(IF(0=LEN(ReferenceData!$O$9),"",ReferenceData!$O$9),"")</f>
        <v/>
      </c>
      <c r="P9" t="str">
        <f>IFERROR(IF(0=LEN(ReferenceData!$P$9),"",ReferenceData!$P$9),"")</f>
        <v/>
      </c>
      <c r="Q9" t="str">
        <f>IFERROR(IF(0=LEN(ReferenceData!$Q$9),"",ReferenceData!$Q$9),"")</f>
        <v/>
      </c>
      <c r="R9" t="str">
        <f>IFERROR(IF(0=LEN(ReferenceData!$R$9),"",ReferenceData!$R$9),"")</f>
        <v/>
      </c>
      <c r="S9" t="str">
        <f>IFERROR(IF(0=LEN(ReferenceData!$S$9),"",ReferenceData!$S$9),"")</f>
        <v/>
      </c>
      <c r="T9" t="str">
        <f>IFERROR(IF(0=LEN(ReferenceData!$T$9),"",ReferenceData!$T$9),"")</f>
        <v/>
      </c>
      <c r="U9" t="str">
        <f>IFERROR(IF(0=LEN(ReferenceData!$U$9),"",ReferenceData!$U$9),"")</f>
        <v/>
      </c>
      <c r="V9" t="str">
        <f>IFERROR(IF(0=LEN(ReferenceData!$V$9),"",ReferenceData!$V$9),"")</f>
        <v/>
      </c>
      <c r="W9" t="str">
        <f>IFERROR(IF(0=LEN(ReferenceData!$W$9),"",ReferenceData!$W$9),"")</f>
        <v/>
      </c>
      <c r="X9" t="str">
        <f>IFERROR(IF(0=LEN(ReferenceData!$X$9),"",ReferenceData!$X$9),"")</f>
        <v/>
      </c>
      <c r="Y9" t="str">
        <f>IFERROR(IF(0=LEN(ReferenceData!$Y$9),"",ReferenceData!$Y$9),"")</f>
        <v/>
      </c>
      <c r="Z9" t="str">
        <f>IFERROR(IF(0=LEN(ReferenceData!$Z$9),"",ReferenceData!$Z$9),"")</f>
        <v/>
      </c>
      <c r="AA9" t="str">
        <f>IFERROR(IF(0=LEN(ReferenceData!$AA$9),"",ReferenceData!$AA$9),"")</f>
        <v/>
      </c>
      <c r="AB9" t="str">
        <f>IFERROR(IF(0=LEN(ReferenceData!$AB$9),"",ReferenceData!$AB$9),"")</f>
        <v/>
      </c>
      <c r="AC9" t="str">
        <f>IFERROR(IF(0=LEN(ReferenceData!$AC$9),"",ReferenceData!$AC$9),"")</f>
        <v/>
      </c>
      <c r="AD9" t="str">
        <f>IFERROR(IF(0=LEN(ReferenceData!$AD$9),"",ReferenceData!$AD$9),"")</f>
        <v/>
      </c>
      <c r="AE9" t="str">
        <f>IFERROR(IF(0=LEN(ReferenceData!$AE$9),"",ReferenceData!$AE$9),"")</f>
        <v/>
      </c>
      <c r="AF9" t="str">
        <f>IFERROR(IF(0=LEN(ReferenceData!$AF$9),"",ReferenceData!$AF$9),"")</f>
        <v/>
      </c>
      <c r="AG9" t="str">
        <f>IFERROR(IF(0=LEN(ReferenceData!$AG$9),"",ReferenceData!$AG$9),"")</f>
        <v/>
      </c>
      <c r="AH9" t="str">
        <f>IFERROR(IF(0=LEN(ReferenceData!$AH$9),"",ReferenceData!$AH$9),"")</f>
        <v/>
      </c>
      <c r="AI9" t="str">
        <f>IFERROR(IF(0=LEN(ReferenceData!$AI$9),"",ReferenceData!$AI$9),"")</f>
        <v/>
      </c>
      <c r="AJ9" t="str">
        <f>IFERROR(IF(0=LEN(ReferenceData!$AJ$9),"",ReferenceData!$AJ$9),"")</f>
        <v/>
      </c>
      <c r="AK9" t="str">
        <f>IFERROR(IF(0=LEN(ReferenceData!$AK$9),"",ReferenceData!$AK$9),"")</f>
        <v/>
      </c>
      <c r="AL9" t="str">
        <f>IFERROR(IF(0=LEN(ReferenceData!$AL$9),"",ReferenceData!$AL$9),"")</f>
        <v/>
      </c>
      <c r="AM9" t="str">
        <f>IFERROR(IF(0=LEN(ReferenceData!$AM$9),"",ReferenceData!$AM$9),"")</f>
        <v/>
      </c>
      <c r="AN9" t="str">
        <f>IFERROR(IF(0=LEN(ReferenceData!$AN$9),"",ReferenceData!$AN$9),"")</f>
        <v/>
      </c>
      <c r="AO9" t="str">
        <f>IFERROR(IF(0=LEN(ReferenceData!$AO$9),"",ReferenceData!$AO$9),"")</f>
        <v/>
      </c>
      <c r="AP9" t="str">
        <f>IFERROR(IF(0=LEN(ReferenceData!$AP$9),"",ReferenceData!$AP$9),"")</f>
        <v/>
      </c>
      <c r="AQ9" t="str">
        <f>IFERROR(IF(0=LEN(ReferenceData!$AQ$9),"",ReferenceData!$AQ$9),"")</f>
        <v/>
      </c>
      <c r="AR9" t="str">
        <f>IFERROR(IF(0=LEN(ReferenceData!$AR$9),"",ReferenceData!$AR$9),"")</f>
        <v/>
      </c>
      <c r="AS9" t="str">
        <f>IFERROR(IF(0=LEN(ReferenceData!$AS$9),"",ReferenceData!$AS$9),"")</f>
        <v/>
      </c>
    </row>
    <row r="10" spans="1:45" x14ac:dyDescent="0.2">
      <c r="A10" t="str">
        <f>IFERROR(IF(0=LEN(ReferenceData!$A$10),"",ReferenceData!$A$10),"")</f>
        <v xml:space="preserve">    U.S. Total Construction Spending (NSA)</v>
      </c>
      <c r="B10" t="str">
        <f>IFERROR(IF(0=LEN(ReferenceData!$B$10),"",ReferenceData!$B$10),"")</f>
        <v>CNNSTOTA Index</v>
      </c>
      <c r="C10" t="str">
        <f>IFERROR(IF(0=LEN(ReferenceData!$C$10),"",ReferenceData!$C$10),"")</f>
        <v>PX385</v>
      </c>
      <c r="D10" t="str">
        <f>IFERROR(IF(0=LEN(ReferenceData!$D$10),"",ReferenceData!$D$10),"")</f>
        <v>INTERVAL_SUM</v>
      </c>
      <c r="E10" t="str">
        <f>IFERROR(IF(0=LEN(ReferenceData!$E$10),"",ReferenceData!$E$10),"")</f>
        <v>Dynamic</v>
      </c>
      <c r="F10">
        <f ca="1">IFERROR(IF(0=LEN(ReferenceData!$F$10),"",ReferenceData!$F$10),"")</f>
        <v>1463494</v>
      </c>
      <c r="G10">
        <f ca="1">IFERROR(IF(0=LEN(ReferenceData!$G$10),"",ReferenceData!$G$10),"")</f>
        <v>1848676</v>
      </c>
      <c r="H10">
        <f ca="1">IFERROR(IF(0=LEN(ReferenceData!$H$10),"",ReferenceData!$H$10),"")</f>
        <v>1653378</v>
      </c>
      <c r="I10">
        <f ca="1">IFERROR(IF(0=LEN(ReferenceData!$I$10),"",ReferenceData!$I$10),"")</f>
        <v>1499570</v>
      </c>
      <c r="J10">
        <f ca="1">IFERROR(IF(0=LEN(ReferenceData!$J$10),"",ReferenceData!$J$10),"")</f>
        <v>1391038</v>
      </c>
      <c r="K10">
        <f ca="1">IFERROR(IF(0=LEN(ReferenceData!$K$10),"",ReferenceData!$K$10),"")</f>
        <v>1333184</v>
      </c>
      <c r="L10">
        <f ca="1">IFERROR(IF(0=LEN(ReferenceData!$L$10),"",ReferenceData!$L$10),"")</f>
        <v>1279841</v>
      </c>
      <c r="M10">
        <f ca="1">IFERROR(IF(0=LEN(ReferenceData!$M$10),"",ReferenceData!$M$10),"")</f>
        <v>1213146</v>
      </c>
      <c r="N10">
        <f ca="1">IFERROR(IF(0=LEN(ReferenceData!$N$10),"",ReferenceData!$N$10),"")</f>
        <v>1132117</v>
      </c>
      <c r="O10">
        <f ca="1">IFERROR(IF(0=LEN(ReferenceData!$O$10),"",ReferenceData!$O$10),"")</f>
        <v>1015292</v>
      </c>
      <c r="P10">
        <f ca="1">IFERROR(IF(0=LEN(ReferenceData!$P$10),"",ReferenceData!$P$10),"")</f>
        <v>914584</v>
      </c>
      <c r="Q10">
        <f ca="1">IFERROR(IF(0=LEN(ReferenceData!$Q$10),"",ReferenceData!$Q$10),"")</f>
        <v>854403</v>
      </c>
      <c r="R10">
        <f ca="1">IFERROR(IF(0=LEN(ReferenceData!$R$10),"",ReferenceData!$R$10),"")</f>
        <v>791238</v>
      </c>
      <c r="S10">
        <f ca="1">IFERROR(IF(0=LEN(ReferenceData!$S$10),"",ReferenceData!$S$10),"")</f>
        <v>812965</v>
      </c>
      <c r="T10">
        <f ca="1">IFERROR(IF(0=LEN(ReferenceData!$T$10),"",ReferenceData!$T$10),"")</f>
        <v>911767</v>
      </c>
      <c r="U10">
        <f ca="1">IFERROR(IF(0=LEN(ReferenceData!$U$10),"",ReferenceData!$U$10),"")</f>
        <v>1077351</v>
      </c>
      <c r="V10">
        <f ca="1">IFERROR(IF(0=LEN(ReferenceData!$V$10),"",ReferenceData!$V$10),"")</f>
        <v>1147953</v>
      </c>
      <c r="W10">
        <f ca="1">IFERROR(IF(0=LEN(ReferenceData!$W$10),"",ReferenceData!$W$10),"")</f>
        <v>1161282</v>
      </c>
      <c r="X10">
        <f ca="1">IFERROR(IF(0=LEN(ReferenceData!$X$10),"",ReferenceData!$X$10),"")</f>
        <v>1116811</v>
      </c>
      <c r="Y10">
        <f ca="1">IFERROR(IF(0=LEN(ReferenceData!$Y$10),"",ReferenceData!$Y$10),"")</f>
        <v>991357</v>
      </c>
      <c r="Z10">
        <f ca="1">IFERROR(IF(0=LEN(ReferenceData!$Z$10),"",ReferenceData!$Z$10),"")</f>
        <v>891498</v>
      </c>
      <c r="AA10">
        <f ca="1">IFERROR(IF(0=LEN(ReferenceData!$AA$10),"",ReferenceData!$AA$10),"")</f>
        <v>847877</v>
      </c>
      <c r="AB10">
        <f ca="1">IFERROR(IF(0=LEN(ReferenceData!$AB$10),"",ReferenceData!$AB$10),"")</f>
        <v>840247</v>
      </c>
      <c r="AC10">
        <f ca="1">IFERROR(IF(0=LEN(ReferenceData!$AC$10),"",ReferenceData!$AC$10),"")</f>
        <v>802758</v>
      </c>
      <c r="AD10">
        <f ca="1">IFERROR(IF(0=LEN(ReferenceData!$AD$10),"",ReferenceData!$AD$10),"")</f>
        <v>744551</v>
      </c>
      <c r="AE10">
        <f ca="1">IFERROR(IF(0=LEN(ReferenceData!$AE$10),"",ReferenceData!$AE$10),"")</f>
        <v>688520</v>
      </c>
      <c r="AF10">
        <f ca="1">IFERROR(IF(0=LEN(ReferenceData!$AF$10),"",ReferenceData!$AF$10),"")</f>
        <v>631849</v>
      </c>
      <c r="AG10">
        <f ca="1">IFERROR(IF(0=LEN(ReferenceData!$AG$10),"",ReferenceData!$AG$10),"")</f>
        <v>599694</v>
      </c>
      <c r="AH10">
        <f ca="1">IFERROR(IF(0=LEN(ReferenceData!$AH$10),"",ReferenceData!$AH$10),"")</f>
        <v>548667</v>
      </c>
      <c r="AI10">
        <f ca="1">IFERROR(IF(0=LEN(ReferenceData!$AI$10),"",ReferenceData!$AI$10),"")</f>
        <v>531890</v>
      </c>
      <c r="AJ10">
        <f ca="1">IFERROR(IF(0=LEN(ReferenceData!$AJ$10),"",ReferenceData!$AJ$10),"")</f>
        <v>485549</v>
      </c>
      <c r="AK10">
        <f ca="1">IFERROR(IF(0=LEN(ReferenceData!$AK$10),"",ReferenceData!$AK$10),"")</f>
        <v>463661</v>
      </c>
      <c r="AL10">
        <f ca="1">IFERROR(IF(0=LEN(ReferenceData!$AL$10),"",ReferenceData!$AL$10),"")</f>
        <v>432593</v>
      </c>
      <c r="AM10">
        <f ca="1">IFERROR(IF(0=LEN(ReferenceData!$AM$10),"",ReferenceData!$AM$10),"")</f>
        <v>476777</v>
      </c>
      <c r="AN10">
        <f ca="1">IFERROR(IF(0=LEN(ReferenceData!$AN$10),"",ReferenceData!$AN$10),"")</f>
        <v>477501</v>
      </c>
      <c r="AO10">
        <f ca="1">IFERROR(IF(0=LEN(ReferenceData!$AO$10),"",ReferenceData!$AO$10),"")</f>
        <v>462013</v>
      </c>
      <c r="AP10">
        <f ca="1">IFERROR(IF(0=LEN(ReferenceData!$AP$10),"",ReferenceData!$AP$10),"")</f>
        <v>446642</v>
      </c>
      <c r="AQ10">
        <f ca="1">IFERROR(IF(0=LEN(ReferenceData!$AQ$10),"",ReferenceData!$AQ$10),"")</f>
        <v>433453</v>
      </c>
      <c r="AR10">
        <f ca="1">IFERROR(IF(0=LEN(ReferenceData!$AR$10),"",ReferenceData!$AR$10),"")</f>
        <v>403414</v>
      </c>
      <c r="AS10">
        <f ca="1">IFERROR(IF(0=LEN(ReferenceData!$AS$10),"",ReferenceData!$AS$10),"")</f>
        <v>370191</v>
      </c>
    </row>
    <row r="11" spans="1:45" x14ac:dyDescent="0.2">
      <c r="A11" t="str">
        <f>IFERROR(IF(0=LEN(ReferenceData!$A$11),"",ReferenceData!$A$11),"")</f>
        <v xml:space="preserve">        U.S. Total Residential Construction Spending</v>
      </c>
      <c r="B11" t="str">
        <f>IFERROR(IF(0=LEN(ReferenceData!$B$11),"",ReferenceData!$B$11),"")</f>
        <v>CNNSRESI Index</v>
      </c>
      <c r="C11" t="str">
        <f>IFERROR(IF(0=LEN(ReferenceData!$C$11),"",ReferenceData!$C$11),"")</f>
        <v>PX385</v>
      </c>
      <c r="D11" t="str">
        <f>IFERROR(IF(0=LEN(ReferenceData!$D$11),"",ReferenceData!$D$11),"")</f>
        <v>INTERVAL_SUM</v>
      </c>
      <c r="E11" t="str">
        <f>IFERROR(IF(0=LEN(ReferenceData!$E$11),"",ReferenceData!$E$11),"")</f>
        <v>Dynamic</v>
      </c>
      <c r="F11">
        <f ca="1">IFERROR(IF(0=LEN(ReferenceData!$F$11),"",ReferenceData!$F$11),"")</f>
        <v>655824</v>
      </c>
      <c r="G11">
        <f ca="1">IFERROR(IF(0=LEN(ReferenceData!$G$11),"",ReferenceData!$G$11),"")</f>
        <v>927439</v>
      </c>
      <c r="H11">
        <f ca="1">IFERROR(IF(0=LEN(ReferenceData!$H$11),"",ReferenceData!$H$11),"")</f>
        <v>808969</v>
      </c>
      <c r="I11">
        <f ca="1">IFERROR(IF(0=LEN(ReferenceData!$I$11),"",ReferenceData!$I$11),"")</f>
        <v>644257</v>
      </c>
      <c r="J11">
        <f ca="1">IFERROR(IF(0=LEN(ReferenceData!$J$11),"",ReferenceData!$J$11),"")</f>
        <v>553443</v>
      </c>
      <c r="K11">
        <f ca="1">IFERROR(IF(0=LEN(ReferenceData!$K$11),"",ReferenceData!$K$11),"")</f>
        <v>563879</v>
      </c>
      <c r="L11">
        <f ca="1">IFERROR(IF(0=LEN(ReferenceData!$L$11),"",ReferenceData!$L$11),"")</f>
        <v>545753</v>
      </c>
      <c r="M11">
        <f ca="1">IFERROR(IF(0=LEN(ReferenceData!$M$11),"",ReferenceData!$M$11),"")</f>
        <v>485965</v>
      </c>
      <c r="N11">
        <f ca="1">IFERROR(IF(0=LEN(ReferenceData!$N$11),"",ReferenceData!$N$11),"")</f>
        <v>438697</v>
      </c>
      <c r="O11">
        <f ca="1">IFERROR(IF(0=LEN(ReferenceData!$O$11),"",ReferenceData!$O$11),"")</f>
        <v>382529</v>
      </c>
      <c r="P11">
        <f ca="1">IFERROR(IF(0=LEN(ReferenceData!$P$11),"",ReferenceData!$P$11),"")</f>
        <v>335475</v>
      </c>
      <c r="Q11">
        <f ca="1">IFERROR(IF(0=LEN(ReferenceData!$Q$11),"",ReferenceData!$Q$11),"")</f>
        <v>280004</v>
      </c>
      <c r="R11">
        <f ca="1">IFERROR(IF(0=LEN(ReferenceData!$R$11),"",ReferenceData!$R$11),"")</f>
        <v>255551</v>
      </c>
      <c r="S11">
        <f ca="1">IFERROR(IF(0=LEN(ReferenceData!$S$11),"",ReferenceData!$S$11),"")</f>
        <v>256039</v>
      </c>
      <c r="T11">
        <f ca="1">IFERROR(IF(0=LEN(ReferenceData!$T$11),"",ReferenceData!$T$11),"")</f>
        <v>260767</v>
      </c>
      <c r="U11">
        <f ca="1">IFERROR(IF(0=LEN(ReferenceData!$U$11),"",ReferenceData!$U$11),"")</f>
        <v>366661</v>
      </c>
      <c r="V11">
        <f ca="1">IFERROR(IF(0=LEN(ReferenceData!$V$11),"",ReferenceData!$V$11),"")</f>
        <v>496068</v>
      </c>
      <c r="W11">
        <f ca="1">IFERROR(IF(0=LEN(ReferenceData!$W$11),"",ReferenceData!$W$11),"")</f>
        <v>613875</v>
      </c>
      <c r="X11">
        <f ca="1">IFERROR(IF(0=LEN(ReferenceData!$X$11),"",ReferenceData!$X$11),"")</f>
        <v>630183</v>
      </c>
      <c r="Y11">
        <f ca="1">IFERROR(IF(0=LEN(ReferenceData!$Y$11),"",ReferenceData!$Y$11),"")</f>
        <v>538410</v>
      </c>
      <c r="Z11">
        <f ca="1">IFERROR(IF(0=LEN(ReferenceData!$Z$11),"",ReferenceData!$Z$11),"")</f>
        <v>451253</v>
      </c>
      <c r="AA11">
        <f ca="1">IFERROR(IF(0=LEN(ReferenceData!$AA$11),"",ReferenceData!$AA$11),"")</f>
        <v>401963</v>
      </c>
      <c r="AB11">
        <f ca="1">IFERROR(IF(0=LEN(ReferenceData!$AB$11),"",ReferenceData!$AB$11),"")</f>
        <v>0</v>
      </c>
      <c r="AC11">
        <f ca="1">IFERROR(IF(0=LEN(ReferenceData!$AC$11),"",ReferenceData!$AC$11),"")</f>
        <v>0</v>
      </c>
      <c r="AD11">
        <f ca="1">IFERROR(IF(0=LEN(ReferenceData!$AD$11),"",ReferenceData!$AD$11),"")</f>
        <v>0</v>
      </c>
      <c r="AE11">
        <f ca="1">IFERROR(IF(0=LEN(ReferenceData!$AE$11),"",ReferenceData!$AE$11),"")</f>
        <v>0</v>
      </c>
      <c r="AF11">
        <f ca="1">IFERROR(IF(0=LEN(ReferenceData!$AF$11),"",ReferenceData!$AF$11),"")</f>
        <v>0</v>
      </c>
      <c r="AG11">
        <f ca="1">IFERROR(IF(0=LEN(ReferenceData!$AG$11),"",ReferenceData!$AG$11),"")</f>
        <v>0</v>
      </c>
      <c r="AH11">
        <f ca="1">IFERROR(IF(0=LEN(ReferenceData!$AH$11),"",ReferenceData!$AH$11),"")</f>
        <v>0</v>
      </c>
      <c r="AI11">
        <f ca="1">IFERROR(IF(0=LEN(ReferenceData!$AI$11),"",ReferenceData!$AI$11),"")</f>
        <v>0</v>
      </c>
      <c r="AJ11">
        <f ca="1">IFERROR(IF(0=LEN(ReferenceData!$AJ$11),"",ReferenceData!$AJ$11),"")</f>
        <v>0</v>
      </c>
      <c r="AK11" t="str">
        <f ca="1">IFERROR(IF(0=LEN(ReferenceData!$AK$11),"",ReferenceData!$AK$11),"")</f>
        <v/>
      </c>
      <c r="AL11" t="str">
        <f ca="1">IFERROR(IF(0=LEN(ReferenceData!$AL$11),"",ReferenceData!$AL$11),"")</f>
        <v/>
      </c>
      <c r="AM11" t="str">
        <f ca="1">IFERROR(IF(0=LEN(ReferenceData!$AM$11),"",ReferenceData!$AM$11),"")</f>
        <v/>
      </c>
      <c r="AN11" t="str">
        <f ca="1">IFERROR(IF(0=LEN(ReferenceData!$AN$11),"",ReferenceData!$AN$11),"")</f>
        <v/>
      </c>
      <c r="AO11" t="str">
        <f ca="1">IFERROR(IF(0=LEN(ReferenceData!$AO$11),"",ReferenceData!$AO$11),"")</f>
        <v/>
      </c>
      <c r="AP11" t="str">
        <f ca="1">IFERROR(IF(0=LEN(ReferenceData!$AP$11),"",ReferenceData!$AP$11),"")</f>
        <v/>
      </c>
      <c r="AQ11" t="str">
        <f ca="1">IFERROR(IF(0=LEN(ReferenceData!$AQ$11),"",ReferenceData!$AQ$11),"")</f>
        <v/>
      </c>
      <c r="AR11" t="str">
        <f ca="1">IFERROR(IF(0=LEN(ReferenceData!$AR$11),"",ReferenceData!$AR$11),"")</f>
        <v/>
      </c>
      <c r="AS11" t="str">
        <f ca="1">IFERROR(IF(0=LEN(ReferenceData!$AS$11),"",ReferenceData!$AS$11),"")</f>
        <v/>
      </c>
    </row>
    <row r="12" spans="1:45" x14ac:dyDescent="0.2">
      <c r="A12" t="str">
        <f>IFERROR(IF(0=LEN(ReferenceData!$A$12),"",ReferenceData!$A$12),"")</f>
        <v xml:space="preserve">        U.S. Total Non-Residential Construction Spending</v>
      </c>
      <c r="B12" t="str">
        <f>IFERROR(IF(0=LEN(ReferenceData!$B$12),"",ReferenceData!$B$12),"")</f>
        <v>CNNSNRES Index</v>
      </c>
      <c r="C12" t="str">
        <f>IFERROR(IF(0=LEN(ReferenceData!$C$12),"",ReferenceData!$C$12),"")</f>
        <v>PX385</v>
      </c>
      <c r="D12" t="str">
        <f>IFERROR(IF(0=LEN(ReferenceData!$D$12),"",ReferenceData!$D$12),"")</f>
        <v>INTERVAL_SUM</v>
      </c>
      <c r="E12" t="str">
        <f>IFERROR(IF(0=LEN(ReferenceData!$E$12),"",ReferenceData!$E$12),"")</f>
        <v>Dynamic</v>
      </c>
      <c r="F12">
        <f ca="1">IFERROR(IF(0=LEN(ReferenceData!$F$12),"",ReferenceData!$F$12),"")</f>
        <v>807670</v>
      </c>
      <c r="G12">
        <f ca="1">IFERROR(IF(0=LEN(ReferenceData!$G$12),"",ReferenceData!$G$12),"")</f>
        <v>921236</v>
      </c>
      <c r="H12">
        <f ca="1">IFERROR(IF(0=LEN(ReferenceData!$H$12),"",ReferenceData!$H$12),"")</f>
        <v>844409</v>
      </c>
      <c r="I12">
        <f ca="1">IFERROR(IF(0=LEN(ReferenceData!$I$12),"",ReferenceData!$I$12),"")</f>
        <v>855313</v>
      </c>
      <c r="J12">
        <f ca="1">IFERROR(IF(0=LEN(ReferenceData!$J$12),"",ReferenceData!$J$12),"")</f>
        <v>837598</v>
      </c>
      <c r="K12">
        <f ca="1">IFERROR(IF(0=LEN(ReferenceData!$K$12),"",ReferenceData!$K$12),"")</f>
        <v>769307</v>
      </c>
      <c r="L12">
        <f ca="1">IFERROR(IF(0=LEN(ReferenceData!$L$12),"",ReferenceData!$L$12),"")</f>
        <v>734087</v>
      </c>
      <c r="M12">
        <f ca="1">IFERROR(IF(0=LEN(ReferenceData!$M$12),"",ReferenceData!$M$12),"")</f>
        <v>727180</v>
      </c>
      <c r="N12">
        <f ca="1">IFERROR(IF(0=LEN(ReferenceData!$N$12),"",ReferenceData!$N$12),"")</f>
        <v>693423</v>
      </c>
      <c r="O12">
        <f ca="1">IFERROR(IF(0=LEN(ReferenceData!$O$12),"",ReferenceData!$O$12),"")</f>
        <v>632765</v>
      </c>
      <c r="P12">
        <f ca="1">IFERROR(IF(0=LEN(ReferenceData!$P$12),"",ReferenceData!$P$12),"")</f>
        <v>579106</v>
      </c>
      <c r="Q12">
        <f ca="1">IFERROR(IF(0=LEN(ReferenceData!$Q$12),"",ReferenceData!$Q$12),"")</f>
        <v>574401</v>
      </c>
      <c r="R12">
        <f ca="1">IFERROR(IF(0=LEN(ReferenceData!$R$12),"",ReferenceData!$R$12),"")</f>
        <v>535688</v>
      </c>
      <c r="S12">
        <f ca="1">IFERROR(IF(0=LEN(ReferenceData!$S$12),"",ReferenceData!$S$12),"")</f>
        <v>556930</v>
      </c>
      <c r="T12">
        <f ca="1">IFERROR(IF(0=LEN(ReferenceData!$T$12),"",ReferenceData!$T$12),"")</f>
        <v>651003</v>
      </c>
      <c r="U12">
        <f ca="1">IFERROR(IF(0=LEN(ReferenceData!$U$12),"",ReferenceData!$U$12),"")</f>
        <v>710690</v>
      </c>
      <c r="V12">
        <f ca="1">IFERROR(IF(0=LEN(ReferenceData!$V$12),"",ReferenceData!$V$12),"")</f>
        <v>651884</v>
      </c>
      <c r="W12">
        <f ca="1">IFERROR(IF(0=LEN(ReferenceData!$W$12),"",ReferenceData!$W$12),"")</f>
        <v>547409</v>
      </c>
      <c r="X12">
        <f ca="1">IFERROR(IF(0=LEN(ReferenceData!$X$12),"",ReferenceData!$X$12),"")</f>
        <v>486630</v>
      </c>
      <c r="Y12">
        <f ca="1">IFERROR(IF(0=LEN(ReferenceData!$Y$12),"",ReferenceData!$Y$12),"")</f>
        <v>452948</v>
      </c>
      <c r="Z12">
        <f ca="1">IFERROR(IF(0=LEN(ReferenceData!$Z$12),"",ReferenceData!$Z$12),"")</f>
        <v>440246</v>
      </c>
      <c r="AA12">
        <f ca="1">IFERROR(IF(0=LEN(ReferenceData!$AA$12),"",ReferenceData!$AA$12),"")</f>
        <v>445915</v>
      </c>
      <c r="AB12">
        <f ca="1">IFERROR(IF(0=LEN(ReferenceData!$AB$12),"",ReferenceData!$AB$12),"")</f>
        <v>0</v>
      </c>
      <c r="AC12">
        <f ca="1">IFERROR(IF(0=LEN(ReferenceData!$AC$12),"",ReferenceData!$AC$12),"")</f>
        <v>0</v>
      </c>
      <c r="AD12">
        <f ca="1">IFERROR(IF(0=LEN(ReferenceData!$AD$12),"",ReferenceData!$AD$12),"")</f>
        <v>0</v>
      </c>
      <c r="AE12">
        <f ca="1">IFERROR(IF(0=LEN(ReferenceData!$AE$12),"",ReferenceData!$AE$12),"")</f>
        <v>0</v>
      </c>
      <c r="AF12">
        <f ca="1">IFERROR(IF(0=LEN(ReferenceData!$AF$12),"",ReferenceData!$AF$12),"")</f>
        <v>0</v>
      </c>
      <c r="AG12">
        <f ca="1">IFERROR(IF(0=LEN(ReferenceData!$AG$12),"",ReferenceData!$AG$12),"")</f>
        <v>0</v>
      </c>
      <c r="AH12">
        <f ca="1">IFERROR(IF(0=LEN(ReferenceData!$AH$12),"",ReferenceData!$AH$12),"")</f>
        <v>0</v>
      </c>
      <c r="AI12">
        <f ca="1">IFERROR(IF(0=LEN(ReferenceData!$AI$12),"",ReferenceData!$AI$12),"")</f>
        <v>0</v>
      </c>
      <c r="AJ12">
        <f ca="1">IFERROR(IF(0=LEN(ReferenceData!$AJ$12),"",ReferenceData!$AJ$12),"")</f>
        <v>0</v>
      </c>
      <c r="AK12" t="str">
        <f ca="1">IFERROR(IF(0=LEN(ReferenceData!$AK$12),"",ReferenceData!$AK$12),"")</f>
        <v/>
      </c>
      <c r="AL12" t="str">
        <f ca="1">IFERROR(IF(0=LEN(ReferenceData!$AL$12),"",ReferenceData!$AL$12),"")</f>
        <v/>
      </c>
      <c r="AM12" t="str">
        <f ca="1">IFERROR(IF(0=LEN(ReferenceData!$AM$12),"",ReferenceData!$AM$12),"")</f>
        <v/>
      </c>
      <c r="AN12" t="str">
        <f ca="1">IFERROR(IF(0=LEN(ReferenceData!$AN$12),"",ReferenceData!$AN$12),"")</f>
        <v/>
      </c>
      <c r="AO12" t="str">
        <f ca="1">IFERROR(IF(0=LEN(ReferenceData!$AO$12),"",ReferenceData!$AO$12),"")</f>
        <v/>
      </c>
      <c r="AP12" t="str">
        <f ca="1">IFERROR(IF(0=LEN(ReferenceData!$AP$12),"",ReferenceData!$AP$12),"")</f>
        <v/>
      </c>
      <c r="AQ12" t="str">
        <f ca="1">IFERROR(IF(0=LEN(ReferenceData!$AQ$12),"",ReferenceData!$AQ$12),"")</f>
        <v/>
      </c>
      <c r="AR12" t="str">
        <f ca="1">IFERROR(IF(0=LEN(ReferenceData!$AR$12),"",ReferenceData!$AR$12),"")</f>
        <v/>
      </c>
      <c r="AS12" t="str">
        <f ca="1">IFERROR(IF(0=LEN(ReferenceData!$AS$12),"",ReferenceData!$AS$12),"")</f>
        <v/>
      </c>
    </row>
    <row r="13" spans="1:45" x14ac:dyDescent="0.2">
      <c r="A13" t="str">
        <f>IFERROR(IF(0=LEN(ReferenceData!$A$13),"",ReferenceData!$A$13),"")</f>
        <v xml:space="preserve">    U.S. Total Private Construction Spending (NSA)</v>
      </c>
      <c r="B13" t="str">
        <f>IFERROR(IF(0=LEN(ReferenceData!$B$13),"",ReferenceData!$B$13),"")</f>
        <v>CNNSPRTO Index</v>
      </c>
      <c r="C13" t="str">
        <f>IFERROR(IF(0=LEN(ReferenceData!$C$13),"",ReferenceData!$C$13),"")</f>
        <v>PX385</v>
      </c>
      <c r="D13" t="str">
        <f>IFERROR(IF(0=LEN(ReferenceData!$D$13),"",ReferenceData!$D$13),"")</f>
        <v>INTERVAL_SUM</v>
      </c>
      <c r="E13" t="str">
        <f>IFERROR(IF(0=LEN(ReferenceData!$E$13),"",ReferenceData!$E$13),"")</f>
        <v>Dynamic</v>
      </c>
      <c r="F13">
        <f ca="1">IFERROR(IF(0=LEN(ReferenceData!$F$13),"",ReferenceData!$F$13),"")</f>
        <v>1142057</v>
      </c>
      <c r="G13">
        <f ca="1">IFERROR(IF(0=LEN(ReferenceData!$G$13),"",ReferenceData!$G$13),"")</f>
        <v>1472362</v>
      </c>
      <c r="H13">
        <f ca="1">IFERROR(IF(0=LEN(ReferenceData!$H$13),"",ReferenceData!$H$13),"")</f>
        <v>1295753</v>
      </c>
      <c r="I13">
        <f ca="1">IFERROR(IF(0=LEN(ReferenceData!$I$13),"",ReferenceData!$I$13),"")</f>
        <v>1130370</v>
      </c>
      <c r="J13">
        <f ca="1">IFERROR(IF(0=LEN(ReferenceData!$J$13),"",ReferenceData!$J$13),"")</f>
        <v>1046693</v>
      </c>
      <c r="K13">
        <f ca="1">IFERROR(IF(0=LEN(ReferenceData!$K$13),"",ReferenceData!$K$13),"")</f>
        <v>1023016</v>
      </c>
      <c r="L13">
        <f ca="1">IFERROR(IF(0=LEN(ReferenceData!$L$13),"",ReferenceData!$L$13),"")</f>
        <v>983304</v>
      </c>
      <c r="M13">
        <f ca="1">IFERROR(IF(0=LEN(ReferenceData!$M$13),"",ReferenceData!$M$13),"")</f>
        <v>916172</v>
      </c>
      <c r="N13">
        <f ca="1">IFERROR(IF(0=LEN(ReferenceData!$N$13),"",ReferenceData!$N$13),"")</f>
        <v>838348</v>
      </c>
      <c r="O13">
        <f ca="1">IFERROR(IF(0=LEN(ReferenceData!$O$13),"",ReferenceData!$O$13),"")</f>
        <v>739164</v>
      </c>
      <c r="P13">
        <f ca="1">IFERROR(IF(0=LEN(ReferenceData!$P$13),"",ReferenceData!$P$13),"")</f>
        <v>643901</v>
      </c>
      <c r="Q13">
        <f ca="1">IFERROR(IF(0=LEN(ReferenceData!$Q$13),"",ReferenceData!$Q$13),"")</f>
        <v>575092</v>
      </c>
      <c r="R13">
        <f ca="1">IFERROR(IF(0=LEN(ReferenceData!$R$13),"",ReferenceData!$R$13),"")</f>
        <v>504830</v>
      </c>
      <c r="S13">
        <f ca="1">IFERROR(IF(0=LEN(ReferenceData!$S$13),"",ReferenceData!$S$13),"")</f>
        <v>508998</v>
      </c>
      <c r="T13">
        <f ca="1">IFERROR(IF(0=LEN(ReferenceData!$T$13),"",ReferenceData!$T$13),"")</f>
        <v>596871</v>
      </c>
      <c r="U13">
        <f ca="1">IFERROR(IF(0=LEN(ReferenceData!$U$13),"",ReferenceData!$U$13),"")</f>
        <v>768613</v>
      </c>
      <c r="V13">
        <f ca="1">IFERROR(IF(0=LEN(ReferenceData!$V$13),"",ReferenceData!$V$13),"")</f>
        <v>858878</v>
      </c>
      <c r="W13">
        <f ca="1">IFERROR(IF(0=LEN(ReferenceData!$W$13),"",ReferenceData!$W$13),"")</f>
        <v>905897</v>
      </c>
      <c r="X13">
        <f ca="1">IFERROR(IF(0=LEN(ReferenceData!$X$13),"",ReferenceData!$X$13),"")</f>
        <v>882653</v>
      </c>
      <c r="Y13">
        <f ca="1">IFERROR(IF(0=LEN(ReferenceData!$Y$13),"",ReferenceData!$Y$13),"")</f>
        <v>771175</v>
      </c>
      <c r="Z13">
        <f ca="1">IFERROR(IF(0=LEN(ReferenceData!$Z$13),"",ReferenceData!$Z$13),"")</f>
        <v>675375</v>
      </c>
      <c r="AA13">
        <f ca="1">IFERROR(IF(0=LEN(ReferenceData!$AA$13),"",ReferenceData!$AA$13),"")</f>
        <v>634439</v>
      </c>
      <c r="AB13">
        <f ca="1">IFERROR(IF(0=LEN(ReferenceData!$AB$13),"",ReferenceData!$AB$13),"")</f>
        <v>638336</v>
      </c>
      <c r="AC13">
        <f ca="1">IFERROR(IF(0=LEN(ReferenceData!$AC$13),"",ReferenceData!$AC$13),"")</f>
        <v>621432</v>
      </c>
      <c r="AD13">
        <f ca="1">IFERROR(IF(0=LEN(ReferenceData!$AD$13),"",ReferenceData!$AD$13),"")</f>
        <v>575470</v>
      </c>
      <c r="AE13">
        <f ca="1">IFERROR(IF(0=LEN(ReferenceData!$AE$13),"",ReferenceData!$AE$13),"")</f>
        <v>533741</v>
      </c>
      <c r="AF13">
        <f ca="1">IFERROR(IF(0=LEN(ReferenceData!$AF$13),"",ReferenceData!$AF$13),"")</f>
        <v>478412</v>
      </c>
      <c r="AG13">
        <f ca="1">IFERROR(IF(0=LEN(ReferenceData!$AG$13),"",ReferenceData!$AG$13),"")</f>
        <v>453020</v>
      </c>
      <c r="AH13">
        <f ca="1">IFERROR(IF(0=LEN(ReferenceData!$AH$13),"",ReferenceData!$AH$13),"")</f>
        <v>408656</v>
      </c>
      <c r="AI13">
        <f ca="1">IFERROR(IF(0=LEN(ReferenceData!$AI$13),"",ReferenceData!$AI$13),"")</f>
        <v>401469</v>
      </c>
      <c r="AJ13">
        <f ca="1">IFERROR(IF(0=LEN(ReferenceData!$AJ$13),"",ReferenceData!$AJ$13),"")</f>
        <v>358187</v>
      </c>
      <c r="AK13">
        <f ca="1">IFERROR(IF(0=LEN(ReferenceData!$AK$13),"",ReferenceData!$AK$13),"")</f>
        <v>347815</v>
      </c>
      <c r="AL13">
        <f ca="1">IFERROR(IF(0=LEN(ReferenceData!$AL$13),"",ReferenceData!$AL$13),"")</f>
        <v>322482</v>
      </c>
      <c r="AM13">
        <f ca="1">IFERROR(IF(0=LEN(ReferenceData!$AM$13),"",ReferenceData!$AM$13),"")</f>
        <v>369300</v>
      </c>
      <c r="AN13">
        <f ca="1">IFERROR(IF(0=LEN(ReferenceData!$AN$13),"",ReferenceData!$AN$13),"")</f>
        <v>379328</v>
      </c>
      <c r="AO13">
        <f ca="1">IFERROR(IF(0=LEN(ReferenceData!$AO$13),"",ReferenceData!$AO$13),"")</f>
        <v>367279</v>
      </c>
      <c r="AP13">
        <f ca="1">IFERROR(IF(0=LEN(ReferenceData!$AP$13),"",ReferenceData!$AP$13),"")</f>
        <v>355993</v>
      </c>
      <c r="AQ13">
        <f ca="1">IFERROR(IF(0=LEN(ReferenceData!$AQ$13),"",ReferenceData!$AQ$13),"")</f>
        <v>348872</v>
      </c>
      <c r="AR13">
        <f ca="1">IFERROR(IF(0=LEN(ReferenceData!$AR$13),"",ReferenceData!$AR$13),"")</f>
        <v>325603</v>
      </c>
      <c r="AS13">
        <f ca="1">IFERROR(IF(0=LEN(ReferenceData!$AS$13),"",ReferenceData!$AS$13),"")</f>
        <v>299953</v>
      </c>
    </row>
    <row r="14" spans="1:45" x14ac:dyDescent="0.2">
      <c r="A14" t="str">
        <f>IFERROR(IF(0=LEN(ReferenceData!$A$14),"",ReferenceData!$A$14),"")</f>
        <v xml:space="preserve">        U.S. Total Private Residential Construction Spending (NSA)</v>
      </c>
      <c r="B14" t="str">
        <f>IFERROR(IF(0=LEN(ReferenceData!$B$14),"",ReferenceData!$B$14),"")</f>
        <v>CNNSPRRE Index</v>
      </c>
      <c r="C14" t="str">
        <f>IFERROR(IF(0=LEN(ReferenceData!$C$14),"",ReferenceData!$C$14),"")</f>
        <v>PX385</v>
      </c>
      <c r="D14" t="str">
        <f>IFERROR(IF(0=LEN(ReferenceData!$D$14),"",ReferenceData!$D$14),"")</f>
        <v>INTERVAL_SUM</v>
      </c>
      <c r="E14" t="str">
        <f>IFERROR(IF(0=LEN(ReferenceData!$E$14),"",ReferenceData!$E$14),"")</f>
        <v>Dynamic</v>
      </c>
      <c r="F14">
        <f ca="1">IFERROR(IF(0=LEN(ReferenceData!$F$14),"",ReferenceData!$F$14),"")</f>
        <v>648244</v>
      </c>
      <c r="G14">
        <f ca="1">IFERROR(IF(0=LEN(ReferenceData!$G$14),"",ReferenceData!$G$14),"")</f>
        <v>917907</v>
      </c>
      <c r="H14">
        <f ca="1">IFERROR(IF(0=LEN(ReferenceData!$H$14),"",ReferenceData!$H$14),"")</f>
        <v>799201</v>
      </c>
      <c r="I14">
        <f ca="1">IFERROR(IF(0=LEN(ReferenceData!$I$14),"",ReferenceData!$I$14),"")</f>
        <v>634726</v>
      </c>
      <c r="J14">
        <f ca="1">IFERROR(IF(0=LEN(ReferenceData!$J$14),"",ReferenceData!$J$14),"")</f>
        <v>546554</v>
      </c>
      <c r="K14">
        <f ca="1">IFERROR(IF(0=LEN(ReferenceData!$K$14),"",ReferenceData!$K$14),"")</f>
        <v>557559</v>
      </c>
      <c r="L14">
        <f ca="1">IFERROR(IF(0=LEN(ReferenceData!$L$14),"",ReferenceData!$L$14),"")</f>
        <v>539014</v>
      </c>
      <c r="M14">
        <f ca="1">IFERROR(IF(0=LEN(ReferenceData!$M$14),"",ReferenceData!$M$14),"")</f>
        <v>479415</v>
      </c>
      <c r="N14">
        <f ca="1">IFERROR(IF(0=LEN(ReferenceData!$N$14),"",ReferenceData!$N$14),"")</f>
        <v>431770</v>
      </c>
      <c r="O14">
        <f ca="1">IFERROR(IF(0=LEN(ReferenceData!$O$14),"",ReferenceData!$O$14),"")</f>
        <v>377461</v>
      </c>
      <c r="P14">
        <f ca="1">IFERROR(IF(0=LEN(ReferenceData!$P$14),"",ReferenceData!$P$14),"")</f>
        <v>329640</v>
      </c>
      <c r="Q14">
        <f ca="1">IFERROR(IF(0=LEN(ReferenceData!$Q$14),"",ReferenceData!$Q$14),"")</f>
        <v>273730</v>
      </c>
      <c r="R14">
        <f ca="1">IFERROR(IF(0=LEN(ReferenceData!$R$14),"",ReferenceData!$R$14),"")</f>
        <v>247028</v>
      </c>
      <c r="S14">
        <f ca="1">IFERROR(IF(0=LEN(ReferenceData!$S$14),"",ReferenceData!$S$14),"")</f>
        <v>245744</v>
      </c>
      <c r="T14">
        <f ca="1">IFERROR(IF(0=LEN(ReferenceData!$T$14),"",ReferenceData!$T$14),"")</f>
        <v>252751</v>
      </c>
      <c r="U14">
        <f ca="1">IFERROR(IF(0=LEN(ReferenceData!$U$14),"",ReferenceData!$U$14),"")</f>
        <v>359172</v>
      </c>
      <c r="V14">
        <f ca="1">IFERROR(IF(0=LEN(ReferenceData!$V$14),"",ReferenceData!$V$14),"")</f>
        <v>488847</v>
      </c>
      <c r="W14">
        <f ca="1">IFERROR(IF(0=LEN(ReferenceData!$W$14),"",ReferenceData!$W$14),"")</f>
        <v>607792</v>
      </c>
      <c r="X14">
        <f ca="1">IFERROR(IF(0=LEN(ReferenceData!$X$14),"",ReferenceData!$X$14),"")</f>
        <v>624574</v>
      </c>
      <c r="Y14">
        <f ca="1">IFERROR(IF(0=LEN(ReferenceData!$Y$14),"",ReferenceData!$Y$14),"")</f>
        <v>532903</v>
      </c>
      <c r="Z14">
        <f ca="1">IFERROR(IF(0=LEN(ReferenceData!$Z$14),"",ReferenceData!$Z$14),"")</f>
        <v>446039</v>
      </c>
      <c r="AA14">
        <f ca="1">IFERROR(IF(0=LEN(ReferenceData!$AA$14),"",ReferenceData!$AA$14),"")</f>
        <v>396698</v>
      </c>
      <c r="AB14">
        <f ca="1">IFERROR(IF(0=LEN(ReferenceData!$AB$14),"",ReferenceData!$AB$14),"")</f>
        <v>364413</v>
      </c>
      <c r="AC14">
        <f ca="1">IFERROR(IF(0=LEN(ReferenceData!$AC$14),"",ReferenceData!$AC$14),"")</f>
        <v>346139</v>
      </c>
      <c r="AD14">
        <f ca="1">IFERROR(IF(0=LEN(ReferenceData!$AD$14),"",ReferenceData!$AD$14),"")</f>
        <v>326301</v>
      </c>
      <c r="AE14">
        <f ca="1">IFERROR(IF(0=LEN(ReferenceData!$AE$14),"",ReferenceData!$AE$14),"")</f>
        <v>296345</v>
      </c>
      <c r="AF14">
        <f ca="1">IFERROR(IF(0=LEN(ReferenceData!$AF$14),"",ReferenceData!$AF$14),"")</f>
        <v>264696</v>
      </c>
      <c r="AG14">
        <f ca="1">IFERROR(IF(0=LEN(ReferenceData!$AG$14),"",ReferenceData!$AG$14),"")</f>
        <v>257496</v>
      </c>
      <c r="AH14">
        <f ca="1">IFERROR(IF(0=LEN(ReferenceData!$AH$14),"",ReferenceData!$AH$14),"")</f>
        <v>228123</v>
      </c>
      <c r="AI14">
        <f ca="1">IFERROR(IF(0=LEN(ReferenceData!$AI$14),"",ReferenceData!$AI$14),"")</f>
        <v>241033</v>
      </c>
      <c r="AJ14">
        <f ca="1">IFERROR(IF(0=LEN(ReferenceData!$AJ$14),"",ReferenceData!$AJ$14),"")</f>
        <v>208181</v>
      </c>
      <c r="AK14" t="str">
        <f ca="1">IFERROR(IF(0=LEN(ReferenceData!$AK$14),"",ReferenceData!$AK$14),"")</f>
        <v/>
      </c>
      <c r="AL14" t="str">
        <f ca="1">IFERROR(IF(0=LEN(ReferenceData!$AL$14),"",ReferenceData!$AL$14),"")</f>
        <v/>
      </c>
      <c r="AM14" t="str">
        <f ca="1">IFERROR(IF(0=LEN(ReferenceData!$AM$14),"",ReferenceData!$AM$14),"")</f>
        <v/>
      </c>
      <c r="AN14" t="str">
        <f ca="1">IFERROR(IF(0=LEN(ReferenceData!$AN$14),"",ReferenceData!$AN$14),"")</f>
        <v/>
      </c>
      <c r="AO14" t="str">
        <f ca="1">IFERROR(IF(0=LEN(ReferenceData!$AO$14),"",ReferenceData!$AO$14),"")</f>
        <v/>
      </c>
      <c r="AP14" t="str">
        <f ca="1">IFERROR(IF(0=LEN(ReferenceData!$AP$14),"",ReferenceData!$AP$14),"")</f>
        <v/>
      </c>
      <c r="AQ14" t="str">
        <f ca="1">IFERROR(IF(0=LEN(ReferenceData!$AQ$14),"",ReferenceData!$AQ$14),"")</f>
        <v/>
      </c>
      <c r="AR14" t="str">
        <f ca="1">IFERROR(IF(0=LEN(ReferenceData!$AR$14),"",ReferenceData!$AR$14),"")</f>
        <v/>
      </c>
      <c r="AS14" t="str">
        <f ca="1">IFERROR(IF(0=LEN(ReferenceData!$AS$14),"",ReferenceData!$AS$14),"")</f>
        <v/>
      </c>
    </row>
    <row r="15" spans="1:45" x14ac:dyDescent="0.2">
      <c r="A15" t="str">
        <f>IFERROR(IF(0=LEN(ReferenceData!$A$15),"",ReferenceData!$A$15),"")</f>
        <v xml:space="preserve">        U.S. Total Private Non-Res Construction Spending (NSA)</v>
      </c>
      <c r="B15" t="str">
        <f>IFERROR(IF(0=LEN(ReferenceData!$B$15),"",ReferenceData!$B$15),"")</f>
        <v>CNNSPRNR Index</v>
      </c>
      <c r="C15" t="str">
        <f>IFERROR(IF(0=LEN(ReferenceData!$C$15),"",ReferenceData!$C$15),"")</f>
        <v>PX385</v>
      </c>
      <c r="D15" t="str">
        <f>IFERROR(IF(0=LEN(ReferenceData!$D$15),"",ReferenceData!$D$15),"")</f>
        <v>INTERVAL_SUM</v>
      </c>
      <c r="E15" t="str">
        <f>IFERROR(IF(0=LEN(ReferenceData!$E$15),"",ReferenceData!$E$15),"")</f>
        <v>Dynamic</v>
      </c>
      <c r="F15">
        <f ca="1">IFERROR(IF(0=LEN(ReferenceData!$F$15),"",ReferenceData!$F$15),"")</f>
        <v>493813</v>
      </c>
      <c r="G15">
        <f ca="1">IFERROR(IF(0=LEN(ReferenceData!$G$15),"",ReferenceData!$G$15),"")</f>
        <v>554455</v>
      </c>
      <c r="H15">
        <f ca="1">IFERROR(IF(0=LEN(ReferenceData!$H$15),"",ReferenceData!$H$15),"")</f>
        <v>496552</v>
      </c>
      <c r="I15">
        <f ca="1">IFERROR(IF(0=LEN(ReferenceData!$I$15),"",ReferenceData!$I$15),"")</f>
        <v>495644</v>
      </c>
      <c r="J15">
        <f ca="1">IFERROR(IF(0=LEN(ReferenceData!$J$15),"",ReferenceData!$J$15),"")</f>
        <v>500140</v>
      </c>
      <c r="K15">
        <f ca="1">IFERROR(IF(0=LEN(ReferenceData!$K$15),"",ReferenceData!$K$15),"")</f>
        <v>465458</v>
      </c>
      <c r="L15">
        <f ca="1">IFERROR(IF(0=LEN(ReferenceData!$L$15),"",ReferenceData!$L$15),"")</f>
        <v>444288</v>
      </c>
      <c r="M15">
        <f ca="1">IFERROR(IF(0=LEN(ReferenceData!$M$15),"",ReferenceData!$M$15),"")</f>
        <v>436756</v>
      </c>
      <c r="N15">
        <f ca="1">IFERROR(IF(0=LEN(ReferenceData!$N$15),"",ReferenceData!$N$15),"")</f>
        <v>406579</v>
      </c>
      <c r="O15">
        <f ca="1">IFERROR(IF(0=LEN(ReferenceData!$O$15),"",ReferenceData!$O$15),"")</f>
        <v>361706</v>
      </c>
      <c r="P15">
        <f ca="1">IFERROR(IF(0=LEN(ReferenceData!$P$15),"",ReferenceData!$P$15),"")</f>
        <v>314260</v>
      </c>
      <c r="Q15">
        <f ca="1">IFERROR(IF(0=LEN(ReferenceData!$Q$15),"",ReferenceData!$Q$15),"")</f>
        <v>301362</v>
      </c>
      <c r="R15">
        <f ca="1">IFERROR(IF(0=LEN(ReferenceData!$R$15),"",ReferenceData!$R$15),"")</f>
        <v>257805</v>
      </c>
      <c r="S15">
        <f ca="1">IFERROR(IF(0=LEN(ReferenceData!$S$15),"",ReferenceData!$S$15),"")</f>
        <v>263258</v>
      </c>
      <c r="T15">
        <f ca="1">IFERROR(IF(0=LEN(ReferenceData!$T$15),"",ReferenceData!$T$15),"")</f>
        <v>344122</v>
      </c>
      <c r="U15">
        <f ca="1">IFERROR(IF(0=LEN(ReferenceData!$U$15),"",ReferenceData!$U$15),"")</f>
        <v>409439</v>
      </c>
      <c r="V15">
        <f ca="1">IFERROR(IF(0=LEN(ReferenceData!$V$15),"",ReferenceData!$V$15),"")</f>
        <v>370033</v>
      </c>
      <c r="W15">
        <f ca="1">IFERROR(IF(0=LEN(ReferenceData!$W$15),"",ReferenceData!$W$15),"")</f>
        <v>298106</v>
      </c>
      <c r="X15">
        <f ca="1">IFERROR(IF(0=LEN(ReferenceData!$X$15),"",ReferenceData!$X$15),"")</f>
        <v>258078</v>
      </c>
      <c r="Y15">
        <f ca="1">IFERROR(IF(0=LEN(ReferenceData!$Y$15),"",ReferenceData!$Y$15),"")</f>
        <v>238274</v>
      </c>
      <c r="Z15">
        <f ca="1">IFERROR(IF(0=LEN(ReferenceData!$Z$15),"",ReferenceData!$Z$15),"")</f>
        <v>229336</v>
      </c>
      <c r="AA15">
        <f ca="1">IFERROR(IF(0=LEN(ReferenceData!$AA$15),"",ReferenceData!$AA$15),"")</f>
        <v>237741</v>
      </c>
      <c r="AB15">
        <f ca="1">IFERROR(IF(0=LEN(ReferenceData!$AB$15),"",ReferenceData!$AB$15),"")</f>
        <v>273923</v>
      </c>
      <c r="AC15">
        <f ca="1">IFERROR(IF(0=LEN(ReferenceData!$AC$15),"",ReferenceData!$AC$15),"")</f>
        <v>275293</v>
      </c>
      <c r="AD15">
        <f ca="1">IFERROR(IF(0=LEN(ReferenceData!$AD$15),"",ReferenceData!$AD$15),"")</f>
        <v>249169</v>
      </c>
      <c r="AE15">
        <f ca="1">IFERROR(IF(0=LEN(ReferenceData!$AE$15),"",ReferenceData!$AE$15),"")</f>
        <v>237396</v>
      </c>
      <c r="AF15">
        <f ca="1">IFERROR(IF(0=LEN(ReferenceData!$AF$15),"",ReferenceData!$AF$15),"")</f>
        <v>213716</v>
      </c>
      <c r="AG15">
        <f ca="1">IFERROR(IF(0=LEN(ReferenceData!$AG$15),"",ReferenceData!$AG$15),"")</f>
        <v>195524</v>
      </c>
      <c r="AH15">
        <f ca="1">IFERROR(IF(0=LEN(ReferenceData!$AH$15),"",ReferenceData!$AH$15),"")</f>
        <v>180533</v>
      </c>
      <c r="AI15">
        <f ca="1">IFERROR(IF(0=LEN(ReferenceData!$AI$15),"",ReferenceData!$AI$15),"")</f>
        <v>160436</v>
      </c>
      <c r="AJ15">
        <f ca="1">IFERROR(IF(0=LEN(ReferenceData!$AJ$15),"",ReferenceData!$AJ$15),"")</f>
        <v>150006</v>
      </c>
      <c r="AK15" t="str">
        <f ca="1">IFERROR(IF(0=LEN(ReferenceData!$AK$15),"",ReferenceData!$AK$15),"")</f>
        <v/>
      </c>
      <c r="AL15" t="str">
        <f ca="1">IFERROR(IF(0=LEN(ReferenceData!$AL$15),"",ReferenceData!$AL$15),"")</f>
        <v/>
      </c>
      <c r="AM15" t="str">
        <f ca="1">IFERROR(IF(0=LEN(ReferenceData!$AM$15),"",ReferenceData!$AM$15),"")</f>
        <v/>
      </c>
      <c r="AN15" t="str">
        <f ca="1">IFERROR(IF(0=LEN(ReferenceData!$AN$15),"",ReferenceData!$AN$15),"")</f>
        <v/>
      </c>
      <c r="AO15" t="str">
        <f ca="1">IFERROR(IF(0=LEN(ReferenceData!$AO$15),"",ReferenceData!$AO$15),"")</f>
        <v/>
      </c>
      <c r="AP15" t="str">
        <f ca="1">IFERROR(IF(0=LEN(ReferenceData!$AP$15),"",ReferenceData!$AP$15),"")</f>
        <v/>
      </c>
      <c r="AQ15" t="str">
        <f ca="1">IFERROR(IF(0=LEN(ReferenceData!$AQ$15),"",ReferenceData!$AQ$15),"")</f>
        <v/>
      </c>
      <c r="AR15" t="str">
        <f ca="1">IFERROR(IF(0=LEN(ReferenceData!$AR$15),"",ReferenceData!$AR$15),"")</f>
        <v/>
      </c>
      <c r="AS15" t="str">
        <f ca="1">IFERROR(IF(0=LEN(ReferenceData!$AS$15),"",ReferenceData!$AS$15),"")</f>
        <v/>
      </c>
    </row>
    <row r="16" spans="1:45" x14ac:dyDescent="0.2">
      <c r="A16" t="str">
        <f>IFERROR(IF(0=LEN(ReferenceData!$A$16),"",ReferenceData!$A$16),"")</f>
        <v xml:space="preserve">    U.S. Total Public Construction Spending (NSA)</v>
      </c>
      <c r="B16" t="str">
        <f>IFERROR(IF(0=LEN(ReferenceData!$B$16),"",ReferenceData!$B$16),"")</f>
        <v>CNNSPUTO Index</v>
      </c>
      <c r="C16" t="str">
        <f>IFERROR(IF(0=LEN(ReferenceData!$C$16),"",ReferenceData!$C$16),"")</f>
        <v>PX385</v>
      </c>
      <c r="D16" t="str">
        <f>IFERROR(IF(0=LEN(ReferenceData!$D$16),"",ReferenceData!$D$16),"")</f>
        <v>INTERVAL_SUM</v>
      </c>
      <c r="E16" t="str">
        <f>IFERROR(IF(0=LEN(ReferenceData!$E$16),"",ReferenceData!$E$16),"")</f>
        <v>Dynamic</v>
      </c>
      <c r="F16">
        <f ca="1">IFERROR(IF(0=LEN(ReferenceData!$F$16),"",ReferenceData!$F$16),"")</f>
        <v>321436</v>
      </c>
      <c r="G16">
        <f ca="1">IFERROR(IF(0=LEN(ReferenceData!$G$16),"",ReferenceData!$G$16),"")</f>
        <v>376315</v>
      </c>
      <c r="H16">
        <f ca="1">IFERROR(IF(0=LEN(ReferenceData!$H$16),"",ReferenceData!$H$16),"")</f>
        <v>357622</v>
      </c>
      <c r="I16">
        <f ca="1">IFERROR(IF(0=LEN(ReferenceData!$I$16),"",ReferenceData!$I$16),"")</f>
        <v>369199</v>
      </c>
      <c r="J16">
        <f ca="1">IFERROR(IF(0=LEN(ReferenceData!$J$16),"",ReferenceData!$J$16),"")</f>
        <v>344348</v>
      </c>
      <c r="K16">
        <f ca="1">IFERROR(IF(0=LEN(ReferenceData!$K$16),"",ReferenceData!$K$16),"")</f>
        <v>310167</v>
      </c>
      <c r="L16">
        <f ca="1">IFERROR(IF(0=LEN(ReferenceData!$L$16),"",ReferenceData!$L$16),"")</f>
        <v>296540</v>
      </c>
      <c r="M16">
        <f ca="1">IFERROR(IF(0=LEN(ReferenceData!$M$16),"",ReferenceData!$M$16),"")</f>
        <v>296973</v>
      </c>
      <c r="N16">
        <f ca="1">IFERROR(IF(0=LEN(ReferenceData!$N$16),"",ReferenceData!$N$16),"")</f>
        <v>293770</v>
      </c>
      <c r="O16">
        <f ca="1">IFERROR(IF(0=LEN(ReferenceData!$O$16),"",ReferenceData!$O$16),"")</f>
        <v>276128</v>
      </c>
      <c r="P16">
        <f ca="1">IFERROR(IF(0=LEN(ReferenceData!$P$16),"",ReferenceData!$P$16),"")</f>
        <v>270683</v>
      </c>
      <c r="Q16">
        <f ca="1">IFERROR(IF(0=LEN(ReferenceData!$Q$16),"",ReferenceData!$Q$16),"")</f>
        <v>279313</v>
      </c>
      <c r="R16">
        <f ca="1">IFERROR(IF(0=LEN(ReferenceData!$R$16),"",ReferenceData!$R$16),"")</f>
        <v>286407</v>
      </c>
      <c r="S16">
        <f ca="1">IFERROR(IF(0=LEN(ReferenceData!$S$16),"",ReferenceData!$S$16),"")</f>
        <v>303968</v>
      </c>
      <c r="T16">
        <f ca="1">IFERROR(IF(0=LEN(ReferenceData!$T$16),"",ReferenceData!$T$16),"")</f>
        <v>314895</v>
      </c>
      <c r="U16">
        <f ca="1">IFERROR(IF(0=LEN(ReferenceData!$U$16),"",ReferenceData!$U$16),"")</f>
        <v>308738</v>
      </c>
      <c r="V16">
        <f ca="1">IFERROR(IF(0=LEN(ReferenceData!$V$16),"",ReferenceData!$V$16),"")</f>
        <v>289074</v>
      </c>
      <c r="W16">
        <f ca="1">IFERROR(IF(0=LEN(ReferenceData!$W$16),"",ReferenceData!$W$16),"")</f>
        <v>255387</v>
      </c>
      <c r="X16">
        <f ca="1">IFERROR(IF(0=LEN(ReferenceData!$X$16),"",ReferenceData!$X$16),"")</f>
        <v>234160</v>
      </c>
      <c r="Y16">
        <f ca="1">IFERROR(IF(0=LEN(ReferenceData!$Y$16),"",ReferenceData!$Y$16),"")</f>
        <v>220184</v>
      </c>
      <c r="Z16">
        <f ca="1">IFERROR(IF(0=LEN(ReferenceData!$Z$16),"",ReferenceData!$Z$16),"")</f>
        <v>216127</v>
      </c>
      <c r="AA16">
        <f ca="1">IFERROR(IF(0=LEN(ReferenceData!$AA$16),"",ReferenceData!$AA$16),"")</f>
        <v>213438</v>
      </c>
      <c r="AB16">
        <f ca="1">IFERROR(IF(0=LEN(ReferenceData!$AB$16),"",ReferenceData!$AB$16),"")</f>
        <v>201911</v>
      </c>
      <c r="AC16">
        <f ca="1">IFERROR(IF(0=LEN(ReferenceData!$AC$16),"",ReferenceData!$AC$16),"")</f>
        <v>181326</v>
      </c>
      <c r="AD16">
        <f ca="1">IFERROR(IF(0=LEN(ReferenceData!$AD$16),"",ReferenceData!$AD$16),"")</f>
        <v>169081</v>
      </c>
      <c r="AE16">
        <f ca="1">IFERROR(IF(0=LEN(ReferenceData!$AE$16),"",ReferenceData!$AE$16),"")</f>
        <v>154779</v>
      </c>
      <c r="AF16">
        <f ca="1">IFERROR(IF(0=LEN(ReferenceData!$AF$16),"",ReferenceData!$AF$16),"")</f>
        <v>153437</v>
      </c>
      <c r="AG16">
        <f ca="1">IFERROR(IF(0=LEN(ReferenceData!$AG$16),"",ReferenceData!$AG$16),"")</f>
        <v>146674</v>
      </c>
      <c r="AH16">
        <f ca="1">IFERROR(IF(0=LEN(ReferenceData!$AH$16),"",ReferenceData!$AH$16),"")</f>
        <v>140011</v>
      </c>
      <c r="AI16">
        <f ca="1">IFERROR(IF(0=LEN(ReferenceData!$AI$16),"",ReferenceData!$AI$16),"")</f>
        <v>130421</v>
      </c>
      <c r="AJ16">
        <f ca="1">IFERROR(IF(0=LEN(ReferenceData!$AJ$16),"",ReferenceData!$AJ$16),"")</f>
        <v>127362</v>
      </c>
      <c r="AK16">
        <f ca="1">IFERROR(IF(0=LEN(ReferenceData!$AK$16),"",ReferenceData!$AK$16),"")</f>
        <v>115846</v>
      </c>
      <c r="AL16">
        <f ca="1">IFERROR(IF(0=LEN(ReferenceData!$AL$16),"",ReferenceData!$AL$16),"")</f>
        <v>110111</v>
      </c>
      <c r="AM16">
        <f ca="1">IFERROR(IF(0=LEN(ReferenceData!$AM$16),"",ReferenceData!$AM$16),"")</f>
        <v>107477</v>
      </c>
      <c r="AN16">
        <f ca="1">IFERROR(IF(0=LEN(ReferenceData!$AN$16),"",ReferenceData!$AN$16),"")</f>
        <v>98173</v>
      </c>
      <c r="AO16">
        <f ca="1">IFERROR(IF(0=LEN(ReferenceData!$AO$16),"",ReferenceData!$AO$16),"")</f>
        <v>94734</v>
      </c>
      <c r="AP16">
        <f ca="1">IFERROR(IF(0=LEN(ReferenceData!$AP$16),"",ReferenceData!$AP$16),"")</f>
        <v>90649</v>
      </c>
      <c r="AQ16">
        <f ca="1">IFERROR(IF(0=LEN(ReferenceData!$AQ$16),"",ReferenceData!$AQ$16),"")</f>
        <v>84581</v>
      </c>
      <c r="AR16">
        <f ca="1">IFERROR(IF(0=LEN(ReferenceData!$AR$16),"",ReferenceData!$AR$16),"")</f>
        <v>77811</v>
      </c>
      <c r="AS16">
        <f ca="1">IFERROR(IF(0=LEN(ReferenceData!$AS$16),"",ReferenceData!$AS$16),"")</f>
        <v>70238</v>
      </c>
    </row>
    <row r="17" spans="1:45" x14ac:dyDescent="0.2">
      <c r="A17" t="str">
        <f>IFERROR(IF(0=LEN(ReferenceData!$A$17),"",ReferenceData!$A$17),"")</f>
        <v xml:space="preserve">        U.S. Total Public Residential  Construction Spending (NSA)</v>
      </c>
      <c r="B17" t="str">
        <f>IFERROR(IF(0=LEN(ReferenceData!$B$17),"",ReferenceData!$B$17),"")</f>
        <v>CNNSPURE Index</v>
      </c>
      <c r="C17" t="str">
        <f>IFERROR(IF(0=LEN(ReferenceData!$C$17),"",ReferenceData!$C$17),"")</f>
        <v>PX385</v>
      </c>
      <c r="D17" t="str">
        <f>IFERROR(IF(0=LEN(ReferenceData!$D$17),"",ReferenceData!$D$17),"")</f>
        <v>INTERVAL_SUM</v>
      </c>
      <c r="E17" t="str">
        <f>IFERROR(IF(0=LEN(ReferenceData!$E$17),"",ReferenceData!$E$17),"")</f>
        <v>Dynamic</v>
      </c>
      <c r="F17">
        <f ca="1">IFERROR(IF(0=LEN(ReferenceData!$F$17),"",ReferenceData!$F$17),"")</f>
        <v>7581</v>
      </c>
      <c r="G17">
        <f ca="1">IFERROR(IF(0=LEN(ReferenceData!$G$17),"",ReferenceData!$G$17),"")</f>
        <v>9532</v>
      </c>
      <c r="H17">
        <f ca="1">IFERROR(IF(0=LEN(ReferenceData!$H$17),"",ReferenceData!$H$17),"")</f>
        <v>9768</v>
      </c>
      <c r="I17">
        <f ca="1">IFERROR(IF(0=LEN(ReferenceData!$I$17),"",ReferenceData!$I$17),"")</f>
        <v>9532</v>
      </c>
      <c r="J17">
        <f ca="1">IFERROR(IF(0=LEN(ReferenceData!$J$17),"",ReferenceData!$J$17),"")</f>
        <v>6890</v>
      </c>
      <c r="K17">
        <f ca="1">IFERROR(IF(0=LEN(ReferenceData!$K$17),"",ReferenceData!$K$17),"")</f>
        <v>6318</v>
      </c>
      <c r="L17">
        <f ca="1">IFERROR(IF(0=LEN(ReferenceData!$L$17),"",ReferenceData!$L$17),"")</f>
        <v>6741</v>
      </c>
      <c r="M17">
        <f ca="1">IFERROR(IF(0=LEN(ReferenceData!$M$17),"",ReferenceData!$M$17),"")</f>
        <v>6550</v>
      </c>
      <c r="N17">
        <f ca="1">IFERROR(IF(0=LEN(ReferenceData!$N$17),"",ReferenceData!$N$17),"")</f>
        <v>6928</v>
      </c>
      <c r="O17">
        <f ca="1">IFERROR(IF(0=LEN(ReferenceData!$O$17),"",ReferenceData!$O$17),"")</f>
        <v>5068</v>
      </c>
      <c r="P17">
        <f ca="1">IFERROR(IF(0=LEN(ReferenceData!$P$17),"",ReferenceData!$P$17),"")</f>
        <v>5838</v>
      </c>
      <c r="Q17">
        <f ca="1">IFERROR(IF(0=LEN(ReferenceData!$Q$17),"",ReferenceData!$Q$17),"")</f>
        <v>6274</v>
      </c>
      <c r="R17">
        <f ca="1">IFERROR(IF(0=LEN(ReferenceData!$R$17),"",ReferenceData!$R$17),"")</f>
        <v>8525</v>
      </c>
      <c r="S17">
        <f ca="1">IFERROR(IF(0=LEN(ReferenceData!$S$17),"",ReferenceData!$S$17),"")</f>
        <v>10295</v>
      </c>
      <c r="T17">
        <f ca="1">IFERROR(IF(0=LEN(ReferenceData!$T$17),"",ReferenceData!$T$17),"")</f>
        <v>8015</v>
      </c>
      <c r="U17">
        <f ca="1">IFERROR(IF(0=LEN(ReferenceData!$U$17),"",ReferenceData!$U$17),"")</f>
        <v>7487</v>
      </c>
      <c r="V17">
        <f ca="1">IFERROR(IF(0=LEN(ReferenceData!$V$17),"",ReferenceData!$V$17),"")</f>
        <v>7221</v>
      </c>
      <c r="W17">
        <f ca="1">IFERROR(IF(0=LEN(ReferenceData!$W$17),"",ReferenceData!$W$17),"")</f>
        <v>6084</v>
      </c>
      <c r="X17">
        <f ca="1">IFERROR(IF(0=LEN(ReferenceData!$X$17),"",ReferenceData!$X$17),"")</f>
        <v>5608</v>
      </c>
      <c r="Y17">
        <f ca="1">IFERROR(IF(0=LEN(ReferenceData!$Y$17),"",ReferenceData!$Y$17),"")</f>
        <v>5507</v>
      </c>
      <c r="Z17">
        <f ca="1">IFERROR(IF(0=LEN(ReferenceData!$Z$17),"",ReferenceData!$Z$17),"")</f>
        <v>5216</v>
      </c>
      <c r="AA17">
        <f ca="1">IFERROR(IF(0=LEN(ReferenceData!$AA$17),"",ReferenceData!$AA$17),"")</f>
        <v>5266</v>
      </c>
      <c r="AB17">
        <f ca="1">IFERROR(IF(0=LEN(ReferenceData!$AB$17),"",ReferenceData!$AB$17),"")</f>
        <v>0</v>
      </c>
      <c r="AC17">
        <f ca="1">IFERROR(IF(0=LEN(ReferenceData!$AC$17),"",ReferenceData!$AC$17),"")</f>
        <v>0</v>
      </c>
      <c r="AD17">
        <f ca="1">IFERROR(IF(0=LEN(ReferenceData!$AD$17),"",ReferenceData!$AD$17),"")</f>
        <v>0</v>
      </c>
      <c r="AE17">
        <f ca="1">IFERROR(IF(0=LEN(ReferenceData!$AE$17),"",ReferenceData!$AE$17),"")</f>
        <v>0</v>
      </c>
      <c r="AF17">
        <f ca="1">IFERROR(IF(0=LEN(ReferenceData!$AF$17),"",ReferenceData!$AF$17),"")</f>
        <v>0</v>
      </c>
      <c r="AG17">
        <f ca="1">IFERROR(IF(0=LEN(ReferenceData!$AG$17),"",ReferenceData!$AG$17),"")</f>
        <v>0</v>
      </c>
      <c r="AH17">
        <f ca="1">IFERROR(IF(0=LEN(ReferenceData!$AH$17),"",ReferenceData!$AH$17),"")</f>
        <v>0</v>
      </c>
      <c r="AI17">
        <f ca="1">IFERROR(IF(0=LEN(ReferenceData!$AI$17),"",ReferenceData!$AI$17),"")</f>
        <v>0</v>
      </c>
      <c r="AJ17">
        <f ca="1">IFERROR(IF(0=LEN(ReferenceData!$AJ$17),"",ReferenceData!$AJ$17),"")</f>
        <v>0</v>
      </c>
      <c r="AK17" t="str">
        <f ca="1">IFERROR(IF(0=LEN(ReferenceData!$AK$17),"",ReferenceData!$AK$17),"")</f>
        <v/>
      </c>
      <c r="AL17" t="str">
        <f ca="1">IFERROR(IF(0=LEN(ReferenceData!$AL$17),"",ReferenceData!$AL$17),"")</f>
        <v/>
      </c>
      <c r="AM17" t="str">
        <f ca="1">IFERROR(IF(0=LEN(ReferenceData!$AM$17),"",ReferenceData!$AM$17),"")</f>
        <v/>
      </c>
      <c r="AN17" t="str">
        <f ca="1">IFERROR(IF(0=LEN(ReferenceData!$AN$17),"",ReferenceData!$AN$17),"")</f>
        <v/>
      </c>
      <c r="AO17" t="str">
        <f ca="1">IFERROR(IF(0=LEN(ReferenceData!$AO$17),"",ReferenceData!$AO$17),"")</f>
        <v/>
      </c>
      <c r="AP17" t="str">
        <f ca="1">IFERROR(IF(0=LEN(ReferenceData!$AP$17),"",ReferenceData!$AP$17),"")</f>
        <v/>
      </c>
      <c r="AQ17" t="str">
        <f ca="1">IFERROR(IF(0=LEN(ReferenceData!$AQ$17),"",ReferenceData!$AQ$17),"")</f>
        <v/>
      </c>
      <c r="AR17" t="str">
        <f ca="1">IFERROR(IF(0=LEN(ReferenceData!$AR$17),"",ReferenceData!$AR$17),"")</f>
        <v/>
      </c>
      <c r="AS17" t="str">
        <f ca="1">IFERROR(IF(0=LEN(ReferenceData!$AS$17),"",ReferenceData!$AS$17),"")</f>
        <v/>
      </c>
    </row>
    <row r="18" spans="1:45" x14ac:dyDescent="0.2">
      <c r="A18" t="str">
        <f>IFERROR(IF(0=LEN(ReferenceData!$A$18),"",ReferenceData!$A$18),"")</f>
        <v xml:space="preserve">        U.S. Total Public Non-Res  Construction Spending (NSA)</v>
      </c>
      <c r="B18" t="str">
        <f>IFERROR(IF(0=LEN(ReferenceData!$B$18),"",ReferenceData!$B$18),"")</f>
        <v>CNNSPUNR Index</v>
      </c>
      <c r="C18" t="str">
        <f>IFERROR(IF(0=LEN(ReferenceData!$C$18),"",ReferenceData!$C$18),"")</f>
        <v>PX385</v>
      </c>
      <c r="D18" t="str">
        <f>IFERROR(IF(0=LEN(ReferenceData!$D$18),"",ReferenceData!$D$18),"")</f>
        <v>INTERVAL_SUM</v>
      </c>
      <c r="E18" t="str">
        <f>IFERROR(IF(0=LEN(ReferenceData!$E$18),"",ReferenceData!$E$18),"")</f>
        <v>Dynamic</v>
      </c>
      <c r="F18">
        <f ca="1">IFERROR(IF(0=LEN(ReferenceData!$F$18),"",ReferenceData!$F$18),"")</f>
        <v>313858</v>
      </c>
      <c r="G18">
        <f ca="1">IFERROR(IF(0=LEN(ReferenceData!$G$18),"",ReferenceData!$G$18),"")</f>
        <v>366784</v>
      </c>
      <c r="H18">
        <f ca="1">IFERROR(IF(0=LEN(ReferenceData!$H$18),"",ReferenceData!$H$18),"")</f>
        <v>347856</v>
      </c>
      <c r="I18">
        <f ca="1">IFERROR(IF(0=LEN(ReferenceData!$I$18),"",ReferenceData!$I$18),"")</f>
        <v>359669</v>
      </c>
      <c r="J18">
        <f ca="1">IFERROR(IF(0=LEN(ReferenceData!$J$18),"",ReferenceData!$J$18),"")</f>
        <v>337459</v>
      </c>
      <c r="K18">
        <f ca="1">IFERROR(IF(0=LEN(ReferenceData!$K$18),"",ReferenceData!$K$18),"")</f>
        <v>303850</v>
      </c>
      <c r="L18">
        <f ca="1">IFERROR(IF(0=LEN(ReferenceData!$L$18),"",ReferenceData!$L$18),"")</f>
        <v>289800</v>
      </c>
      <c r="M18">
        <f ca="1">IFERROR(IF(0=LEN(ReferenceData!$M$18),"",ReferenceData!$M$18),"")</f>
        <v>290423</v>
      </c>
      <c r="N18">
        <f ca="1">IFERROR(IF(0=LEN(ReferenceData!$N$18),"",ReferenceData!$N$18),"")</f>
        <v>286843</v>
      </c>
      <c r="O18">
        <f ca="1">IFERROR(IF(0=LEN(ReferenceData!$O$18),"",ReferenceData!$O$18),"")</f>
        <v>271062</v>
      </c>
      <c r="P18">
        <f ca="1">IFERROR(IF(0=LEN(ReferenceData!$P$18),"",ReferenceData!$P$18),"")</f>
        <v>264847</v>
      </c>
      <c r="Q18">
        <f ca="1">IFERROR(IF(0=LEN(ReferenceData!$Q$18),"",ReferenceData!$Q$18),"")</f>
        <v>273038</v>
      </c>
      <c r="R18">
        <f ca="1">IFERROR(IF(0=LEN(ReferenceData!$R$18),"",ReferenceData!$R$18),"")</f>
        <v>277885</v>
      </c>
      <c r="S18">
        <f ca="1">IFERROR(IF(0=LEN(ReferenceData!$S$18),"",ReferenceData!$S$18),"")</f>
        <v>293674</v>
      </c>
      <c r="T18">
        <f ca="1">IFERROR(IF(0=LEN(ReferenceData!$T$18),"",ReferenceData!$T$18),"")</f>
        <v>306881</v>
      </c>
      <c r="U18">
        <f ca="1">IFERROR(IF(0=LEN(ReferenceData!$U$18),"",ReferenceData!$U$18),"")</f>
        <v>301250</v>
      </c>
      <c r="V18">
        <f ca="1">IFERROR(IF(0=LEN(ReferenceData!$V$18),"",ReferenceData!$V$18),"")</f>
        <v>281852</v>
      </c>
      <c r="W18">
        <f ca="1">IFERROR(IF(0=LEN(ReferenceData!$W$18),"",ReferenceData!$W$18),"")</f>
        <v>249303</v>
      </c>
      <c r="X18">
        <f ca="1">IFERROR(IF(0=LEN(ReferenceData!$X$18),"",ReferenceData!$X$18),"")</f>
        <v>228553</v>
      </c>
      <c r="Y18">
        <f ca="1">IFERROR(IF(0=LEN(ReferenceData!$Y$18),"",ReferenceData!$Y$18),"")</f>
        <v>214675</v>
      </c>
      <c r="Z18">
        <f ca="1">IFERROR(IF(0=LEN(ReferenceData!$Z$18),"",ReferenceData!$Z$18),"")</f>
        <v>210910</v>
      </c>
      <c r="AA18">
        <f ca="1">IFERROR(IF(0=LEN(ReferenceData!$AA$18),"",ReferenceData!$AA$18),"")</f>
        <v>208176</v>
      </c>
      <c r="AB18">
        <f ca="1">IFERROR(IF(0=LEN(ReferenceData!$AB$18),"",ReferenceData!$AB$18),"")</f>
        <v>0</v>
      </c>
      <c r="AC18">
        <f ca="1">IFERROR(IF(0=LEN(ReferenceData!$AC$18),"",ReferenceData!$AC$18),"")</f>
        <v>0</v>
      </c>
      <c r="AD18">
        <f ca="1">IFERROR(IF(0=LEN(ReferenceData!$AD$18),"",ReferenceData!$AD$18),"")</f>
        <v>0</v>
      </c>
      <c r="AE18">
        <f ca="1">IFERROR(IF(0=LEN(ReferenceData!$AE$18),"",ReferenceData!$AE$18),"")</f>
        <v>0</v>
      </c>
      <c r="AF18">
        <f ca="1">IFERROR(IF(0=LEN(ReferenceData!$AF$18),"",ReferenceData!$AF$18),"")</f>
        <v>0</v>
      </c>
      <c r="AG18">
        <f ca="1">IFERROR(IF(0=LEN(ReferenceData!$AG$18),"",ReferenceData!$AG$18),"")</f>
        <v>0</v>
      </c>
      <c r="AH18">
        <f ca="1">IFERROR(IF(0=LEN(ReferenceData!$AH$18),"",ReferenceData!$AH$18),"")</f>
        <v>0</v>
      </c>
      <c r="AI18">
        <f ca="1">IFERROR(IF(0=LEN(ReferenceData!$AI$18),"",ReferenceData!$AI$18),"")</f>
        <v>0</v>
      </c>
      <c r="AJ18">
        <f ca="1">IFERROR(IF(0=LEN(ReferenceData!$AJ$18),"",ReferenceData!$AJ$18),"")</f>
        <v>0</v>
      </c>
      <c r="AK18" t="str">
        <f ca="1">IFERROR(IF(0=LEN(ReferenceData!$AK$18),"",ReferenceData!$AK$18),"")</f>
        <v/>
      </c>
      <c r="AL18" t="str">
        <f ca="1">IFERROR(IF(0=LEN(ReferenceData!$AL$18),"",ReferenceData!$AL$18),"")</f>
        <v/>
      </c>
      <c r="AM18" t="str">
        <f ca="1">IFERROR(IF(0=LEN(ReferenceData!$AM$18),"",ReferenceData!$AM$18),"")</f>
        <v/>
      </c>
      <c r="AN18" t="str">
        <f ca="1">IFERROR(IF(0=LEN(ReferenceData!$AN$18),"",ReferenceData!$AN$18),"")</f>
        <v/>
      </c>
      <c r="AO18" t="str">
        <f ca="1">IFERROR(IF(0=LEN(ReferenceData!$AO$18),"",ReferenceData!$AO$18),"")</f>
        <v/>
      </c>
      <c r="AP18" t="str">
        <f ca="1">IFERROR(IF(0=LEN(ReferenceData!$AP$18),"",ReferenceData!$AP$18),"")</f>
        <v/>
      </c>
      <c r="AQ18" t="str">
        <f ca="1">IFERROR(IF(0=LEN(ReferenceData!$AQ$18),"",ReferenceData!$AQ$18),"")</f>
        <v/>
      </c>
      <c r="AR18" t="str">
        <f ca="1">IFERROR(IF(0=LEN(ReferenceData!$AR$18),"",ReferenceData!$AR$18),"")</f>
        <v/>
      </c>
      <c r="AS18" t="str">
        <f ca="1">IFERROR(IF(0=LEN(ReferenceData!$AS$18),"",ReferenceData!$AS$18),"")</f>
        <v/>
      </c>
    </row>
    <row r="19" spans="1:45" x14ac:dyDescent="0.2">
      <c r="A19" t="str">
        <f>IFERROR(IF(0=LEN(ReferenceData!$A$19),"",ReferenceData!$A$19),"")</f>
        <v xml:space="preserve">    US Construction Spending SAAR ($m)</v>
      </c>
      <c r="B19" t="str">
        <f>IFERROR(IF(0=LEN(ReferenceData!$B$19),"",ReferenceData!$B$19),"")</f>
        <v/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Heading</v>
      </c>
      <c r="F19" t="str">
        <f>IFERROR(IF(0=LEN(ReferenceData!$F$19),"",ReferenceData!$F$19),"")</f>
        <v/>
      </c>
      <c r="G19" t="str">
        <f>IFERROR(IF(0=LEN(ReferenceData!$G$19),"",ReferenceData!$G$19),"")</f>
        <v/>
      </c>
      <c r="H19" t="str">
        <f>IFERROR(IF(0=LEN(ReferenceData!$H$19),"",ReferenceData!$H$19),"")</f>
        <v/>
      </c>
      <c r="I19" t="str">
        <f>IFERROR(IF(0=LEN(ReferenceData!$I$19),"",ReferenceData!$I$19),"")</f>
        <v/>
      </c>
      <c r="J19" t="str">
        <f>IFERROR(IF(0=LEN(ReferenceData!$J$19),"",ReferenceData!$J$19),"")</f>
        <v/>
      </c>
      <c r="K19" t="str">
        <f>IFERROR(IF(0=LEN(ReferenceData!$K$19),"",ReferenceData!$K$19),"")</f>
        <v/>
      </c>
      <c r="L19" t="str">
        <f>IFERROR(IF(0=LEN(ReferenceData!$L$19),"",ReferenceData!$L$19),"")</f>
        <v/>
      </c>
      <c r="M19" t="str">
        <f>IFERROR(IF(0=LEN(ReferenceData!$M$19),"",ReferenceData!$M$19),"")</f>
        <v/>
      </c>
      <c r="N19" t="str">
        <f>IFERROR(IF(0=LEN(ReferenceData!$N$19),"",ReferenceData!$N$19),"")</f>
        <v/>
      </c>
      <c r="O19" t="str">
        <f>IFERROR(IF(0=LEN(ReferenceData!$O$19),"",ReferenceData!$O$19),"")</f>
        <v/>
      </c>
      <c r="P19" t="str">
        <f>IFERROR(IF(0=LEN(ReferenceData!$P$19),"",ReferenceData!$P$19),"")</f>
        <v/>
      </c>
      <c r="Q19" t="str">
        <f>IFERROR(IF(0=LEN(ReferenceData!$Q$19),"",ReferenceData!$Q$19),"")</f>
        <v/>
      </c>
      <c r="R19" t="str">
        <f>IFERROR(IF(0=LEN(ReferenceData!$R$19),"",ReferenceData!$R$19),"")</f>
        <v/>
      </c>
      <c r="S19" t="str">
        <f>IFERROR(IF(0=LEN(ReferenceData!$S$19),"",ReferenceData!$S$19),"")</f>
        <v/>
      </c>
      <c r="T19" t="str">
        <f>IFERROR(IF(0=LEN(ReferenceData!$T$19),"",ReferenceData!$T$19),"")</f>
        <v/>
      </c>
      <c r="U19" t="str">
        <f>IFERROR(IF(0=LEN(ReferenceData!$U$19),"",ReferenceData!$U$19),"")</f>
        <v/>
      </c>
      <c r="V19" t="str">
        <f>IFERROR(IF(0=LEN(ReferenceData!$V$19),"",ReferenceData!$V$19),"")</f>
        <v/>
      </c>
      <c r="W19" t="str">
        <f>IFERROR(IF(0=LEN(ReferenceData!$W$19),"",ReferenceData!$W$19),"")</f>
        <v/>
      </c>
      <c r="X19" t="str">
        <f>IFERROR(IF(0=LEN(ReferenceData!$X$19),"",ReferenceData!$X$19),"")</f>
        <v/>
      </c>
      <c r="Y19" t="str">
        <f>IFERROR(IF(0=LEN(ReferenceData!$Y$19),"",ReferenceData!$Y$19),"")</f>
        <v/>
      </c>
      <c r="Z19" t="str">
        <f>IFERROR(IF(0=LEN(ReferenceData!$Z$19),"",ReferenceData!$Z$19),"")</f>
        <v/>
      </c>
      <c r="AA19" t="str">
        <f>IFERROR(IF(0=LEN(ReferenceData!$AA$19),"",ReferenceData!$AA$19),"")</f>
        <v/>
      </c>
      <c r="AB19" t="str">
        <f>IFERROR(IF(0=LEN(ReferenceData!$AB$19),"",ReferenceData!$AB$19),"")</f>
        <v/>
      </c>
      <c r="AC19" t="str">
        <f>IFERROR(IF(0=LEN(ReferenceData!$AC$19),"",ReferenceData!$AC$19),"")</f>
        <v/>
      </c>
      <c r="AD19" t="str">
        <f>IFERROR(IF(0=LEN(ReferenceData!$AD$19),"",ReferenceData!$AD$19),"")</f>
        <v/>
      </c>
      <c r="AE19" t="str">
        <f>IFERROR(IF(0=LEN(ReferenceData!$AE$19),"",ReferenceData!$AE$19),"")</f>
        <v/>
      </c>
      <c r="AF19" t="str">
        <f>IFERROR(IF(0=LEN(ReferenceData!$AF$19),"",ReferenceData!$AF$19),"")</f>
        <v/>
      </c>
      <c r="AG19" t="str">
        <f>IFERROR(IF(0=LEN(ReferenceData!$AG$19),"",ReferenceData!$AG$19),"")</f>
        <v/>
      </c>
      <c r="AH19" t="str">
        <f>IFERROR(IF(0=LEN(ReferenceData!$AH$19),"",ReferenceData!$AH$19),"")</f>
        <v/>
      </c>
      <c r="AI19" t="str">
        <f>IFERROR(IF(0=LEN(ReferenceData!$AI$19),"",ReferenceData!$AI$19),"")</f>
        <v/>
      </c>
      <c r="AJ19" t="str">
        <f>IFERROR(IF(0=LEN(ReferenceData!$AJ$19),"",ReferenceData!$AJ$19),"")</f>
        <v/>
      </c>
      <c r="AK19" t="str">
        <f>IFERROR(IF(0=LEN(ReferenceData!$AK$19),"",ReferenceData!$AK$19),"")</f>
        <v/>
      </c>
      <c r="AL19" t="str">
        <f>IFERROR(IF(0=LEN(ReferenceData!$AL$19),"",ReferenceData!$AL$19),"")</f>
        <v/>
      </c>
      <c r="AM19" t="str">
        <f>IFERROR(IF(0=LEN(ReferenceData!$AM$19),"",ReferenceData!$AM$19),"")</f>
        <v/>
      </c>
      <c r="AN19" t="str">
        <f>IFERROR(IF(0=LEN(ReferenceData!$AN$19),"",ReferenceData!$AN$19),"")</f>
        <v/>
      </c>
      <c r="AO19" t="str">
        <f>IFERROR(IF(0=LEN(ReferenceData!$AO$19),"",ReferenceData!$AO$19),"")</f>
        <v/>
      </c>
      <c r="AP19" t="str">
        <f>IFERROR(IF(0=LEN(ReferenceData!$AP$19),"",ReferenceData!$AP$19),"")</f>
        <v/>
      </c>
      <c r="AQ19" t="str">
        <f>IFERROR(IF(0=LEN(ReferenceData!$AQ$19),"",ReferenceData!$AQ$19),"")</f>
        <v/>
      </c>
      <c r="AR19" t="str">
        <f>IFERROR(IF(0=LEN(ReferenceData!$AR$19),"",ReferenceData!$AR$19),"")</f>
        <v/>
      </c>
      <c r="AS19" t="str">
        <f>IFERROR(IF(0=LEN(ReferenceData!$AS$19),"",ReferenceData!$AS$19),"")</f>
        <v/>
      </c>
    </row>
    <row r="20" spans="1:45" x14ac:dyDescent="0.2">
      <c r="A20" t="str">
        <f>IFERROR(IF(0=LEN(ReferenceData!$A$20),"",ReferenceData!$A$20),"")</f>
        <v xml:space="preserve">    U.S. Total Construction Spending (SAAR)</v>
      </c>
      <c r="B20" t="str">
        <f>IFERROR(IF(0=LEN(ReferenceData!$B$20),"",ReferenceData!$B$20),"")</f>
        <v>CNSTTOTA Index</v>
      </c>
      <c r="C20" t="str">
        <f>IFERROR(IF(0=LEN(ReferenceData!$C$20),"",ReferenceData!$C$20),"")</f>
        <v>PR005</v>
      </c>
      <c r="D20" t="str">
        <f>IFERROR(IF(0=LEN(ReferenceData!$D$20),"",ReferenceData!$D$20),"")</f>
        <v>PX_LAST</v>
      </c>
      <c r="E20" t="str">
        <f>IFERROR(IF(0=LEN(ReferenceData!$E$20),"",ReferenceData!$E$20),"")</f>
        <v>Dynamic</v>
      </c>
      <c r="F20">
        <f ca="1">IFERROR(IF(0=LEN(ReferenceData!$F$20),"",ReferenceData!$F$20),"")</f>
        <v>1996525</v>
      </c>
      <c r="G20">
        <f ca="1">IFERROR(IF(0=LEN(ReferenceData!$G$20),"",ReferenceData!$G$20),"")</f>
        <v>1840896</v>
      </c>
      <c r="H20">
        <f ca="1">IFERROR(IF(0=LEN(ReferenceData!$H$20),"",ReferenceData!$H$20),"")</f>
        <v>1754426</v>
      </c>
      <c r="I20">
        <f ca="1">IFERROR(IF(0=LEN(ReferenceData!$I$20),"",ReferenceData!$I$20),"")</f>
        <v>1572760</v>
      </c>
      <c r="J20">
        <f ca="1">IFERROR(IF(0=LEN(ReferenceData!$J$20),"",ReferenceData!$J$20),"")</f>
        <v>1466415</v>
      </c>
      <c r="K20">
        <f ca="1">IFERROR(IF(0=LEN(ReferenceData!$K$20),"",ReferenceData!$K$20),"")</f>
        <v>1289930</v>
      </c>
      <c r="L20">
        <f ca="1">IFERROR(IF(0=LEN(ReferenceData!$L$20),"",ReferenceData!$L$20),"")</f>
        <v>1313666</v>
      </c>
      <c r="M20">
        <f ca="1">IFERROR(IF(0=LEN(ReferenceData!$M$20),"",ReferenceData!$M$20),"")</f>
        <v>1270443</v>
      </c>
      <c r="N20">
        <f ca="1">IFERROR(IF(0=LEN(ReferenceData!$N$20),"",ReferenceData!$N$20),"")</f>
        <v>1156354</v>
      </c>
      <c r="O20">
        <f ca="1">IFERROR(IF(0=LEN(ReferenceData!$O$20),"",ReferenceData!$O$20),"")</f>
        <v>1056429</v>
      </c>
      <c r="P20">
        <f ca="1">IFERROR(IF(0=LEN(ReferenceData!$P$20),"",ReferenceData!$P$20),"")</f>
        <v>979211</v>
      </c>
      <c r="Q20">
        <f ca="1">IFERROR(IF(0=LEN(ReferenceData!$Q$20),"",ReferenceData!$Q$20),"")</f>
        <v>871809</v>
      </c>
      <c r="R20">
        <f ca="1">IFERROR(IF(0=LEN(ReferenceData!$R$20),"",ReferenceData!$R$20),"")</f>
        <v>821367</v>
      </c>
      <c r="S20">
        <f ca="1">IFERROR(IF(0=LEN(ReferenceData!$S$20),"",ReferenceData!$S$20),"")</f>
        <v>789395</v>
      </c>
      <c r="T20">
        <f ca="1">IFERROR(IF(0=LEN(ReferenceData!$T$20),"",ReferenceData!$T$20),"")</f>
        <v>842609</v>
      </c>
      <c r="U20">
        <f ca="1">IFERROR(IF(0=LEN(ReferenceData!$U$20),"",ReferenceData!$U$20),"")</f>
        <v>999139</v>
      </c>
      <c r="V20">
        <f ca="1">IFERROR(IF(0=LEN(ReferenceData!$V$20),"",ReferenceData!$V$20),"")</f>
        <v>1115141</v>
      </c>
      <c r="W20">
        <f ca="1">IFERROR(IF(0=LEN(ReferenceData!$W$20),"",ReferenceData!$W$20),"")</f>
        <v>1135406</v>
      </c>
      <c r="X20">
        <f ca="1">IFERROR(IF(0=LEN(ReferenceData!$X$20),"",ReferenceData!$X$20),"")</f>
        <v>1184677</v>
      </c>
      <c r="Y20">
        <f ca="1">IFERROR(IF(0=LEN(ReferenceData!$Y$20),"",ReferenceData!$Y$20),"")</f>
        <v>1037480</v>
      </c>
      <c r="Z20">
        <f ca="1">IFERROR(IF(0=LEN(ReferenceData!$Z$20),"",ReferenceData!$Z$20),"")</f>
        <v>948491</v>
      </c>
      <c r="AA20">
        <f ca="1">IFERROR(IF(0=LEN(ReferenceData!$AA$20),"",ReferenceData!$AA$20),"")</f>
        <v>855921</v>
      </c>
      <c r="AB20">
        <f ca="1">IFERROR(IF(0=LEN(ReferenceData!$AB$20),"",ReferenceData!$AB$20),"")</f>
        <v>849689</v>
      </c>
      <c r="AC20">
        <f ca="1">IFERROR(IF(0=LEN(ReferenceData!$AC$20),"",ReferenceData!$AC$20),"")</f>
        <v>811516</v>
      </c>
      <c r="AD20">
        <f ca="1">IFERROR(IF(0=LEN(ReferenceData!$AD$20),"",ReferenceData!$AD$20),"")</f>
        <v>789431</v>
      </c>
      <c r="AE20">
        <f ca="1">IFERROR(IF(0=LEN(ReferenceData!$AE$20),"",ReferenceData!$AE$20),"")</f>
        <v>706989</v>
      </c>
      <c r="AF20">
        <f ca="1">IFERROR(IF(0=LEN(ReferenceData!$AF$20),"",ReferenceData!$AF$20),"")</f>
        <v>642021</v>
      </c>
      <c r="AG20">
        <f ca="1">IFERROR(IF(0=LEN(ReferenceData!$AG$20),"",ReferenceData!$AG$20),"")</f>
        <v>606078</v>
      </c>
      <c r="AH20">
        <f ca="1">IFERROR(IF(0=LEN(ReferenceData!$AH$20),"",ReferenceData!$AH$20),"")</f>
        <v>557953</v>
      </c>
      <c r="AI20">
        <f ca="1">IFERROR(IF(0=LEN(ReferenceData!$AI$20),"",ReferenceData!$AI$20),"")</f>
        <v>541794</v>
      </c>
      <c r="AJ20">
        <f ca="1">IFERROR(IF(0=LEN(ReferenceData!$AJ$20),"",ReferenceData!$AJ$20),"")</f>
        <v>533150</v>
      </c>
      <c r="AK20">
        <f ca="1">IFERROR(IF(0=LEN(ReferenceData!$AK$20),"",ReferenceData!$AK$20),"")</f>
        <v>478324</v>
      </c>
      <c r="AL20">
        <f ca="1">IFERROR(IF(0=LEN(ReferenceData!$AL$20),"",ReferenceData!$AL$20),"")</f>
        <v>433334</v>
      </c>
      <c r="AM20">
        <f ca="1">IFERROR(IF(0=LEN(ReferenceData!$AM$20),"",ReferenceData!$AM$20),"")</f>
        <v>449638</v>
      </c>
      <c r="AN20">
        <f ca="1">IFERROR(IF(0=LEN(ReferenceData!$AN$20),"",ReferenceData!$AN$20),"")</f>
        <v>478202</v>
      </c>
      <c r="AO20">
        <f ca="1">IFERROR(IF(0=LEN(ReferenceData!$AO$20),"",ReferenceData!$AO$20),"")</f>
        <v>479559</v>
      </c>
      <c r="AP20">
        <f ca="1">IFERROR(IF(0=LEN(ReferenceData!$AP$20),"",ReferenceData!$AP$20),"")</f>
        <v>459343</v>
      </c>
      <c r="AQ20">
        <f ca="1">IFERROR(IF(0=LEN(ReferenceData!$AQ$20),"",ReferenceData!$AQ$20),"")</f>
        <v>434464</v>
      </c>
      <c r="AR20">
        <f ca="1">IFERROR(IF(0=LEN(ReferenceData!$AR$20),"",ReferenceData!$AR$20),"")</f>
        <v>420812</v>
      </c>
      <c r="AS20">
        <f ca="1">IFERROR(IF(0=LEN(ReferenceData!$AS$20),"",ReferenceData!$AS$20),"")</f>
        <v>385905</v>
      </c>
    </row>
    <row r="21" spans="1:45" x14ac:dyDescent="0.2">
      <c r="A21" t="str">
        <f>IFERROR(IF(0=LEN(ReferenceData!$A$21),"",ReferenceData!$A$21),"")</f>
        <v xml:space="preserve">        U.S. Total Residential Construction Spending</v>
      </c>
      <c r="B21" t="str">
        <f>IFERROR(IF(0=LEN(ReferenceData!$B$21),"",ReferenceData!$B$21),"")</f>
        <v>CNSTRESI Index</v>
      </c>
      <c r="C21" t="str">
        <f>IFERROR(IF(0=LEN(ReferenceData!$C$21),"",ReferenceData!$C$21),"")</f>
        <v>PR005</v>
      </c>
      <c r="D21" t="str">
        <f>IFERROR(IF(0=LEN(ReferenceData!$D$21),"",ReferenceData!$D$21),"")</f>
        <v>PX_LAST</v>
      </c>
      <c r="E21" t="str">
        <f>IFERROR(IF(0=LEN(ReferenceData!$E$21),"",ReferenceData!$E$21),"")</f>
        <v>Dynamic</v>
      </c>
      <c r="F21">
        <f ca="1">IFERROR(IF(0=LEN(ReferenceData!$F$21),"",ReferenceData!$F$21),"")</f>
        <v>882325</v>
      </c>
      <c r="G21">
        <f ca="1">IFERROR(IF(0=LEN(ReferenceData!$G$21),"",ReferenceData!$G$21),"")</f>
        <v>863102</v>
      </c>
      <c r="H21">
        <f ca="1">IFERROR(IF(0=LEN(ReferenceData!$H$21),"",ReferenceData!$H$21),"")</f>
        <v>891046</v>
      </c>
      <c r="I21">
        <f ca="1">IFERROR(IF(0=LEN(ReferenceData!$I$21),"",ReferenceData!$I$21),"")</f>
        <v>734722</v>
      </c>
      <c r="J21">
        <f ca="1">IFERROR(IF(0=LEN(ReferenceData!$J$21),"",ReferenceData!$J$21),"")</f>
        <v>594372</v>
      </c>
      <c r="K21">
        <f ca="1">IFERROR(IF(0=LEN(ReferenceData!$K$21),"",ReferenceData!$K$21),"")</f>
        <v>524626</v>
      </c>
      <c r="L21">
        <f ca="1">IFERROR(IF(0=LEN(ReferenceData!$L$21),"",ReferenceData!$L$21),"")</f>
        <v>571985</v>
      </c>
      <c r="M21">
        <f ca="1">IFERROR(IF(0=LEN(ReferenceData!$M$21),"",ReferenceData!$M$21),"")</f>
        <v>519253</v>
      </c>
      <c r="N21">
        <f ca="1">IFERROR(IF(0=LEN(ReferenceData!$N$21),"",ReferenceData!$N$21),"")</f>
        <v>459296</v>
      </c>
      <c r="O21">
        <f ca="1">IFERROR(IF(0=LEN(ReferenceData!$O$21),"",ReferenceData!$O$21),"")</f>
        <v>406913</v>
      </c>
      <c r="P21">
        <f ca="1">IFERROR(IF(0=LEN(ReferenceData!$P$21),"",ReferenceData!$P$21),"")</f>
        <v>366094</v>
      </c>
      <c r="Q21">
        <f ca="1">IFERROR(IF(0=LEN(ReferenceData!$Q$21),"",ReferenceData!$Q$21),"")</f>
        <v>305105</v>
      </c>
      <c r="R21">
        <f ca="1">IFERROR(IF(0=LEN(ReferenceData!$R$21),"",ReferenceData!$R$21),"")</f>
        <v>255090</v>
      </c>
      <c r="S21">
        <f ca="1">IFERROR(IF(0=LEN(ReferenceData!$S$21),"",ReferenceData!$S$21),"")</f>
        <v>248929</v>
      </c>
      <c r="T21">
        <f ca="1">IFERROR(IF(0=LEN(ReferenceData!$T$21),"",ReferenceData!$T$21),"")</f>
        <v>264592</v>
      </c>
      <c r="U21">
        <f ca="1">IFERROR(IF(0=LEN(ReferenceData!$U$21),"",ReferenceData!$U$21),"")</f>
        <v>301332</v>
      </c>
      <c r="V21">
        <f ca="1">IFERROR(IF(0=LEN(ReferenceData!$V$21),"",ReferenceData!$V$21),"")</f>
        <v>423699</v>
      </c>
      <c r="W21">
        <f ca="1">IFERROR(IF(0=LEN(ReferenceData!$W$21),"",ReferenceData!$W$21),"")</f>
        <v>551740</v>
      </c>
      <c r="X21">
        <f ca="1">IFERROR(IF(0=LEN(ReferenceData!$X$21),"",ReferenceData!$X$21),"")</f>
        <v>676135</v>
      </c>
      <c r="Y21">
        <f ca="1">IFERROR(IF(0=LEN(ReferenceData!$Y$21),"",ReferenceData!$Y$21),"")</f>
        <v>571871</v>
      </c>
      <c r="Z21">
        <f ca="1">IFERROR(IF(0=LEN(ReferenceData!$Z$21),"",ReferenceData!$Z$21),"")</f>
        <v>508637</v>
      </c>
      <c r="AA21">
        <f ca="1">IFERROR(IF(0=LEN(ReferenceData!$AA$21),"",ReferenceData!$AA$21),"")</f>
        <v>416844</v>
      </c>
      <c r="AB21" t="str">
        <f ca="1">IFERROR(IF(0=LEN(ReferenceData!$AB$21),"",ReferenceData!$AB$21),"")</f>
        <v/>
      </c>
      <c r="AC21" t="str">
        <f ca="1">IFERROR(IF(0=LEN(ReferenceData!$AC$21),"",ReferenceData!$AC$21),"")</f>
        <v/>
      </c>
      <c r="AD21" t="str">
        <f ca="1">IFERROR(IF(0=LEN(ReferenceData!$AD$21),"",ReferenceData!$AD$21),"")</f>
        <v/>
      </c>
      <c r="AE21" t="str">
        <f ca="1">IFERROR(IF(0=LEN(ReferenceData!$AE$21),"",ReferenceData!$AE$21),"")</f>
        <v/>
      </c>
      <c r="AF21" t="str">
        <f ca="1">IFERROR(IF(0=LEN(ReferenceData!$AF$21),"",ReferenceData!$AF$21),"")</f>
        <v/>
      </c>
      <c r="AG21" t="str">
        <f ca="1">IFERROR(IF(0=LEN(ReferenceData!$AG$21),"",ReferenceData!$AG$21),"")</f>
        <v/>
      </c>
      <c r="AH21" t="str">
        <f ca="1">IFERROR(IF(0=LEN(ReferenceData!$AH$21),"",ReferenceData!$AH$21),"")</f>
        <v/>
      </c>
      <c r="AI21" t="str">
        <f ca="1">IFERROR(IF(0=LEN(ReferenceData!$AI$21),"",ReferenceData!$AI$21),"")</f>
        <v/>
      </c>
      <c r="AJ21" t="str">
        <f ca="1">IFERROR(IF(0=LEN(ReferenceData!$AJ$21),"",ReferenceData!$AJ$21),"")</f>
        <v/>
      </c>
      <c r="AK21" t="str">
        <f ca="1">IFERROR(IF(0=LEN(ReferenceData!$AK$21),"",ReferenceData!$AK$21),"")</f>
        <v/>
      </c>
      <c r="AL21" t="str">
        <f ca="1">IFERROR(IF(0=LEN(ReferenceData!$AL$21),"",ReferenceData!$AL$21),"")</f>
        <v/>
      </c>
      <c r="AM21" t="str">
        <f ca="1">IFERROR(IF(0=LEN(ReferenceData!$AM$21),"",ReferenceData!$AM$21),"")</f>
        <v/>
      </c>
      <c r="AN21" t="str">
        <f ca="1">IFERROR(IF(0=LEN(ReferenceData!$AN$21),"",ReferenceData!$AN$21),"")</f>
        <v/>
      </c>
      <c r="AO21" t="str">
        <f ca="1">IFERROR(IF(0=LEN(ReferenceData!$AO$21),"",ReferenceData!$AO$21),"")</f>
        <v/>
      </c>
      <c r="AP21" t="str">
        <f ca="1">IFERROR(IF(0=LEN(ReferenceData!$AP$21),"",ReferenceData!$AP$21),"")</f>
        <v/>
      </c>
      <c r="AQ21" t="str">
        <f ca="1">IFERROR(IF(0=LEN(ReferenceData!$AQ$21),"",ReferenceData!$AQ$21),"")</f>
        <v/>
      </c>
      <c r="AR21" t="str">
        <f ca="1">IFERROR(IF(0=LEN(ReferenceData!$AR$21),"",ReferenceData!$AR$21),"")</f>
        <v/>
      </c>
      <c r="AS21" t="str">
        <f ca="1">IFERROR(IF(0=LEN(ReferenceData!$AS$21),"",ReferenceData!$AS$21),"")</f>
        <v/>
      </c>
    </row>
    <row r="22" spans="1:45" x14ac:dyDescent="0.2">
      <c r="A22" t="str">
        <f>IFERROR(IF(0=LEN(ReferenceData!$A$22),"",ReferenceData!$A$22),"")</f>
        <v xml:space="preserve">        U.S. Total Non-Residential Construction Spending</v>
      </c>
      <c r="B22" t="str">
        <f>IFERROR(IF(0=LEN(ReferenceData!$B$22),"",ReferenceData!$B$22),"")</f>
        <v>CNSTNRES Index</v>
      </c>
      <c r="C22" t="str">
        <f>IFERROR(IF(0=LEN(ReferenceData!$C$22),"",ReferenceData!$C$22),"")</f>
        <v>PR005</v>
      </c>
      <c r="D22" t="str">
        <f>IFERROR(IF(0=LEN(ReferenceData!$D$22),"",ReferenceData!$D$22),"")</f>
        <v>PX_LAST</v>
      </c>
      <c r="E22" t="str">
        <f>IFERROR(IF(0=LEN(ReferenceData!$E$22),"",ReferenceData!$E$22),"")</f>
        <v>Dynamic</v>
      </c>
      <c r="F22">
        <f ca="1">IFERROR(IF(0=LEN(ReferenceData!$F$22),"",ReferenceData!$F$22),"")</f>
        <v>1114201</v>
      </c>
      <c r="G22">
        <f ca="1">IFERROR(IF(0=LEN(ReferenceData!$G$22),"",ReferenceData!$G$22),"")</f>
        <v>977794</v>
      </c>
      <c r="H22">
        <f ca="1">IFERROR(IF(0=LEN(ReferenceData!$H$22),"",ReferenceData!$H$22),"")</f>
        <v>863380</v>
      </c>
      <c r="I22">
        <f ca="1">IFERROR(IF(0=LEN(ReferenceData!$I$22),"",ReferenceData!$I$22),"")</f>
        <v>838038</v>
      </c>
      <c r="J22">
        <f ca="1">IFERROR(IF(0=LEN(ReferenceData!$J$22),"",ReferenceData!$J$22),"")</f>
        <v>872044</v>
      </c>
      <c r="K22">
        <f ca="1">IFERROR(IF(0=LEN(ReferenceData!$K$22),"",ReferenceData!$K$22),"")</f>
        <v>765304</v>
      </c>
      <c r="L22">
        <f ca="1">IFERROR(IF(0=LEN(ReferenceData!$L$22),"",ReferenceData!$L$22),"")</f>
        <v>741681</v>
      </c>
      <c r="M22">
        <f ca="1">IFERROR(IF(0=LEN(ReferenceData!$M$22),"",ReferenceData!$M$22),"")</f>
        <v>751190</v>
      </c>
      <c r="N22">
        <f ca="1">IFERROR(IF(0=LEN(ReferenceData!$N$22),"",ReferenceData!$N$22),"")</f>
        <v>697058</v>
      </c>
      <c r="O22">
        <f ca="1">IFERROR(IF(0=LEN(ReferenceData!$O$22),"",ReferenceData!$O$22),"")</f>
        <v>649515</v>
      </c>
      <c r="P22">
        <f ca="1">IFERROR(IF(0=LEN(ReferenceData!$P$22),"",ReferenceData!$P$22),"")</f>
        <v>613117</v>
      </c>
      <c r="Q22">
        <f ca="1">IFERROR(IF(0=LEN(ReferenceData!$Q$22),"",ReferenceData!$Q$22),"")</f>
        <v>566705</v>
      </c>
      <c r="R22">
        <f ca="1">IFERROR(IF(0=LEN(ReferenceData!$R$22),"",ReferenceData!$R$22),"")</f>
        <v>566277</v>
      </c>
      <c r="S22">
        <f ca="1">IFERROR(IF(0=LEN(ReferenceData!$S$22),"",ReferenceData!$S$22),"")</f>
        <v>540465</v>
      </c>
      <c r="T22">
        <f ca="1">IFERROR(IF(0=LEN(ReferenceData!$T$22),"",ReferenceData!$T$22),"")</f>
        <v>578017</v>
      </c>
      <c r="U22">
        <f ca="1">IFERROR(IF(0=LEN(ReferenceData!$U$22),"",ReferenceData!$U$22),"")</f>
        <v>697808</v>
      </c>
      <c r="V22">
        <f ca="1">IFERROR(IF(0=LEN(ReferenceData!$V$22),"",ReferenceData!$V$22),"")</f>
        <v>691443</v>
      </c>
      <c r="W22">
        <f ca="1">IFERROR(IF(0=LEN(ReferenceData!$W$22),"",ReferenceData!$W$22),"")</f>
        <v>583666</v>
      </c>
      <c r="X22">
        <f ca="1">IFERROR(IF(0=LEN(ReferenceData!$X$22),"",ReferenceData!$X$22),"")</f>
        <v>508540</v>
      </c>
      <c r="Y22">
        <f ca="1">IFERROR(IF(0=LEN(ReferenceData!$Y$22),"",ReferenceData!$Y$22),"")</f>
        <v>465609</v>
      </c>
      <c r="Z22">
        <f ca="1">IFERROR(IF(0=LEN(ReferenceData!$Z$22),"",ReferenceData!$Z$22),"")</f>
        <v>439815</v>
      </c>
      <c r="AA22">
        <f ca="1">IFERROR(IF(0=LEN(ReferenceData!$AA$22),"",ReferenceData!$AA$22),"")</f>
        <v>439165</v>
      </c>
      <c r="AB22" t="str">
        <f ca="1">IFERROR(IF(0=LEN(ReferenceData!$AB$22),"",ReferenceData!$AB$22),"")</f>
        <v/>
      </c>
      <c r="AC22" t="str">
        <f ca="1">IFERROR(IF(0=LEN(ReferenceData!$AC$22),"",ReferenceData!$AC$22),"")</f>
        <v/>
      </c>
      <c r="AD22" t="str">
        <f ca="1">IFERROR(IF(0=LEN(ReferenceData!$AD$22),"",ReferenceData!$AD$22),"")</f>
        <v/>
      </c>
      <c r="AE22" t="str">
        <f ca="1">IFERROR(IF(0=LEN(ReferenceData!$AE$22),"",ReferenceData!$AE$22),"")</f>
        <v/>
      </c>
      <c r="AF22" t="str">
        <f ca="1">IFERROR(IF(0=LEN(ReferenceData!$AF$22),"",ReferenceData!$AF$22),"")</f>
        <v/>
      </c>
      <c r="AG22" t="str">
        <f ca="1">IFERROR(IF(0=LEN(ReferenceData!$AG$22),"",ReferenceData!$AG$22),"")</f>
        <v/>
      </c>
      <c r="AH22" t="str">
        <f ca="1">IFERROR(IF(0=LEN(ReferenceData!$AH$22),"",ReferenceData!$AH$22),"")</f>
        <v/>
      </c>
      <c r="AI22" t="str">
        <f ca="1">IFERROR(IF(0=LEN(ReferenceData!$AI$22),"",ReferenceData!$AI$22),"")</f>
        <v/>
      </c>
      <c r="AJ22" t="str">
        <f ca="1">IFERROR(IF(0=LEN(ReferenceData!$AJ$22),"",ReferenceData!$AJ$22),"")</f>
        <v/>
      </c>
      <c r="AK22" t="str">
        <f ca="1">IFERROR(IF(0=LEN(ReferenceData!$AK$22),"",ReferenceData!$AK$22),"")</f>
        <v/>
      </c>
      <c r="AL22" t="str">
        <f ca="1">IFERROR(IF(0=LEN(ReferenceData!$AL$22),"",ReferenceData!$AL$22),"")</f>
        <v/>
      </c>
      <c r="AM22" t="str">
        <f ca="1">IFERROR(IF(0=LEN(ReferenceData!$AM$22),"",ReferenceData!$AM$22),"")</f>
        <v/>
      </c>
      <c r="AN22" t="str">
        <f ca="1">IFERROR(IF(0=LEN(ReferenceData!$AN$22),"",ReferenceData!$AN$22),"")</f>
        <v/>
      </c>
      <c r="AO22" t="str">
        <f ca="1">IFERROR(IF(0=LEN(ReferenceData!$AO$22),"",ReferenceData!$AO$22),"")</f>
        <v/>
      </c>
      <c r="AP22" t="str">
        <f ca="1">IFERROR(IF(0=LEN(ReferenceData!$AP$22),"",ReferenceData!$AP$22),"")</f>
        <v/>
      </c>
      <c r="AQ22" t="str">
        <f ca="1">IFERROR(IF(0=LEN(ReferenceData!$AQ$22),"",ReferenceData!$AQ$22),"")</f>
        <v/>
      </c>
      <c r="AR22" t="str">
        <f ca="1">IFERROR(IF(0=LEN(ReferenceData!$AR$22),"",ReferenceData!$AR$22),"")</f>
        <v/>
      </c>
      <c r="AS22" t="str">
        <f ca="1">IFERROR(IF(0=LEN(ReferenceData!$AS$22),"",ReferenceData!$AS$22),"")</f>
        <v/>
      </c>
    </row>
    <row r="23" spans="1:45" x14ac:dyDescent="0.2">
      <c r="A23" t="str">
        <f>IFERROR(IF(0=LEN(ReferenceData!$A$23),"",ReferenceData!$A$23),"")</f>
        <v xml:space="preserve">    U.S. Total Private Construction Spending (SAAR)</v>
      </c>
      <c r="B23" t="str">
        <f>IFERROR(IF(0=LEN(ReferenceData!$B$23),"",ReferenceData!$B$23),"")</f>
        <v>CNSTPRTO Index</v>
      </c>
      <c r="C23" t="str">
        <f>IFERROR(IF(0=LEN(ReferenceData!$C$23),"",ReferenceData!$C$23),"")</f>
        <v>PR005</v>
      </c>
      <c r="D23" t="str">
        <f>IFERROR(IF(0=LEN(ReferenceData!$D$23),"",ReferenceData!$D$23),"")</f>
        <v>PX_LAST</v>
      </c>
      <c r="E23" t="str">
        <f>IFERROR(IF(0=LEN(ReferenceData!$E$23),"",ReferenceData!$E$23),"")</f>
        <v>Dynamic</v>
      </c>
      <c r="F23">
        <f ca="1">IFERROR(IF(0=LEN(ReferenceData!$F$23),"",ReferenceData!$F$23),"")</f>
        <v>1555904</v>
      </c>
      <c r="G23">
        <f ca="1">IFERROR(IF(0=LEN(ReferenceData!$G$23),"",ReferenceData!$G$23),"")</f>
        <v>1448326</v>
      </c>
      <c r="H23">
        <f ca="1">IFERROR(IF(0=LEN(ReferenceData!$H$23),"",ReferenceData!$H$23),"")</f>
        <v>1396313</v>
      </c>
      <c r="I23">
        <f ca="1">IFERROR(IF(0=LEN(ReferenceData!$I$23),"",ReferenceData!$I$23),"")</f>
        <v>1204239</v>
      </c>
      <c r="J23">
        <f ca="1">IFERROR(IF(0=LEN(ReferenceData!$J$23),"",ReferenceData!$J$23),"")</f>
        <v>1111197</v>
      </c>
      <c r="K23">
        <f ca="1">IFERROR(IF(0=LEN(ReferenceData!$K$23),"",ReferenceData!$K$23),"")</f>
        <v>981096</v>
      </c>
      <c r="L23">
        <f ca="1">IFERROR(IF(0=LEN(ReferenceData!$L$23),"",ReferenceData!$L$23),"")</f>
        <v>1012391</v>
      </c>
      <c r="M23">
        <f ca="1">IFERROR(IF(0=LEN(ReferenceData!$M$23),"",ReferenceData!$M$23),"")</f>
        <v>973669</v>
      </c>
      <c r="N23">
        <f ca="1">IFERROR(IF(0=LEN(ReferenceData!$N$23),"",ReferenceData!$N$23),"")</f>
        <v>858325</v>
      </c>
      <c r="O23">
        <f ca="1">IFERROR(IF(0=LEN(ReferenceData!$O$23),"",ReferenceData!$O$23),"")</f>
        <v>772232</v>
      </c>
      <c r="P23">
        <f ca="1">IFERROR(IF(0=LEN(ReferenceData!$P$23),"",ReferenceData!$P$23),"")</f>
        <v>709465</v>
      </c>
      <c r="Q23">
        <f ca="1">IFERROR(IF(0=LEN(ReferenceData!$Q$23),"",ReferenceData!$Q$23),"")</f>
        <v>603681</v>
      </c>
      <c r="R23">
        <f ca="1">IFERROR(IF(0=LEN(ReferenceData!$R$23),"",ReferenceData!$R$23),"")</f>
        <v>531994</v>
      </c>
      <c r="S23">
        <f ca="1">IFERROR(IF(0=LEN(ReferenceData!$S$23),"",ReferenceData!$S$23),"")</f>
        <v>496427</v>
      </c>
      <c r="T23">
        <f ca="1">IFERROR(IF(0=LEN(ReferenceData!$T$23),"",ReferenceData!$T$23),"")</f>
        <v>542280</v>
      </c>
      <c r="U23">
        <f ca="1">IFERROR(IF(0=LEN(ReferenceData!$U$23),"",ReferenceData!$U$23),"")</f>
        <v>687183</v>
      </c>
      <c r="V23">
        <f ca="1">IFERROR(IF(0=LEN(ReferenceData!$V$23),"",ReferenceData!$V$23),"")</f>
        <v>818447</v>
      </c>
      <c r="W23">
        <f ca="1">IFERROR(IF(0=LEN(ReferenceData!$W$23),"",ReferenceData!$W$23),"")</f>
        <v>865173</v>
      </c>
      <c r="X23">
        <f ca="1">IFERROR(IF(0=LEN(ReferenceData!$X$23),"",ReferenceData!$X$23),"")</f>
        <v>942916</v>
      </c>
      <c r="Y23">
        <f ca="1">IFERROR(IF(0=LEN(ReferenceData!$Y$23),"",ReferenceData!$Y$23),"")</f>
        <v>813006</v>
      </c>
      <c r="Z23">
        <f ca="1">IFERROR(IF(0=LEN(ReferenceData!$Z$23),"",ReferenceData!$Z$23),"")</f>
        <v>735545</v>
      </c>
      <c r="AA23">
        <f ca="1">IFERROR(IF(0=LEN(ReferenceData!$AA$23),"",ReferenceData!$AA$23),"")</f>
        <v>634179</v>
      </c>
      <c r="AB23">
        <f ca="1">IFERROR(IF(0=LEN(ReferenceData!$AB$23),"",ReferenceData!$AB$23),"")</f>
        <v>640399</v>
      </c>
      <c r="AC23">
        <f ca="1">IFERROR(IF(0=LEN(ReferenceData!$AC$23),"",ReferenceData!$AC$23),"")</f>
        <v>626222</v>
      </c>
      <c r="AD23">
        <f ca="1">IFERROR(IF(0=LEN(ReferenceData!$AD$23),"",ReferenceData!$AD$23),"")</f>
        <v>604386</v>
      </c>
      <c r="AE23">
        <f ca="1">IFERROR(IF(0=LEN(ReferenceData!$AE$23),"",ReferenceData!$AE$23),"")</f>
        <v>546196</v>
      </c>
      <c r="AF23">
        <f ca="1">IFERROR(IF(0=LEN(ReferenceData!$AF$23),"",ReferenceData!$AF$23),"")</f>
        <v>487580</v>
      </c>
      <c r="AG23">
        <f ca="1">IFERROR(IF(0=LEN(ReferenceData!$AG$23),"",ReferenceData!$AG$23),"")</f>
        <v>461233</v>
      </c>
      <c r="AH23">
        <f ca="1">IFERROR(IF(0=LEN(ReferenceData!$AH$23),"",ReferenceData!$AH$23),"")</f>
        <v>417717</v>
      </c>
      <c r="AI23">
        <f ca="1">IFERROR(IF(0=LEN(ReferenceData!$AI$23),"",ReferenceData!$AI$23),"")</f>
        <v>406665</v>
      </c>
      <c r="AJ23">
        <f ca="1">IFERROR(IF(0=LEN(ReferenceData!$AJ$23),"",ReferenceData!$AJ$23),"")</f>
        <v>395253</v>
      </c>
      <c r="AK23">
        <f ca="1">IFERROR(IF(0=LEN(ReferenceData!$AK$23),"",ReferenceData!$AK$23),"")</f>
        <v>362867</v>
      </c>
      <c r="AL23">
        <f ca="1">IFERROR(IF(0=LEN(ReferenceData!$AL$23),"",ReferenceData!$AL$23),"")</f>
        <v>320222</v>
      </c>
      <c r="AM23">
        <f ca="1">IFERROR(IF(0=LEN(ReferenceData!$AM$23),"",ReferenceData!$AM$23),"")</f>
        <v>340511</v>
      </c>
      <c r="AN23">
        <f ca="1">IFERROR(IF(0=LEN(ReferenceData!$AN$23),"",ReferenceData!$AN$23),"")</f>
        <v>373941</v>
      </c>
      <c r="AO23">
        <f ca="1">IFERROR(IF(0=LEN(ReferenceData!$AO$23),"",ReferenceData!$AO$23),"")</f>
        <v>380121</v>
      </c>
      <c r="AP23">
        <f ca="1">IFERROR(IF(0=LEN(ReferenceData!$AP$23),"",ReferenceData!$AP$23),"")</f>
        <v>366051</v>
      </c>
      <c r="AQ23">
        <f ca="1">IFERROR(IF(0=LEN(ReferenceData!$AQ$23),"",ReferenceData!$AQ$23),"")</f>
        <v>351441</v>
      </c>
      <c r="AR23">
        <f ca="1">IFERROR(IF(0=LEN(ReferenceData!$AR$23),"",ReferenceData!$AR$23),"")</f>
        <v>340896</v>
      </c>
      <c r="AS23">
        <f ca="1">IFERROR(IF(0=LEN(ReferenceData!$AS$23),"",ReferenceData!$AS$23),"")</f>
        <v>313416</v>
      </c>
    </row>
    <row r="24" spans="1:45" x14ac:dyDescent="0.2">
      <c r="A24" t="str">
        <f>IFERROR(IF(0=LEN(ReferenceData!$A$24),"",ReferenceData!$A$24),"")</f>
        <v xml:space="preserve">        U.S. Total Private Residential Construction Spending (NSA)</v>
      </c>
      <c r="B24" t="str">
        <f>IFERROR(IF(0=LEN(ReferenceData!$B$24),"",ReferenceData!$B$24),"")</f>
        <v>CNSTPRRE Index</v>
      </c>
      <c r="C24" t="str">
        <f>IFERROR(IF(0=LEN(ReferenceData!$C$24),"",ReferenceData!$C$24),"")</f>
        <v>PR005</v>
      </c>
      <c r="D24" t="str">
        <f>IFERROR(IF(0=LEN(ReferenceData!$D$24),"",ReferenceData!$D$24),"")</f>
        <v>PX_LAST</v>
      </c>
      <c r="E24" t="str">
        <f>IFERROR(IF(0=LEN(ReferenceData!$E$24),"",ReferenceData!$E$24),"")</f>
        <v>Dynamic</v>
      </c>
      <c r="F24">
        <f ca="1">IFERROR(IF(0=LEN(ReferenceData!$F$24),"",ReferenceData!$F$24),"")</f>
        <v>872038</v>
      </c>
      <c r="G24">
        <f ca="1">IFERROR(IF(0=LEN(ReferenceData!$G$24),"",ReferenceData!$G$24),"")</f>
        <v>853718</v>
      </c>
      <c r="H24">
        <f ca="1">IFERROR(IF(0=LEN(ReferenceData!$H$24),"",ReferenceData!$H$24),"")</f>
        <v>881281</v>
      </c>
      <c r="I24">
        <f ca="1">IFERROR(IF(0=LEN(ReferenceData!$I$24),"",ReferenceData!$I$24),"")</f>
        <v>725025</v>
      </c>
      <c r="J24">
        <f ca="1">IFERROR(IF(0=LEN(ReferenceData!$J$24),"",ReferenceData!$J$24),"")</f>
        <v>586250</v>
      </c>
      <c r="K24">
        <f ca="1">IFERROR(IF(0=LEN(ReferenceData!$K$24),"",ReferenceData!$K$24),"")</f>
        <v>519036</v>
      </c>
      <c r="L24">
        <f ca="1">IFERROR(IF(0=LEN(ReferenceData!$L$24),"",ReferenceData!$L$24),"")</f>
        <v>565020</v>
      </c>
      <c r="M24">
        <f ca="1">IFERROR(IF(0=LEN(ReferenceData!$M$24),"",ReferenceData!$M$24),"")</f>
        <v>512328</v>
      </c>
      <c r="N24">
        <f ca="1">IFERROR(IF(0=LEN(ReferenceData!$N$24),"",ReferenceData!$N$24),"")</f>
        <v>452947</v>
      </c>
      <c r="O24">
        <f ca="1">IFERROR(IF(0=LEN(ReferenceData!$O$24),"",ReferenceData!$O$24),"")</f>
        <v>401584</v>
      </c>
      <c r="P24">
        <f ca="1">IFERROR(IF(0=LEN(ReferenceData!$P$24),"",ReferenceData!$P$24),"")</f>
        <v>360754</v>
      </c>
      <c r="Q24">
        <f ca="1">IFERROR(IF(0=LEN(ReferenceData!$Q$24),"",ReferenceData!$Q$24),"")</f>
        <v>299101</v>
      </c>
      <c r="R24">
        <f ca="1">IFERROR(IF(0=LEN(ReferenceData!$R$24),"",ReferenceData!$R$24),"")</f>
        <v>247983</v>
      </c>
      <c r="S24">
        <f ca="1">IFERROR(IF(0=LEN(ReferenceData!$S$24),"",ReferenceData!$S$24),"")</f>
        <v>239030</v>
      </c>
      <c r="T24">
        <f ca="1">IFERROR(IF(0=LEN(ReferenceData!$T$24),"",ReferenceData!$T$24),"")</f>
        <v>255801</v>
      </c>
      <c r="U24">
        <f ca="1">IFERROR(IF(0=LEN(ReferenceData!$U$24),"",ReferenceData!$U$24),"")</f>
        <v>293997</v>
      </c>
      <c r="V24">
        <f ca="1">IFERROR(IF(0=LEN(ReferenceData!$V$24),"",ReferenceData!$V$24),"")</f>
        <v>416486</v>
      </c>
      <c r="W24">
        <f ca="1">IFERROR(IF(0=LEN(ReferenceData!$W$24),"",ReferenceData!$W$24),"")</f>
        <v>545011</v>
      </c>
      <c r="X24">
        <f ca="1">IFERROR(IF(0=LEN(ReferenceData!$X$24),"",ReferenceData!$X$24),"")</f>
        <v>670522</v>
      </c>
      <c r="Y24">
        <f ca="1">IFERROR(IF(0=LEN(ReferenceData!$Y$24),"",ReferenceData!$Y$24),"")</f>
        <v>566284</v>
      </c>
      <c r="Z24">
        <f ca="1">IFERROR(IF(0=LEN(ReferenceData!$Z$24),"",ReferenceData!$Z$24),"")</f>
        <v>503356</v>
      </c>
      <c r="AA24">
        <f ca="1">IFERROR(IF(0=LEN(ReferenceData!$AA$24),"",ReferenceData!$AA$24),"")</f>
        <v>411758</v>
      </c>
      <c r="AB24">
        <f ca="1">IFERROR(IF(0=LEN(ReferenceData!$AB$24),"",ReferenceData!$AB$24),"")</f>
        <v>376279</v>
      </c>
      <c r="AC24">
        <f ca="1">IFERROR(IF(0=LEN(ReferenceData!$AC$24),"",ReferenceData!$AC$24),"")</f>
        <v>344139</v>
      </c>
      <c r="AD24">
        <f ca="1">IFERROR(IF(0=LEN(ReferenceData!$AD$24),"",ReferenceData!$AD$24),"")</f>
        <v>346989</v>
      </c>
      <c r="AE24">
        <f ca="1">IFERROR(IF(0=LEN(ReferenceData!$AE$24),"",ReferenceData!$AE$24),"")</f>
        <v>302650</v>
      </c>
      <c r="AF24">
        <f ca="1">IFERROR(IF(0=LEN(ReferenceData!$AF$24),"",ReferenceData!$AF$24),"")</f>
        <v>269192</v>
      </c>
      <c r="AG24">
        <f ca="1">IFERROR(IF(0=LEN(ReferenceData!$AG$24),"",ReferenceData!$AG$24),"")</f>
        <v>253234</v>
      </c>
      <c r="AH24">
        <f ca="1">IFERROR(IF(0=LEN(ReferenceData!$AH$24),"",ReferenceData!$AH$24),"")</f>
        <v>235572</v>
      </c>
      <c r="AI24">
        <f ca="1">IFERROR(IF(0=LEN(ReferenceData!$AI$24),"",ReferenceData!$AI$24),"")</f>
        <v>241395</v>
      </c>
      <c r="AJ24">
        <f ca="1">IFERROR(IF(0=LEN(ReferenceData!$AJ$24),"",ReferenceData!$AJ$24),"")</f>
        <v>235648</v>
      </c>
      <c r="AK24" t="str">
        <f ca="1">IFERROR(IF(0=LEN(ReferenceData!$AK$24),"",ReferenceData!$AK$24),"")</f>
        <v/>
      </c>
      <c r="AL24" t="str">
        <f ca="1">IFERROR(IF(0=LEN(ReferenceData!$AL$24),"",ReferenceData!$AL$24),"")</f>
        <v/>
      </c>
      <c r="AM24" t="str">
        <f ca="1">IFERROR(IF(0=LEN(ReferenceData!$AM$24),"",ReferenceData!$AM$24),"")</f>
        <v/>
      </c>
      <c r="AN24" t="str">
        <f ca="1">IFERROR(IF(0=LEN(ReferenceData!$AN$24),"",ReferenceData!$AN$24),"")</f>
        <v/>
      </c>
      <c r="AO24" t="str">
        <f ca="1">IFERROR(IF(0=LEN(ReferenceData!$AO$24),"",ReferenceData!$AO$24),"")</f>
        <v/>
      </c>
      <c r="AP24" t="str">
        <f ca="1">IFERROR(IF(0=LEN(ReferenceData!$AP$24),"",ReferenceData!$AP$24),"")</f>
        <v/>
      </c>
      <c r="AQ24" t="str">
        <f ca="1">IFERROR(IF(0=LEN(ReferenceData!$AQ$24),"",ReferenceData!$AQ$24),"")</f>
        <v/>
      </c>
      <c r="AR24" t="str">
        <f ca="1">IFERROR(IF(0=LEN(ReferenceData!$AR$24),"",ReferenceData!$AR$24),"")</f>
        <v/>
      </c>
      <c r="AS24" t="str">
        <f ca="1">IFERROR(IF(0=LEN(ReferenceData!$AS$24),"",ReferenceData!$AS$24),"")</f>
        <v/>
      </c>
    </row>
    <row r="25" spans="1:45" x14ac:dyDescent="0.2">
      <c r="A25" t="str">
        <f>IFERROR(IF(0=LEN(ReferenceData!$A$25),"",ReferenceData!$A$25),"")</f>
        <v xml:space="preserve">        U.S. Total Private Non-Res Construction Spending (NSA)</v>
      </c>
      <c r="B25" t="str">
        <f>IFERROR(IF(0=LEN(ReferenceData!$B$25),"",ReferenceData!$B$25),"")</f>
        <v>CNSTPRNR Index</v>
      </c>
      <c r="C25" t="str">
        <f>IFERROR(IF(0=LEN(ReferenceData!$C$25),"",ReferenceData!$C$25),"")</f>
        <v>PR005</v>
      </c>
      <c r="D25" t="str">
        <f>IFERROR(IF(0=LEN(ReferenceData!$D$25),"",ReferenceData!$D$25),"")</f>
        <v>PX_LAST</v>
      </c>
      <c r="E25" t="str">
        <f>IFERROR(IF(0=LEN(ReferenceData!$E$25),"",ReferenceData!$E$25),"")</f>
        <v>Dynamic</v>
      </c>
      <c r="F25">
        <f ca="1">IFERROR(IF(0=LEN(ReferenceData!$F$25),"",ReferenceData!$F$25),"")</f>
        <v>683866</v>
      </c>
      <c r="G25">
        <f ca="1">IFERROR(IF(0=LEN(ReferenceData!$G$25),"",ReferenceData!$G$25),"")</f>
        <v>594609</v>
      </c>
      <c r="H25">
        <f ca="1">IFERROR(IF(0=LEN(ReferenceData!$H$25),"",ReferenceData!$H$25),"")</f>
        <v>515033</v>
      </c>
      <c r="I25">
        <f ca="1">IFERROR(IF(0=LEN(ReferenceData!$I$25),"",ReferenceData!$I$25),"")</f>
        <v>479213</v>
      </c>
      <c r="J25">
        <f ca="1">IFERROR(IF(0=LEN(ReferenceData!$J$25),"",ReferenceData!$J$25),"")</f>
        <v>524947</v>
      </c>
      <c r="K25">
        <f ca="1">IFERROR(IF(0=LEN(ReferenceData!$K$25),"",ReferenceData!$K$25),"")</f>
        <v>462060</v>
      </c>
      <c r="L25">
        <f ca="1">IFERROR(IF(0=LEN(ReferenceData!$L$25),"",ReferenceData!$L$25),"")</f>
        <v>447371</v>
      </c>
      <c r="M25">
        <f ca="1">IFERROR(IF(0=LEN(ReferenceData!$M$25),"",ReferenceData!$M$25),"")</f>
        <v>461342</v>
      </c>
      <c r="N25">
        <f ca="1">IFERROR(IF(0=LEN(ReferenceData!$N$25),"",ReferenceData!$N$25),"")</f>
        <v>405378</v>
      </c>
      <c r="O25">
        <f ca="1">IFERROR(IF(0=LEN(ReferenceData!$O$25),"",ReferenceData!$O$25),"")</f>
        <v>370648</v>
      </c>
      <c r="P25">
        <f ca="1">IFERROR(IF(0=LEN(ReferenceData!$P$25),"",ReferenceData!$P$25),"")</f>
        <v>348710</v>
      </c>
      <c r="Q25">
        <f ca="1">IFERROR(IF(0=LEN(ReferenceData!$Q$25),"",ReferenceData!$Q$25),"")</f>
        <v>304580</v>
      </c>
      <c r="R25">
        <f ca="1">IFERROR(IF(0=LEN(ReferenceData!$R$25),"",ReferenceData!$R$25),"")</f>
        <v>284011</v>
      </c>
      <c r="S25">
        <f ca="1">IFERROR(IF(0=LEN(ReferenceData!$S$25),"",ReferenceData!$S$25),"")</f>
        <v>257397</v>
      </c>
      <c r="T25">
        <f ca="1">IFERROR(IF(0=LEN(ReferenceData!$T$25),"",ReferenceData!$T$25),"")</f>
        <v>286479</v>
      </c>
      <c r="U25">
        <f ca="1">IFERROR(IF(0=LEN(ReferenceData!$U$25),"",ReferenceData!$U$25),"")</f>
        <v>393186</v>
      </c>
      <c r="V25">
        <f ca="1">IFERROR(IF(0=LEN(ReferenceData!$V$25),"",ReferenceData!$V$25),"")</f>
        <v>401961</v>
      </c>
      <c r="W25">
        <f ca="1">IFERROR(IF(0=LEN(ReferenceData!$W$25),"",ReferenceData!$W$25),"")</f>
        <v>320162</v>
      </c>
      <c r="X25">
        <f ca="1">IFERROR(IF(0=LEN(ReferenceData!$X$25),"",ReferenceData!$X$25),"")</f>
        <v>272395</v>
      </c>
      <c r="Y25">
        <f ca="1">IFERROR(IF(0=LEN(ReferenceData!$Y$25),"",ReferenceData!$Y$25),"")</f>
        <v>246725</v>
      </c>
      <c r="Z25">
        <f ca="1">IFERROR(IF(0=LEN(ReferenceData!$Z$25),"",ReferenceData!$Z$25),"")</f>
        <v>232151</v>
      </c>
      <c r="AA25">
        <f ca="1">IFERROR(IF(0=LEN(ReferenceData!$AA$25),"",ReferenceData!$AA$25),"")</f>
        <v>222509</v>
      </c>
      <c r="AB25">
        <f ca="1">IFERROR(IF(0=LEN(ReferenceData!$AB$25),"",ReferenceData!$AB$25),"")</f>
        <v>264194</v>
      </c>
      <c r="AC25">
        <f ca="1">IFERROR(IF(0=LEN(ReferenceData!$AC$25),"",ReferenceData!$AC$25),"")</f>
        <v>281975</v>
      </c>
      <c r="AD25">
        <f ca="1">IFERROR(IF(0=LEN(ReferenceData!$AD$25),"",ReferenceData!$AD$25),"")</f>
        <v>257380</v>
      </c>
      <c r="AE25">
        <f ca="1">IFERROR(IF(0=LEN(ReferenceData!$AE$25),"",ReferenceData!$AE$25),"")</f>
        <v>243689</v>
      </c>
      <c r="AF25">
        <f ca="1">IFERROR(IF(0=LEN(ReferenceData!$AF$25),"",ReferenceData!$AF$25),"")</f>
        <v>218388</v>
      </c>
      <c r="AG25">
        <f ca="1">IFERROR(IF(0=LEN(ReferenceData!$AG$25),"",ReferenceData!$AG$25),"")</f>
        <v>208000</v>
      </c>
      <c r="AH25">
        <f ca="1">IFERROR(IF(0=LEN(ReferenceData!$AH$25),"",ReferenceData!$AH$25),"")</f>
        <v>182144</v>
      </c>
      <c r="AI25">
        <f ca="1">IFERROR(IF(0=LEN(ReferenceData!$AI$25),"",ReferenceData!$AI$25),"")</f>
        <v>165270</v>
      </c>
      <c r="AJ25">
        <f ca="1">IFERROR(IF(0=LEN(ReferenceData!$AJ$25),"",ReferenceData!$AJ$25),"")</f>
        <v>159605</v>
      </c>
      <c r="AK25" t="str">
        <f ca="1">IFERROR(IF(0=LEN(ReferenceData!$AK$25),"",ReferenceData!$AK$25),"")</f>
        <v/>
      </c>
      <c r="AL25" t="str">
        <f ca="1">IFERROR(IF(0=LEN(ReferenceData!$AL$25),"",ReferenceData!$AL$25),"")</f>
        <v/>
      </c>
      <c r="AM25" t="str">
        <f ca="1">IFERROR(IF(0=LEN(ReferenceData!$AM$25),"",ReferenceData!$AM$25),"")</f>
        <v/>
      </c>
      <c r="AN25" t="str">
        <f ca="1">IFERROR(IF(0=LEN(ReferenceData!$AN$25),"",ReferenceData!$AN$25),"")</f>
        <v/>
      </c>
      <c r="AO25" t="str">
        <f ca="1">IFERROR(IF(0=LEN(ReferenceData!$AO$25),"",ReferenceData!$AO$25),"")</f>
        <v/>
      </c>
      <c r="AP25" t="str">
        <f ca="1">IFERROR(IF(0=LEN(ReferenceData!$AP$25),"",ReferenceData!$AP$25),"")</f>
        <v/>
      </c>
      <c r="AQ25" t="str">
        <f ca="1">IFERROR(IF(0=LEN(ReferenceData!$AQ$25),"",ReferenceData!$AQ$25),"")</f>
        <v/>
      </c>
      <c r="AR25" t="str">
        <f ca="1">IFERROR(IF(0=LEN(ReferenceData!$AR$25),"",ReferenceData!$AR$25),"")</f>
        <v/>
      </c>
      <c r="AS25" t="str">
        <f ca="1">IFERROR(IF(0=LEN(ReferenceData!$AS$25),"",ReferenceData!$AS$25),"")</f>
        <v/>
      </c>
    </row>
    <row r="26" spans="1:45" x14ac:dyDescent="0.2">
      <c r="A26" t="str">
        <f>IFERROR(IF(0=LEN(ReferenceData!$A$26),"",ReferenceData!$A$26),"")</f>
        <v xml:space="preserve">    U.S. Total Public Construction Spending (SAAR)</v>
      </c>
      <c r="B26" t="str">
        <f>IFERROR(IF(0=LEN(ReferenceData!$B$26),"",ReferenceData!$B$26),"")</f>
        <v>CNSTPUTO Index</v>
      </c>
      <c r="C26" t="str">
        <f>IFERROR(IF(0=LEN(ReferenceData!$C$26),"",ReferenceData!$C$26),"")</f>
        <v>PR005</v>
      </c>
      <c r="D26" t="str">
        <f>IFERROR(IF(0=LEN(ReferenceData!$D$26),"",ReferenceData!$D$26),"")</f>
        <v>PX_LAST</v>
      </c>
      <c r="E26" t="str">
        <f>IFERROR(IF(0=LEN(ReferenceData!$E$26),"",ReferenceData!$E$26),"")</f>
        <v>Dynamic</v>
      </c>
      <c r="F26">
        <f ca="1">IFERROR(IF(0=LEN(ReferenceData!$F$26),"",ReferenceData!$F$26),"")</f>
        <v>440622</v>
      </c>
      <c r="G26">
        <f ca="1">IFERROR(IF(0=LEN(ReferenceData!$G$26),"",ReferenceData!$G$26),"")</f>
        <v>392570</v>
      </c>
      <c r="H26">
        <f ca="1">IFERROR(IF(0=LEN(ReferenceData!$H$26),"",ReferenceData!$H$26),"")</f>
        <v>358113</v>
      </c>
      <c r="I26">
        <f ca="1">IFERROR(IF(0=LEN(ReferenceData!$I$26),"",ReferenceData!$I$26),"")</f>
        <v>368521</v>
      </c>
      <c r="J26">
        <f ca="1">IFERROR(IF(0=LEN(ReferenceData!$J$26),"",ReferenceData!$J$26),"")</f>
        <v>355218</v>
      </c>
      <c r="K26">
        <f ca="1">IFERROR(IF(0=LEN(ReferenceData!$K$26),"",ReferenceData!$K$26),"")</f>
        <v>308835</v>
      </c>
      <c r="L26">
        <f ca="1">IFERROR(IF(0=LEN(ReferenceData!$L$26),"",ReferenceData!$L$26),"")</f>
        <v>301276</v>
      </c>
      <c r="M26">
        <f ca="1">IFERROR(IF(0=LEN(ReferenceData!$M$26),"",ReferenceData!$M$26),"")</f>
        <v>296774</v>
      </c>
      <c r="N26">
        <f ca="1">IFERROR(IF(0=LEN(ReferenceData!$N$26),"",ReferenceData!$N$26),"")</f>
        <v>298029</v>
      </c>
      <c r="O26">
        <f ca="1">IFERROR(IF(0=LEN(ReferenceData!$O$26),"",ReferenceData!$O$26),"")</f>
        <v>284197</v>
      </c>
      <c r="P26">
        <f ca="1">IFERROR(IF(0=LEN(ReferenceData!$P$26),"",ReferenceData!$P$26),"")</f>
        <v>269747</v>
      </c>
      <c r="Q26">
        <f ca="1">IFERROR(IF(0=LEN(ReferenceData!$Q$26),"",ReferenceData!$Q$26),"")</f>
        <v>268128</v>
      </c>
      <c r="R26">
        <f ca="1">IFERROR(IF(0=LEN(ReferenceData!$R$26),"",ReferenceData!$R$26),"")</f>
        <v>289373</v>
      </c>
      <c r="S26">
        <f ca="1">IFERROR(IF(0=LEN(ReferenceData!$S$26),"",ReferenceData!$S$26),"")</f>
        <v>292968</v>
      </c>
      <c r="T26">
        <f ca="1">IFERROR(IF(0=LEN(ReferenceData!$T$26),"",ReferenceData!$T$26),"")</f>
        <v>300330</v>
      </c>
      <c r="U26">
        <f ca="1">IFERROR(IF(0=LEN(ReferenceData!$U$26),"",ReferenceData!$U$26),"")</f>
        <v>311957</v>
      </c>
      <c r="V26">
        <f ca="1">IFERROR(IF(0=LEN(ReferenceData!$V$26),"",ReferenceData!$V$26),"")</f>
        <v>296694</v>
      </c>
      <c r="W26">
        <f ca="1">IFERROR(IF(0=LEN(ReferenceData!$W$26),"",ReferenceData!$W$26),"")</f>
        <v>270232</v>
      </c>
      <c r="X26">
        <f ca="1">IFERROR(IF(0=LEN(ReferenceData!$X$26),"",ReferenceData!$X$26),"")</f>
        <v>241758</v>
      </c>
      <c r="Y26">
        <f ca="1">IFERROR(IF(0=LEN(ReferenceData!$Y$26),"",ReferenceData!$Y$26),"")</f>
        <v>224471</v>
      </c>
      <c r="Z26">
        <f ca="1">IFERROR(IF(0=LEN(ReferenceData!$Z$26),"",ReferenceData!$Z$26),"")</f>
        <v>212946</v>
      </c>
      <c r="AA26">
        <f ca="1">IFERROR(IF(0=LEN(ReferenceData!$AA$26),"",ReferenceData!$AA$26),"")</f>
        <v>221742</v>
      </c>
      <c r="AB26">
        <f ca="1">IFERROR(IF(0=LEN(ReferenceData!$AB$26),"",ReferenceData!$AB$26),"")</f>
        <v>209290</v>
      </c>
      <c r="AC26">
        <f ca="1">IFERROR(IF(0=LEN(ReferenceData!$AC$26),"",ReferenceData!$AC$26),"")</f>
        <v>185294</v>
      </c>
      <c r="AD26">
        <f ca="1">IFERROR(IF(0=LEN(ReferenceData!$AD$26),"",ReferenceData!$AD$26),"")</f>
        <v>185045</v>
      </c>
      <c r="AE26">
        <f ca="1">IFERROR(IF(0=LEN(ReferenceData!$AE$26),"",ReferenceData!$AE$26),"")</f>
        <v>160793</v>
      </c>
      <c r="AF26">
        <f ca="1">IFERROR(IF(0=LEN(ReferenceData!$AF$26),"",ReferenceData!$AF$26),"")</f>
        <v>154442</v>
      </c>
      <c r="AG26">
        <f ca="1">IFERROR(IF(0=LEN(ReferenceData!$AG$26),"",ReferenceData!$AG$26),"")</f>
        <v>144846</v>
      </c>
      <c r="AH26">
        <f ca="1">IFERROR(IF(0=LEN(ReferenceData!$AH$26),"",ReferenceData!$AH$26),"")</f>
        <v>140236</v>
      </c>
      <c r="AI26">
        <f ca="1">IFERROR(IF(0=LEN(ReferenceData!$AI$26),"",ReferenceData!$AI$26),"")</f>
        <v>135129</v>
      </c>
      <c r="AJ26">
        <f ca="1">IFERROR(IF(0=LEN(ReferenceData!$AJ$26),"",ReferenceData!$AJ$26),"")</f>
        <v>137897</v>
      </c>
      <c r="AK26">
        <f ca="1">IFERROR(IF(0=LEN(ReferenceData!$AK$26),"",ReferenceData!$AK$26),"")</f>
        <v>115457</v>
      </c>
      <c r="AL26">
        <f ca="1">IFERROR(IF(0=LEN(ReferenceData!$AL$26),"",ReferenceData!$AL$26),"")</f>
        <v>113112</v>
      </c>
      <c r="AM26">
        <f ca="1">IFERROR(IF(0=LEN(ReferenceData!$AM$26),"",ReferenceData!$AM$26),"")</f>
        <v>109127</v>
      </c>
      <c r="AN26">
        <f ca="1">IFERROR(IF(0=LEN(ReferenceData!$AN$26),"",ReferenceData!$AN$26),"")</f>
        <v>104261</v>
      </c>
      <c r="AO26">
        <f ca="1">IFERROR(IF(0=LEN(ReferenceData!$AO$26),"",ReferenceData!$AO$26),"")</f>
        <v>99438</v>
      </c>
      <c r="AP26">
        <f ca="1">IFERROR(IF(0=LEN(ReferenceData!$AP$26),"",ReferenceData!$AP$26),"")</f>
        <v>93292</v>
      </c>
      <c r="AQ26">
        <f ca="1">IFERROR(IF(0=LEN(ReferenceData!$AQ$26),"",ReferenceData!$AQ$26),"")</f>
        <v>83023</v>
      </c>
      <c r="AR26">
        <f ca="1">IFERROR(IF(0=LEN(ReferenceData!$AR$26),"",ReferenceData!$AR$26),"")</f>
        <v>79916</v>
      </c>
      <c r="AS26">
        <f ca="1">IFERROR(IF(0=LEN(ReferenceData!$AS$26),"",ReferenceData!$AS$26),"")</f>
        <v>72489</v>
      </c>
    </row>
    <row r="27" spans="1:45" x14ac:dyDescent="0.2">
      <c r="A27" t="str">
        <f>IFERROR(IF(0=LEN(ReferenceData!$A$27),"",ReferenceData!$A$27),"")</f>
        <v xml:space="preserve">        U.S. Total Public Residential  Construction Spending (NSA)</v>
      </c>
      <c r="B27" t="str">
        <f>IFERROR(IF(0=LEN(ReferenceData!$B$27),"",ReferenceData!$B$27),"")</f>
        <v>CNSTPURE Index</v>
      </c>
      <c r="C27" t="str">
        <f>IFERROR(IF(0=LEN(ReferenceData!$C$27),"",ReferenceData!$C$27),"")</f>
        <v>PR005</v>
      </c>
      <c r="D27" t="str">
        <f>IFERROR(IF(0=LEN(ReferenceData!$D$27),"",ReferenceData!$D$27),"")</f>
        <v>PX_LAST</v>
      </c>
      <c r="E27" t="str">
        <f>IFERROR(IF(0=LEN(ReferenceData!$E$27),"",ReferenceData!$E$27),"")</f>
        <v>Dynamic</v>
      </c>
      <c r="F27">
        <f ca="1">IFERROR(IF(0=LEN(ReferenceData!$F$27),"",ReferenceData!$F$27),"")</f>
        <v>10286</v>
      </c>
      <c r="G27">
        <f ca="1">IFERROR(IF(0=LEN(ReferenceData!$G$27),"",ReferenceData!$G$27),"")</f>
        <v>9385</v>
      </c>
      <c r="H27">
        <f ca="1">IFERROR(IF(0=LEN(ReferenceData!$H$27),"",ReferenceData!$H$27),"")</f>
        <v>9765</v>
      </c>
      <c r="I27">
        <f ca="1">IFERROR(IF(0=LEN(ReferenceData!$I$27),"",ReferenceData!$I$27),"")</f>
        <v>9696</v>
      </c>
      <c r="J27">
        <f ca="1">IFERROR(IF(0=LEN(ReferenceData!$J$27),"",ReferenceData!$J$27),"")</f>
        <v>8122</v>
      </c>
      <c r="K27">
        <f ca="1">IFERROR(IF(0=LEN(ReferenceData!$K$27),"",ReferenceData!$K$27),"")</f>
        <v>5591</v>
      </c>
      <c r="L27">
        <f ca="1">IFERROR(IF(0=LEN(ReferenceData!$L$27),"",ReferenceData!$L$27),"")</f>
        <v>6965</v>
      </c>
      <c r="M27">
        <f ca="1">IFERROR(IF(0=LEN(ReferenceData!$M$27),"",ReferenceData!$M$27),"")</f>
        <v>6925</v>
      </c>
      <c r="N27">
        <f ca="1">IFERROR(IF(0=LEN(ReferenceData!$N$27),"",ReferenceData!$N$27),"")</f>
        <v>6349</v>
      </c>
      <c r="O27">
        <f ca="1">IFERROR(IF(0=LEN(ReferenceData!$O$27),"",ReferenceData!$O$27),"")</f>
        <v>5329</v>
      </c>
      <c r="P27">
        <f ca="1">IFERROR(IF(0=LEN(ReferenceData!$P$27),"",ReferenceData!$P$27),"")</f>
        <v>5340</v>
      </c>
      <c r="Q27">
        <f ca="1">IFERROR(IF(0=LEN(ReferenceData!$Q$27),"",ReferenceData!$Q$27),"")</f>
        <v>6004</v>
      </c>
      <c r="R27">
        <f ca="1">IFERROR(IF(0=LEN(ReferenceData!$R$27),"",ReferenceData!$R$27),"")</f>
        <v>7107</v>
      </c>
      <c r="S27">
        <f ca="1">IFERROR(IF(0=LEN(ReferenceData!$S$27),"",ReferenceData!$S$27),"")</f>
        <v>9899</v>
      </c>
      <c r="T27">
        <f ca="1">IFERROR(IF(0=LEN(ReferenceData!$T$27),"",ReferenceData!$T$27),"")</f>
        <v>8792</v>
      </c>
      <c r="U27">
        <f ca="1">IFERROR(IF(0=LEN(ReferenceData!$U$27),"",ReferenceData!$U$27),"")</f>
        <v>7334</v>
      </c>
      <c r="V27">
        <f ca="1">IFERROR(IF(0=LEN(ReferenceData!$V$27),"",ReferenceData!$V$27),"")</f>
        <v>7212</v>
      </c>
      <c r="W27">
        <f ca="1">IFERROR(IF(0=LEN(ReferenceData!$W$27),"",ReferenceData!$W$27),"")</f>
        <v>6729</v>
      </c>
      <c r="X27">
        <f ca="1">IFERROR(IF(0=LEN(ReferenceData!$X$27),"",ReferenceData!$X$27),"")</f>
        <v>5613</v>
      </c>
      <c r="Y27">
        <f ca="1">IFERROR(IF(0=LEN(ReferenceData!$Y$27),"",ReferenceData!$Y$27),"")</f>
        <v>5587</v>
      </c>
      <c r="Z27">
        <f ca="1">IFERROR(IF(0=LEN(ReferenceData!$Z$27),"",ReferenceData!$Z$27),"")</f>
        <v>5281</v>
      </c>
      <c r="AA27">
        <f ca="1">IFERROR(IF(0=LEN(ReferenceData!$AA$27),"",ReferenceData!$AA$27),"")</f>
        <v>5086</v>
      </c>
      <c r="AB27" t="str">
        <f ca="1">IFERROR(IF(0=LEN(ReferenceData!$AB$27),"",ReferenceData!$AB$27),"")</f>
        <v/>
      </c>
      <c r="AC27" t="str">
        <f ca="1">IFERROR(IF(0=LEN(ReferenceData!$AC$27),"",ReferenceData!$AC$27),"")</f>
        <v/>
      </c>
      <c r="AD27" t="str">
        <f ca="1">IFERROR(IF(0=LEN(ReferenceData!$AD$27),"",ReferenceData!$AD$27),"")</f>
        <v/>
      </c>
      <c r="AE27" t="str">
        <f ca="1">IFERROR(IF(0=LEN(ReferenceData!$AE$27),"",ReferenceData!$AE$27),"")</f>
        <v/>
      </c>
      <c r="AF27" t="str">
        <f ca="1">IFERROR(IF(0=LEN(ReferenceData!$AF$27),"",ReferenceData!$AF$27),"")</f>
        <v/>
      </c>
      <c r="AG27" t="str">
        <f ca="1">IFERROR(IF(0=LEN(ReferenceData!$AG$27),"",ReferenceData!$AG$27),"")</f>
        <v/>
      </c>
      <c r="AH27" t="str">
        <f ca="1">IFERROR(IF(0=LEN(ReferenceData!$AH$27),"",ReferenceData!$AH$27),"")</f>
        <v/>
      </c>
      <c r="AI27" t="str">
        <f ca="1">IFERROR(IF(0=LEN(ReferenceData!$AI$27),"",ReferenceData!$AI$27),"")</f>
        <v/>
      </c>
      <c r="AJ27" t="str">
        <f ca="1">IFERROR(IF(0=LEN(ReferenceData!$AJ$27),"",ReferenceData!$AJ$27),"")</f>
        <v/>
      </c>
      <c r="AK27" t="str">
        <f ca="1">IFERROR(IF(0=LEN(ReferenceData!$AK$27),"",ReferenceData!$AK$27),"")</f>
        <v/>
      </c>
      <c r="AL27" t="str">
        <f ca="1">IFERROR(IF(0=LEN(ReferenceData!$AL$27),"",ReferenceData!$AL$27),"")</f>
        <v/>
      </c>
      <c r="AM27" t="str">
        <f ca="1">IFERROR(IF(0=LEN(ReferenceData!$AM$27),"",ReferenceData!$AM$27),"")</f>
        <v/>
      </c>
      <c r="AN27" t="str">
        <f ca="1">IFERROR(IF(0=LEN(ReferenceData!$AN$27),"",ReferenceData!$AN$27),"")</f>
        <v/>
      </c>
      <c r="AO27" t="str">
        <f ca="1">IFERROR(IF(0=LEN(ReferenceData!$AO$27),"",ReferenceData!$AO$27),"")</f>
        <v/>
      </c>
      <c r="AP27" t="str">
        <f ca="1">IFERROR(IF(0=LEN(ReferenceData!$AP$27),"",ReferenceData!$AP$27),"")</f>
        <v/>
      </c>
      <c r="AQ27" t="str">
        <f ca="1">IFERROR(IF(0=LEN(ReferenceData!$AQ$27),"",ReferenceData!$AQ$27),"")</f>
        <v/>
      </c>
      <c r="AR27" t="str">
        <f ca="1">IFERROR(IF(0=LEN(ReferenceData!$AR$27),"",ReferenceData!$AR$27),"")</f>
        <v/>
      </c>
      <c r="AS27" t="str">
        <f ca="1">IFERROR(IF(0=LEN(ReferenceData!$AS$27),"",ReferenceData!$AS$27),"")</f>
        <v/>
      </c>
    </row>
    <row r="28" spans="1:45" x14ac:dyDescent="0.2">
      <c r="A28" t="str">
        <f>IFERROR(IF(0=LEN(ReferenceData!$A$28),"",ReferenceData!$A$28),"")</f>
        <v xml:space="preserve">        U.S. Total Public Non-Res  Construction Spending (NSA)</v>
      </c>
      <c r="B28" t="str">
        <f>IFERROR(IF(0=LEN(ReferenceData!$B$28),"",ReferenceData!$B$28),"")</f>
        <v>CNSTPUNR Index</v>
      </c>
      <c r="C28" t="str">
        <f>IFERROR(IF(0=LEN(ReferenceData!$C$28),"",ReferenceData!$C$28),"")</f>
        <v>PR005</v>
      </c>
      <c r="D28" t="str">
        <f>IFERROR(IF(0=LEN(ReferenceData!$D$28),"",ReferenceData!$D$28),"")</f>
        <v>PX_LAST</v>
      </c>
      <c r="E28" t="str">
        <f>IFERROR(IF(0=LEN(ReferenceData!$E$28),"",ReferenceData!$E$28),"")</f>
        <v>Dynamic</v>
      </c>
      <c r="F28">
        <f ca="1">IFERROR(IF(0=LEN(ReferenceData!$F$28),"",ReferenceData!$F$28),"")</f>
        <v>430335</v>
      </c>
      <c r="G28">
        <f ca="1">IFERROR(IF(0=LEN(ReferenceData!$G$28),"",ReferenceData!$G$28),"")</f>
        <v>383185</v>
      </c>
      <c r="H28">
        <f ca="1">IFERROR(IF(0=LEN(ReferenceData!$H$28),"",ReferenceData!$H$28),"")</f>
        <v>348348</v>
      </c>
      <c r="I28">
        <f ca="1">IFERROR(IF(0=LEN(ReferenceData!$I$28),"",ReferenceData!$I$28),"")</f>
        <v>358825</v>
      </c>
      <c r="J28">
        <f ca="1">IFERROR(IF(0=LEN(ReferenceData!$J$28),"",ReferenceData!$J$28),"")</f>
        <v>347096</v>
      </c>
      <c r="K28">
        <f ca="1">IFERROR(IF(0=LEN(ReferenceData!$K$28),"",ReferenceData!$K$28),"")</f>
        <v>303244</v>
      </c>
      <c r="L28">
        <f ca="1">IFERROR(IF(0=LEN(ReferenceData!$L$28),"",ReferenceData!$L$28),"")</f>
        <v>294311</v>
      </c>
      <c r="M28">
        <f ca="1">IFERROR(IF(0=LEN(ReferenceData!$M$28),"",ReferenceData!$M$28),"")</f>
        <v>289848</v>
      </c>
      <c r="N28">
        <f ca="1">IFERROR(IF(0=LEN(ReferenceData!$N$28),"",ReferenceData!$N$28),"")</f>
        <v>291679</v>
      </c>
      <c r="O28">
        <f ca="1">IFERROR(IF(0=LEN(ReferenceData!$O$28),"",ReferenceData!$O$28),"")</f>
        <v>278868</v>
      </c>
      <c r="P28">
        <f ca="1">IFERROR(IF(0=LEN(ReferenceData!$P$28),"",ReferenceData!$P$28),"")</f>
        <v>264407</v>
      </c>
      <c r="Q28">
        <f ca="1">IFERROR(IF(0=LEN(ReferenceData!$Q$28),"",ReferenceData!$Q$28),"")</f>
        <v>262124</v>
      </c>
      <c r="R28">
        <f ca="1">IFERROR(IF(0=LEN(ReferenceData!$R$28),"",ReferenceData!$R$28),"")</f>
        <v>282266</v>
      </c>
      <c r="S28">
        <f ca="1">IFERROR(IF(0=LEN(ReferenceData!$S$28),"",ReferenceData!$S$28),"")</f>
        <v>283069</v>
      </c>
      <c r="T28">
        <f ca="1">IFERROR(IF(0=LEN(ReferenceData!$T$28),"",ReferenceData!$T$28),"")</f>
        <v>291538</v>
      </c>
      <c r="U28">
        <f ca="1">IFERROR(IF(0=LEN(ReferenceData!$U$28),"",ReferenceData!$U$28),"")</f>
        <v>304622</v>
      </c>
      <c r="V28">
        <f ca="1">IFERROR(IF(0=LEN(ReferenceData!$V$28),"",ReferenceData!$V$28),"")</f>
        <v>289482</v>
      </c>
      <c r="W28">
        <f ca="1">IFERROR(IF(0=LEN(ReferenceData!$W$28),"",ReferenceData!$W$28),"")</f>
        <v>263503</v>
      </c>
      <c r="X28">
        <f ca="1">IFERROR(IF(0=LEN(ReferenceData!$X$28),"",ReferenceData!$X$28),"")</f>
        <v>236145</v>
      </c>
      <c r="Y28">
        <f ca="1">IFERROR(IF(0=LEN(ReferenceData!$Y$28),"",ReferenceData!$Y$28),"")</f>
        <v>218884</v>
      </c>
      <c r="Z28">
        <f ca="1">IFERROR(IF(0=LEN(ReferenceData!$Z$28),"",ReferenceData!$Z$28),"")</f>
        <v>207664</v>
      </c>
      <c r="AA28">
        <f ca="1">IFERROR(IF(0=LEN(ReferenceData!$AA$28),"",ReferenceData!$AA$28),"")</f>
        <v>216656</v>
      </c>
      <c r="AB28" t="str">
        <f ca="1">IFERROR(IF(0=LEN(ReferenceData!$AB$28),"",ReferenceData!$AB$28),"")</f>
        <v/>
      </c>
      <c r="AC28" t="str">
        <f ca="1">IFERROR(IF(0=LEN(ReferenceData!$AC$28),"",ReferenceData!$AC$28),"")</f>
        <v/>
      </c>
      <c r="AD28" t="str">
        <f ca="1">IFERROR(IF(0=LEN(ReferenceData!$AD$28),"",ReferenceData!$AD$28),"")</f>
        <v/>
      </c>
      <c r="AE28" t="str">
        <f ca="1">IFERROR(IF(0=LEN(ReferenceData!$AE$28),"",ReferenceData!$AE$28),"")</f>
        <v/>
      </c>
      <c r="AF28" t="str">
        <f ca="1">IFERROR(IF(0=LEN(ReferenceData!$AF$28),"",ReferenceData!$AF$28),"")</f>
        <v/>
      </c>
      <c r="AG28" t="str">
        <f ca="1">IFERROR(IF(0=LEN(ReferenceData!$AG$28),"",ReferenceData!$AG$28),"")</f>
        <v/>
      </c>
      <c r="AH28" t="str">
        <f ca="1">IFERROR(IF(0=LEN(ReferenceData!$AH$28),"",ReferenceData!$AH$28),"")</f>
        <v/>
      </c>
      <c r="AI28" t="str">
        <f ca="1">IFERROR(IF(0=LEN(ReferenceData!$AI$28),"",ReferenceData!$AI$28),"")</f>
        <v/>
      </c>
      <c r="AJ28" t="str">
        <f ca="1">IFERROR(IF(0=LEN(ReferenceData!$AJ$28),"",ReferenceData!$AJ$28),"")</f>
        <v/>
      </c>
      <c r="AK28" t="str">
        <f ca="1">IFERROR(IF(0=LEN(ReferenceData!$AK$28),"",ReferenceData!$AK$28),"")</f>
        <v/>
      </c>
      <c r="AL28" t="str">
        <f ca="1">IFERROR(IF(0=LEN(ReferenceData!$AL$28),"",ReferenceData!$AL$28),"")</f>
        <v/>
      </c>
      <c r="AM28" t="str">
        <f ca="1">IFERROR(IF(0=LEN(ReferenceData!$AM$28),"",ReferenceData!$AM$28),"")</f>
        <v/>
      </c>
      <c r="AN28" t="str">
        <f ca="1">IFERROR(IF(0=LEN(ReferenceData!$AN$28),"",ReferenceData!$AN$28),"")</f>
        <v/>
      </c>
      <c r="AO28" t="str">
        <f ca="1">IFERROR(IF(0=LEN(ReferenceData!$AO$28),"",ReferenceData!$AO$28),"")</f>
        <v/>
      </c>
      <c r="AP28" t="str">
        <f ca="1">IFERROR(IF(0=LEN(ReferenceData!$AP$28),"",ReferenceData!$AP$28),"")</f>
        <v/>
      </c>
      <c r="AQ28" t="str">
        <f ca="1">IFERROR(IF(0=LEN(ReferenceData!$AQ$28),"",ReferenceData!$AQ$28),"")</f>
        <v/>
      </c>
      <c r="AR28" t="str">
        <f ca="1">IFERROR(IF(0=LEN(ReferenceData!$AR$28),"",ReferenceData!$AR$28),"")</f>
        <v/>
      </c>
      <c r="AS28" t="str">
        <f ca="1">IFERROR(IF(0=LEN(ReferenceData!$AS$28),"",ReferenceData!$AS$28),"")</f>
        <v/>
      </c>
    </row>
    <row r="29" spans="1:45" x14ac:dyDescent="0.2">
      <c r="A29" t="str">
        <f>IFERROR(IF(0=LEN(ReferenceData!$A$29),"",ReferenceData!$A$29),"")</f>
        <v xml:space="preserve">    Source: U.S. Census Bureau</v>
      </c>
      <c r="B29" t="str">
        <f>IFERROR(IF(0=LEN(ReferenceData!$B$29),"",ReferenceData!$B$29),"")</f>
        <v/>
      </c>
      <c r="C29" t="str">
        <f>IFERROR(IF(0=LEN(ReferenceData!$C$29),"",ReferenceData!$C$29),"")</f>
        <v/>
      </c>
      <c r="D29" t="str">
        <f>IFERROR(IF(0=LEN(ReferenceData!$D$29),"",ReferenceData!$D$29),"")</f>
        <v/>
      </c>
      <c r="E29" t="str">
        <f>IFERROR(IF(0=LEN(ReferenceData!$E$29),"",ReferenceData!$E$29),"")</f>
        <v>Heading</v>
      </c>
      <c r="F29" t="str">
        <f>IFERROR(IF(0=LEN(ReferenceData!$F$29),"",ReferenceData!$F$29),"")</f>
        <v/>
      </c>
      <c r="G29" t="str">
        <f>IFERROR(IF(0=LEN(ReferenceData!$G$29),"",ReferenceData!$G$29),"")</f>
        <v/>
      </c>
      <c r="H29" t="str">
        <f>IFERROR(IF(0=LEN(ReferenceData!$H$29),"",ReferenceData!$H$29),"")</f>
        <v/>
      </c>
      <c r="I29" t="str">
        <f>IFERROR(IF(0=LEN(ReferenceData!$I$29),"",ReferenceData!$I$29),"")</f>
        <v/>
      </c>
      <c r="J29" t="str">
        <f>IFERROR(IF(0=LEN(ReferenceData!$J$29),"",ReferenceData!$J$29),"")</f>
        <v/>
      </c>
      <c r="K29" t="str">
        <f>IFERROR(IF(0=LEN(ReferenceData!$K$29),"",ReferenceData!$K$29),"")</f>
        <v/>
      </c>
      <c r="L29" t="str">
        <f>IFERROR(IF(0=LEN(ReferenceData!$L$29),"",ReferenceData!$L$29),"")</f>
        <v/>
      </c>
      <c r="M29" t="str">
        <f>IFERROR(IF(0=LEN(ReferenceData!$M$29),"",ReferenceData!$M$29),"")</f>
        <v/>
      </c>
      <c r="N29" t="str">
        <f>IFERROR(IF(0=LEN(ReferenceData!$N$29),"",ReferenceData!$N$29),"")</f>
        <v/>
      </c>
      <c r="O29" t="str">
        <f>IFERROR(IF(0=LEN(ReferenceData!$O$29),"",ReferenceData!$O$29),"")</f>
        <v/>
      </c>
      <c r="P29" t="str">
        <f>IFERROR(IF(0=LEN(ReferenceData!$P$29),"",ReferenceData!$P$29),"")</f>
        <v/>
      </c>
      <c r="Q29" t="str">
        <f>IFERROR(IF(0=LEN(ReferenceData!$Q$29),"",ReferenceData!$Q$29),"")</f>
        <v/>
      </c>
      <c r="R29" t="str">
        <f>IFERROR(IF(0=LEN(ReferenceData!$R$29),"",ReferenceData!$R$29),"")</f>
        <v/>
      </c>
      <c r="S29" t="str">
        <f>IFERROR(IF(0=LEN(ReferenceData!$S$29),"",ReferenceData!$S$29),"")</f>
        <v/>
      </c>
      <c r="T29" t="str">
        <f>IFERROR(IF(0=LEN(ReferenceData!$T$29),"",ReferenceData!$T$29),"")</f>
        <v/>
      </c>
      <c r="U29" t="str">
        <f>IFERROR(IF(0=LEN(ReferenceData!$U$29),"",ReferenceData!$U$29),"")</f>
        <v/>
      </c>
      <c r="V29" t="str">
        <f>IFERROR(IF(0=LEN(ReferenceData!$V$29),"",ReferenceData!$V$29),"")</f>
        <v/>
      </c>
      <c r="W29" t="str">
        <f>IFERROR(IF(0=LEN(ReferenceData!$W$29),"",ReferenceData!$W$29),"")</f>
        <v/>
      </c>
      <c r="X29" t="str">
        <f>IFERROR(IF(0=LEN(ReferenceData!$X$29),"",ReferenceData!$X$29),"")</f>
        <v/>
      </c>
      <c r="Y29" t="str">
        <f>IFERROR(IF(0=LEN(ReferenceData!$Y$29),"",ReferenceData!$Y$29),"")</f>
        <v/>
      </c>
      <c r="Z29" t="str">
        <f>IFERROR(IF(0=LEN(ReferenceData!$Z$29),"",ReferenceData!$Z$29),"")</f>
        <v/>
      </c>
      <c r="AA29" t="str">
        <f>IFERROR(IF(0=LEN(ReferenceData!$AA$29),"",ReferenceData!$AA$29),"")</f>
        <v/>
      </c>
      <c r="AB29" t="str">
        <f>IFERROR(IF(0=LEN(ReferenceData!$AB$29),"",ReferenceData!$AB$29),"")</f>
        <v/>
      </c>
      <c r="AC29" t="str">
        <f>IFERROR(IF(0=LEN(ReferenceData!$AC$29),"",ReferenceData!$AC$29),"")</f>
        <v/>
      </c>
      <c r="AD29" t="str">
        <f>IFERROR(IF(0=LEN(ReferenceData!$AD$29),"",ReferenceData!$AD$29),"")</f>
        <v/>
      </c>
      <c r="AE29" t="str">
        <f>IFERROR(IF(0=LEN(ReferenceData!$AE$29),"",ReferenceData!$AE$29),"")</f>
        <v/>
      </c>
      <c r="AF29" t="str">
        <f>IFERROR(IF(0=LEN(ReferenceData!$AF$29),"",ReferenceData!$AF$29),"")</f>
        <v/>
      </c>
      <c r="AG29" t="str">
        <f>IFERROR(IF(0=LEN(ReferenceData!$AG$29),"",ReferenceData!$AG$29),"")</f>
        <v/>
      </c>
      <c r="AH29" t="str">
        <f>IFERROR(IF(0=LEN(ReferenceData!$AH$29),"",ReferenceData!$AH$29),"")</f>
        <v/>
      </c>
      <c r="AI29" t="str">
        <f>IFERROR(IF(0=LEN(ReferenceData!$AI$29),"",ReferenceData!$AI$29),"")</f>
        <v/>
      </c>
      <c r="AJ29" t="str">
        <f>IFERROR(IF(0=LEN(ReferenceData!$AJ$29),"",ReferenceData!$AJ$29),"")</f>
        <v/>
      </c>
      <c r="AK29" t="str">
        <f>IFERROR(IF(0=LEN(ReferenceData!$AK$29),"",ReferenceData!$AK$29),"")</f>
        <v/>
      </c>
      <c r="AL29" t="str">
        <f>IFERROR(IF(0=LEN(ReferenceData!$AL$29),"",ReferenceData!$AL$29),"")</f>
        <v/>
      </c>
      <c r="AM29" t="str">
        <f>IFERROR(IF(0=LEN(ReferenceData!$AM$29),"",ReferenceData!$AM$29),"")</f>
        <v/>
      </c>
      <c r="AN29" t="str">
        <f>IFERROR(IF(0=LEN(ReferenceData!$AN$29),"",ReferenceData!$AN$29),"")</f>
        <v/>
      </c>
      <c r="AO29" t="str">
        <f>IFERROR(IF(0=LEN(ReferenceData!$AO$29),"",ReferenceData!$AO$29),"")</f>
        <v/>
      </c>
      <c r="AP29" t="str">
        <f>IFERROR(IF(0=LEN(ReferenceData!$AP$29),"",ReferenceData!$AP$29),"")</f>
        <v/>
      </c>
      <c r="AQ29" t="str">
        <f>IFERROR(IF(0=LEN(ReferenceData!$AQ$29),"",ReferenceData!$AQ$29),"")</f>
        <v/>
      </c>
      <c r="AR29" t="str">
        <f>IFERROR(IF(0=LEN(ReferenceData!$AR$29),"",ReferenceData!$AR$29),"")</f>
        <v/>
      </c>
      <c r="AS29" t="str">
        <f>IFERROR(IF(0=LEN(ReferenceData!$AS$29),"",ReferenceData!$AS$29),"")</f>
        <v/>
      </c>
    </row>
    <row r="30" spans="1:45" x14ac:dyDescent="0.2">
      <c r="A30" t="str">
        <f>IFERROR(IF(0=LEN(ReferenceData!$A$30),"",ReferenceData!$A$30),"")</f>
        <v xml:space="preserve">    </v>
      </c>
      <c r="B30" t="str">
        <f>IFERROR(IF(0=LEN(ReferenceData!$B$30),"",ReferenceData!$B$30),"")</f>
        <v/>
      </c>
      <c r="C30" t="str">
        <f>IFERROR(IF(0=LEN(ReferenceData!$C$30),"",ReferenceData!$C$30),"")</f>
        <v/>
      </c>
      <c r="D30" t="str">
        <f>IFERROR(IF(0=LEN(ReferenceData!$D$30),"",ReferenceData!$D$30),"")</f>
        <v/>
      </c>
      <c r="E30" t="str">
        <f>IFERROR(IF(0=LEN(ReferenceData!$E$30),"",ReferenceData!$E$30),"")</f>
        <v>Static</v>
      </c>
      <c r="F30" t="str">
        <f ca="1">IFERROR(IF(0=LEN(ReferenceData!$F$30),"",ReferenceData!$F$30),"")</f>
        <v/>
      </c>
      <c r="G30" t="str">
        <f ca="1">IFERROR(IF(0=LEN(ReferenceData!$G$30),"",ReferenceData!$G$30),"")</f>
        <v/>
      </c>
      <c r="H30" t="str">
        <f ca="1">IFERROR(IF(0=LEN(ReferenceData!$H$30),"",ReferenceData!$H$30),"")</f>
        <v/>
      </c>
      <c r="I30" t="str">
        <f ca="1">IFERROR(IF(0=LEN(ReferenceData!$I$30),"",ReferenceData!$I$30),"")</f>
        <v/>
      </c>
      <c r="J30" t="str">
        <f ca="1">IFERROR(IF(0=LEN(ReferenceData!$J$30),"",ReferenceData!$J$30),"")</f>
        <v/>
      </c>
      <c r="K30" t="str">
        <f ca="1">IFERROR(IF(0=LEN(ReferenceData!$K$30),"",ReferenceData!$K$30),"")</f>
        <v/>
      </c>
      <c r="L30" t="str">
        <f ca="1">IFERROR(IF(0=LEN(ReferenceData!$L$30),"",ReferenceData!$L$30),"")</f>
        <v/>
      </c>
      <c r="M30" t="str">
        <f ca="1">IFERROR(IF(0=LEN(ReferenceData!$M$30),"",ReferenceData!$M$30),"")</f>
        <v/>
      </c>
      <c r="N30" t="str">
        <f ca="1">IFERROR(IF(0=LEN(ReferenceData!$N$30),"",ReferenceData!$N$30),"")</f>
        <v/>
      </c>
      <c r="O30" t="str">
        <f ca="1">IFERROR(IF(0=LEN(ReferenceData!$O$30),"",ReferenceData!$O$30),"")</f>
        <v/>
      </c>
      <c r="P30" t="str">
        <f ca="1">IFERROR(IF(0=LEN(ReferenceData!$P$30),"",ReferenceData!$P$30),"")</f>
        <v/>
      </c>
      <c r="Q30" t="str">
        <f ca="1">IFERROR(IF(0=LEN(ReferenceData!$Q$30),"",ReferenceData!$Q$30),"")</f>
        <v/>
      </c>
      <c r="R30" t="str">
        <f ca="1">IFERROR(IF(0=LEN(ReferenceData!$R$30),"",ReferenceData!$R$30),"")</f>
        <v/>
      </c>
      <c r="S30" t="str">
        <f ca="1">IFERROR(IF(0=LEN(ReferenceData!$S$30),"",ReferenceData!$S$30),"")</f>
        <v/>
      </c>
      <c r="T30" t="str">
        <f ca="1">IFERROR(IF(0=LEN(ReferenceData!$T$30),"",ReferenceData!$T$30),"")</f>
        <v/>
      </c>
      <c r="U30" t="str">
        <f ca="1">IFERROR(IF(0=LEN(ReferenceData!$U$30),"",ReferenceData!$U$30),"")</f>
        <v/>
      </c>
      <c r="V30" t="str">
        <f ca="1">IFERROR(IF(0=LEN(ReferenceData!$V$30),"",ReferenceData!$V$30),"")</f>
        <v/>
      </c>
      <c r="W30" t="str">
        <f ca="1">IFERROR(IF(0=LEN(ReferenceData!$W$30),"",ReferenceData!$W$30),"")</f>
        <v/>
      </c>
      <c r="X30" t="str">
        <f ca="1">IFERROR(IF(0=LEN(ReferenceData!$X$30),"",ReferenceData!$X$30),"")</f>
        <v/>
      </c>
      <c r="Y30" t="str">
        <f ca="1">IFERROR(IF(0=LEN(ReferenceData!$Y$30),"",ReferenceData!$Y$30),"")</f>
        <v/>
      </c>
      <c r="Z30" t="str">
        <f ca="1">IFERROR(IF(0=LEN(ReferenceData!$Z$30),"",ReferenceData!$Z$30),"")</f>
        <v/>
      </c>
      <c r="AA30" t="str">
        <f ca="1">IFERROR(IF(0=LEN(ReferenceData!$AA$30),"",ReferenceData!$AA$30),"")</f>
        <v/>
      </c>
      <c r="AB30" t="str">
        <f ca="1">IFERROR(IF(0=LEN(ReferenceData!$AB$30),"",ReferenceData!$AB$30),"")</f>
        <v/>
      </c>
      <c r="AC30" t="str">
        <f ca="1">IFERROR(IF(0=LEN(ReferenceData!$AC$30),"",ReferenceData!$AC$30),"")</f>
        <v/>
      </c>
      <c r="AD30" t="str">
        <f ca="1">IFERROR(IF(0=LEN(ReferenceData!$AD$30),"",ReferenceData!$AD$30),"")</f>
        <v/>
      </c>
      <c r="AE30" t="str">
        <f ca="1">IFERROR(IF(0=LEN(ReferenceData!$AE$30),"",ReferenceData!$AE$30),"")</f>
        <v/>
      </c>
      <c r="AF30" t="str">
        <f ca="1">IFERROR(IF(0=LEN(ReferenceData!$AF$30),"",ReferenceData!$AF$30),"")</f>
        <v/>
      </c>
      <c r="AG30" t="str">
        <f ca="1">IFERROR(IF(0=LEN(ReferenceData!$AG$30),"",ReferenceData!$AG$30),"")</f>
        <v/>
      </c>
      <c r="AH30" t="str">
        <f ca="1">IFERROR(IF(0=LEN(ReferenceData!$AH$30),"",ReferenceData!$AH$30),"")</f>
        <v/>
      </c>
      <c r="AI30" t="str">
        <f ca="1">IFERROR(IF(0=LEN(ReferenceData!$AI$30),"",ReferenceData!$AI$30),"")</f>
        <v/>
      </c>
      <c r="AJ30" t="str">
        <f ca="1">IFERROR(IF(0=LEN(ReferenceData!$AJ$30),"",ReferenceData!$AJ$30),"")</f>
        <v/>
      </c>
      <c r="AK30" t="str">
        <f ca="1">IFERROR(IF(0=LEN(ReferenceData!$AK$30),"",ReferenceData!$AK$30),"")</f>
        <v/>
      </c>
      <c r="AL30" t="str">
        <f ca="1">IFERROR(IF(0=LEN(ReferenceData!$AL$30),"",ReferenceData!$AL$30),"")</f>
        <v/>
      </c>
      <c r="AM30" t="str">
        <f ca="1">IFERROR(IF(0=LEN(ReferenceData!$AM$30),"",ReferenceData!$AM$30),"")</f>
        <v/>
      </c>
      <c r="AN30" t="str">
        <f ca="1">IFERROR(IF(0=LEN(ReferenceData!$AN$30),"",ReferenceData!$AN$30),"")</f>
        <v/>
      </c>
      <c r="AO30" t="str">
        <f ca="1">IFERROR(IF(0=LEN(ReferenceData!$AO$30),"",ReferenceData!$AO$30),"")</f>
        <v/>
      </c>
      <c r="AP30" t="str">
        <f ca="1">IFERROR(IF(0=LEN(ReferenceData!$AP$30),"",ReferenceData!$AP$30),"")</f>
        <v/>
      </c>
      <c r="AQ30" t="str">
        <f ca="1">IFERROR(IF(0=LEN(ReferenceData!$AQ$30),"",ReferenceData!$AQ$30),"")</f>
        <v/>
      </c>
      <c r="AR30" t="str">
        <f ca="1">IFERROR(IF(0=LEN(ReferenceData!$AR$30),"",ReferenceData!$AR$30),"")</f>
        <v/>
      </c>
      <c r="AS30" t="str">
        <f ca="1">IFERROR(IF(0=LEN(ReferenceData!$AS$30),"",ReferenceData!$AS$30),"")</f>
        <v/>
      </c>
    </row>
    <row r="31" spans="1:45" x14ac:dyDescent="0.2">
      <c r="A31" t="str">
        <f>IFERROR(IF(0=LEN(ReferenceData!$A$31),"",ReferenceData!$A$31),"")</f>
        <v xml:space="preserve">    U.S. Construction Spending Total YoY%</v>
      </c>
      <c r="B31" t="str">
        <f>IFERROR(IF(0=LEN(ReferenceData!$B$31),"",ReferenceData!$B$31),"")</f>
        <v>CNSTTYOY Index</v>
      </c>
      <c r="C31" t="str">
        <f>IFERROR(IF(0=LEN(ReferenceData!$C$31),"",ReferenceData!$C$31),"")</f>
        <v>PR005</v>
      </c>
      <c r="D31" t="str">
        <f>IFERROR(IF(0=LEN(ReferenceData!$D$31),"",ReferenceData!$D$31),"")</f>
        <v>PX_LAST</v>
      </c>
      <c r="E31" t="str">
        <f>IFERROR(IF(0=LEN(ReferenceData!$E$31),"",ReferenceData!$E$31),"")</f>
        <v>Dynamic</v>
      </c>
      <c r="F31">
        <f ca="1">IFERROR(IF(0=LEN(ReferenceData!$F$31),"",ReferenceData!$F$31),"")</f>
        <v>8.6881400000000006</v>
      </c>
      <c r="G31">
        <f ca="1">IFERROR(IF(0=LEN(ReferenceData!$G$31),"",ReferenceData!$G$31),"")</f>
        <v>4.9286799999999999</v>
      </c>
      <c r="H31">
        <f ca="1">IFERROR(IF(0=LEN(ReferenceData!$H$31),"",ReferenceData!$H$31),"")</f>
        <v>11.55078</v>
      </c>
      <c r="I31">
        <f ca="1">IFERROR(IF(0=LEN(ReferenceData!$I$31),"",ReferenceData!$I$31),"")</f>
        <v>2.4559899999999999</v>
      </c>
      <c r="J31">
        <f ca="1">IFERROR(IF(0=LEN(ReferenceData!$J$31),"",ReferenceData!$J$31),"")</f>
        <v>9.3565900000000006</v>
      </c>
      <c r="K31">
        <f ca="1">IFERROR(IF(0=LEN(ReferenceData!$K$31),"",ReferenceData!$K$31),"")</f>
        <v>-1.84026</v>
      </c>
      <c r="L31">
        <f ca="1">IFERROR(IF(0=LEN(ReferenceData!$L$31),"",ReferenceData!$L$31),"")</f>
        <v>2.7051799999999999</v>
      </c>
      <c r="M31">
        <f ca="1">IFERROR(IF(0=LEN(ReferenceData!$M$31),"",ReferenceData!$M$31),"")</f>
        <v>9.8662700000000001</v>
      </c>
      <c r="N31">
        <f ca="1">IFERROR(IF(0=LEN(ReferenceData!$N$31),"",ReferenceData!$N$31),"")</f>
        <v>10.12406</v>
      </c>
      <c r="O31">
        <f ca="1">IFERROR(IF(0=LEN(ReferenceData!$O$31),"",ReferenceData!$O$31),"")</f>
        <v>7.9396599999999999</v>
      </c>
      <c r="P31">
        <f ca="1">IFERROR(IF(0=LEN(ReferenceData!$P$31),"",ReferenceData!$P$31),"")</f>
        <v>12.31944</v>
      </c>
      <c r="Q31">
        <f ca="1">IFERROR(IF(0=LEN(ReferenceData!$Q$31),"",ReferenceData!$Q$31),"")</f>
        <v>6.1412300000000002</v>
      </c>
      <c r="R31">
        <f ca="1">IFERROR(IF(0=LEN(ReferenceData!$R$31),"",ReferenceData!$R$31),"")</f>
        <v>4.0501899999999997</v>
      </c>
      <c r="S31">
        <f ca="1">IFERROR(IF(0=LEN(ReferenceData!$S$31),"",ReferenceData!$S$31),"")</f>
        <v>-6.3153800000000002</v>
      </c>
      <c r="T31">
        <f ca="1">IFERROR(IF(0=LEN(ReferenceData!$T$31),"",ReferenceData!$T$31),"")</f>
        <v>-15.66649</v>
      </c>
      <c r="U31">
        <f ca="1">IFERROR(IF(0=LEN(ReferenceData!$U$31),"",ReferenceData!$U$31),"")</f>
        <v>-10.40245</v>
      </c>
      <c r="V31">
        <f ca="1">IFERROR(IF(0=LEN(ReferenceData!$V$31),"",ReferenceData!$V$31),"")</f>
        <v>-1.7848200000000001</v>
      </c>
      <c r="W31">
        <f ca="1">IFERROR(IF(0=LEN(ReferenceData!$W$31),"",ReferenceData!$W$31),"")</f>
        <v>-4.1590199999999999</v>
      </c>
      <c r="X31">
        <f ca="1">IFERROR(IF(0=LEN(ReferenceData!$X$31),"",ReferenceData!$X$31),"")</f>
        <v>14.187939999999999</v>
      </c>
      <c r="Y31">
        <f ca="1">IFERROR(IF(0=LEN(ReferenceData!$Y$31),"",ReferenceData!$Y$31),"")</f>
        <v>9.3821700000000003</v>
      </c>
      <c r="Z31">
        <f ca="1">IFERROR(IF(0=LEN(ReferenceData!$Z$31),"",ReferenceData!$Z$31),"")</f>
        <v>10.8152504</v>
      </c>
      <c r="AA31">
        <f ca="1">IFERROR(IF(0=LEN(ReferenceData!$AA$31),"",ReferenceData!$AA$31),"")</f>
        <v>0.73343999999999998</v>
      </c>
      <c r="AB31">
        <f ca="1">IFERROR(IF(0=LEN(ReferenceData!$AB$31),"",ReferenceData!$AB$31),"")</f>
        <v>4.7039099999999996</v>
      </c>
      <c r="AC31">
        <f ca="1">IFERROR(IF(0=LEN(ReferenceData!$AC$31),"",ReferenceData!$AC$31),"")</f>
        <v>2.79758</v>
      </c>
      <c r="AD31">
        <f ca="1">IFERROR(IF(0=LEN(ReferenceData!$AD$31),"",ReferenceData!$AD$31),"")</f>
        <v>11.661</v>
      </c>
      <c r="AE31">
        <f ca="1">IFERROR(IF(0=LEN(ReferenceData!$AE$31),"",ReferenceData!$AE$31),"")</f>
        <v>10.119300000000001</v>
      </c>
      <c r="AF31">
        <f ca="1">IFERROR(IF(0=LEN(ReferenceData!$AF$31),"",ReferenceData!$AF$31),"")</f>
        <v>5.9304199999999998</v>
      </c>
      <c r="AG31">
        <f ca="1">IFERROR(IF(0=LEN(ReferenceData!$AG$31),"",ReferenceData!$AG$31),"")</f>
        <v>8.6252800000000001</v>
      </c>
      <c r="AH31">
        <f ca="1">IFERROR(IF(0=LEN(ReferenceData!$AH$31),"",ReferenceData!$AH$31),"")</f>
        <v>2.9824999999999999</v>
      </c>
      <c r="AI31">
        <f ca="1">IFERROR(IF(0=LEN(ReferenceData!$AI$31),"",ReferenceData!$AI$31),"")</f>
        <v>1.62131</v>
      </c>
      <c r="AJ31">
        <f ca="1">IFERROR(IF(0=LEN(ReferenceData!$AJ$31),"",ReferenceData!$AJ$31),"")</f>
        <v>11.4621</v>
      </c>
      <c r="AK31" t="str">
        <f ca="1">IFERROR(IF(0=LEN(ReferenceData!$AK$31),"",ReferenceData!$AK$31),"")</f>
        <v/>
      </c>
      <c r="AL31" t="str">
        <f ca="1">IFERROR(IF(0=LEN(ReferenceData!$AL$31),"",ReferenceData!$AL$31),"")</f>
        <v/>
      </c>
      <c r="AM31" t="str">
        <f ca="1">IFERROR(IF(0=LEN(ReferenceData!$AM$31),"",ReferenceData!$AM$31),"")</f>
        <v/>
      </c>
      <c r="AN31" t="str">
        <f ca="1">IFERROR(IF(0=LEN(ReferenceData!$AN$31),"",ReferenceData!$AN$31),"")</f>
        <v/>
      </c>
      <c r="AO31" t="str">
        <f ca="1">IFERROR(IF(0=LEN(ReferenceData!$AO$31),"",ReferenceData!$AO$31),"")</f>
        <v/>
      </c>
      <c r="AP31" t="str">
        <f ca="1">IFERROR(IF(0=LEN(ReferenceData!$AP$31),"",ReferenceData!$AP$31),"")</f>
        <v/>
      </c>
      <c r="AQ31" t="str">
        <f ca="1">IFERROR(IF(0=LEN(ReferenceData!$AQ$31),"",ReferenceData!$AQ$31),"")</f>
        <v/>
      </c>
      <c r="AR31" t="str">
        <f ca="1">IFERROR(IF(0=LEN(ReferenceData!$AR$31),"",ReferenceData!$AR$31),"")</f>
        <v/>
      </c>
      <c r="AS31" t="str">
        <f ca="1">IFERROR(IF(0=LEN(ReferenceData!$AS$31),"",ReferenceData!$AS$31),"")</f>
        <v/>
      </c>
    </row>
    <row r="32" spans="1:45" x14ac:dyDescent="0.2">
      <c r="A32" t="str">
        <f>IFERROR(IF(0=LEN(ReferenceData!$A$32),"",ReferenceData!$A$32),"")</f>
        <v xml:space="preserve">    U.S. Construction Spending Total MoM%</v>
      </c>
      <c r="B32" t="str">
        <f>IFERROR(IF(0=LEN(ReferenceData!$B$32),"",ReferenceData!$B$32),"")</f>
        <v>CNSTTMOM Index</v>
      </c>
      <c r="C32" t="str">
        <f>IFERROR(IF(0=LEN(ReferenceData!$C$32),"",ReferenceData!$C$32),"")</f>
        <v>PR005</v>
      </c>
      <c r="D32" t="str">
        <f>IFERROR(IF(0=LEN(ReferenceData!$D$32),"",ReferenceData!$D$32),"")</f>
        <v>PX_LAST</v>
      </c>
      <c r="E32" t="str">
        <f>IFERROR(IF(0=LEN(ReferenceData!$E$32),"",ReferenceData!$E$32),"")</f>
        <v>Dynamic</v>
      </c>
      <c r="F32">
        <f ca="1">IFERROR(IF(0=LEN(ReferenceData!$F$32),"",ReferenceData!$F$32),"")</f>
        <v>0.41305999999999998</v>
      </c>
      <c r="G32">
        <f ca="1">IFERROR(IF(0=LEN(ReferenceData!$G$32),"",ReferenceData!$G$32),"")</f>
        <v>-7.1110000000000007E-2</v>
      </c>
      <c r="H32">
        <f ca="1">IFERROR(IF(0=LEN(ReferenceData!$H$32),"",ReferenceData!$H$32),"")</f>
        <v>1.61243</v>
      </c>
      <c r="I32">
        <f ca="1">IFERROR(IF(0=LEN(ReferenceData!$I$32),"",ReferenceData!$I$32),"")</f>
        <v>1.4045300000000001</v>
      </c>
      <c r="J32">
        <f ca="1">IFERROR(IF(0=LEN(ReferenceData!$J$32),"",ReferenceData!$J$32),"")</f>
        <v>0.23089000000000001</v>
      </c>
      <c r="K32">
        <f ca="1">IFERROR(IF(0=LEN(ReferenceData!$K$32),"",ReferenceData!$K$32),"")</f>
        <v>-0.82755999999999996</v>
      </c>
      <c r="L32">
        <f ca="1">IFERROR(IF(0=LEN(ReferenceData!$L$32),"",ReferenceData!$L$32),"")</f>
        <v>0.36442999999999998</v>
      </c>
      <c r="M32">
        <f ca="1">IFERROR(IF(0=LEN(ReferenceData!$M$32),"",ReferenceData!$M$32),"")</f>
        <v>0.43973000000000001</v>
      </c>
      <c r="N32">
        <f ca="1">IFERROR(IF(0=LEN(ReferenceData!$N$32),"",ReferenceData!$N$32),"")</f>
        <v>0.94664999999999999</v>
      </c>
      <c r="O32">
        <f ca="1">IFERROR(IF(0=LEN(ReferenceData!$O$32),"",ReferenceData!$O$32),"")</f>
        <v>1.1040399999999999</v>
      </c>
      <c r="P32">
        <f ca="1">IFERROR(IF(0=LEN(ReferenceData!$P$32),"",ReferenceData!$P$32),"")</f>
        <v>1.5650500000000001</v>
      </c>
      <c r="Q32">
        <f ca="1">IFERROR(IF(0=LEN(ReferenceData!$Q$32),"",ReferenceData!$Q$32),"")</f>
        <v>-2.7869999999999999E-2</v>
      </c>
      <c r="R32">
        <f ca="1">IFERROR(IF(0=LEN(ReferenceData!$R$32),"",ReferenceData!$R$32),"")</f>
        <v>1.14734</v>
      </c>
      <c r="S32">
        <f ca="1">IFERROR(IF(0=LEN(ReferenceData!$S$32),"",ReferenceData!$S$32),"")</f>
        <v>-1.8349800000000001</v>
      </c>
      <c r="T32">
        <f ca="1">IFERROR(IF(0=LEN(ReferenceData!$T$32),"",ReferenceData!$T$32),"")</f>
        <v>-1.85022</v>
      </c>
      <c r="U32">
        <f ca="1">IFERROR(IF(0=LEN(ReferenceData!$U$32),"",ReferenceData!$U$32),"")</f>
        <v>-3.4679099999999998</v>
      </c>
      <c r="V32">
        <f ca="1">IFERROR(IF(0=LEN(ReferenceData!$V$32),"",ReferenceData!$V$32),"")</f>
        <v>-1.5682700000000001</v>
      </c>
      <c r="W32">
        <f ca="1">IFERROR(IF(0=LEN(ReferenceData!$W$32),"",ReferenceData!$W$32),"")</f>
        <v>1.2174700000000001</v>
      </c>
      <c r="X32">
        <f ca="1">IFERROR(IF(0=LEN(ReferenceData!$X$32),"",ReferenceData!$X$32),"")</f>
        <v>1.07389</v>
      </c>
      <c r="Y32">
        <f ca="1">IFERROR(IF(0=LEN(ReferenceData!$Y$32),"",ReferenceData!$Y$32),"")</f>
        <v>1.41604</v>
      </c>
      <c r="Z32">
        <f ca="1">IFERROR(IF(0=LEN(ReferenceData!$Z$32),"",ReferenceData!$Z$32),"")</f>
        <v>2.4304899999999998</v>
      </c>
      <c r="AA32">
        <f ca="1">IFERROR(IF(0=LEN(ReferenceData!$AA$32),"",ReferenceData!$AA$32),"")</f>
        <v>1.3287599999999999</v>
      </c>
      <c r="AB32">
        <f ca="1">IFERROR(IF(0=LEN(ReferenceData!$AB$32),"",ReferenceData!$AB$32),"")</f>
        <v>0.68467</v>
      </c>
      <c r="AC32">
        <f ca="1">IFERROR(IF(0=LEN(ReferenceData!$AC$32),"",ReferenceData!$AC$32),"")</f>
        <v>-1.04115</v>
      </c>
      <c r="AD32">
        <f ca="1">IFERROR(IF(0=LEN(ReferenceData!$AD$32),"",ReferenceData!$AD$32),"")</f>
        <v>1.05376</v>
      </c>
      <c r="AE32">
        <f ca="1">IFERROR(IF(0=LEN(ReferenceData!$AE$32),"",ReferenceData!$AE$32),"")</f>
        <v>-0.12093</v>
      </c>
      <c r="AF32">
        <f ca="1">IFERROR(IF(0=LEN(ReferenceData!$AF$32),"",ReferenceData!$AF$32),"")</f>
        <v>-0.26239000000000001</v>
      </c>
      <c r="AG32">
        <f ca="1">IFERROR(IF(0=LEN(ReferenceData!$AG$32),"",ReferenceData!$AG$32),"")</f>
        <v>-2.3733399999999998</v>
      </c>
      <c r="AH32">
        <f ca="1">IFERROR(IF(0=LEN(ReferenceData!$AH$32),"",ReferenceData!$AH$32),"")</f>
        <v>9.1130000000000003E-2</v>
      </c>
      <c r="AI32">
        <f ca="1">IFERROR(IF(0=LEN(ReferenceData!$AI$32),"",ReferenceData!$AI$32),"")</f>
        <v>0.4904</v>
      </c>
      <c r="AJ32">
        <f ca="1">IFERROR(IF(0=LEN(ReferenceData!$AJ$32),"",ReferenceData!$AJ$32),"")</f>
        <v>3.3368600000000002</v>
      </c>
      <c r="AK32" t="str">
        <f ca="1">IFERROR(IF(0=LEN(ReferenceData!$AK$32),"",ReferenceData!$AK$32),"")</f>
        <v/>
      </c>
      <c r="AL32" t="str">
        <f ca="1">IFERROR(IF(0=LEN(ReferenceData!$AL$32),"",ReferenceData!$AL$32),"")</f>
        <v/>
      </c>
      <c r="AM32" t="str">
        <f ca="1">IFERROR(IF(0=LEN(ReferenceData!$AM$32),"",ReferenceData!$AM$32),"")</f>
        <v/>
      </c>
      <c r="AN32" t="str">
        <f ca="1">IFERROR(IF(0=LEN(ReferenceData!$AN$32),"",ReferenceData!$AN$32),"")</f>
        <v/>
      </c>
      <c r="AO32" t="str">
        <f ca="1">IFERROR(IF(0=LEN(ReferenceData!$AO$32),"",ReferenceData!$AO$32),"")</f>
        <v/>
      </c>
      <c r="AP32" t="str">
        <f ca="1">IFERROR(IF(0=LEN(ReferenceData!$AP$32),"",ReferenceData!$AP$32),"")</f>
        <v/>
      </c>
      <c r="AQ32" t="str">
        <f ca="1">IFERROR(IF(0=LEN(ReferenceData!$AQ$32),"",ReferenceData!$AQ$32),"")</f>
        <v/>
      </c>
      <c r="AR32" t="str">
        <f ca="1">IFERROR(IF(0=LEN(ReferenceData!$AR$32),"",ReferenceData!$AR$32),"")</f>
        <v/>
      </c>
      <c r="AS32" t="str">
        <f ca="1">IFERROR(IF(0=LEN(ReferenceData!$AS$32),"",ReferenceData!$AS$32),"")</f>
        <v/>
      </c>
    </row>
    <row r="33" spans="1:45" x14ac:dyDescent="0.2">
      <c r="A33" t="str">
        <f>IFERROR(IF(0=LEN(ReferenceData!$A$33),"",ReferenceData!$A$33),"")</f>
        <v xml:space="preserve">    </v>
      </c>
      <c r="B33" t="str">
        <f>IFERROR(IF(0=LEN(ReferenceData!$B$33),"",ReferenceData!$B$33),"")</f>
        <v/>
      </c>
      <c r="C33" t="str">
        <f>IFERROR(IF(0=LEN(ReferenceData!$C$33),"",ReferenceData!$C$33),"")</f>
        <v/>
      </c>
      <c r="D33" t="str">
        <f>IFERROR(IF(0=LEN(ReferenceData!$D$33),"",ReferenceData!$D$33),"")</f>
        <v/>
      </c>
      <c r="E33" t="str">
        <f>IFERROR(IF(0=LEN(ReferenceData!$E$33),"",ReferenceData!$E$33),"")</f>
        <v>Static</v>
      </c>
      <c r="F33" t="str">
        <f ca="1">IFERROR(IF(0=LEN(ReferenceData!$F$33),"",ReferenceData!$F$33),"")</f>
        <v/>
      </c>
      <c r="G33" t="str">
        <f ca="1">IFERROR(IF(0=LEN(ReferenceData!$G$33),"",ReferenceData!$G$33),"")</f>
        <v/>
      </c>
      <c r="H33" t="str">
        <f ca="1">IFERROR(IF(0=LEN(ReferenceData!$H$33),"",ReferenceData!$H$33),"")</f>
        <v/>
      </c>
      <c r="I33" t="str">
        <f ca="1">IFERROR(IF(0=LEN(ReferenceData!$I$33),"",ReferenceData!$I$33),"")</f>
        <v/>
      </c>
      <c r="J33" t="str">
        <f ca="1">IFERROR(IF(0=LEN(ReferenceData!$J$33),"",ReferenceData!$J$33),"")</f>
        <v/>
      </c>
      <c r="K33" t="str">
        <f ca="1">IFERROR(IF(0=LEN(ReferenceData!$K$33),"",ReferenceData!$K$33),"")</f>
        <v/>
      </c>
      <c r="L33" t="str">
        <f ca="1">IFERROR(IF(0=LEN(ReferenceData!$L$33),"",ReferenceData!$L$33),"")</f>
        <v/>
      </c>
      <c r="M33" t="str">
        <f ca="1">IFERROR(IF(0=LEN(ReferenceData!$M$33),"",ReferenceData!$M$33),"")</f>
        <v/>
      </c>
      <c r="N33" t="str">
        <f ca="1">IFERROR(IF(0=LEN(ReferenceData!$N$33),"",ReferenceData!$N$33),"")</f>
        <v/>
      </c>
      <c r="O33" t="str">
        <f ca="1">IFERROR(IF(0=LEN(ReferenceData!$O$33),"",ReferenceData!$O$33),"")</f>
        <v/>
      </c>
      <c r="P33" t="str">
        <f ca="1">IFERROR(IF(0=LEN(ReferenceData!$P$33),"",ReferenceData!$P$33),"")</f>
        <v/>
      </c>
      <c r="Q33" t="str">
        <f ca="1">IFERROR(IF(0=LEN(ReferenceData!$Q$33),"",ReferenceData!$Q$33),"")</f>
        <v/>
      </c>
      <c r="R33" t="str">
        <f ca="1">IFERROR(IF(0=LEN(ReferenceData!$R$33),"",ReferenceData!$R$33),"")</f>
        <v/>
      </c>
      <c r="S33" t="str">
        <f ca="1">IFERROR(IF(0=LEN(ReferenceData!$S$33),"",ReferenceData!$S$33),"")</f>
        <v/>
      </c>
      <c r="T33" t="str">
        <f ca="1">IFERROR(IF(0=LEN(ReferenceData!$T$33),"",ReferenceData!$T$33),"")</f>
        <v/>
      </c>
      <c r="U33" t="str">
        <f ca="1">IFERROR(IF(0=LEN(ReferenceData!$U$33),"",ReferenceData!$U$33),"")</f>
        <v/>
      </c>
      <c r="V33" t="str">
        <f ca="1">IFERROR(IF(0=LEN(ReferenceData!$V$33),"",ReferenceData!$V$33),"")</f>
        <v/>
      </c>
      <c r="W33" t="str">
        <f ca="1">IFERROR(IF(0=LEN(ReferenceData!$W$33),"",ReferenceData!$W$33),"")</f>
        <v/>
      </c>
      <c r="X33" t="str">
        <f ca="1">IFERROR(IF(0=LEN(ReferenceData!$X$33),"",ReferenceData!$X$33),"")</f>
        <v/>
      </c>
      <c r="Y33" t="str">
        <f ca="1">IFERROR(IF(0=LEN(ReferenceData!$Y$33),"",ReferenceData!$Y$33),"")</f>
        <v/>
      </c>
      <c r="Z33" t="str">
        <f ca="1">IFERROR(IF(0=LEN(ReferenceData!$Z$33),"",ReferenceData!$Z$33),"")</f>
        <v/>
      </c>
      <c r="AA33" t="str">
        <f ca="1">IFERROR(IF(0=LEN(ReferenceData!$AA$33),"",ReferenceData!$AA$33),"")</f>
        <v/>
      </c>
      <c r="AB33" t="str">
        <f ca="1">IFERROR(IF(0=LEN(ReferenceData!$AB$33),"",ReferenceData!$AB$33),"")</f>
        <v/>
      </c>
      <c r="AC33" t="str">
        <f ca="1">IFERROR(IF(0=LEN(ReferenceData!$AC$33),"",ReferenceData!$AC$33),"")</f>
        <v/>
      </c>
      <c r="AD33" t="str">
        <f ca="1">IFERROR(IF(0=LEN(ReferenceData!$AD$33),"",ReferenceData!$AD$33),"")</f>
        <v/>
      </c>
      <c r="AE33" t="str">
        <f ca="1">IFERROR(IF(0=LEN(ReferenceData!$AE$33),"",ReferenceData!$AE$33),"")</f>
        <v/>
      </c>
      <c r="AF33" t="str">
        <f ca="1">IFERROR(IF(0=LEN(ReferenceData!$AF$33),"",ReferenceData!$AF$33),"")</f>
        <v/>
      </c>
      <c r="AG33" t="str">
        <f ca="1">IFERROR(IF(0=LEN(ReferenceData!$AG$33),"",ReferenceData!$AG$33),"")</f>
        <v/>
      </c>
      <c r="AH33" t="str">
        <f ca="1">IFERROR(IF(0=LEN(ReferenceData!$AH$33),"",ReferenceData!$AH$33),"")</f>
        <v/>
      </c>
      <c r="AI33" t="str">
        <f ca="1">IFERROR(IF(0=LEN(ReferenceData!$AI$33),"",ReferenceData!$AI$33),"")</f>
        <v/>
      </c>
      <c r="AJ33" t="str">
        <f ca="1">IFERROR(IF(0=LEN(ReferenceData!$AJ$33),"",ReferenceData!$AJ$33),"")</f>
        <v/>
      </c>
      <c r="AK33" t="str">
        <f ca="1">IFERROR(IF(0=LEN(ReferenceData!$AK$33),"",ReferenceData!$AK$33),"")</f>
        <v/>
      </c>
      <c r="AL33" t="str">
        <f ca="1">IFERROR(IF(0=LEN(ReferenceData!$AL$33),"",ReferenceData!$AL$33),"")</f>
        <v/>
      </c>
      <c r="AM33" t="str">
        <f ca="1">IFERROR(IF(0=LEN(ReferenceData!$AM$33),"",ReferenceData!$AM$33),"")</f>
        <v/>
      </c>
      <c r="AN33" t="str">
        <f ca="1">IFERROR(IF(0=LEN(ReferenceData!$AN$33),"",ReferenceData!$AN$33),"")</f>
        <v/>
      </c>
      <c r="AO33" t="str">
        <f ca="1">IFERROR(IF(0=LEN(ReferenceData!$AO$33),"",ReferenceData!$AO$33),"")</f>
        <v/>
      </c>
      <c r="AP33" t="str">
        <f ca="1">IFERROR(IF(0=LEN(ReferenceData!$AP$33),"",ReferenceData!$AP$33),"")</f>
        <v/>
      </c>
      <c r="AQ33" t="str">
        <f ca="1">IFERROR(IF(0=LEN(ReferenceData!$AQ$33),"",ReferenceData!$AQ$33),"")</f>
        <v/>
      </c>
      <c r="AR33" t="str">
        <f ca="1">IFERROR(IF(0=LEN(ReferenceData!$AR$33),"",ReferenceData!$AR$33),"")</f>
        <v/>
      </c>
      <c r="AS33" t="str">
        <f ca="1">IFERROR(IF(0=LEN(ReferenceData!$AS$33),"",ReferenceData!$AS$33),"")</f>
        <v/>
      </c>
    </row>
    <row r="34" spans="1:45" x14ac:dyDescent="0.2">
      <c r="A34" t="str">
        <f>IFERROR(IF(0=LEN(ReferenceData!$A$34),"",ReferenceData!$A$34),"")</f>
        <v xml:space="preserve">    Total Fed. Constr. Put in Place (Mn USD)</v>
      </c>
      <c r="B34" t="str">
        <f>IFERROR(IF(0=LEN(ReferenceData!$B$34),"",ReferenceData!$B$34),"")</f>
        <v>FED1TOFC Index</v>
      </c>
      <c r="C34" t="str">
        <f>IFERROR(IF(0=LEN(ReferenceData!$C$34),"",ReferenceData!$C$34),"")</f>
        <v>PX385</v>
      </c>
      <c r="D34" t="str">
        <f>IFERROR(IF(0=LEN(ReferenceData!$D$34),"",ReferenceData!$D$34),"")</f>
        <v>INTERVAL_SUM</v>
      </c>
      <c r="E34" t="str">
        <f>IFERROR(IF(0=LEN(ReferenceData!$E$34),"",ReferenceData!$E$34),"")</f>
        <v>Dynamic</v>
      </c>
      <c r="F34">
        <f ca="1">IFERROR(IF(0=LEN(ReferenceData!$F$34),"",ReferenceData!$F$34),"")</f>
        <v>302897</v>
      </c>
      <c r="G34">
        <f ca="1">IFERROR(IF(0=LEN(ReferenceData!$G$34),"",ReferenceData!$G$34),"")</f>
        <v>345457</v>
      </c>
      <c r="H34">
        <f ca="1">IFERROR(IF(0=LEN(ReferenceData!$H$34),"",ReferenceData!$H$34),"")</f>
        <v>300216</v>
      </c>
      <c r="I34">
        <f ca="1">IFERROR(IF(0=LEN(ReferenceData!$I$34),"",ReferenceData!$I$34),"")</f>
        <v>345837</v>
      </c>
      <c r="J34">
        <f ca="1">IFERROR(IF(0=LEN(ReferenceData!$J$34),"",ReferenceData!$J$34),"")</f>
        <v>315557</v>
      </c>
      <c r="K34">
        <f ca="1">IFERROR(IF(0=LEN(ReferenceData!$K$34),"",ReferenceData!$K$34),"")</f>
        <v>263137</v>
      </c>
      <c r="L34">
        <f ca="1">IFERROR(IF(0=LEN(ReferenceData!$L$34),"",ReferenceData!$L$34),"")</f>
        <v>255837</v>
      </c>
      <c r="M34">
        <f ca="1">IFERROR(IF(0=LEN(ReferenceData!$M$34),"",ReferenceData!$M$34),"")</f>
        <v>266725</v>
      </c>
      <c r="N34">
        <f ca="1">IFERROR(IF(0=LEN(ReferenceData!$N$34),"",ReferenceData!$N$34),"")</f>
        <v>270141</v>
      </c>
      <c r="O34">
        <f ca="1">IFERROR(IF(0=LEN(ReferenceData!$O$34),"",ReferenceData!$O$34),"")</f>
        <v>268873</v>
      </c>
      <c r="P34">
        <f ca="1">IFERROR(IF(0=LEN(ReferenceData!$P$34),"",ReferenceData!$P$34),"")</f>
        <v>284834</v>
      </c>
      <c r="Q34">
        <f ca="1">IFERROR(IF(0=LEN(ReferenceData!$Q$34),"",ReferenceData!$Q$34),"")</f>
        <v>323719</v>
      </c>
      <c r="R34">
        <f ca="1">IFERROR(IF(0=LEN(ReferenceData!$R$34),"",ReferenceData!$R$34),"")</f>
        <v>379750</v>
      </c>
      <c r="S34">
        <f ca="1">IFERROR(IF(0=LEN(ReferenceData!$S$34),"",ReferenceData!$S$34),"")</f>
        <v>371470</v>
      </c>
      <c r="T34">
        <f ca="1">IFERROR(IF(0=LEN(ReferenceData!$T$34),"",ReferenceData!$T$34),"")</f>
        <v>341630</v>
      </c>
      <c r="U34">
        <f ca="1">IFERROR(IF(0=LEN(ReferenceData!$U$34),"",ReferenceData!$U$34),"")</f>
        <v>283921</v>
      </c>
      <c r="V34">
        <f ca="1">IFERROR(IF(0=LEN(ReferenceData!$V$34),"",ReferenceData!$V$34),"")</f>
        <v>246265</v>
      </c>
      <c r="W34">
        <f ca="1">IFERROR(IF(0=LEN(ReferenceData!$W$34),"",ReferenceData!$W$34),"")</f>
        <v>211770</v>
      </c>
      <c r="X34">
        <f ca="1">IFERROR(IF(0=LEN(ReferenceData!$X$34),"",ReferenceData!$X$34),"")</f>
        <v>206829</v>
      </c>
      <c r="Y34">
        <f ca="1">IFERROR(IF(0=LEN(ReferenceData!$Y$34),"",ReferenceData!$Y$34),"")</f>
        <v>218505</v>
      </c>
      <c r="Z34">
        <f ca="1">IFERROR(IF(0=LEN(ReferenceData!$Z$34),"",ReferenceData!$Z$34),"")</f>
        <v>214480</v>
      </c>
      <c r="AA34">
        <f ca="1">IFERROR(IF(0=LEN(ReferenceData!$AA$34),"",ReferenceData!$AA$34),"")</f>
        <v>199158</v>
      </c>
      <c r="AB34">
        <f ca="1">IFERROR(IF(0=LEN(ReferenceData!$AB$34),"",ReferenceData!$AB$34),"")</f>
        <v>181345</v>
      </c>
      <c r="AC34">
        <f ca="1">IFERROR(IF(0=LEN(ReferenceData!$AC$34),"",ReferenceData!$AC$34),"")</f>
        <v>170331</v>
      </c>
      <c r="AD34">
        <f ca="1">IFERROR(IF(0=LEN(ReferenceData!$AD$34),"",ReferenceData!$AD$34),"")</f>
        <v>168636</v>
      </c>
      <c r="AE34">
        <f ca="1">IFERROR(IF(0=LEN(ReferenceData!$AE$34),"",ReferenceData!$AE$34),"")</f>
        <v>171459</v>
      </c>
      <c r="AF34">
        <f ca="1">IFERROR(IF(0=LEN(ReferenceData!$AF$34),"",ReferenceData!$AF$34),"")</f>
        <v>169176</v>
      </c>
      <c r="AG34">
        <f ca="1">IFERROR(IF(0=LEN(ReferenceData!$AG$34),"",ReferenceData!$AG$34),"")</f>
        <v>183838</v>
      </c>
      <c r="AH34">
        <f ca="1">IFERROR(IF(0=LEN(ReferenceData!$AH$34),"",ReferenceData!$AH$34),"")</f>
        <v>188404</v>
      </c>
      <c r="AI34">
        <f ca="1">IFERROR(IF(0=LEN(ReferenceData!$AI$34),"",ReferenceData!$AI$34),"")</f>
        <v>173969</v>
      </c>
      <c r="AJ34">
        <f ca="1">IFERROR(IF(0=LEN(ReferenceData!$AJ$34),"",ReferenceData!$AJ$34),"")</f>
        <v>173091</v>
      </c>
      <c r="AK34" t="str">
        <f ca="1">IFERROR(IF(0=LEN(ReferenceData!$AK$34),"",ReferenceData!$AK$34),"")</f>
        <v/>
      </c>
      <c r="AL34" t="str">
        <f ca="1">IFERROR(IF(0=LEN(ReferenceData!$AL$34),"",ReferenceData!$AL$34),"")</f>
        <v/>
      </c>
      <c r="AM34" t="str">
        <f ca="1">IFERROR(IF(0=LEN(ReferenceData!$AM$34),"",ReferenceData!$AM$34),"")</f>
        <v/>
      </c>
      <c r="AN34" t="str">
        <f ca="1">IFERROR(IF(0=LEN(ReferenceData!$AN$34),"",ReferenceData!$AN$34),"")</f>
        <v/>
      </c>
      <c r="AO34" t="str">
        <f ca="1">IFERROR(IF(0=LEN(ReferenceData!$AO$34),"",ReferenceData!$AO$34),"")</f>
        <v/>
      </c>
      <c r="AP34" t="str">
        <f ca="1">IFERROR(IF(0=LEN(ReferenceData!$AP$34),"",ReferenceData!$AP$34),"")</f>
        <v/>
      </c>
      <c r="AQ34" t="str">
        <f ca="1">IFERROR(IF(0=LEN(ReferenceData!$AQ$34),"",ReferenceData!$AQ$34),"")</f>
        <v/>
      </c>
      <c r="AR34" t="str">
        <f ca="1">IFERROR(IF(0=LEN(ReferenceData!$AR$34),"",ReferenceData!$AR$34),"")</f>
        <v/>
      </c>
      <c r="AS34" t="str">
        <f ca="1">IFERROR(IF(0=LEN(ReferenceData!$AS$34),"",ReferenceData!$AS$34),"")</f>
        <v/>
      </c>
    </row>
    <row r="35" spans="1:45" x14ac:dyDescent="0.2">
      <c r="A35" t="str">
        <f>IFERROR(IF(0=LEN(ReferenceData!$A$35),"",ReferenceData!$A$35),"")</f>
        <v xml:space="preserve">        Fed. Highway Construction (Mn USD)</v>
      </c>
      <c r="B35" t="str">
        <f>IFERROR(IF(0=LEN(ReferenceData!$B$35),"",ReferenceData!$B$35),"")</f>
        <v>FED1HWAY Index</v>
      </c>
      <c r="C35" t="str">
        <f>IFERROR(IF(0=LEN(ReferenceData!$C$35),"",ReferenceData!$C$35),"")</f>
        <v>PX385</v>
      </c>
      <c r="D35" t="str">
        <f>IFERROR(IF(0=LEN(ReferenceData!$D$35),"",ReferenceData!$D$35),"")</f>
        <v>INTERVAL_SUM</v>
      </c>
      <c r="E35" t="str">
        <f>IFERROR(IF(0=LEN(ReferenceData!$E$35),"",ReferenceData!$E$35),"")</f>
        <v>Dynamic</v>
      </c>
      <c r="F35">
        <f ca="1">IFERROR(IF(0=LEN(ReferenceData!$F$35),"",ReferenceData!$F$35),"")</f>
        <v>16021</v>
      </c>
      <c r="G35">
        <f ca="1">IFERROR(IF(0=LEN(ReferenceData!$G$35),"",ReferenceData!$G$35),"")</f>
        <v>23496</v>
      </c>
      <c r="H35">
        <f ca="1">IFERROR(IF(0=LEN(ReferenceData!$H$35),"",ReferenceData!$H$35),"")</f>
        <v>14942</v>
      </c>
      <c r="I35">
        <f ca="1">IFERROR(IF(0=LEN(ReferenceData!$I$35),"",ReferenceData!$I$35),"")</f>
        <v>13698</v>
      </c>
      <c r="J35">
        <f ca="1">IFERROR(IF(0=LEN(ReferenceData!$J$35),"",ReferenceData!$J$35),"")</f>
        <v>17260</v>
      </c>
      <c r="K35">
        <f ca="1">IFERROR(IF(0=LEN(ReferenceData!$K$35),"",ReferenceData!$K$35),"")</f>
        <v>12345</v>
      </c>
      <c r="L35">
        <f ca="1">IFERROR(IF(0=LEN(ReferenceData!$L$35),"",ReferenceData!$L$35),"")</f>
        <v>13586</v>
      </c>
      <c r="M35">
        <f ca="1">IFERROR(IF(0=LEN(ReferenceData!$M$35),"",ReferenceData!$M$35),"")</f>
        <v>10178</v>
      </c>
      <c r="N35">
        <f ca="1">IFERROR(IF(0=LEN(ReferenceData!$N$35),"",ReferenceData!$N$35),"")</f>
        <v>6319</v>
      </c>
      <c r="O35">
        <f ca="1">IFERROR(IF(0=LEN(ReferenceData!$O$35),"",ReferenceData!$O$35),"")</f>
        <v>5315</v>
      </c>
      <c r="P35">
        <f ca="1">IFERROR(IF(0=LEN(ReferenceData!$P$35),"",ReferenceData!$P$35),"")</f>
        <v>7665</v>
      </c>
      <c r="Q35">
        <f ca="1">IFERROR(IF(0=LEN(ReferenceData!$Q$35),"",ReferenceData!$Q$35),"")</f>
        <v>8539</v>
      </c>
      <c r="R35">
        <f ca="1">IFERROR(IF(0=LEN(ReferenceData!$R$35),"",ReferenceData!$R$35),"")</f>
        <v>10808</v>
      </c>
      <c r="S35">
        <f ca="1">IFERROR(IF(0=LEN(ReferenceData!$S$35),"",ReferenceData!$S$35),"")</f>
        <v>12722</v>
      </c>
      <c r="T35">
        <f ca="1">IFERROR(IF(0=LEN(ReferenceData!$T$35),"",ReferenceData!$T$35),"")</f>
        <v>9714</v>
      </c>
      <c r="U35">
        <f ca="1">IFERROR(IF(0=LEN(ReferenceData!$U$35),"",ReferenceData!$U$35),"")</f>
        <v>8948</v>
      </c>
      <c r="V35">
        <f ca="1">IFERROR(IF(0=LEN(ReferenceData!$V$35),"",ReferenceData!$V$35),"")</f>
        <v>9166</v>
      </c>
      <c r="W35">
        <f ca="1">IFERROR(IF(0=LEN(ReferenceData!$W$35),"",ReferenceData!$W$35),"")</f>
        <v>6963</v>
      </c>
      <c r="X35">
        <f ca="1">IFERROR(IF(0=LEN(ReferenceData!$X$35),"",ReferenceData!$X$35),"")</f>
        <v>7181</v>
      </c>
      <c r="Y35">
        <f ca="1">IFERROR(IF(0=LEN(ReferenceData!$Y$35),"",ReferenceData!$Y$35),"")</f>
        <v>11187</v>
      </c>
      <c r="Z35">
        <f ca="1">IFERROR(IF(0=LEN(ReferenceData!$Z$35),"",ReferenceData!$Z$35),"")</f>
        <v>8368</v>
      </c>
      <c r="AA35">
        <f ca="1">IFERROR(IF(0=LEN(ReferenceData!$AA$35),"",ReferenceData!$AA$35),"")</f>
        <v>8152</v>
      </c>
      <c r="AB35">
        <f ca="1">IFERROR(IF(0=LEN(ReferenceData!$AB$35),"",ReferenceData!$AB$35),"")</f>
        <v>0</v>
      </c>
      <c r="AC35">
        <f ca="1">IFERROR(IF(0=LEN(ReferenceData!$AC$35),"",ReferenceData!$AC$35),"")</f>
        <v>0</v>
      </c>
      <c r="AD35">
        <f ca="1">IFERROR(IF(0=LEN(ReferenceData!$AD$35),"",ReferenceData!$AD$35),"")</f>
        <v>0</v>
      </c>
      <c r="AE35">
        <f ca="1">IFERROR(IF(0=LEN(ReferenceData!$AE$35),"",ReferenceData!$AE$35),"")</f>
        <v>0</v>
      </c>
      <c r="AF35">
        <f ca="1">IFERROR(IF(0=LEN(ReferenceData!$AF$35),"",ReferenceData!$AF$35),"")</f>
        <v>0</v>
      </c>
      <c r="AG35">
        <f ca="1">IFERROR(IF(0=LEN(ReferenceData!$AG$35),"",ReferenceData!$AG$35),"")</f>
        <v>0</v>
      </c>
      <c r="AH35">
        <f ca="1">IFERROR(IF(0=LEN(ReferenceData!$AH$35),"",ReferenceData!$AH$35),"")</f>
        <v>0</v>
      </c>
      <c r="AI35">
        <f ca="1">IFERROR(IF(0=LEN(ReferenceData!$AI$35),"",ReferenceData!$AI$35),"")</f>
        <v>0</v>
      </c>
      <c r="AJ35">
        <f ca="1">IFERROR(IF(0=LEN(ReferenceData!$AJ$35),"",ReferenceData!$AJ$35),"")</f>
        <v>0</v>
      </c>
      <c r="AK35" t="str">
        <f ca="1">IFERROR(IF(0=LEN(ReferenceData!$AK$35),"",ReferenceData!$AK$35),"")</f>
        <v/>
      </c>
      <c r="AL35" t="str">
        <f ca="1">IFERROR(IF(0=LEN(ReferenceData!$AL$35),"",ReferenceData!$AL$35),"")</f>
        <v/>
      </c>
      <c r="AM35" t="str">
        <f ca="1">IFERROR(IF(0=LEN(ReferenceData!$AM$35),"",ReferenceData!$AM$35),"")</f>
        <v/>
      </c>
      <c r="AN35" t="str">
        <f ca="1">IFERROR(IF(0=LEN(ReferenceData!$AN$35),"",ReferenceData!$AN$35),"")</f>
        <v/>
      </c>
      <c r="AO35" t="str">
        <f ca="1">IFERROR(IF(0=LEN(ReferenceData!$AO$35),"",ReferenceData!$AO$35),"")</f>
        <v/>
      </c>
      <c r="AP35" t="str">
        <f ca="1">IFERROR(IF(0=LEN(ReferenceData!$AP$35),"",ReferenceData!$AP$35),"")</f>
        <v/>
      </c>
      <c r="AQ35" t="str">
        <f ca="1">IFERROR(IF(0=LEN(ReferenceData!$AQ$35),"",ReferenceData!$AQ$35),"")</f>
        <v/>
      </c>
      <c r="AR35" t="str">
        <f ca="1">IFERROR(IF(0=LEN(ReferenceData!$AR$35),"",ReferenceData!$AR$35),"")</f>
        <v/>
      </c>
      <c r="AS35" t="str">
        <f ca="1">IFERROR(IF(0=LEN(ReferenceData!$AS$35),"",ReferenceData!$AS$35),"")</f>
        <v/>
      </c>
    </row>
    <row r="36" spans="1:45" x14ac:dyDescent="0.2">
      <c r="A36" t="str">
        <f>IFERROR(IF(0=LEN(ReferenceData!$A$36),"",ReferenceData!$A$36),"")</f>
        <v xml:space="preserve">        Fed. Power Construction (Mn USD)</v>
      </c>
      <c r="B36" t="str">
        <f>IFERROR(IF(0=LEN(ReferenceData!$B$36),"",ReferenceData!$B$36),"")</f>
        <v>FED1POWR Index</v>
      </c>
      <c r="C36" t="str">
        <f>IFERROR(IF(0=LEN(ReferenceData!$C$36),"",ReferenceData!$C$36),"")</f>
        <v>PX385</v>
      </c>
      <c r="D36" t="str">
        <f>IFERROR(IF(0=LEN(ReferenceData!$D$36),"",ReferenceData!$D$36),"")</f>
        <v>INTERVAL_SUM</v>
      </c>
      <c r="E36" t="str">
        <f>IFERROR(IF(0=LEN(ReferenceData!$E$36),"",ReferenceData!$E$36),"")</f>
        <v>Dynamic</v>
      </c>
      <c r="F36">
        <f ca="1">IFERROR(IF(0=LEN(ReferenceData!$F$36),"",ReferenceData!$F$36),"")</f>
        <v>7549</v>
      </c>
      <c r="G36">
        <f ca="1">IFERROR(IF(0=LEN(ReferenceData!$G$36),"",ReferenceData!$G$36),"")</f>
        <v>8483</v>
      </c>
      <c r="H36">
        <f ca="1">IFERROR(IF(0=LEN(ReferenceData!$H$36),"",ReferenceData!$H$36),"")</f>
        <v>5469</v>
      </c>
      <c r="I36">
        <f ca="1">IFERROR(IF(0=LEN(ReferenceData!$I$36),"",ReferenceData!$I$36),"")</f>
        <v>5537</v>
      </c>
      <c r="J36">
        <f ca="1">IFERROR(IF(0=LEN(ReferenceData!$J$36),"",ReferenceData!$J$36),"")</f>
        <v>4977</v>
      </c>
      <c r="K36">
        <f ca="1">IFERROR(IF(0=LEN(ReferenceData!$K$36),"",ReferenceData!$K$36),"")</f>
        <v>6851</v>
      </c>
      <c r="L36">
        <f ca="1">IFERROR(IF(0=LEN(ReferenceData!$L$36),"",ReferenceData!$L$36),"")</f>
        <v>9285</v>
      </c>
      <c r="M36">
        <f ca="1">IFERROR(IF(0=LEN(ReferenceData!$M$36),"",ReferenceData!$M$36),"")</f>
        <v>15726</v>
      </c>
      <c r="N36">
        <f ca="1">IFERROR(IF(0=LEN(ReferenceData!$N$36),"",ReferenceData!$N$36),"")</f>
        <v>19710</v>
      </c>
      <c r="O36">
        <f ca="1">IFERROR(IF(0=LEN(ReferenceData!$O$36),"",ReferenceData!$O$36),"")</f>
        <v>13868</v>
      </c>
      <c r="P36">
        <f ca="1">IFERROR(IF(0=LEN(ReferenceData!$P$36),"",ReferenceData!$P$36),"")</f>
        <v>13071</v>
      </c>
      <c r="Q36">
        <f ca="1">IFERROR(IF(0=LEN(ReferenceData!$Q$36),"",ReferenceData!$Q$36),"")</f>
        <v>14814</v>
      </c>
      <c r="R36">
        <f ca="1">IFERROR(IF(0=LEN(ReferenceData!$R$36),"",ReferenceData!$R$36),"")</f>
        <v>17145</v>
      </c>
      <c r="S36">
        <f ca="1">IFERROR(IF(0=LEN(ReferenceData!$S$36),"",ReferenceData!$S$36),"")</f>
        <v>12587</v>
      </c>
      <c r="T36">
        <f ca="1">IFERROR(IF(0=LEN(ReferenceData!$T$36),"",ReferenceData!$T$36),"")</f>
        <v>12512</v>
      </c>
      <c r="U36">
        <f ca="1">IFERROR(IF(0=LEN(ReferenceData!$U$36),"",ReferenceData!$U$36),"")</f>
        <v>9727</v>
      </c>
      <c r="V36">
        <f ca="1">IFERROR(IF(0=LEN(ReferenceData!$V$36),"",ReferenceData!$V$36),"")</f>
        <v>5974</v>
      </c>
      <c r="W36">
        <f ca="1">IFERROR(IF(0=LEN(ReferenceData!$W$36),"",ReferenceData!$W$36),"")</f>
        <v>10011</v>
      </c>
      <c r="X36">
        <f ca="1">IFERROR(IF(0=LEN(ReferenceData!$X$36),"",ReferenceData!$X$36),"")</f>
        <v>9899</v>
      </c>
      <c r="Y36">
        <f ca="1">IFERROR(IF(0=LEN(ReferenceData!$Y$36),"",ReferenceData!$Y$36),"")</f>
        <v>11801</v>
      </c>
      <c r="Z36">
        <f ca="1">IFERROR(IF(0=LEN(ReferenceData!$Z$36),"",ReferenceData!$Z$36),"")</f>
        <v>12465</v>
      </c>
      <c r="AA36">
        <f ca="1">IFERROR(IF(0=LEN(ReferenceData!$AA$36),"",ReferenceData!$AA$36),"")</f>
        <v>5084</v>
      </c>
      <c r="AB36">
        <f ca="1">IFERROR(IF(0=LEN(ReferenceData!$AB$36),"",ReferenceData!$AB$36),"")</f>
        <v>0</v>
      </c>
      <c r="AC36">
        <f ca="1">IFERROR(IF(0=LEN(ReferenceData!$AC$36),"",ReferenceData!$AC$36),"")</f>
        <v>0</v>
      </c>
      <c r="AD36">
        <f ca="1">IFERROR(IF(0=LEN(ReferenceData!$AD$36),"",ReferenceData!$AD$36),"")</f>
        <v>0</v>
      </c>
      <c r="AE36">
        <f ca="1">IFERROR(IF(0=LEN(ReferenceData!$AE$36),"",ReferenceData!$AE$36),"")</f>
        <v>0</v>
      </c>
      <c r="AF36">
        <f ca="1">IFERROR(IF(0=LEN(ReferenceData!$AF$36),"",ReferenceData!$AF$36),"")</f>
        <v>0</v>
      </c>
      <c r="AG36">
        <f ca="1">IFERROR(IF(0=LEN(ReferenceData!$AG$36),"",ReferenceData!$AG$36),"")</f>
        <v>0</v>
      </c>
      <c r="AH36">
        <f ca="1">IFERROR(IF(0=LEN(ReferenceData!$AH$36),"",ReferenceData!$AH$36),"")</f>
        <v>0</v>
      </c>
      <c r="AI36">
        <f ca="1">IFERROR(IF(0=LEN(ReferenceData!$AI$36),"",ReferenceData!$AI$36),"")</f>
        <v>0</v>
      </c>
      <c r="AJ36">
        <f ca="1">IFERROR(IF(0=LEN(ReferenceData!$AJ$36),"",ReferenceData!$AJ$36),"")</f>
        <v>0</v>
      </c>
      <c r="AK36" t="str">
        <f ca="1">IFERROR(IF(0=LEN(ReferenceData!$AK$36),"",ReferenceData!$AK$36),"")</f>
        <v/>
      </c>
      <c r="AL36" t="str">
        <f ca="1">IFERROR(IF(0=LEN(ReferenceData!$AL$36),"",ReferenceData!$AL$36),"")</f>
        <v/>
      </c>
      <c r="AM36" t="str">
        <f ca="1">IFERROR(IF(0=LEN(ReferenceData!$AM$36),"",ReferenceData!$AM$36),"")</f>
        <v/>
      </c>
      <c r="AN36" t="str">
        <f ca="1">IFERROR(IF(0=LEN(ReferenceData!$AN$36),"",ReferenceData!$AN$36),"")</f>
        <v/>
      </c>
      <c r="AO36" t="str">
        <f ca="1">IFERROR(IF(0=LEN(ReferenceData!$AO$36),"",ReferenceData!$AO$36),"")</f>
        <v/>
      </c>
      <c r="AP36" t="str">
        <f ca="1">IFERROR(IF(0=LEN(ReferenceData!$AP$36),"",ReferenceData!$AP$36),"")</f>
        <v/>
      </c>
      <c r="AQ36" t="str">
        <f ca="1">IFERROR(IF(0=LEN(ReferenceData!$AQ$36),"",ReferenceData!$AQ$36),"")</f>
        <v/>
      </c>
      <c r="AR36" t="str">
        <f ca="1">IFERROR(IF(0=LEN(ReferenceData!$AR$36),"",ReferenceData!$AR$36),"")</f>
        <v/>
      </c>
      <c r="AS36" t="str">
        <f ca="1">IFERROR(IF(0=LEN(ReferenceData!$AS$36),"",ReferenceData!$AS$36),"")</f>
        <v/>
      </c>
    </row>
    <row r="37" spans="1:45" x14ac:dyDescent="0.2">
      <c r="A37" t="str">
        <f>IFERROR(IF(0=LEN(ReferenceData!$A$37),"",ReferenceData!$A$37),"")</f>
        <v xml:space="preserve">        Fed. Transport Construction (Mn USD)</v>
      </c>
      <c r="B37" t="str">
        <f>IFERROR(IF(0=LEN(ReferenceData!$B$37),"",ReferenceData!$B$37),"")</f>
        <v>FED1TRAN Index</v>
      </c>
      <c r="C37" t="str">
        <f>IFERROR(IF(0=LEN(ReferenceData!$C$37),"",ReferenceData!$C$37),"")</f>
        <v>PX385</v>
      </c>
      <c r="D37" t="str">
        <f>IFERROR(IF(0=LEN(ReferenceData!$D$37),"",ReferenceData!$D$37),"")</f>
        <v>INTERVAL_SUM</v>
      </c>
      <c r="E37" t="str">
        <f>IFERROR(IF(0=LEN(ReferenceData!$E$37),"",ReferenceData!$E$37),"")</f>
        <v>Dynamic</v>
      </c>
      <c r="F37">
        <f ca="1">IFERROR(IF(0=LEN(ReferenceData!$F$37),"",ReferenceData!$F$37),"")</f>
        <v>48970</v>
      </c>
      <c r="G37">
        <f ca="1">IFERROR(IF(0=LEN(ReferenceData!$G$37),"",ReferenceData!$G$37),"")</f>
        <v>52899</v>
      </c>
      <c r="H37">
        <f ca="1">IFERROR(IF(0=LEN(ReferenceData!$H$37),"",ReferenceData!$H$37),"")</f>
        <v>41062</v>
      </c>
      <c r="I37">
        <f ca="1">IFERROR(IF(0=LEN(ReferenceData!$I$37),"",ReferenceData!$I$37),"")</f>
        <v>36024</v>
      </c>
      <c r="J37">
        <f ca="1">IFERROR(IF(0=LEN(ReferenceData!$J$37),"",ReferenceData!$J$37),"")</f>
        <v>32050</v>
      </c>
      <c r="K37">
        <f ca="1">IFERROR(IF(0=LEN(ReferenceData!$K$37),"",ReferenceData!$K$37),"")</f>
        <v>30043</v>
      </c>
      <c r="L37">
        <f ca="1">IFERROR(IF(0=LEN(ReferenceData!$L$37),"",ReferenceData!$L$37),"")</f>
        <v>24755</v>
      </c>
      <c r="M37">
        <f ca="1">IFERROR(IF(0=LEN(ReferenceData!$M$37),"",ReferenceData!$M$37),"")</f>
        <v>28802</v>
      </c>
      <c r="N37">
        <f ca="1">IFERROR(IF(0=LEN(ReferenceData!$N$37),"",ReferenceData!$N$37),"")</f>
        <v>25932</v>
      </c>
      <c r="O37">
        <f ca="1">IFERROR(IF(0=LEN(ReferenceData!$O$37),"",ReferenceData!$O$37),"")</f>
        <v>25589</v>
      </c>
      <c r="P37">
        <f ca="1">IFERROR(IF(0=LEN(ReferenceData!$P$37),"",ReferenceData!$P$37),"")</f>
        <v>30664</v>
      </c>
      <c r="Q37">
        <f ca="1">IFERROR(IF(0=LEN(ReferenceData!$Q$37),"",ReferenceData!$Q$37),"")</f>
        <v>26006</v>
      </c>
      <c r="R37">
        <f ca="1">IFERROR(IF(0=LEN(ReferenceData!$R$37),"",ReferenceData!$R$37),"")</f>
        <v>22194</v>
      </c>
      <c r="S37">
        <f ca="1">IFERROR(IF(0=LEN(ReferenceData!$S$37),"",ReferenceData!$S$37),"")</f>
        <v>23400</v>
      </c>
      <c r="T37">
        <f ca="1">IFERROR(IF(0=LEN(ReferenceData!$T$37),"",ReferenceData!$T$37),"")</f>
        <v>26410</v>
      </c>
      <c r="U37">
        <f ca="1">IFERROR(IF(0=LEN(ReferenceData!$U$37),"",ReferenceData!$U$37),"")</f>
        <v>27734</v>
      </c>
      <c r="V37">
        <f ca="1">IFERROR(IF(0=LEN(ReferenceData!$V$37),"",ReferenceData!$V$37),"")</f>
        <v>20765</v>
      </c>
      <c r="W37">
        <f ca="1">IFERROR(IF(0=LEN(ReferenceData!$W$37),"",ReferenceData!$W$37),"")</f>
        <v>19378</v>
      </c>
      <c r="X37">
        <f ca="1">IFERROR(IF(0=LEN(ReferenceData!$X$37),"",ReferenceData!$X$37),"")</f>
        <v>20163</v>
      </c>
      <c r="Y37">
        <f ca="1">IFERROR(IF(0=LEN(ReferenceData!$Y$37),"",ReferenceData!$Y$37),"")</f>
        <v>21207</v>
      </c>
      <c r="Z37">
        <f ca="1">IFERROR(IF(0=LEN(ReferenceData!$Z$37),"",ReferenceData!$Z$37),"")</f>
        <v>19910</v>
      </c>
      <c r="AA37">
        <f ca="1">IFERROR(IF(0=LEN(ReferenceData!$AA$37),"",ReferenceData!$AA$37),"")</f>
        <v>20260</v>
      </c>
      <c r="AB37">
        <f ca="1">IFERROR(IF(0=LEN(ReferenceData!$AB$37),"",ReferenceData!$AB$37),"")</f>
        <v>0</v>
      </c>
      <c r="AC37">
        <f ca="1">IFERROR(IF(0=LEN(ReferenceData!$AC$37),"",ReferenceData!$AC$37),"")</f>
        <v>0</v>
      </c>
      <c r="AD37">
        <f ca="1">IFERROR(IF(0=LEN(ReferenceData!$AD$37),"",ReferenceData!$AD$37),"")</f>
        <v>0</v>
      </c>
      <c r="AE37">
        <f ca="1">IFERROR(IF(0=LEN(ReferenceData!$AE$37),"",ReferenceData!$AE$37),"")</f>
        <v>0</v>
      </c>
      <c r="AF37">
        <f ca="1">IFERROR(IF(0=LEN(ReferenceData!$AF$37),"",ReferenceData!$AF$37),"")</f>
        <v>0</v>
      </c>
      <c r="AG37">
        <f ca="1">IFERROR(IF(0=LEN(ReferenceData!$AG$37),"",ReferenceData!$AG$37),"")</f>
        <v>0</v>
      </c>
      <c r="AH37">
        <f ca="1">IFERROR(IF(0=LEN(ReferenceData!$AH$37),"",ReferenceData!$AH$37),"")</f>
        <v>0</v>
      </c>
      <c r="AI37">
        <f ca="1">IFERROR(IF(0=LEN(ReferenceData!$AI$37),"",ReferenceData!$AI$37),"")</f>
        <v>0</v>
      </c>
      <c r="AJ37">
        <f ca="1">IFERROR(IF(0=LEN(ReferenceData!$AJ$37),"",ReferenceData!$AJ$37),"")</f>
        <v>0</v>
      </c>
      <c r="AK37" t="str">
        <f ca="1">IFERROR(IF(0=LEN(ReferenceData!$AK$37),"",ReferenceData!$AK$37),"")</f>
        <v/>
      </c>
      <c r="AL37" t="str">
        <f ca="1">IFERROR(IF(0=LEN(ReferenceData!$AL$37),"",ReferenceData!$AL$37),"")</f>
        <v/>
      </c>
      <c r="AM37" t="str">
        <f ca="1">IFERROR(IF(0=LEN(ReferenceData!$AM$37),"",ReferenceData!$AM$37),"")</f>
        <v/>
      </c>
      <c r="AN37" t="str">
        <f ca="1">IFERROR(IF(0=LEN(ReferenceData!$AN$37),"",ReferenceData!$AN$37),"")</f>
        <v/>
      </c>
      <c r="AO37" t="str">
        <f ca="1">IFERROR(IF(0=LEN(ReferenceData!$AO$37),"",ReferenceData!$AO$37),"")</f>
        <v/>
      </c>
      <c r="AP37" t="str">
        <f ca="1">IFERROR(IF(0=LEN(ReferenceData!$AP$37),"",ReferenceData!$AP$37),"")</f>
        <v/>
      </c>
      <c r="AQ37" t="str">
        <f ca="1">IFERROR(IF(0=LEN(ReferenceData!$AQ$37),"",ReferenceData!$AQ$37),"")</f>
        <v/>
      </c>
      <c r="AR37" t="str">
        <f ca="1">IFERROR(IF(0=LEN(ReferenceData!$AR$37),"",ReferenceData!$AR$37),"")</f>
        <v/>
      </c>
      <c r="AS37" t="str">
        <f ca="1">IFERROR(IF(0=LEN(ReferenceData!$AS$37),"",ReferenceData!$AS$37),"")</f>
        <v/>
      </c>
    </row>
    <row r="38" spans="1:45" x14ac:dyDescent="0.2">
      <c r="A38" t="str">
        <f>IFERROR(IF(0=LEN(ReferenceData!$A$38),"",ReferenceData!$A$38),"")</f>
        <v xml:space="preserve">        Fed. Commercial Facilit. Construction (Mn USD)</v>
      </c>
      <c r="B38" t="str">
        <f>IFERROR(IF(0=LEN(ReferenceData!$B$38),"",ReferenceData!$B$38),"")</f>
        <v>FED1COMM Index</v>
      </c>
      <c r="C38" t="str">
        <f>IFERROR(IF(0=LEN(ReferenceData!$C$38),"",ReferenceData!$C$38),"")</f>
        <v>PX385</v>
      </c>
      <c r="D38" t="str">
        <f>IFERROR(IF(0=LEN(ReferenceData!$D$38),"",ReferenceData!$D$38),"")</f>
        <v>INTERVAL_SUM</v>
      </c>
      <c r="E38" t="str">
        <f>IFERROR(IF(0=LEN(ReferenceData!$E$38),"",ReferenceData!$E$38),"")</f>
        <v>Dynamic</v>
      </c>
      <c r="F38">
        <f ca="1">IFERROR(IF(0=LEN(ReferenceData!$F$38),"",ReferenceData!$F$38),"")</f>
        <v>19883</v>
      </c>
      <c r="G38">
        <f ca="1">IFERROR(IF(0=LEN(ReferenceData!$G$38),"",ReferenceData!$G$38),"")</f>
        <v>24565</v>
      </c>
      <c r="H38">
        <f ca="1">IFERROR(IF(0=LEN(ReferenceData!$H$38),"",ReferenceData!$H$38),"")</f>
        <v>19307</v>
      </c>
      <c r="I38">
        <f ca="1">IFERROR(IF(0=LEN(ReferenceData!$I$38),"",ReferenceData!$I$38),"")</f>
        <v>16772</v>
      </c>
      <c r="J38">
        <f ca="1">IFERROR(IF(0=LEN(ReferenceData!$J$38),"",ReferenceData!$J$38),"")</f>
        <v>20978</v>
      </c>
      <c r="K38">
        <f ca="1">IFERROR(IF(0=LEN(ReferenceData!$K$38),"",ReferenceData!$K$38),"")</f>
        <v>20078</v>
      </c>
      <c r="L38">
        <f ca="1">IFERROR(IF(0=LEN(ReferenceData!$L$38),"",ReferenceData!$L$38),"")</f>
        <v>19698</v>
      </c>
      <c r="M38">
        <f ca="1">IFERROR(IF(0=LEN(ReferenceData!$M$38),"",ReferenceData!$M$38),"")</f>
        <v>17572</v>
      </c>
      <c r="N38">
        <f ca="1">IFERROR(IF(0=LEN(ReferenceData!$N$38),"",ReferenceData!$N$38),"")</f>
        <v>12978</v>
      </c>
      <c r="O38">
        <f ca="1">IFERROR(IF(0=LEN(ReferenceData!$O$38),"",ReferenceData!$O$38),"")</f>
        <v>12642</v>
      </c>
      <c r="P38">
        <f ca="1">IFERROR(IF(0=LEN(ReferenceData!$P$38),"",ReferenceData!$P$38),"")</f>
        <v>13196</v>
      </c>
      <c r="Q38">
        <f ca="1">IFERROR(IF(0=LEN(ReferenceData!$Q$38),"",ReferenceData!$Q$38),"")</f>
        <v>19463</v>
      </c>
      <c r="R38">
        <f ca="1">IFERROR(IF(0=LEN(ReferenceData!$R$38),"",ReferenceData!$R$38),"")</f>
        <v>23627</v>
      </c>
      <c r="S38">
        <f ca="1">IFERROR(IF(0=LEN(ReferenceData!$S$38),"",ReferenceData!$S$38),"")</f>
        <v>17792</v>
      </c>
      <c r="T38">
        <f ca="1">IFERROR(IF(0=LEN(ReferenceData!$T$38),"",ReferenceData!$T$38),"")</f>
        <v>19209</v>
      </c>
      <c r="U38">
        <f ca="1">IFERROR(IF(0=LEN(ReferenceData!$U$38),"",ReferenceData!$U$38),"")</f>
        <v>19179</v>
      </c>
      <c r="V38">
        <f ca="1">IFERROR(IF(0=LEN(ReferenceData!$V$38),"",ReferenceData!$V$38),"")</f>
        <v>24603</v>
      </c>
      <c r="W38">
        <f ca="1">IFERROR(IF(0=LEN(ReferenceData!$W$38),"",ReferenceData!$W$38),"")</f>
        <v>21354</v>
      </c>
      <c r="X38">
        <f ca="1">IFERROR(IF(0=LEN(ReferenceData!$X$38),"",ReferenceData!$X$38),"")</f>
        <v>21450</v>
      </c>
      <c r="Y38">
        <f ca="1">IFERROR(IF(0=LEN(ReferenceData!$Y$38),"",ReferenceData!$Y$38),"")</f>
        <v>22480</v>
      </c>
      <c r="Z38">
        <f ca="1">IFERROR(IF(0=LEN(ReferenceData!$Z$38),"",ReferenceData!$Z$38),"")</f>
        <v>21713</v>
      </c>
      <c r="AA38">
        <f ca="1">IFERROR(IF(0=LEN(ReferenceData!$AA$38),"",ReferenceData!$AA$38),"")</f>
        <v>13049</v>
      </c>
      <c r="AB38">
        <f ca="1">IFERROR(IF(0=LEN(ReferenceData!$AB$38),"",ReferenceData!$AB$38),"")</f>
        <v>0</v>
      </c>
      <c r="AC38">
        <f ca="1">IFERROR(IF(0=LEN(ReferenceData!$AC$38),"",ReferenceData!$AC$38),"")</f>
        <v>0</v>
      </c>
      <c r="AD38">
        <f ca="1">IFERROR(IF(0=LEN(ReferenceData!$AD$38),"",ReferenceData!$AD$38),"")</f>
        <v>0</v>
      </c>
      <c r="AE38">
        <f ca="1">IFERROR(IF(0=LEN(ReferenceData!$AE$38),"",ReferenceData!$AE$38),"")</f>
        <v>0</v>
      </c>
      <c r="AF38">
        <f ca="1">IFERROR(IF(0=LEN(ReferenceData!$AF$38),"",ReferenceData!$AF$38),"")</f>
        <v>0</v>
      </c>
      <c r="AG38">
        <f ca="1">IFERROR(IF(0=LEN(ReferenceData!$AG$38),"",ReferenceData!$AG$38),"")</f>
        <v>0</v>
      </c>
      <c r="AH38">
        <f ca="1">IFERROR(IF(0=LEN(ReferenceData!$AH$38),"",ReferenceData!$AH$38),"")</f>
        <v>0</v>
      </c>
      <c r="AI38">
        <f ca="1">IFERROR(IF(0=LEN(ReferenceData!$AI$38),"",ReferenceData!$AI$38),"")</f>
        <v>0</v>
      </c>
      <c r="AJ38">
        <f ca="1">IFERROR(IF(0=LEN(ReferenceData!$AJ$38),"",ReferenceData!$AJ$38),"")</f>
        <v>0</v>
      </c>
      <c r="AK38" t="str">
        <f ca="1">IFERROR(IF(0=LEN(ReferenceData!$AK$38),"",ReferenceData!$AK$38),"")</f>
        <v/>
      </c>
      <c r="AL38" t="str">
        <f ca="1">IFERROR(IF(0=LEN(ReferenceData!$AL$38),"",ReferenceData!$AL$38),"")</f>
        <v/>
      </c>
      <c r="AM38" t="str">
        <f ca="1">IFERROR(IF(0=LEN(ReferenceData!$AM$38),"",ReferenceData!$AM$38),"")</f>
        <v/>
      </c>
      <c r="AN38" t="str">
        <f ca="1">IFERROR(IF(0=LEN(ReferenceData!$AN$38),"",ReferenceData!$AN$38),"")</f>
        <v/>
      </c>
      <c r="AO38" t="str">
        <f ca="1">IFERROR(IF(0=LEN(ReferenceData!$AO$38),"",ReferenceData!$AO$38),"")</f>
        <v/>
      </c>
      <c r="AP38" t="str">
        <f ca="1">IFERROR(IF(0=LEN(ReferenceData!$AP$38),"",ReferenceData!$AP$38),"")</f>
        <v/>
      </c>
      <c r="AQ38" t="str">
        <f ca="1">IFERROR(IF(0=LEN(ReferenceData!$AQ$38),"",ReferenceData!$AQ$38),"")</f>
        <v/>
      </c>
      <c r="AR38" t="str">
        <f ca="1">IFERROR(IF(0=LEN(ReferenceData!$AR$38),"",ReferenceData!$AR$38),"")</f>
        <v/>
      </c>
      <c r="AS38" t="str">
        <f ca="1">IFERROR(IF(0=LEN(ReferenceData!$AS$38),"",ReferenceData!$AS$38),"")</f>
        <v/>
      </c>
    </row>
    <row r="39" spans="1:45" x14ac:dyDescent="0.2">
      <c r="A39" t="str">
        <f>IFERROR(IF(0=LEN(ReferenceData!$A$39),"",ReferenceData!$A$39),"")</f>
        <v xml:space="preserve">        Fed. Residential Construction (Mn USD)</v>
      </c>
      <c r="B39" t="str">
        <f>IFERROR(IF(0=LEN(ReferenceData!$B$39),"",ReferenceData!$B$39),"")</f>
        <v>FED1RESI Index</v>
      </c>
      <c r="C39" t="str">
        <f>IFERROR(IF(0=LEN(ReferenceData!$C$39),"",ReferenceData!$C$39),"")</f>
        <v>PX385</v>
      </c>
      <c r="D39" t="str">
        <f>IFERROR(IF(0=LEN(ReferenceData!$D$39),"",ReferenceData!$D$39),"")</f>
        <v>INTERVAL_SUM</v>
      </c>
      <c r="E39" t="str">
        <f>IFERROR(IF(0=LEN(ReferenceData!$E$39),"",ReferenceData!$E$39),"")</f>
        <v>Dynamic</v>
      </c>
      <c r="F39">
        <f ca="1">IFERROR(IF(0=LEN(ReferenceData!$F$39),"",ReferenceData!$F$39),"")</f>
        <v>12480</v>
      </c>
      <c r="G39">
        <f ca="1">IFERROR(IF(0=LEN(ReferenceData!$G$39),"",ReferenceData!$G$39),"")</f>
        <v>16176</v>
      </c>
      <c r="H39">
        <f ca="1">IFERROR(IF(0=LEN(ReferenceData!$H$39),"",ReferenceData!$H$39),"")</f>
        <v>13548</v>
      </c>
      <c r="I39">
        <f ca="1">IFERROR(IF(0=LEN(ReferenceData!$I$39),"",ReferenceData!$I$39),"")</f>
        <v>13066</v>
      </c>
      <c r="J39">
        <f ca="1">IFERROR(IF(0=LEN(ReferenceData!$J$39),"",ReferenceData!$J$39),"")</f>
        <v>8944</v>
      </c>
      <c r="K39">
        <f ca="1">IFERROR(IF(0=LEN(ReferenceData!$K$39),"",ReferenceData!$K$39),"")</f>
        <v>6460</v>
      </c>
      <c r="L39">
        <f ca="1">IFERROR(IF(0=LEN(ReferenceData!$L$39),"",ReferenceData!$L$39),"")</f>
        <v>6045</v>
      </c>
      <c r="M39">
        <f ca="1">IFERROR(IF(0=LEN(ReferenceData!$M$39),"",ReferenceData!$M$39),"")</f>
        <v>8419</v>
      </c>
      <c r="N39">
        <f ca="1">IFERROR(IF(0=LEN(ReferenceData!$N$39),"",ReferenceData!$N$39),"")</f>
        <v>10722</v>
      </c>
      <c r="O39">
        <f ca="1">IFERROR(IF(0=LEN(ReferenceData!$O$39),"",ReferenceData!$O$39),"")</f>
        <v>11341</v>
      </c>
      <c r="P39">
        <f ca="1">IFERROR(IF(0=LEN(ReferenceData!$P$39),"",ReferenceData!$P$39),"")</f>
        <v>15623</v>
      </c>
      <c r="Q39">
        <f ca="1">IFERROR(IF(0=LEN(ReferenceData!$Q$39),"",ReferenceData!$Q$39),"")</f>
        <v>19217</v>
      </c>
      <c r="R39">
        <f ca="1">IFERROR(IF(0=LEN(ReferenceData!$R$39),"",ReferenceData!$R$39),"")</f>
        <v>30878</v>
      </c>
      <c r="S39">
        <f ca="1">IFERROR(IF(0=LEN(ReferenceData!$S$39),"",ReferenceData!$S$39),"")</f>
        <v>32477</v>
      </c>
      <c r="T39">
        <f ca="1">IFERROR(IF(0=LEN(ReferenceData!$T$39),"",ReferenceData!$T$39),"")</f>
        <v>27050</v>
      </c>
      <c r="U39">
        <f ca="1">IFERROR(IF(0=LEN(ReferenceData!$U$39),"",ReferenceData!$U$39),"")</f>
        <v>31093</v>
      </c>
      <c r="V39">
        <f ca="1">IFERROR(IF(0=LEN(ReferenceData!$V$39),"",ReferenceData!$V$39),"")</f>
        <v>25411</v>
      </c>
      <c r="W39">
        <f ca="1">IFERROR(IF(0=LEN(ReferenceData!$W$39),"",ReferenceData!$W$39),"")</f>
        <v>20815</v>
      </c>
      <c r="X39">
        <f ca="1">IFERROR(IF(0=LEN(ReferenceData!$X$39),"",ReferenceData!$X$39),"")</f>
        <v>18594</v>
      </c>
      <c r="Y39">
        <f ca="1">IFERROR(IF(0=LEN(ReferenceData!$Y$39),"",ReferenceData!$Y$39),"")</f>
        <v>16566</v>
      </c>
      <c r="Z39">
        <f ca="1">IFERROR(IF(0=LEN(ReferenceData!$Z$39),"",ReferenceData!$Z$39),"")</f>
        <v>17896</v>
      </c>
      <c r="AA39">
        <f ca="1">IFERROR(IF(0=LEN(ReferenceData!$AA$39),"",ReferenceData!$AA$39),"")</f>
        <v>18188</v>
      </c>
      <c r="AB39">
        <f ca="1">IFERROR(IF(0=LEN(ReferenceData!$AB$39),"",ReferenceData!$AB$39),"")</f>
        <v>0</v>
      </c>
      <c r="AC39">
        <f ca="1">IFERROR(IF(0=LEN(ReferenceData!$AC$39),"",ReferenceData!$AC$39),"")</f>
        <v>0</v>
      </c>
      <c r="AD39">
        <f ca="1">IFERROR(IF(0=LEN(ReferenceData!$AD$39),"",ReferenceData!$AD$39),"")</f>
        <v>0</v>
      </c>
      <c r="AE39">
        <f ca="1">IFERROR(IF(0=LEN(ReferenceData!$AE$39),"",ReferenceData!$AE$39),"")</f>
        <v>0</v>
      </c>
      <c r="AF39">
        <f ca="1">IFERROR(IF(0=LEN(ReferenceData!$AF$39),"",ReferenceData!$AF$39),"")</f>
        <v>0</v>
      </c>
      <c r="AG39">
        <f ca="1">IFERROR(IF(0=LEN(ReferenceData!$AG$39),"",ReferenceData!$AG$39),"")</f>
        <v>0</v>
      </c>
      <c r="AH39">
        <f ca="1">IFERROR(IF(0=LEN(ReferenceData!$AH$39),"",ReferenceData!$AH$39),"")</f>
        <v>0</v>
      </c>
      <c r="AI39">
        <f ca="1">IFERROR(IF(0=LEN(ReferenceData!$AI$39),"",ReferenceData!$AI$39),"")</f>
        <v>0</v>
      </c>
      <c r="AJ39">
        <f ca="1">IFERROR(IF(0=LEN(ReferenceData!$AJ$39),"",ReferenceData!$AJ$39),"")</f>
        <v>0</v>
      </c>
      <c r="AK39" t="str">
        <f ca="1">IFERROR(IF(0=LEN(ReferenceData!$AK$39),"",ReferenceData!$AK$39),"")</f>
        <v/>
      </c>
      <c r="AL39" t="str">
        <f ca="1">IFERROR(IF(0=LEN(ReferenceData!$AL$39),"",ReferenceData!$AL$39),"")</f>
        <v/>
      </c>
      <c r="AM39" t="str">
        <f ca="1">IFERROR(IF(0=LEN(ReferenceData!$AM$39),"",ReferenceData!$AM$39),"")</f>
        <v/>
      </c>
      <c r="AN39" t="str">
        <f ca="1">IFERROR(IF(0=LEN(ReferenceData!$AN$39),"",ReferenceData!$AN$39),"")</f>
        <v/>
      </c>
      <c r="AO39" t="str">
        <f ca="1">IFERROR(IF(0=LEN(ReferenceData!$AO$39),"",ReferenceData!$AO$39),"")</f>
        <v/>
      </c>
      <c r="AP39" t="str">
        <f ca="1">IFERROR(IF(0=LEN(ReferenceData!$AP$39),"",ReferenceData!$AP$39),"")</f>
        <v/>
      </c>
      <c r="AQ39" t="str">
        <f ca="1">IFERROR(IF(0=LEN(ReferenceData!$AQ$39),"",ReferenceData!$AQ$39),"")</f>
        <v/>
      </c>
      <c r="AR39" t="str">
        <f ca="1">IFERROR(IF(0=LEN(ReferenceData!$AR$39),"",ReferenceData!$AR$39),"")</f>
        <v/>
      </c>
      <c r="AS39" t="str">
        <f ca="1">IFERROR(IF(0=LEN(ReferenceData!$AS$39),"",ReferenceData!$AS$39),"")</f>
        <v/>
      </c>
    </row>
    <row r="40" spans="1:45" x14ac:dyDescent="0.2">
      <c r="A40" t="str">
        <f>IFERROR(IF(0=LEN(ReferenceData!$A$40),"",ReferenceData!$A$40),"")</f>
        <v xml:space="preserve">        Fed. Non-Residential Construction (Mn USD)</v>
      </c>
      <c r="B40" t="str">
        <f>IFERROR(IF(0=LEN(ReferenceData!$B$40),"",ReferenceData!$B$40),"")</f>
        <v>FED1NRES Index</v>
      </c>
      <c r="C40" t="str">
        <f>IFERROR(IF(0=LEN(ReferenceData!$C$40),"",ReferenceData!$C$40),"")</f>
        <v>PX385</v>
      </c>
      <c r="D40" t="str">
        <f>IFERROR(IF(0=LEN(ReferenceData!$D$40),"",ReferenceData!$D$40),"")</f>
        <v>INTERVAL_SUM</v>
      </c>
      <c r="E40" t="str">
        <f>IFERROR(IF(0=LEN(ReferenceData!$E$40),"",ReferenceData!$E$40),"")</f>
        <v>Dynamic</v>
      </c>
      <c r="F40">
        <f ca="1">IFERROR(IF(0=LEN(ReferenceData!$F$40),"",ReferenceData!$F$40),"")</f>
        <v>290418</v>
      </c>
      <c r="G40">
        <f ca="1">IFERROR(IF(0=LEN(ReferenceData!$G$40),"",ReferenceData!$G$40),"")</f>
        <v>329281</v>
      </c>
      <c r="H40">
        <f ca="1">IFERROR(IF(0=LEN(ReferenceData!$H$40),"",ReferenceData!$H$40),"")</f>
        <v>286666</v>
      </c>
      <c r="I40">
        <f ca="1">IFERROR(IF(0=LEN(ReferenceData!$I$40),"",ReferenceData!$I$40),"")</f>
        <v>332771</v>
      </c>
      <c r="J40">
        <f ca="1">IFERROR(IF(0=LEN(ReferenceData!$J$40),"",ReferenceData!$J$40),"")</f>
        <v>306613</v>
      </c>
      <c r="K40">
        <f ca="1">IFERROR(IF(0=LEN(ReferenceData!$K$40),"",ReferenceData!$K$40),"")</f>
        <v>256677</v>
      </c>
      <c r="L40">
        <f ca="1">IFERROR(IF(0=LEN(ReferenceData!$L$40),"",ReferenceData!$L$40),"")</f>
        <v>249792</v>
      </c>
      <c r="M40">
        <f ca="1">IFERROR(IF(0=LEN(ReferenceData!$M$40),"",ReferenceData!$M$40),"")</f>
        <v>258306</v>
      </c>
      <c r="N40">
        <f ca="1">IFERROR(IF(0=LEN(ReferenceData!$N$40),"",ReferenceData!$N$40),"")</f>
        <v>259418</v>
      </c>
      <c r="O40">
        <f ca="1">IFERROR(IF(0=LEN(ReferenceData!$O$40),"",ReferenceData!$O$40),"")</f>
        <v>257531</v>
      </c>
      <c r="P40">
        <f ca="1">IFERROR(IF(0=LEN(ReferenceData!$P$40),"",ReferenceData!$P$40),"")</f>
        <v>269210</v>
      </c>
      <c r="Q40">
        <f ca="1">IFERROR(IF(0=LEN(ReferenceData!$Q$40),"",ReferenceData!$Q$40),"")</f>
        <v>304501</v>
      </c>
      <c r="R40">
        <f ca="1">IFERROR(IF(0=LEN(ReferenceData!$R$40),"",ReferenceData!$R$40),"")</f>
        <v>348870</v>
      </c>
      <c r="S40">
        <f ca="1">IFERROR(IF(0=LEN(ReferenceData!$S$40),"",ReferenceData!$S$40),"")</f>
        <v>338995</v>
      </c>
      <c r="T40">
        <f ca="1">IFERROR(IF(0=LEN(ReferenceData!$T$40),"",ReferenceData!$T$40),"")</f>
        <v>314581</v>
      </c>
      <c r="U40">
        <f ca="1">IFERROR(IF(0=LEN(ReferenceData!$U$40),"",ReferenceData!$U$40),"")</f>
        <v>252828</v>
      </c>
      <c r="V40">
        <f ca="1">IFERROR(IF(0=LEN(ReferenceData!$V$40),"",ReferenceData!$V$40),"")</f>
        <v>220854</v>
      </c>
      <c r="W40">
        <f ca="1">IFERROR(IF(0=LEN(ReferenceData!$W$40),"",ReferenceData!$W$40),"")</f>
        <v>190958</v>
      </c>
      <c r="X40">
        <f ca="1">IFERROR(IF(0=LEN(ReferenceData!$X$40),"",ReferenceData!$X$40),"")</f>
        <v>188233</v>
      </c>
      <c r="Y40">
        <f ca="1">IFERROR(IF(0=LEN(ReferenceData!$Y$40),"",ReferenceData!$Y$40),"")</f>
        <v>201938</v>
      </c>
      <c r="Z40">
        <f ca="1">IFERROR(IF(0=LEN(ReferenceData!$Z$40),"",ReferenceData!$Z$40),"")</f>
        <v>196585</v>
      </c>
      <c r="AA40">
        <f ca="1">IFERROR(IF(0=LEN(ReferenceData!$AA$40),"",ReferenceData!$AA$40),"")</f>
        <v>180970</v>
      </c>
      <c r="AB40">
        <f ca="1">IFERROR(IF(0=LEN(ReferenceData!$AB$40),"",ReferenceData!$AB$40),"")</f>
        <v>0</v>
      </c>
      <c r="AC40">
        <f ca="1">IFERROR(IF(0=LEN(ReferenceData!$AC$40),"",ReferenceData!$AC$40),"")</f>
        <v>0</v>
      </c>
      <c r="AD40">
        <f ca="1">IFERROR(IF(0=LEN(ReferenceData!$AD$40),"",ReferenceData!$AD$40),"")</f>
        <v>0</v>
      </c>
      <c r="AE40">
        <f ca="1">IFERROR(IF(0=LEN(ReferenceData!$AE$40),"",ReferenceData!$AE$40),"")</f>
        <v>0</v>
      </c>
      <c r="AF40">
        <f ca="1">IFERROR(IF(0=LEN(ReferenceData!$AF$40),"",ReferenceData!$AF$40),"")</f>
        <v>0</v>
      </c>
      <c r="AG40">
        <f ca="1">IFERROR(IF(0=LEN(ReferenceData!$AG$40),"",ReferenceData!$AG$40),"")</f>
        <v>0</v>
      </c>
      <c r="AH40">
        <f ca="1">IFERROR(IF(0=LEN(ReferenceData!$AH$40),"",ReferenceData!$AH$40),"")</f>
        <v>0</v>
      </c>
      <c r="AI40">
        <f ca="1">IFERROR(IF(0=LEN(ReferenceData!$AI$40),"",ReferenceData!$AI$40),"")</f>
        <v>0</v>
      </c>
      <c r="AJ40">
        <f ca="1">IFERROR(IF(0=LEN(ReferenceData!$AJ$40),"",ReferenceData!$AJ$40),"")</f>
        <v>0</v>
      </c>
      <c r="AK40" t="str">
        <f ca="1">IFERROR(IF(0=LEN(ReferenceData!$AK$40),"",ReferenceData!$AK$40),"")</f>
        <v/>
      </c>
      <c r="AL40" t="str">
        <f ca="1">IFERROR(IF(0=LEN(ReferenceData!$AL$40),"",ReferenceData!$AL$40),"")</f>
        <v/>
      </c>
      <c r="AM40" t="str">
        <f ca="1">IFERROR(IF(0=LEN(ReferenceData!$AM$40),"",ReferenceData!$AM$40),"")</f>
        <v/>
      </c>
      <c r="AN40" t="str">
        <f ca="1">IFERROR(IF(0=LEN(ReferenceData!$AN$40),"",ReferenceData!$AN$40),"")</f>
        <v/>
      </c>
      <c r="AO40" t="str">
        <f ca="1">IFERROR(IF(0=LEN(ReferenceData!$AO$40),"",ReferenceData!$AO$40),"")</f>
        <v/>
      </c>
      <c r="AP40" t="str">
        <f ca="1">IFERROR(IF(0=LEN(ReferenceData!$AP$40),"",ReferenceData!$AP$40),"")</f>
        <v/>
      </c>
      <c r="AQ40" t="str">
        <f ca="1">IFERROR(IF(0=LEN(ReferenceData!$AQ$40),"",ReferenceData!$AQ$40),"")</f>
        <v/>
      </c>
      <c r="AR40" t="str">
        <f ca="1">IFERROR(IF(0=LEN(ReferenceData!$AR$40),"",ReferenceData!$AR$40),"")</f>
        <v/>
      </c>
      <c r="AS40" t="str">
        <f ca="1">IFERROR(IF(0=LEN(ReferenceData!$AS$40),"",ReferenceData!$AS$40),"")</f>
        <v/>
      </c>
    </row>
    <row r="41" spans="1:45" x14ac:dyDescent="0.2">
      <c r="A41" t="str">
        <f>IFERROR(IF(0=LEN(ReferenceData!$A$41),"",ReferenceData!$A$41),"")</f>
        <v xml:space="preserve">        Fed. Office Construction (Mn USD)</v>
      </c>
      <c r="B41" t="str">
        <f>IFERROR(IF(0=LEN(ReferenceData!$B$41),"",ReferenceData!$B$41),"")</f>
        <v>FED1OFFI Index</v>
      </c>
      <c r="C41" t="str">
        <f>IFERROR(IF(0=LEN(ReferenceData!$C$41),"",ReferenceData!$C$41),"")</f>
        <v>PX385</v>
      </c>
      <c r="D41" t="str">
        <f>IFERROR(IF(0=LEN(ReferenceData!$D$41),"",ReferenceData!$D$41),"")</f>
        <v>INTERVAL_SUM</v>
      </c>
      <c r="E41" t="str">
        <f>IFERROR(IF(0=LEN(ReferenceData!$E$41),"",ReferenceData!$E$41),"")</f>
        <v>Dynamic</v>
      </c>
      <c r="F41">
        <f ca="1">IFERROR(IF(0=LEN(ReferenceData!$F$41),"",ReferenceData!$F$41),"")</f>
        <v>33671</v>
      </c>
      <c r="G41">
        <f ca="1">IFERROR(IF(0=LEN(ReferenceData!$G$41),"",ReferenceData!$G$41),"")</f>
        <v>39655</v>
      </c>
      <c r="H41">
        <f ca="1">IFERROR(IF(0=LEN(ReferenceData!$H$41),"",ReferenceData!$H$41),"")</f>
        <v>37478</v>
      </c>
      <c r="I41">
        <f ca="1">IFERROR(IF(0=LEN(ReferenceData!$I$41),"",ReferenceData!$I$41),"")</f>
        <v>30559</v>
      </c>
      <c r="J41">
        <f ca="1">IFERROR(IF(0=LEN(ReferenceData!$J$41),"",ReferenceData!$J$41),"")</f>
        <v>37755</v>
      </c>
      <c r="K41">
        <f ca="1">IFERROR(IF(0=LEN(ReferenceData!$K$41),"",ReferenceData!$K$41),"")</f>
        <v>34948</v>
      </c>
      <c r="L41">
        <f ca="1">IFERROR(IF(0=LEN(ReferenceData!$L$41),"",ReferenceData!$L$41),"")</f>
        <v>32694</v>
      </c>
      <c r="M41">
        <f ca="1">IFERROR(IF(0=LEN(ReferenceData!$M$41),"",ReferenceData!$M$41),"")</f>
        <v>29228</v>
      </c>
      <c r="N41">
        <f ca="1">IFERROR(IF(0=LEN(ReferenceData!$N$41),"",ReferenceData!$N$41),"")</f>
        <v>26828</v>
      </c>
      <c r="O41">
        <f ca="1">IFERROR(IF(0=LEN(ReferenceData!$O$41),"",ReferenceData!$O$41),"")</f>
        <v>27484</v>
      </c>
      <c r="P41">
        <f ca="1">IFERROR(IF(0=LEN(ReferenceData!$P$41),"",ReferenceData!$P$41),"")</f>
        <v>31655</v>
      </c>
      <c r="Q41">
        <f ca="1">IFERROR(IF(0=LEN(ReferenceData!$Q$41),"",ReferenceData!$Q$41),"")</f>
        <v>51663</v>
      </c>
      <c r="R41">
        <f ca="1">IFERROR(IF(0=LEN(ReferenceData!$R$41),"",ReferenceData!$R$41),"")</f>
        <v>57776</v>
      </c>
      <c r="S41">
        <f ca="1">IFERROR(IF(0=LEN(ReferenceData!$S$41),"",ReferenceData!$S$41),"")</f>
        <v>61771</v>
      </c>
      <c r="T41">
        <f ca="1">IFERROR(IF(0=LEN(ReferenceData!$T$41),"",ReferenceData!$T$41),"")</f>
        <v>65594</v>
      </c>
      <c r="U41">
        <f ca="1">IFERROR(IF(0=LEN(ReferenceData!$U$41),"",ReferenceData!$U$41),"")</f>
        <v>54342</v>
      </c>
      <c r="V41">
        <f ca="1">IFERROR(IF(0=LEN(ReferenceData!$V$41),"",ReferenceData!$V$41),"")</f>
        <v>50211</v>
      </c>
      <c r="W41">
        <f ca="1">IFERROR(IF(0=LEN(ReferenceData!$W$41),"",ReferenceData!$W$41),"")</f>
        <v>35174</v>
      </c>
      <c r="X41">
        <f ca="1">IFERROR(IF(0=LEN(ReferenceData!$X$41),"",ReferenceData!$X$41),"")</f>
        <v>39343</v>
      </c>
      <c r="Y41">
        <f ca="1">IFERROR(IF(0=LEN(ReferenceData!$Y$41),"",ReferenceData!$Y$41),"")</f>
        <v>41660</v>
      </c>
      <c r="Z41">
        <f ca="1">IFERROR(IF(0=LEN(ReferenceData!$Z$41),"",ReferenceData!$Z$41),"")</f>
        <v>32668</v>
      </c>
      <c r="AA41">
        <f ca="1">IFERROR(IF(0=LEN(ReferenceData!$AA$41),"",ReferenceData!$AA$41),"")</f>
        <v>32700</v>
      </c>
      <c r="AB41">
        <f ca="1">IFERROR(IF(0=LEN(ReferenceData!$AB$41),"",ReferenceData!$AB$41),"")</f>
        <v>0</v>
      </c>
      <c r="AC41">
        <f ca="1">IFERROR(IF(0=LEN(ReferenceData!$AC$41),"",ReferenceData!$AC$41),"")</f>
        <v>0</v>
      </c>
      <c r="AD41">
        <f ca="1">IFERROR(IF(0=LEN(ReferenceData!$AD$41),"",ReferenceData!$AD$41),"")</f>
        <v>0</v>
      </c>
      <c r="AE41">
        <f ca="1">IFERROR(IF(0=LEN(ReferenceData!$AE$41),"",ReferenceData!$AE$41),"")</f>
        <v>0</v>
      </c>
      <c r="AF41">
        <f ca="1">IFERROR(IF(0=LEN(ReferenceData!$AF$41),"",ReferenceData!$AF$41),"")</f>
        <v>0</v>
      </c>
      <c r="AG41">
        <f ca="1">IFERROR(IF(0=LEN(ReferenceData!$AG$41),"",ReferenceData!$AG$41),"")</f>
        <v>0</v>
      </c>
      <c r="AH41">
        <f ca="1">IFERROR(IF(0=LEN(ReferenceData!$AH$41),"",ReferenceData!$AH$41),"")</f>
        <v>0</v>
      </c>
      <c r="AI41">
        <f ca="1">IFERROR(IF(0=LEN(ReferenceData!$AI$41),"",ReferenceData!$AI$41),"")</f>
        <v>0</v>
      </c>
      <c r="AJ41">
        <f ca="1">IFERROR(IF(0=LEN(ReferenceData!$AJ$41),"",ReferenceData!$AJ$41),"")</f>
        <v>0</v>
      </c>
      <c r="AK41" t="str">
        <f ca="1">IFERROR(IF(0=LEN(ReferenceData!$AK$41),"",ReferenceData!$AK$41),"")</f>
        <v/>
      </c>
      <c r="AL41" t="str">
        <f ca="1">IFERROR(IF(0=LEN(ReferenceData!$AL$41),"",ReferenceData!$AL$41),"")</f>
        <v/>
      </c>
      <c r="AM41" t="str">
        <f ca="1">IFERROR(IF(0=LEN(ReferenceData!$AM$41),"",ReferenceData!$AM$41),"")</f>
        <v/>
      </c>
      <c r="AN41" t="str">
        <f ca="1">IFERROR(IF(0=LEN(ReferenceData!$AN$41),"",ReferenceData!$AN$41),"")</f>
        <v/>
      </c>
      <c r="AO41" t="str">
        <f ca="1">IFERROR(IF(0=LEN(ReferenceData!$AO$41),"",ReferenceData!$AO$41),"")</f>
        <v/>
      </c>
      <c r="AP41" t="str">
        <f ca="1">IFERROR(IF(0=LEN(ReferenceData!$AP$41),"",ReferenceData!$AP$41),"")</f>
        <v/>
      </c>
      <c r="AQ41" t="str">
        <f ca="1">IFERROR(IF(0=LEN(ReferenceData!$AQ$41),"",ReferenceData!$AQ$41),"")</f>
        <v/>
      </c>
      <c r="AR41" t="str">
        <f ca="1">IFERROR(IF(0=LEN(ReferenceData!$AR$41),"",ReferenceData!$AR$41),"")</f>
        <v/>
      </c>
      <c r="AS41" t="str">
        <f ca="1">IFERROR(IF(0=LEN(ReferenceData!$AS$41),"",ReferenceData!$AS$41),"")</f>
        <v/>
      </c>
    </row>
    <row r="42" spans="1:45" x14ac:dyDescent="0.2">
      <c r="A42" t="str">
        <f>IFERROR(IF(0=LEN(ReferenceData!$A$42),"",ReferenceData!$A$42),"")</f>
        <v xml:space="preserve">        Fed. Healthcare Construction (Mn USD)</v>
      </c>
      <c r="B42" t="str">
        <f>IFERROR(IF(0=LEN(ReferenceData!$B$42),"",ReferenceData!$B$42),"")</f>
        <v>FED1HCAR Index</v>
      </c>
      <c r="C42" t="str">
        <f>IFERROR(IF(0=LEN(ReferenceData!$C$42),"",ReferenceData!$C$42),"")</f>
        <v>PX385</v>
      </c>
      <c r="D42" t="str">
        <f>IFERROR(IF(0=LEN(ReferenceData!$D$42),"",ReferenceData!$D$42),"")</f>
        <v>INTERVAL_SUM</v>
      </c>
      <c r="E42" t="str">
        <f>IFERROR(IF(0=LEN(ReferenceData!$E$42),"",ReferenceData!$E$42),"")</f>
        <v>Dynamic</v>
      </c>
      <c r="F42">
        <f ca="1">IFERROR(IF(0=LEN(ReferenceData!$F$42),"",ReferenceData!$F$42),"")</f>
        <v>34241</v>
      </c>
      <c r="G42">
        <f ca="1">IFERROR(IF(0=LEN(ReferenceData!$G$42),"",ReferenceData!$G$42),"")</f>
        <v>39249</v>
      </c>
      <c r="H42">
        <f ca="1">IFERROR(IF(0=LEN(ReferenceData!$H$42),"",ReferenceData!$H$42),"")</f>
        <v>31055</v>
      </c>
      <c r="I42">
        <f ca="1">IFERROR(IF(0=LEN(ReferenceData!$I$42),"",ReferenceData!$I$42),"")</f>
        <v>31449</v>
      </c>
      <c r="J42">
        <f ca="1">IFERROR(IF(0=LEN(ReferenceData!$J$42),"",ReferenceData!$J$42),"")</f>
        <v>36172</v>
      </c>
      <c r="K42">
        <f ca="1">IFERROR(IF(0=LEN(ReferenceData!$K$42),"",ReferenceData!$K$42),"")</f>
        <v>35802</v>
      </c>
      <c r="L42">
        <f ca="1">IFERROR(IF(0=LEN(ReferenceData!$L$42),"",ReferenceData!$L$42),"")</f>
        <v>38882</v>
      </c>
      <c r="M42">
        <f ca="1">IFERROR(IF(0=LEN(ReferenceData!$M$42),"",ReferenceData!$M$42),"")</f>
        <v>36821</v>
      </c>
      <c r="N42">
        <f ca="1">IFERROR(IF(0=LEN(ReferenceData!$N$42),"",ReferenceData!$N$42),"")</f>
        <v>38291</v>
      </c>
      <c r="O42">
        <f ca="1">IFERROR(IF(0=LEN(ReferenceData!$O$42),"",ReferenceData!$O$42),"")</f>
        <v>43272</v>
      </c>
      <c r="P42">
        <f ca="1">IFERROR(IF(0=LEN(ReferenceData!$P$42),"",ReferenceData!$P$42),"")</f>
        <v>48705</v>
      </c>
      <c r="Q42">
        <f ca="1">IFERROR(IF(0=LEN(ReferenceData!$Q$42),"",ReferenceData!$Q$42),"")</f>
        <v>48851</v>
      </c>
      <c r="R42">
        <f ca="1">IFERROR(IF(0=LEN(ReferenceData!$R$42),"",ReferenceData!$R$42),"")</f>
        <v>51425</v>
      </c>
      <c r="S42">
        <f ca="1">IFERROR(IF(0=LEN(ReferenceData!$S$42),"",ReferenceData!$S$42),"")</f>
        <v>42951</v>
      </c>
      <c r="T42">
        <f ca="1">IFERROR(IF(0=LEN(ReferenceData!$T$42),"",ReferenceData!$T$42),"")</f>
        <v>32302</v>
      </c>
      <c r="U42">
        <f ca="1">IFERROR(IF(0=LEN(ReferenceData!$U$42),"",ReferenceData!$U$42),"")</f>
        <v>17490</v>
      </c>
      <c r="V42">
        <f ca="1">IFERROR(IF(0=LEN(ReferenceData!$V$42),"",ReferenceData!$V$42),"")</f>
        <v>13861</v>
      </c>
      <c r="W42">
        <f ca="1">IFERROR(IF(0=LEN(ReferenceData!$W$42),"",ReferenceData!$W$42),"")</f>
        <v>10177</v>
      </c>
      <c r="X42">
        <f ca="1">IFERROR(IF(0=LEN(ReferenceData!$X$42),"",ReferenceData!$X$42),"")</f>
        <v>10546</v>
      </c>
      <c r="Y42">
        <f ca="1">IFERROR(IF(0=LEN(ReferenceData!$Y$42),"",ReferenceData!$Y$42),"")</f>
        <v>10639</v>
      </c>
      <c r="Z42">
        <f ca="1">IFERROR(IF(0=LEN(ReferenceData!$Z$42),"",ReferenceData!$Z$42),"")</f>
        <v>13226</v>
      </c>
      <c r="AA42">
        <f ca="1">IFERROR(IF(0=LEN(ReferenceData!$AA$42),"",ReferenceData!$AA$42),"")</f>
        <v>14570</v>
      </c>
      <c r="AB42">
        <f ca="1">IFERROR(IF(0=LEN(ReferenceData!$AB$42),"",ReferenceData!$AB$42),"")</f>
        <v>0</v>
      </c>
      <c r="AC42">
        <f ca="1">IFERROR(IF(0=LEN(ReferenceData!$AC$42),"",ReferenceData!$AC$42),"")</f>
        <v>0</v>
      </c>
      <c r="AD42">
        <f ca="1">IFERROR(IF(0=LEN(ReferenceData!$AD$42),"",ReferenceData!$AD$42),"")</f>
        <v>0</v>
      </c>
      <c r="AE42">
        <f ca="1">IFERROR(IF(0=LEN(ReferenceData!$AE$42),"",ReferenceData!$AE$42),"")</f>
        <v>0</v>
      </c>
      <c r="AF42">
        <f ca="1">IFERROR(IF(0=LEN(ReferenceData!$AF$42),"",ReferenceData!$AF$42),"")</f>
        <v>0</v>
      </c>
      <c r="AG42">
        <f ca="1">IFERROR(IF(0=LEN(ReferenceData!$AG$42),"",ReferenceData!$AG$42),"")</f>
        <v>0</v>
      </c>
      <c r="AH42">
        <f ca="1">IFERROR(IF(0=LEN(ReferenceData!$AH$42),"",ReferenceData!$AH$42),"")</f>
        <v>0</v>
      </c>
      <c r="AI42">
        <f ca="1">IFERROR(IF(0=LEN(ReferenceData!$AI$42),"",ReferenceData!$AI$42),"")</f>
        <v>0</v>
      </c>
      <c r="AJ42">
        <f ca="1">IFERROR(IF(0=LEN(ReferenceData!$AJ$42),"",ReferenceData!$AJ$42),"")</f>
        <v>0</v>
      </c>
      <c r="AK42" t="str">
        <f ca="1">IFERROR(IF(0=LEN(ReferenceData!$AK$42),"",ReferenceData!$AK$42),"")</f>
        <v/>
      </c>
      <c r="AL42" t="str">
        <f ca="1">IFERROR(IF(0=LEN(ReferenceData!$AL$42),"",ReferenceData!$AL$42),"")</f>
        <v/>
      </c>
      <c r="AM42" t="str">
        <f ca="1">IFERROR(IF(0=LEN(ReferenceData!$AM$42),"",ReferenceData!$AM$42),"")</f>
        <v/>
      </c>
      <c r="AN42" t="str">
        <f ca="1">IFERROR(IF(0=LEN(ReferenceData!$AN$42),"",ReferenceData!$AN$42),"")</f>
        <v/>
      </c>
      <c r="AO42" t="str">
        <f ca="1">IFERROR(IF(0=LEN(ReferenceData!$AO$42),"",ReferenceData!$AO$42),"")</f>
        <v/>
      </c>
      <c r="AP42" t="str">
        <f ca="1">IFERROR(IF(0=LEN(ReferenceData!$AP$42),"",ReferenceData!$AP$42),"")</f>
        <v/>
      </c>
      <c r="AQ42" t="str">
        <f ca="1">IFERROR(IF(0=LEN(ReferenceData!$AQ$42),"",ReferenceData!$AQ$42),"")</f>
        <v/>
      </c>
      <c r="AR42" t="str">
        <f ca="1">IFERROR(IF(0=LEN(ReferenceData!$AR$42),"",ReferenceData!$AR$42),"")</f>
        <v/>
      </c>
      <c r="AS42" t="str">
        <f ca="1">IFERROR(IF(0=LEN(ReferenceData!$AS$42),"",ReferenceData!$AS$42),"")</f>
        <v/>
      </c>
    </row>
    <row r="43" spans="1:45" x14ac:dyDescent="0.2">
      <c r="A43" t="str">
        <f>IFERROR(IF(0=LEN(ReferenceData!$A$43),"",ReferenceData!$A$43),"")</f>
        <v xml:space="preserve">        Fed. Education Facilit. Construction (Mn USD)</v>
      </c>
      <c r="B43" t="str">
        <f>IFERROR(IF(0=LEN(ReferenceData!$B$43),"",ReferenceData!$B$43),"")</f>
        <v>FED1EDUC Index</v>
      </c>
      <c r="C43" t="str">
        <f>IFERROR(IF(0=LEN(ReferenceData!$C$43),"",ReferenceData!$C$43),"")</f>
        <v>PX385</v>
      </c>
      <c r="D43" t="str">
        <f>IFERROR(IF(0=LEN(ReferenceData!$D$43),"",ReferenceData!$D$43),"")</f>
        <v>INTERVAL_SUM</v>
      </c>
      <c r="E43" t="str">
        <f>IFERROR(IF(0=LEN(ReferenceData!$E$43),"",ReferenceData!$E$43),"")</f>
        <v>Dynamic</v>
      </c>
      <c r="F43">
        <f ca="1">IFERROR(IF(0=LEN(ReferenceData!$F$43),"",ReferenceData!$F$43),"")</f>
        <v>19522</v>
      </c>
      <c r="G43">
        <f ca="1">IFERROR(IF(0=LEN(ReferenceData!$G$43),"",ReferenceData!$G$43),"")</f>
        <v>19989</v>
      </c>
      <c r="H43">
        <f ca="1">IFERROR(IF(0=LEN(ReferenceData!$H$43),"",ReferenceData!$H$43),"")</f>
        <v>16023</v>
      </c>
      <c r="I43">
        <f ca="1">IFERROR(IF(0=LEN(ReferenceData!$I$43),"",ReferenceData!$I$43),"")</f>
        <v>18413</v>
      </c>
      <c r="J43">
        <f ca="1">IFERROR(IF(0=LEN(ReferenceData!$J$43),"",ReferenceData!$J$43),"")</f>
        <v>26029</v>
      </c>
      <c r="K43">
        <f ca="1">IFERROR(IF(0=LEN(ReferenceData!$K$43),"",ReferenceData!$K$43),"")</f>
        <v>20334</v>
      </c>
      <c r="L43">
        <f ca="1">IFERROR(IF(0=LEN(ReferenceData!$L$43),"",ReferenceData!$L$43),"")</f>
        <v>17572</v>
      </c>
      <c r="M43">
        <f ca="1">IFERROR(IF(0=LEN(ReferenceData!$M$43),"",ReferenceData!$M$43),"")</f>
        <v>20285</v>
      </c>
      <c r="N43">
        <f ca="1">IFERROR(IF(0=LEN(ReferenceData!$N$43),"",ReferenceData!$N$43),"")</f>
        <v>22459</v>
      </c>
      <c r="O43">
        <f ca="1">IFERROR(IF(0=LEN(ReferenceData!$O$43),"",ReferenceData!$O$43),"")</f>
        <v>23215</v>
      </c>
      <c r="P43">
        <f ca="1">IFERROR(IF(0=LEN(ReferenceData!$P$43),"",ReferenceData!$P$43),"")</f>
        <v>25386</v>
      </c>
      <c r="Q43">
        <f ca="1">IFERROR(IF(0=LEN(ReferenceData!$Q$43),"",ReferenceData!$Q$43),"")</f>
        <v>29101</v>
      </c>
      <c r="R43">
        <f ca="1">IFERROR(IF(0=LEN(ReferenceData!$R$43),"",ReferenceData!$R$43),"")</f>
        <v>35399</v>
      </c>
      <c r="S43">
        <f ca="1">IFERROR(IF(0=LEN(ReferenceData!$S$43),"",ReferenceData!$S$43),"")</f>
        <v>36227</v>
      </c>
      <c r="T43">
        <f ca="1">IFERROR(IF(0=LEN(ReferenceData!$T$43),"",ReferenceData!$T$43),"")</f>
        <v>31471</v>
      </c>
      <c r="U43">
        <f ca="1">IFERROR(IF(0=LEN(ReferenceData!$U$43),"",ReferenceData!$U$43),"")</f>
        <v>21149</v>
      </c>
      <c r="V43">
        <f ca="1">IFERROR(IF(0=LEN(ReferenceData!$V$43),"",ReferenceData!$V$43),"")</f>
        <v>20400</v>
      </c>
      <c r="W43">
        <f ca="1">IFERROR(IF(0=LEN(ReferenceData!$W$43),"",ReferenceData!$W$43),"")</f>
        <v>15614</v>
      </c>
      <c r="X43">
        <f ca="1">IFERROR(IF(0=LEN(ReferenceData!$X$43),"",ReferenceData!$X$43),"")</f>
        <v>13852</v>
      </c>
      <c r="Y43">
        <f ca="1">IFERROR(IF(0=LEN(ReferenceData!$Y$43),"",ReferenceData!$Y$43),"")</f>
        <v>21595</v>
      </c>
      <c r="Z43">
        <f ca="1">IFERROR(IF(0=LEN(ReferenceData!$Z$43),"",ReferenceData!$Z$43),"")</f>
        <v>18430</v>
      </c>
      <c r="AA43">
        <f ca="1">IFERROR(IF(0=LEN(ReferenceData!$AA$43),"",ReferenceData!$AA$43),"")</f>
        <v>15463</v>
      </c>
      <c r="AB43">
        <f ca="1">IFERROR(IF(0=LEN(ReferenceData!$AB$43),"",ReferenceData!$AB$43),"")</f>
        <v>0</v>
      </c>
      <c r="AC43">
        <f ca="1">IFERROR(IF(0=LEN(ReferenceData!$AC$43),"",ReferenceData!$AC$43),"")</f>
        <v>0</v>
      </c>
      <c r="AD43">
        <f ca="1">IFERROR(IF(0=LEN(ReferenceData!$AD$43),"",ReferenceData!$AD$43),"")</f>
        <v>0</v>
      </c>
      <c r="AE43">
        <f ca="1">IFERROR(IF(0=LEN(ReferenceData!$AE$43),"",ReferenceData!$AE$43),"")</f>
        <v>0</v>
      </c>
      <c r="AF43">
        <f ca="1">IFERROR(IF(0=LEN(ReferenceData!$AF$43),"",ReferenceData!$AF$43),"")</f>
        <v>0</v>
      </c>
      <c r="AG43">
        <f ca="1">IFERROR(IF(0=LEN(ReferenceData!$AG$43),"",ReferenceData!$AG$43),"")</f>
        <v>0</v>
      </c>
      <c r="AH43">
        <f ca="1">IFERROR(IF(0=LEN(ReferenceData!$AH$43),"",ReferenceData!$AH$43),"")</f>
        <v>0</v>
      </c>
      <c r="AI43">
        <f ca="1">IFERROR(IF(0=LEN(ReferenceData!$AI$43),"",ReferenceData!$AI$43),"")</f>
        <v>0</v>
      </c>
      <c r="AJ43">
        <f ca="1">IFERROR(IF(0=LEN(ReferenceData!$AJ$43),"",ReferenceData!$AJ$43),"")</f>
        <v>0</v>
      </c>
      <c r="AK43" t="str">
        <f ca="1">IFERROR(IF(0=LEN(ReferenceData!$AK$43),"",ReferenceData!$AK$43),"")</f>
        <v/>
      </c>
      <c r="AL43" t="str">
        <f ca="1">IFERROR(IF(0=LEN(ReferenceData!$AL$43),"",ReferenceData!$AL$43),"")</f>
        <v/>
      </c>
      <c r="AM43" t="str">
        <f ca="1">IFERROR(IF(0=LEN(ReferenceData!$AM$43),"",ReferenceData!$AM$43),"")</f>
        <v/>
      </c>
      <c r="AN43" t="str">
        <f ca="1">IFERROR(IF(0=LEN(ReferenceData!$AN$43),"",ReferenceData!$AN$43),"")</f>
        <v/>
      </c>
      <c r="AO43" t="str">
        <f ca="1">IFERROR(IF(0=LEN(ReferenceData!$AO$43),"",ReferenceData!$AO$43),"")</f>
        <v/>
      </c>
      <c r="AP43" t="str">
        <f ca="1">IFERROR(IF(0=LEN(ReferenceData!$AP$43),"",ReferenceData!$AP$43),"")</f>
        <v/>
      </c>
      <c r="AQ43" t="str">
        <f ca="1">IFERROR(IF(0=LEN(ReferenceData!$AQ$43),"",ReferenceData!$AQ$43),"")</f>
        <v/>
      </c>
      <c r="AR43" t="str">
        <f ca="1">IFERROR(IF(0=LEN(ReferenceData!$AR$43),"",ReferenceData!$AR$43),"")</f>
        <v/>
      </c>
      <c r="AS43" t="str">
        <f ca="1">IFERROR(IF(0=LEN(ReferenceData!$AS$43),"",ReferenceData!$AS$43),"")</f>
        <v/>
      </c>
    </row>
    <row r="44" spans="1:45" x14ac:dyDescent="0.2">
      <c r="A44" t="str">
        <f>IFERROR(IF(0=LEN(ReferenceData!$A$44),"",ReferenceData!$A$44),"")</f>
        <v xml:space="preserve">        Fed. Conservation &amp; Development Construction (Mn USD)</v>
      </c>
      <c r="B44" t="str">
        <f>IFERROR(IF(0=LEN(ReferenceData!$B$44),"",ReferenceData!$B$44),"")</f>
        <v>FED1CONS Index</v>
      </c>
      <c r="C44" t="str">
        <f>IFERROR(IF(0=LEN(ReferenceData!$C$44),"",ReferenceData!$C$44),"")</f>
        <v>PX385</v>
      </c>
      <c r="D44" t="str">
        <f>IFERROR(IF(0=LEN(ReferenceData!$D$44),"",ReferenceData!$D$44),"")</f>
        <v>INTERVAL_SUM</v>
      </c>
      <c r="E44" t="str">
        <f>IFERROR(IF(0=LEN(ReferenceData!$E$44),"",ReferenceData!$E$44),"")</f>
        <v>Dynamic</v>
      </c>
      <c r="F44">
        <f ca="1">IFERROR(IF(0=LEN(ReferenceData!$F$44),"",ReferenceData!$F$44),"")</f>
        <v>63881</v>
      </c>
      <c r="G44">
        <f ca="1">IFERROR(IF(0=LEN(ReferenceData!$G$44),"",ReferenceData!$G$44),"")</f>
        <v>64597</v>
      </c>
      <c r="H44">
        <f ca="1">IFERROR(IF(0=LEN(ReferenceData!$H$44),"",ReferenceData!$H$44),"")</f>
        <v>55210</v>
      </c>
      <c r="I44">
        <f ca="1">IFERROR(IF(0=LEN(ReferenceData!$I$44),"",ReferenceData!$I$44),"")</f>
        <v>64696</v>
      </c>
      <c r="J44">
        <f ca="1">IFERROR(IF(0=LEN(ReferenceData!$J$44),"",ReferenceData!$J$44),"")</f>
        <v>70788</v>
      </c>
      <c r="K44">
        <f ca="1">IFERROR(IF(0=LEN(ReferenceData!$K$44),"",ReferenceData!$K$44),"")</f>
        <v>53494</v>
      </c>
      <c r="L44">
        <f ca="1">IFERROR(IF(0=LEN(ReferenceData!$L$44),"",ReferenceData!$L$44),"")</f>
        <v>48743</v>
      </c>
      <c r="M44">
        <f ca="1">IFERROR(IF(0=LEN(ReferenceData!$M$44),"",ReferenceData!$M$44),"")</f>
        <v>52768</v>
      </c>
      <c r="N44">
        <f ca="1">IFERROR(IF(0=LEN(ReferenceData!$N$44),"",ReferenceData!$N$44),"")</f>
        <v>54055</v>
      </c>
      <c r="O44">
        <f ca="1">IFERROR(IF(0=LEN(ReferenceData!$O$44),"",ReferenceData!$O$44),"")</f>
        <v>48586</v>
      </c>
      <c r="P44">
        <f ca="1">IFERROR(IF(0=LEN(ReferenceData!$P$44),"",ReferenceData!$P$44),"")</f>
        <v>40203</v>
      </c>
      <c r="Q44">
        <f ca="1">IFERROR(IF(0=LEN(ReferenceData!$Q$44),"",ReferenceData!$Q$44),"")</f>
        <v>47116</v>
      </c>
      <c r="R44">
        <f ca="1">IFERROR(IF(0=LEN(ReferenceData!$R$44),"",ReferenceData!$R$44),"")</f>
        <v>62383</v>
      </c>
      <c r="S44">
        <f ca="1">IFERROR(IF(0=LEN(ReferenceData!$S$44),"",ReferenceData!$S$44),"")</f>
        <v>61011</v>
      </c>
      <c r="T44">
        <f ca="1">IFERROR(IF(0=LEN(ReferenceData!$T$44),"",ReferenceData!$T$44),"")</f>
        <v>44432</v>
      </c>
      <c r="U44">
        <f ca="1">IFERROR(IF(0=LEN(ReferenceData!$U$44),"",ReferenceData!$U$44),"")</f>
        <v>35142</v>
      </c>
      <c r="V44">
        <f ca="1">IFERROR(IF(0=LEN(ReferenceData!$V$44),"",ReferenceData!$V$44),"")</f>
        <v>35495</v>
      </c>
      <c r="W44">
        <f ca="1">IFERROR(IF(0=LEN(ReferenceData!$W$44),"",ReferenceData!$W$44),"")</f>
        <v>36388</v>
      </c>
      <c r="X44">
        <f ca="1">IFERROR(IF(0=LEN(ReferenceData!$X$44),"",ReferenceData!$X$44),"")</f>
        <v>30808</v>
      </c>
      <c r="Y44">
        <f ca="1">IFERROR(IF(0=LEN(ReferenceData!$Y$44),"",ReferenceData!$Y$44),"")</f>
        <v>28687</v>
      </c>
      <c r="Z44">
        <f ca="1">IFERROR(IF(0=LEN(ReferenceData!$Z$44),"",ReferenceData!$Z$44),"")</f>
        <v>32037</v>
      </c>
      <c r="AA44">
        <f ca="1">IFERROR(IF(0=LEN(ReferenceData!$AA$44),"",ReferenceData!$AA$44),"")</f>
        <v>30160</v>
      </c>
      <c r="AB44">
        <f ca="1">IFERROR(IF(0=LEN(ReferenceData!$AB$44),"",ReferenceData!$AB$44),"")</f>
        <v>0</v>
      </c>
      <c r="AC44">
        <f ca="1">IFERROR(IF(0=LEN(ReferenceData!$AC$44),"",ReferenceData!$AC$44),"")</f>
        <v>0</v>
      </c>
      <c r="AD44">
        <f ca="1">IFERROR(IF(0=LEN(ReferenceData!$AD$44),"",ReferenceData!$AD$44),"")</f>
        <v>0</v>
      </c>
      <c r="AE44">
        <f ca="1">IFERROR(IF(0=LEN(ReferenceData!$AE$44),"",ReferenceData!$AE$44),"")</f>
        <v>0</v>
      </c>
      <c r="AF44">
        <f ca="1">IFERROR(IF(0=LEN(ReferenceData!$AF$44),"",ReferenceData!$AF$44),"")</f>
        <v>0</v>
      </c>
      <c r="AG44">
        <f ca="1">IFERROR(IF(0=LEN(ReferenceData!$AG$44),"",ReferenceData!$AG$44),"")</f>
        <v>0</v>
      </c>
      <c r="AH44">
        <f ca="1">IFERROR(IF(0=LEN(ReferenceData!$AH$44),"",ReferenceData!$AH$44),"")</f>
        <v>0</v>
      </c>
      <c r="AI44">
        <f ca="1">IFERROR(IF(0=LEN(ReferenceData!$AI$44),"",ReferenceData!$AI$44),"")</f>
        <v>0</v>
      </c>
      <c r="AJ44">
        <f ca="1">IFERROR(IF(0=LEN(ReferenceData!$AJ$44),"",ReferenceData!$AJ$44),"")</f>
        <v>0</v>
      </c>
      <c r="AK44" t="str">
        <f ca="1">IFERROR(IF(0=LEN(ReferenceData!$AK$44),"",ReferenceData!$AK$44),"")</f>
        <v/>
      </c>
      <c r="AL44" t="str">
        <f ca="1">IFERROR(IF(0=LEN(ReferenceData!$AL$44),"",ReferenceData!$AL$44),"")</f>
        <v/>
      </c>
      <c r="AM44" t="str">
        <f ca="1">IFERROR(IF(0=LEN(ReferenceData!$AM$44),"",ReferenceData!$AM$44),"")</f>
        <v/>
      </c>
      <c r="AN44" t="str">
        <f ca="1">IFERROR(IF(0=LEN(ReferenceData!$AN$44),"",ReferenceData!$AN$44),"")</f>
        <v/>
      </c>
      <c r="AO44" t="str">
        <f ca="1">IFERROR(IF(0=LEN(ReferenceData!$AO$44),"",ReferenceData!$AO$44),"")</f>
        <v/>
      </c>
      <c r="AP44" t="str">
        <f ca="1">IFERROR(IF(0=LEN(ReferenceData!$AP$44),"",ReferenceData!$AP$44),"")</f>
        <v/>
      </c>
      <c r="AQ44" t="str">
        <f ca="1">IFERROR(IF(0=LEN(ReferenceData!$AQ$44),"",ReferenceData!$AQ$44),"")</f>
        <v/>
      </c>
      <c r="AR44" t="str">
        <f ca="1">IFERROR(IF(0=LEN(ReferenceData!$AR$44),"",ReferenceData!$AR$44),"")</f>
        <v/>
      </c>
      <c r="AS44" t="str">
        <f ca="1">IFERROR(IF(0=LEN(ReferenceData!$AS$44),"",ReferenceData!$AS$44),"")</f>
        <v/>
      </c>
    </row>
    <row r="45" spans="1:45" x14ac:dyDescent="0.2">
      <c r="A45" t="str">
        <f>IFERROR(IF(0=LEN(ReferenceData!$A$45),"",ReferenceData!$A$45),"")</f>
        <v xml:space="preserve">        Fed. Public Safety Construction (Mn USD)</v>
      </c>
      <c r="B45" t="str">
        <f>IFERROR(IF(0=LEN(ReferenceData!$B$45),"",ReferenceData!$B$45),"")</f>
        <v>FED1PSAF Index</v>
      </c>
      <c r="C45" t="str">
        <f>IFERROR(IF(0=LEN(ReferenceData!$C$45),"",ReferenceData!$C$45),"")</f>
        <v>PX385</v>
      </c>
      <c r="D45" t="str">
        <f>IFERROR(IF(0=LEN(ReferenceData!$D$45),"",ReferenceData!$D$45),"")</f>
        <v>INTERVAL_SUM</v>
      </c>
      <c r="E45" t="str">
        <f>IFERROR(IF(0=LEN(ReferenceData!$E$45),"",ReferenceData!$E$45),"")</f>
        <v>Dynamic</v>
      </c>
      <c r="F45">
        <f ca="1">IFERROR(IF(0=LEN(ReferenceData!$F$45),"",ReferenceData!$F$45),"")</f>
        <v>23656</v>
      </c>
      <c r="G45">
        <f ca="1">IFERROR(IF(0=LEN(ReferenceData!$G$45),"",ReferenceData!$G$45),"")</f>
        <v>30688</v>
      </c>
      <c r="H45">
        <f ca="1">IFERROR(IF(0=LEN(ReferenceData!$H$45),"",ReferenceData!$H$45),"")</f>
        <v>45858</v>
      </c>
      <c r="I45">
        <f ca="1">IFERROR(IF(0=LEN(ReferenceData!$I$45),"",ReferenceData!$I$45),"")</f>
        <v>97710</v>
      </c>
      <c r="J45">
        <f ca="1">IFERROR(IF(0=LEN(ReferenceData!$J$45),"",ReferenceData!$J$45),"")</f>
        <v>44076</v>
      </c>
      <c r="K45">
        <f ca="1">IFERROR(IF(0=LEN(ReferenceData!$K$45),"",ReferenceData!$K$45),"")</f>
        <v>24781</v>
      </c>
      <c r="L45">
        <f ca="1">IFERROR(IF(0=LEN(ReferenceData!$L$45),"",ReferenceData!$L$45),"")</f>
        <v>26628</v>
      </c>
      <c r="M45">
        <f ca="1">IFERROR(IF(0=LEN(ReferenceData!$M$45),"",ReferenceData!$M$45),"")</f>
        <v>26883</v>
      </c>
      <c r="N45">
        <f ca="1">IFERROR(IF(0=LEN(ReferenceData!$N$45),"",ReferenceData!$N$45),"")</f>
        <v>28994</v>
      </c>
      <c r="O45">
        <f ca="1">IFERROR(IF(0=LEN(ReferenceData!$O$45),"",ReferenceData!$O$45),"")</f>
        <v>33536</v>
      </c>
      <c r="P45">
        <f ca="1">IFERROR(IF(0=LEN(ReferenceData!$P$45),"",ReferenceData!$P$45),"")</f>
        <v>33509</v>
      </c>
      <c r="Q45">
        <f ca="1">IFERROR(IF(0=LEN(ReferenceData!$Q$45),"",ReferenceData!$Q$45),"")</f>
        <v>32208</v>
      </c>
      <c r="R45">
        <f ca="1">IFERROR(IF(0=LEN(ReferenceData!$R$45),"",ReferenceData!$R$45),"")</f>
        <v>35432</v>
      </c>
      <c r="S45">
        <f ca="1">IFERROR(IF(0=LEN(ReferenceData!$S$45),"",ReferenceData!$S$45),"")</f>
        <v>40024</v>
      </c>
      <c r="T45">
        <f ca="1">IFERROR(IF(0=LEN(ReferenceData!$T$45),"",ReferenceData!$T$45),"")</f>
        <v>46748</v>
      </c>
      <c r="U45">
        <f ca="1">IFERROR(IF(0=LEN(ReferenceData!$U$45),"",ReferenceData!$U$45),"")</f>
        <v>33073</v>
      </c>
      <c r="V45">
        <f ca="1">IFERROR(IF(0=LEN(ReferenceData!$V$45),"",ReferenceData!$V$45),"")</f>
        <v>13808</v>
      </c>
      <c r="W45">
        <f ca="1">IFERROR(IF(0=LEN(ReferenceData!$W$45),"",ReferenceData!$W$45),"")</f>
        <v>8983</v>
      </c>
      <c r="X45">
        <f ca="1">IFERROR(IF(0=LEN(ReferenceData!$X$45),"",ReferenceData!$X$45),"")</f>
        <v>10671</v>
      </c>
      <c r="Y45">
        <f ca="1">IFERROR(IF(0=LEN(ReferenceData!$Y$45),"",ReferenceData!$Y$45),"")</f>
        <v>14778</v>
      </c>
      <c r="Z45">
        <f ca="1">IFERROR(IF(0=LEN(ReferenceData!$Z$45),"",ReferenceData!$Z$45),"")</f>
        <v>13625</v>
      </c>
      <c r="AA45">
        <f ca="1">IFERROR(IF(0=LEN(ReferenceData!$AA$45),"",ReferenceData!$AA$45),"")</f>
        <v>19872</v>
      </c>
      <c r="AB45">
        <f ca="1">IFERROR(IF(0=LEN(ReferenceData!$AB$45),"",ReferenceData!$AB$45),"")</f>
        <v>0</v>
      </c>
      <c r="AC45">
        <f ca="1">IFERROR(IF(0=LEN(ReferenceData!$AC$45),"",ReferenceData!$AC$45),"")</f>
        <v>0</v>
      </c>
      <c r="AD45">
        <f ca="1">IFERROR(IF(0=LEN(ReferenceData!$AD$45),"",ReferenceData!$AD$45),"")</f>
        <v>0</v>
      </c>
      <c r="AE45">
        <f ca="1">IFERROR(IF(0=LEN(ReferenceData!$AE$45),"",ReferenceData!$AE$45),"")</f>
        <v>0</v>
      </c>
      <c r="AF45">
        <f ca="1">IFERROR(IF(0=LEN(ReferenceData!$AF$45),"",ReferenceData!$AF$45),"")</f>
        <v>0</v>
      </c>
      <c r="AG45">
        <f ca="1">IFERROR(IF(0=LEN(ReferenceData!$AG$45),"",ReferenceData!$AG$45),"")</f>
        <v>0</v>
      </c>
      <c r="AH45">
        <f ca="1">IFERROR(IF(0=LEN(ReferenceData!$AH$45),"",ReferenceData!$AH$45),"")</f>
        <v>0</v>
      </c>
      <c r="AI45">
        <f ca="1">IFERROR(IF(0=LEN(ReferenceData!$AI$45),"",ReferenceData!$AI$45),"")</f>
        <v>0</v>
      </c>
      <c r="AJ45">
        <f ca="1">IFERROR(IF(0=LEN(ReferenceData!$AJ$45),"",ReferenceData!$AJ$45),"")</f>
        <v>0</v>
      </c>
      <c r="AK45" t="str">
        <f ca="1">IFERROR(IF(0=LEN(ReferenceData!$AK$45),"",ReferenceData!$AK$45),"")</f>
        <v/>
      </c>
      <c r="AL45" t="str">
        <f ca="1">IFERROR(IF(0=LEN(ReferenceData!$AL$45),"",ReferenceData!$AL$45),"")</f>
        <v/>
      </c>
      <c r="AM45" t="str">
        <f ca="1">IFERROR(IF(0=LEN(ReferenceData!$AM$45),"",ReferenceData!$AM$45),"")</f>
        <v/>
      </c>
      <c r="AN45" t="str">
        <f ca="1">IFERROR(IF(0=LEN(ReferenceData!$AN$45),"",ReferenceData!$AN$45),"")</f>
        <v/>
      </c>
      <c r="AO45" t="str">
        <f ca="1">IFERROR(IF(0=LEN(ReferenceData!$AO$45),"",ReferenceData!$AO$45),"")</f>
        <v/>
      </c>
      <c r="AP45" t="str">
        <f ca="1">IFERROR(IF(0=LEN(ReferenceData!$AP$45),"",ReferenceData!$AP$45),"")</f>
        <v/>
      </c>
      <c r="AQ45" t="str">
        <f ca="1">IFERROR(IF(0=LEN(ReferenceData!$AQ$45),"",ReferenceData!$AQ$45),"")</f>
        <v/>
      </c>
      <c r="AR45" t="str">
        <f ca="1">IFERROR(IF(0=LEN(ReferenceData!$AR$45),"",ReferenceData!$AR$45),"")</f>
        <v/>
      </c>
      <c r="AS45" t="str">
        <f ca="1">IFERROR(IF(0=LEN(ReferenceData!$AS$45),"",ReferenceData!$AS$45),"")</f>
        <v/>
      </c>
    </row>
    <row r="46" spans="1:45" x14ac:dyDescent="0.2">
      <c r="A46" t="str">
        <f>IFERROR(IF(0=LEN(ReferenceData!$A$46),"",ReferenceData!$A$46),"")</f>
        <v xml:space="preserve">    </v>
      </c>
      <c r="B46" t="str">
        <f>IFERROR(IF(0=LEN(ReferenceData!$B$46),"",ReferenceData!$B$46),"")</f>
        <v/>
      </c>
      <c r="C46" t="str">
        <f>IFERROR(IF(0=LEN(ReferenceData!$C$46),"",ReferenceData!$C$46),"")</f>
        <v/>
      </c>
      <c r="D46" t="str">
        <f>IFERROR(IF(0=LEN(ReferenceData!$D$46),"",ReferenceData!$D$46),"")</f>
        <v/>
      </c>
      <c r="E46" t="str">
        <f>IFERROR(IF(0=LEN(ReferenceData!$E$46),"",ReferenceData!$E$46),"")</f>
        <v>Static</v>
      </c>
      <c r="F46" t="str">
        <f ca="1">IFERROR(IF(0=LEN(ReferenceData!$F$46),"",ReferenceData!$F$46),"")</f>
        <v/>
      </c>
      <c r="G46" t="str">
        <f ca="1">IFERROR(IF(0=LEN(ReferenceData!$G$46),"",ReferenceData!$G$46),"")</f>
        <v/>
      </c>
      <c r="H46" t="str">
        <f ca="1">IFERROR(IF(0=LEN(ReferenceData!$H$46),"",ReferenceData!$H$46),"")</f>
        <v/>
      </c>
      <c r="I46" t="str">
        <f ca="1">IFERROR(IF(0=LEN(ReferenceData!$I$46),"",ReferenceData!$I$46),"")</f>
        <v/>
      </c>
      <c r="J46" t="str">
        <f ca="1">IFERROR(IF(0=LEN(ReferenceData!$J$46),"",ReferenceData!$J$46),"")</f>
        <v/>
      </c>
      <c r="K46" t="str">
        <f ca="1">IFERROR(IF(0=LEN(ReferenceData!$K$46),"",ReferenceData!$K$46),"")</f>
        <v/>
      </c>
      <c r="L46" t="str">
        <f ca="1">IFERROR(IF(0=LEN(ReferenceData!$L$46),"",ReferenceData!$L$46),"")</f>
        <v/>
      </c>
      <c r="M46" t="str">
        <f ca="1">IFERROR(IF(0=LEN(ReferenceData!$M$46),"",ReferenceData!$M$46),"")</f>
        <v/>
      </c>
      <c r="N46" t="str">
        <f ca="1">IFERROR(IF(0=LEN(ReferenceData!$N$46),"",ReferenceData!$N$46),"")</f>
        <v/>
      </c>
      <c r="O46" t="str">
        <f ca="1">IFERROR(IF(0=LEN(ReferenceData!$O$46),"",ReferenceData!$O$46),"")</f>
        <v/>
      </c>
      <c r="P46" t="str">
        <f ca="1">IFERROR(IF(0=LEN(ReferenceData!$P$46),"",ReferenceData!$P$46),"")</f>
        <v/>
      </c>
      <c r="Q46" t="str">
        <f ca="1">IFERROR(IF(0=LEN(ReferenceData!$Q$46),"",ReferenceData!$Q$46),"")</f>
        <v/>
      </c>
      <c r="R46" t="str">
        <f ca="1">IFERROR(IF(0=LEN(ReferenceData!$R$46),"",ReferenceData!$R$46),"")</f>
        <v/>
      </c>
      <c r="S46" t="str">
        <f ca="1">IFERROR(IF(0=LEN(ReferenceData!$S$46),"",ReferenceData!$S$46),"")</f>
        <v/>
      </c>
      <c r="T46" t="str">
        <f ca="1">IFERROR(IF(0=LEN(ReferenceData!$T$46),"",ReferenceData!$T$46),"")</f>
        <v/>
      </c>
      <c r="U46" t="str">
        <f ca="1">IFERROR(IF(0=LEN(ReferenceData!$U$46),"",ReferenceData!$U$46),"")</f>
        <v/>
      </c>
      <c r="V46" t="str">
        <f ca="1">IFERROR(IF(0=LEN(ReferenceData!$V$46),"",ReferenceData!$V$46),"")</f>
        <v/>
      </c>
      <c r="W46" t="str">
        <f ca="1">IFERROR(IF(0=LEN(ReferenceData!$W$46),"",ReferenceData!$W$46),"")</f>
        <v/>
      </c>
      <c r="X46" t="str">
        <f ca="1">IFERROR(IF(0=LEN(ReferenceData!$X$46),"",ReferenceData!$X$46),"")</f>
        <v/>
      </c>
      <c r="Y46" t="str">
        <f ca="1">IFERROR(IF(0=LEN(ReferenceData!$Y$46),"",ReferenceData!$Y$46),"")</f>
        <v/>
      </c>
      <c r="Z46" t="str">
        <f ca="1">IFERROR(IF(0=LEN(ReferenceData!$Z$46),"",ReferenceData!$Z$46),"")</f>
        <v/>
      </c>
      <c r="AA46" t="str">
        <f ca="1">IFERROR(IF(0=LEN(ReferenceData!$AA$46),"",ReferenceData!$AA$46),"")</f>
        <v/>
      </c>
      <c r="AB46" t="str">
        <f ca="1">IFERROR(IF(0=LEN(ReferenceData!$AB$46),"",ReferenceData!$AB$46),"")</f>
        <v/>
      </c>
      <c r="AC46" t="str">
        <f ca="1">IFERROR(IF(0=LEN(ReferenceData!$AC$46),"",ReferenceData!$AC$46),"")</f>
        <v/>
      </c>
      <c r="AD46" t="str">
        <f ca="1">IFERROR(IF(0=LEN(ReferenceData!$AD$46),"",ReferenceData!$AD$46),"")</f>
        <v/>
      </c>
      <c r="AE46" t="str">
        <f ca="1">IFERROR(IF(0=LEN(ReferenceData!$AE$46),"",ReferenceData!$AE$46),"")</f>
        <v/>
      </c>
      <c r="AF46" t="str">
        <f ca="1">IFERROR(IF(0=LEN(ReferenceData!$AF$46),"",ReferenceData!$AF$46),"")</f>
        <v/>
      </c>
      <c r="AG46" t="str">
        <f ca="1">IFERROR(IF(0=LEN(ReferenceData!$AG$46),"",ReferenceData!$AG$46),"")</f>
        <v/>
      </c>
      <c r="AH46" t="str">
        <f ca="1">IFERROR(IF(0=LEN(ReferenceData!$AH$46),"",ReferenceData!$AH$46),"")</f>
        <v/>
      </c>
      <c r="AI46" t="str">
        <f ca="1">IFERROR(IF(0=LEN(ReferenceData!$AI$46),"",ReferenceData!$AI$46),"")</f>
        <v/>
      </c>
      <c r="AJ46" t="str">
        <f ca="1">IFERROR(IF(0=LEN(ReferenceData!$AJ$46),"",ReferenceData!$AJ$46),"")</f>
        <v/>
      </c>
      <c r="AK46" t="str">
        <f ca="1">IFERROR(IF(0=LEN(ReferenceData!$AK$46),"",ReferenceData!$AK$46),"")</f>
        <v/>
      </c>
      <c r="AL46" t="str">
        <f ca="1">IFERROR(IF(0=LEN(ReferenceData!$AL$46),"",ReferenceData!$AL$46),"")</f>
        <v/>
      </c>
      <c r="AM46" t="str">
        <f ca="1">IFERROR(IF(0=LEN(ReferenceData!$AM$46),"",ReferenceData!$AM$46),"")</f>
        <v/>
      </c>
      <c r="AN46" t="str">
        <f ca="1">IFERROR(IF(0=LEN(ReferenceData!$AN$46),"",ReferenceData!$AN$46),"")</f>
        <v/>
      </c>
      <c r="AO46" t="str">
        <f ca="1">IFERROR(IF(0=LEN(ReferenceData!$AO$46),"",ReferenceData!$AO$46),"")</f>
        <v/>
      </c>
      <c r="AP46" t="str">
        <f ca="1">IFERROR(IF(0=LEN(ReferenceData!$AP$46),"",ReferenceData!$AP$46),"")</f>
        <v/>
      </c>
      <c r="AQ46" t="str">
        <f ca="1">IFERROR(IF(0=LEN(ReferenceData!$AQ$46),"",ReferenceData!$AQ$46),"")</f>
        <v/>
      </c>
      <c r="AR46" t="str">
        <f ca="1">IFERROR(IF(0=LEN(ReferenceData!$AR$46),"",ReferenceData!$AR$46),"")</f>
        <v/>
      </c>
      <c r="AS46" t="str">
        <f ca="1">IFERROR(IF(0=LEN(ReferenceData!$AS$46),"",ReferenceData!$AS$46),"")</f>
        <v/>
      </c>
    </row>
    <row r="47" spans="1:45" x14ac:dyDescent="0.2">
      <c r="A47" t="str">
        <f>IFERROR(IF(0=LEN(ReferenceData!$A$47),"",ReferenceData!$A$47),"")</f>
        <v xml:space="preserve">    U.S. Transportation Construction</v>
      </c>
      <c r="B47" t="str">
        <f>IFERROR(IF(0=LEN(ReferenceData!$B$47),"",ReferenceData!$B$47),"")</f>
        <v/>
      </c>
      <c r="C47" t="str">
        <f>IFERROR(IF(0=LEN(ReferenceData!$C$47),"",ReferenceData!$C$47),"")</f>
        <v/>
      </c>
      <c r="D47" t="str">
        <f>IFERROR(IF(0=LEN(ReferenceData!$D$47),"",ReferenceData!$D$47),"")</f>
        <v/>
      </c>
      <c r="E47" t="str">
        <f>IFERROR(IF(0=LEN(ReferenceData!$E$47),"",ReferenceData!$E$47),"")</f>
        <v>Heading</v>
      </c>
      <c r="F47" t="str">
        <f>IFERROR(IF(0=LEN(ReferenceData!$F$47),"",ReferenceData!$F$47),"")</f>
        <v/>
      </c>
      <c r="G47" t="str">
        <f>IFERROR(IF(0=LEN(ReferenceData!$G$47),"",ReferenceData!$G$47),"")</f>
        <v/>
      </c>
      <c r="H47" t="str">
        <f>IFERROR(IF(0=LEN(ReferenceData!$H$47),"",ReferenceData!$H$47),"")</f>
        <v/>
      </c>
      <c r="I47" t="str">
        <f>IFERROR(IF(0=LEN(ReferenceData!$I$47),"",ReferenceData!$I$47),"")</f>
        <v/>
      </c>
      <c r="J47" t="str">
        <f>IFERROR(IF(0=LEN(ReferenceData!$J$47),"",ReferenceData!$J$47),"")</f>
        <v/>
      </c>
      <c r="K47" t="str">
        <f>IFERROR(IF(0=LEN(ReferenceData!$K$47),"",ReferenceData!$K$47),"")</f>
        <v/>
      </c>
      <c r="L47" t="str">
        <f>IFERROR(IF(0=LEN(ReferenceData!$L$47),"",ReferenceData!$L$47),"")</f>
        <v/>
      </c>
      <c r="M47" t="str">
        <f>IFERROR(IF(0=LEN(ReferenceData!$M$47),"",ReferenceData!$M$47),"")</f>
        <v/>
      </c>
      <c r="N47" t="str">
        <f>IFERROR(IF(0=LEN(ReferenceData!$N$47),"",ReferenceData!$N$47),"")</f>
        <v/>
      </c>
      <c r="O47" t="str">
        <f>IFERROR(IF(0=LEN(ReferenceData!$O$47),"",ReferenceData!$O$47),"")</f>
        <v/>
      </c>
      <c r="P47" t="str">
        <f>IFERROR(IF(0=LEN(ReferenceData!$P$47),"",ReferenceData!$P$47),"")</f>
        <v/>
      </c>
      <c r="Q47" t="str">
        <f>IFERROR(IF(0=LEN(ReferenceData!$Q$47),"",ReferenceData!$Q$47),"")</f>
        <v/>
      </c>
      <c r="R47" t="str">
        <f>IFERROR(IF(0=LEN(ReferenceData!$R$47),"",ReferenceData!$R$47),"")</f>
        <v/>
      </c>
      <c r="S47" t="str">
        <f>IFERROR(IF(0=LEN(ReferenceData!$S$47),"",ReferenceData!$S$47),"")</f>
        <v/>
      </c>
      <c r="T47" t="str">
        <f>IFERROR(IF(0=LEN(ReferenceData!$T$47),"",ReferenceData!$T$47),"")</f>
        <v/>
      </c>
      <c r="U47" t="str">
        <f>IFERROR(IF(0=LEN(ReferenceData!$U$47),"",ReferenceData!$U$47),"")</f>
        <v/>
      </c>
      <c r="V47" t="str">
        <f>IFERROR(IF(0=LEN(ReferenceData!$V$47),"",ReferenceData!$V$47),"")</f>
        <v/>
      </c>
      <c r="W47" t="str">
        <f>IFERROR(IF(0=LEN(ReferenceData!$W$47),"",ReferenceData!$W$47),"")</f>
        <v/>
      </c>
      <c r="X47" t="str">
        <f>IFERROR(IF(0=LEN(ReferenceData!$X$47),"",ReferenceData!$X$47),"")</f>
        <v/>
      </c>
      <c r="Y47" t="str">
        <f>IFERROR(IF(0=LEN(ReferenceData!$Y$47),"",ReferenceData!$Y$47),"")</f>
        <v/>
      </c>
      <c r="Z47" t="str">
        <f>IFERROR(IF(0=LEN(ReferenceData!$Z$47),"",ReferenceData!$Z$47),"")</f>
        <v/>
      </c>
      <c r="AA47" t="str">
        <f>IFERROR(IF(0=LEN(ReferenceData!$AA$47),"",ReferenceData!$AA$47),"")</f>
        <v/>
      </c>
      <c r="AB47" t="str">
        <f>IFERROR(IF(0=LEN(ReferenceData!$AB$47),"",ReferenceData!$AB$47),"")</f>
        <v/>
      </c>
      <c r="AC47" t="str">
        <f>IFERROR(IF(0=LEN(ReferenceData!$AC$47),"",ReferenceData!$AC$47),"")</f>
        <v/>
      </c>
      <c r="AD47" t="str">
        <f>IFERROR(IF(0=LEN(ReferenceData!$AD$47),"",ReferenceData!$AD$47),"")</f>
        <v/>
      </c>
      <c r="AE47" t="str">
        <f>IFERROR(IF(0=LEN(ReferenceData!$AE$47),"",ReferenceData!$AE$47),"")</f>
        <v/>
      </c>
      <c r="AF47" t="str">
        <f>IFERROR(IF(0=LEN(ReferenceData!$AF$47),"",ReferenceData!$AF$47),"")</f>
        <v/>
      </c>
      <c r="AG47" t="str">
        <f>IFERROR(IF(0=LEN(ReferenceData!$AG$47),"",ReferenceData!$AG$47),"")</f>
        <v/>
      </c>
      <c r="AH47" t="str">
        <f>IFERROR(IF(0=LEN(ReferenceData!$AH$47),"",ReferenceData!$AH$47),"")</f>
        <v/>
      </c>
      <c r="AI47" t="str">
        <f>IFERROR(IF(0=LEN(ReferenceData!$AI$47),"",ReferenceData!$AI$47),"")</f>
        <v/>
      </c>
      <c r="AJ47" t="str">
        <f>IFERROR(IF(0=LEN(ReferenceData!$AJ$47),"",ReferenceData!$AJ$47),"")</f>
        <v/>
      </c>
      <c r="AK47" t="str">
        <f>IFERROR(IF(0=LEN(ReferenceData!$AK$47),"",ReferenceData!$AK$47),"")</f>
        <v/>
      </c>
      <c r="AL47" t="str">
        <f>IFERROR(IF(0=LEN(ReferenceData!$AL$47),"",ReferenceData!$AL$47),"")</f>
        <v/>
      </c>
      <c r="AM47" t="str">
        <f>IFERROR(IF(0=LEN(ReferenceData!$AM$47),"",ReferenceData!$AM$47),"")</f>
        <v/>
      </c>
      <c r="AN47" t="str">
        <f>IFERROR(IF(0=LEN(ReferenceData!$AN$47),"",ReferenceData!$AN$47),"")</f>
        <v/>
      </c>
      <c r="AO47" t="str">
        <f>IFERROR(IF(0=LEN(ReferenceData!$AO$47),"",ReferenceData!$AO$47),"")</f>
        <v/>
      </c>
      <c r="AP47" t="str">
        <f>IFERROR(IF(0=LEN(ReferenceData!$AP$47),"",ReferenceData!$AP$47),"")</f>
        <v/>
      </c>
      <c r="AQ47" t="str">
        <f>IFERROR(IF(0=LEN(ReferenceData!$AQ$47),"",ReferenceData!$AQ$47),"")</f>
        <v/>
      </c>
      <c r="AR47" t="str">
        <f>IFERROR(IF(0=LEN(ReferenceData!$AR$47),"",ReferenceData!$AR$47),"")</f>
        <v/>
      </c>
      <c r="AS47" t="str">
        <f>IFERROR(IF(0=LEN(ReferenceData!$AS$47),"",ReferenceData!$AS$47),"")</f>
        <v/>
      </c>
    </row>
    <row r="48" spans="1:45" x14ac:dyDescent="0.2">
      <c r="A48" t="str">
        <f>IFERROR(IF(0=LEN(ReferenceData!$A$48),"",ReferenceData!$A$48),"")</f>
        <v xml:space="preserve">    US Transportation Awards ($ Value)</v>
      </c>
      <c r="B48" t="str">
        <f>IFERROR(IF(0=LEN(ReferenceData!$B$48),"",ReferenceData!$B$48),"")</f>
        <v/>
      </c>
      <c r="C48" t="str">
        <f>IFERROR(IF(0=LEN(ReferenceData!$C$48),"",ReferenceData!$C$48),"")</f>
        <v/>
      </c>
      <c r="D48" t="str">
        <f>IFERROR(IF(0=LEN(ReferenceData!$D$48),"",ReferenceData!$D$48),"")</f>
        <v/>
      </c>
      <c r="E48" t="str">
        <f>IFERROR(IF(0=LEN(ReferenceData!$E$48),"",ReferenceData!$E$48),"")</f>
        <v>Sum</v>
      </c>
      <c r="F48">
        <f ca="1">IFERROR(IF(0=LEN(ReferenceData!$F$48),"",ReferenceData!$F$48),"")</f>
        <v>99557.024920000011</v>
      </c>
      <c r="G48">
        <f ca="1">IFERROR(IF(0=LEN(ReferenceData!$G$48),"",ReferenceData!$G$48),"")</f>
        <v>113840.12852</v>
      </c>
      <c r="H48">
        <f ca="1">IFERROR(IF(0=LEN(ReferenceData!$H$48),"",ReferenceData!$H$48),"")</f>
        <v>89850.094949999984</v>
      </c>
      <c r="I48">
        <f ca="1">IFERROR(IF(0=LEN(ReferenceData!$I$48),"",ReferenceData!$I$48),"")</f>
        <v>95223.853990000003</v>
      </c>
      <c r="J48">
        <f ca="1">IFERROR(IF(0=LEN(ReferenceData!$J$48),"",ReferenceData!$J$48),"")</f>
        <v>89548.973700000002</v>
      </c>
      <c r="K48">
        <f ca="1">IFERROR(IF(0=LEN(ReferenceData!$K$48),"",ReferenceData!$K$48),"")</f>
        <v>89759.151030000008</v>
      </c>
      <c r="L48">
        <f ca="1">IFERROR(IF(0=LEN(ReferenceData!$L$48),"",ReferenceData!$L$48),"")</f>
        <v>85871.296950000004</v>
      </c>
      <c r="M48">
        <f ca="1">IFERROR(IF(0=LEN(ReferenceData!$M$48),"",ReferenceData!$M$48),"")</f>
        <v>71594.809119999991</v>
      </c>
      <c r="N48">
        <f ca="1">IFERROR(IF(0=LEN(ReferenceData!$N$48),"",ReferenceData!$N$48),"")</f>
        <v>75890.069000000003</v>
      </c>
      <c r="O48">
        <f ca="1">IFERROR(IF(0=LEN(ReferenceData!$O$48),"",ReferenceData!$O$48),"")</f>
        <v>69646.611000000004</v>
      </c>
      <c r="P48">
        <f ca="1">IFERROR(IF(0=LEN(ReferenceData!$P$48),"",ReferenceData!$P$48),"")</f>
        <v>75168.057000000001</v>
      </c>
      <c r="Q48">
        <f ca="1">IFERROR(IF(0=LEN(ReferenceData!$Q$48),"",ReferenceData!$Q$48),"")</f>
        <v>60363.061999999998</v>
      </c>
      <c r="R48">
        <f ca="1">IFERROR(IF(0=LEN(ReferenceData!$R$48),"",ReferenceData!$R$48),"")</f>
        <v>62169.835999999996</v>
      </c>
      <c r="S48">
        <f ca="1">IFERROR(IF(0=LEN(ReferenceData!$S$48),"",ReferenceData!$S$48),"")</f>
        <v>64805.350999999995</v>
      </c>
      <c r="T48">
        <f ca="1">IFERROR(IF(0=LEN(ReferenceData!$T$48),"",ReferenceData!$T$48),"")</f>
        <v>66331.823999999993</v>
      </c>
      <c r="U48">
        <f ca="1">IFERROR(IF(0=LEN(ReferenceData!$U$48),"",ReferenceData!$U$48),"")</f>
        <v>58813.080999999998</v>
      </c>
      <c r="V48">
        <f ca="1">IFERROR(IF(0=LEN(ReferenceData!$V$48),"",ReferenceData!$V$48),"")</f>
        <v>59360.617999999995</v>
      </c>
      <c r="W48">
        <f ca="1">IFERROR(IF(0=LEN(ReferenceData!$W$48),"",ReferenceData!$W$48),"")</f>
        <v>55475.036</v>
      </c>
      <c r="X48">
        <f ca="1">IFERROR(IF(0=LEN(ReferenceData!$X$48),"",ReferenceData!$X$48),"")</f>
        <v>49753.845999999998</v>
      </c>
      <c r="Y48">
        <f ca="1">IFERROR(IF(0=LEN(ReferenceData!$Y$48),"",ReferenceData!$Y$48),"")</f>
        <v>45734.326000000001</v>
      </c>
      <c r="Z48">
        <f ca="1">IFERROR(IF(0=LEN(ReferenceData!$Z$48),"",ReferenceData!$Z$48),"")</f>
        <v>46640.01</v>
      </c>
      <c r="AA48">
        <f ca="1">IFERROR(IF(0=LEN(ReferenceData!$AA$48),"",ReferenceData!$AA$48),"")</f>
        <v>48846.715000000004</v>
      </c>
      <c r="AB48">
        <f ca="1">IFERROR(IF(0=LEN(ReferenceData!$AB$48),"",ReferenceData!$AB$48),"")</f>
        <v>49108.553</v>
      </c>
      <c r="AC48">
        <f ca="1">IFERROR(IF(0=LEN(ReferenceData!$AC$48),"",ReferenceData!$AC$48),"")</f>
        <v>45372.292000000001</v>
      </c>
      <c r="AD48">
        <f ca="1">IFERROR(IF(0=LEN(ReferenceData!$AD$48),"",ReferenceData!$AD$48),"")</f>
        <v>40293.294000000002</v>
      </c>
      <c r="AE48" t="str">
        <f ca="1">IFERROR(IF(0=LEN(ReferenceData!$AE$48),"",ReferenceData!$AE$48),"")</f>
        <v/>
      </c>
      <c r="AF48" t="str">
        <f ca="1">IFERROR(IF(0=LEN(ReferenceData!$AF$48),"",ReferenceData!$AF$48),"")</f>
        <v/>
      </c>
      <c r="AG48" t="str">
        <f ca="1">IFERROR(IF(0=LEN(ReferenceData!$AG$48),"",ReferenceData!$AG$48),"")</f>
        <v/>
      </c>
      <c r="AH48" t="str">
        <f ca="1">IFERROR(IF(0=LEN(ReferenceData!$AH$48),"",ReferenceData!$AH$48),"")</f>
        <v/>
      </c>
      <c r="AI48" t="str">
        <f ca="1">IFERROR(IF(0=LEN(ReferenceData!$AI$48),"",ReferenceData!$AI$48),"")</f>
        <v/>
      </c>
      <c r="AJ48" t="str">
        <f ca="1">IFERROR(IF(0=LEN(ReferenceData!$AJ$48),"",ReferenceData!$AJ$48),"")</f>
        <v/>
      </c>
      <c r="AK48" t="str">
        <f ca="1">IFERROR(IF(0=LEN(ReferenceData!$AK$48),"",ReferenceData!$AK$48),"")</f>
        <v/>
      </c>
      <c r="AL48" t="str">
        <f ca="1">IFERROR(IF(0=LEN(ReferenceData!$AL$48),"",ReferenceData!$AL$48),"")</f>
        <v/>
      </c>
      <c r="AM48" t="str">
        <f ca="1">IFERROR(IF(0=LEN(ReferenceData!$AM$48),"",ReferenceData!$AM$48),"")</f>
        <v/>
      </c>
      <c r="AN48" t="str">
        <f ca="1">IFERROR(IF(0=LEN(ReferenceData!$AN$48),"",ReferenceData!$AN$48),"")</f>
        <v/>
      </c>
      <c r="AO48" t="str">
        <f ca="1">IFERROR(IF(0=LEN(ReferenceData!$AO$48),"",ReferenceData!$AO$48),"")</f>
        <v/>
      </c>
      <c r="AP48" t="str">
        <f ca="1">IFERROR(IF(0=LEN(ReferenceData!$AP$48),"",ReferenceData!$AP$48),"")</f>
        <v/>
      </c>
      <c r="AQ48" t="str">
        <f ca="1">IFERROR(IF(0=LEN(ReferenceData!$AQ$48),"",ReferenceData!$AQ$48),"")</f>
        <v/>
      </c>
      <c r="AR48" t="str">
        <f ca="1">IFERROR(IF(0=LEN(ReferenceData!$AR$48),"",ReferenceData!$AR$48),"")</f>
        <v/>
      </c>
      <c r="AS48" t="str">
        <f ca="1">IFERROR(IF(0=LEN(ReferenceData!$AS$48),"",ReferenceData!$AS$48),"")</f>
        <v/>
      </c>
    </row>
    <row r="49" spans="1:45" x14ac:dyDescent="0.2">
      <c r="A49" t="str">
        <f>IFERROR(IF(0=LEN(ReferenceData!$A$49),"",ReferenceData!$A$49),"")</f>
        <v xml:space="preserve">        Airports</v>
      </c>
      <c r="B49" t="str">
        <f>IFERROR(IF(0=LEN(ReferenceData!$B$49),"",ReferenceData!$B$49),"")</f>
        <v>RTBAAAVD Index</v>
      </c>
      <c r="C49" t="str">
        <f>IFERROR(IF(0=LEN(ReferenceData!$C$49),"",ReferenceData!$C$49),"")</f>
        <v>PX385</v>
      </c>
      <c r="D49" t="str">
        <f>IFERROR(IF(0=LEN(ReferenceData!$D$49),"",ReferenceData!$D$49),"")</f>
        <v>INTERVAL_SUM</v>
      </c>
      <c r="E49" t="str">
        <f>IFERROR(IF(0=LEN(ReferenceData!$E$49),"",ReferenceData!$E$49),"")</f>
        <v>Dynamic</v>
      </c>
      <c r="F49">
        <f ca="1">IFERROR(IF(0=LEN(ReferenceData!$F$49),"",ReferenceData!$F$49),"")</f>
        <v>3053.1100299999998</v>
      </c>
      <c r="G49">
        <f ca="1">IFERROR(IF(0=LEN(ReferenceData!$G$49),"",ReferenceData!$G$49),"")</f>
        <v>3350.3610100000001</v>
      </c>
      <c r="H49">
        <f ca="1">IFERROR(IF(0=LEN(ReferenceData!$H$49),"",ReferenceData!$H$49),"")</f>
        <v>3116.6349799999998</v>
      </c>
      <c r="I49">
        <f ca="1">IFERROR(IF(0=LEN(ReferenceData!$I$49),"",ReferenceData!$I$49),"")</f>
        <v>3087.7699600000001</v>
      </c>
      <c r="J49">
        <f ca="1">IFERROR(IF(0=LEN(ReferenceData!$J$49),"",ReferenceData!$J$49),"")</f>
        <v>2385.23497</v>
      </c>
      <c r="K49">
        <f ca="1">IFERROR(IF(0=LEN(ReferenceData!$K$49),"",ReferenceData!$K$49),"")</f>
        <v>2286.5030200000001</v>
      </c>
      <c r="L49">
        <f ca="1">IFERROR(IF(0=LEN(ReferenceData!$L$49),"",ReferenceData!$L$49),"")</f>
        <v>2160.8619899999999</v>
      </c>
      <c r="M49">
        <f ca="1">IFERROR(IF(0=LEN(ReferenceData!$M$49),"",ReferenceData!$M$49),"")</f>
        <v>1853.5940000000001</v>
      </c>
      <c r="N49">
        <f ca="1">IFERROR(IF(0=LEN(ReferenceData!$N$49),"",ReferenceData!$N$49),"")</f>
        <v>2240.8649999999998</v>
      </c>
      <c r="O49">
        <f ca="1">IFERROR(IF(0=LEN(ReferenceData!$O$49),"",ReferenceData!$O$49),"")</f>
        <v>2572.3389999999999</v>
      </c>
      <c r="P49">
        <f ca="1">IFERROR(IF(0=LEN(ReferenceData!$P$49),"",ReferenceData!$P$49),"")</f>
        <v>2002.7950000000001</v>
      </c>
      <c r="Q49">
        <f ca="1">IFERROR(IF(0=LEN(ReferenceData!$Q$49),"",ReferenceData!$Q$49),"")</f>
        <v>2144.3890000000001</v>
      </c>
      <c r="R49">
        <f ca="1">IFERROR(IF(0=LEN(ReferenceData!$R$49),"",ReferenceData!$R$49),"")</f>
        <v>2111.3490000000002</v>
      </c>
      <c r="S49">
        <f ca="1">IFERROR(IF(0=LEN(ReferenceData!$S$49),"",ReferenceData!$S$49),"")</f>
        <v>1801.893</v>
      </c>
      <c r="T49">
        <f ca="1">IFERROR(IF(0=LEN(ReferenceData!$T$49),"",ReferenceData!$T$49),"")</f>
        <v>2888.9340000000002</v>
      </c>
      <c r="U49">
        <f ca="1">IFERROR(IF(0=LEN(ReferenceData!$U$49),"",ReferenceData!$U$49),"")</f>
        <v>1616.932</v>
      </c>
      <c r="V49">
        <f ca="1">IFERROR(IF(0=LEN(ReferenceData!$V$49),"",ReferenceData!$V$49),"")</f>
        <v>2059.982</v>
      </c>
      <c r="W49">
        <f ca="1">IFERROR(IF(0=LEN(ReferenceData!$W$49),"",ReferenceData!$W$49),"")</f>
        <v>2225.0610000000001</v>
      </c>
      <c r="X49">
        <f ca="1">IFERROR(IF(0=LEN(ReferenceData!$X$49),"",ReferenceData!$X$49),"")</f>
        <v>1998.452</v>
      </c>
      <c r="Y49">
        <f ca="1">IFERROR(IF(0=LEN(ReferenceData!$Y$49),"",ReferenceData!$Y$49),"")</f>
        <v>1667.309</v>
      </c>
      <c r="Z49">
        <f ca="1">IFERROR(IF(0=LEN(ReferenceData!$Z$49),"",ReferenceData!$Z$49),"")</f>
        <v>1595.627</v>
      </c>
      <c r="AA49">
        <f ca="1">IFERROR(IF(0=LEN(ReferenceData!$AA$49),"",ReferenceData!$AA$49),"")</f>
        <v>1924.702</v>
      </c>
      <c r="AB49">
        <f ca="1">IFERROR(IF(0=LEN(ReferenceData!$AB$49),"",ReferenceData!$AB$49),"")</f>
        <v>2132.0569999999998</v>
      </c>
      <c r="AC49">
        <f ca="1">IFERROR(IF(0=LEN(ReferenceData!$AC$49),"",ReferenceData!$AC$49),"")</f>
        <v>1647.2950000000001</v>
      </c>
      <c r="AD49">
        <f ca="1">IFERROR(IF(0=LEN(ReferenceData!$AD$49),"",ReferenceData!$AD$49),"")</f>
        <v>1588.5219999999999</v>
      </c>
      <c r="AE49" t="str">
        <f ca="1">IFERROR(IF(0=LEN(ReferenceData!$AE$49),"",ReferenceData!$AE$49),"")</f>
        <v/>
      </c>
      <c r="AF49" t="str">
        <f ca="1">IFERROR(IF(0=LEN(ReferenceData!$AF$49),"",ReferenceData!$AF$49),"")</f>
        <v/>
      </c>
      <c r="AG49" t="str">
        <f ca="1">IFERROR(IF(0=LEN(ReferenceData!$AG$49),"",ReferenceData!$AG$49),"")</f>
        <v/>
      </c>
      <c r="AH49" t="str">
        <f ca="1">IFERROR(IF(0=LEN(ReferenceData!$AH$49),"",ReferenceData!$AH$49),"")</f>
        <v/>
      </c>
      <c r="AI49" t="str">
        <f ca="1">IFERROR(IF(0=LEN(ReferenceData!$AI$49),"",ReferenceData!$AI$49),"")</f>
        <v/>
      </c>
      <c r="AJ49" t="str">
        <f ca="1">IFERROR(IF(0=LEN(ReferenceData!$AJ$49),"",ReferenceData!$AJ$49),"")</f>
        <v/>
      </c>
      <c r="AK49" t="str">
        <f ca="1">IFERROR(IF(0=LEN(ReferenceData!$AK$49),"",ReferenceData!$AK$49),"")</f>
        <v/>
      </c>
      <c r="AL49" t="str">
        <f ca="1">IFERROR(IF(0=LEN(ReferenceData!$AL$49),"",ReferenceData!$AL$49),"")</f>
        <v/>
      </c>
      <c r="AM49" t="str">
        <f ca="1">IFERROR(IF(0=LEN(ReferenceData!$AM$49),"",ReferenceData!$AM$49),"")</f>
        <v/>
      </c>
      <c r="AN49" t="str">
        <f ca="1">IFERROR(IF(0=LEN(ReferenceData!$AN$49),"",ReferenceData!$AN$49),"")</f>
        <v/>
      </c>
      <c r="AO49" t="str">
        <f ca="1">IFERROR(IF(0=LEN(ReferenceData!$AO$49),"",ReferenceData!$AO$49),"")</f>
        <v/>
      </c>
      <c r="AP49" t="str">
        <f ca="1">IFERROR(IF(0=LEN(ReferenceData!$AP$49),"",ReferenceData!$AP$49),"")</f>
        <v/>
      </c>
      <c r="AQ49" t="str">
        <f ca="1">IFERROR(IF(0=LEN(ReferenceData!$AQ$49),"",ReferenceData!$AQ$49),"")</f>
        <v/>
      </c>
      <c r="AR49" t="str">
        <f ca="1">IFERROR(IF(0=LEN(ReferenceData!$AR$49),"",ReferenceData!$AR$49),"")</f>
        <v/>
      </c>
      <c r="AS49" t="str">
        <f ca="1">IFERROR(IF(0=LEN(ReferenceData!$AS$49),"",ReferenceData!$AS$49),"")</f>
        <v/>
      </c>
    </row>
    <row r="50" spans="1:45" x14ac:dyDescent="0.2">
      <c r="A50" t="str">
        <f>IFERROR(IF(0=LEN(ReferenceData!$A$50),"",ReferenceData!$A$50),"")</f>
        <v xml:space="preserve">        Bridge &amp; Tunnel</v>
      </c>
      <c r="B50" t="str">
        <f>IFERROR(IF(0=LEN(ReferenceData!$B$50),"",ReferenceData!$B$50),"")</f>
        <v>RTBABTVD Index</v>
      </c>
      <c r="C50" t="str">
        <f>IFERROR(IF(0=LEN(ReferenceData!$C$50),"",ReferenceData!$C$50),"")</f>
        <v>PX385</v>
      </c>
      <c r="D50" t="str">
        <f>IFERROR(IF(0=LEN(ReferenceData!$D$50),"",ReferenceData!$D$50),"")</f>
        <v>INTERVAL_SUM</v>
      </c>
      <c r="E50" t="str">
        <f>IFERROR(IF(0=LEN(ReferenceData!$E$50),"",ReferenceData!$E$50),"")</f>
        <v>Dynamic</v>
      </c>
      <c r="F50">
        <f ca="1">IFERROR(IF(0=LEN(ReferenceData!$F$50),"",ReferenceData!$F$50),"")</f>
        <v>19137.559069999999</v>
      </c>
      <c r="G50">
        <f ca="1">IFERROR(IF(0=LEN(ReferenceData!$G$50),"",ReferenceData!$G$50),"")</f>
        <v>22817.74987</v>
      </c>
      <c r="H50">
        <f ca="1">IFERROR(IF(0=LEN(ReferenceData!$H$50),"",ReferenceData!$H$50),"")</f>
        <v>18079.795099999999</v>
      </c>
      <c r="I50">
        <f ca="1">IFERROR(IF(0=LEN(ReferenceData!$I$50),"",ReferenceData!$I$50),"")</f>
        <v>22187.3766</v>
      </c>
      <c r="J50">
        <f ca="1">IFERROR(IF(0=LEN(ReferenceData!$J$50),"",ReferenceData!$J$50),"")</f>
        <v>16710.99207</v>
      </c>
      <c r="K50">
        <f ca="1">IFERROR(IF(0=LEN(ReferenceData!$K$50),"",ReferenceData!$K$50),"")</f>
        <v>21139.764159999999</v>
      </c>
      <c r="L50">
        <f ca="1">IFERROR(IF(0=LEN(ReferenceData!$L$50),"",ReferenceData!$L$50),"")</f>
        <v>20605.972860000002</v>
      </c>
      <c r="M50">
        <f ca="1">IFERROR(IF(0=LEN(ReferenceData!$M$50),"",ReferenceData!$M$50),"")</f>
        <v>15829.05898</v>
      </c>
      <c r="N50">
        <f ca="1">IFERROR(IF(0=LEN(ReferenceData!$N$50),"",ReferenceData!$N$50),"")</f>
        <v>18875.848000000002</v>
      </c>
      <c r="O50">
        <f ca="1">IFERROR(IF(0=LEN(ReferenceData!$O$50),"",ReferenceData!$O$50),"")</f>
        <v>15769.32</v>
      </c>
      <c r="P50">
        <f ca="1">IFERROR(IF(0=LEN(ReferenceData!$P$50),"",ReferenceData!$P$50),"")</f>
        <v>23313.071</v>
      </c>
      <c r="Q50">
        <f ca="1">IFERROR(IF(0=LEN(ReferenceData!$Q$50),"",ReferenceData!$Q$50),"")</f>
        <v>13858.956</v>
      </c>
      <c r="R50">
        <f ca="1">IFERROR(IF(0=LEN(ReferenceData!$R$50),"",ReferenceData!$R$50),"")</f>
        <v>15704.543</v>
      </c>
      <c r="S50">
        <f ca="1">IFERROR(IF(0=LEN(ReferenceData!$S$50),"",ReferenceData!$S$50),"")</f>
        <v>16009.909</v>
      </c>
      <c r="T50">
        <f ca="1">IFERROR(IF(0=LEN(ReferenceData!$T$50),"",ReferenceData!$T$50),"")</f>
        <v>15648.526</v>
      </c>
      <c r="U50">
        <f ca="1">IFERROR(IF(0=LEN(ReferenceData!$U$50),"",ReferenceData!$U$50),"")</f>
        <v>14152.864</v>
      </c>
      <c r="V50">
        <f ca="1">IFERROR(IF(0=LEN(ReferenceData!$V$50),"",ReferenceData!$V$50),"")</f>
        <v>14923.541999999999</v>
      </c>
      <c r="W50">
        <f ca="1">IFERROR(IF(0=LEN(ReferenceData!$W$50),"",ReferenceData!$W$50),"")</f>
        <v>13285.151</v>
      </c>
      <c r="X50">
        <f ca="1">IFERROR(IF(0=LEN(ReferenceData!$X$50),"",ReferenceData!$X$50),"")</f>
        <v>11449.798000000001</v>
      </c>
      <c r="Y50">
        <f ca="1">IFERROR(IF(0=LEN(ReferenceData!$Y$50),"",ReferenceData!$Y$50),"")</f>
        <v>10157.271000000001</v>
      </c>
      <c r="Z50">
        <f ca="1">IFERROR(IF(0=LEN(ReferenceData!$Z$50),"",ReferenceData!$Z$50),"")</f>
        <v>11575.370999999999</v>
      </c>
      <c r="AA50">
        <f ca="1">IFERROR(IF(0=LEN(ReferenceData!$AA$50),"",ReferenceData!$AA$50),"")</f>
        <v>11064.767</v>
      </c>
      <c r="AB50">
        <f ca="1">IFERROR(IF(0=LEN(ReferenceData!$AB$50),"",ReferenceData!$AB$50),"")</f>
        <v>11132.491</v>
      </c>
      <c r="AC50">
        <f ca="1">IFERROR(IF(0=LEN(ReferenceData!$AC$50),"",ReferenceData!$AC$50),"")</f>
        <v>10440.695</v>
      </c>
      <c r="AD50">
        <f ca="1">IFERROR(IF(0=LEN(ReferenceData!$AD$50),"",ReferenceData!$AD$50),"")</f>
        <v>9170.4609999999993</v>
      </c>
      <c r="AE50" t="str">
        <f ca="1">IFERROR(IF(0=LEN(ReferenceData!$AE$50),"",ReferenceData!$AE$50),"")</f>
        <v/>
      </c>
      <c r="AF50" t="str">
        <f ca="1">IFERROR(IF(0=LEN(ReferenceData!$AF$50),"",ReferenceData!$AF$50),"")</f>
        <v/>
      </c>
      <c r="AG50" t="str">
        <f ca="1">IFERROR(IF(0=LEN(ReferenceData!$AG$50),"",ReferenceData!$AG$50),"")</f>
        <v/>
      </c>
      <c r="AH50" t="str">
        <f ca="1">IFERROR(IF(0=LEN(ReferenceData!$AH$50),"",ReferenceData!$AH$50),"")</f>
        <v/>
      </c>
      <c r="AI50" t="str">
        <f ca="1">IFERROR(IF(0=LEN(ReferenceData!$AI$50),"",ReferenceData!$AI$50),"")</f>
        <v/>
      </c>
      <c r="AJ50" t="str">
        <f ca="1">IFERROR(IF(0=LEN(ReferenceData!$AJ$50),"",ReferenceData!$AJ$50),"")</f>
        <v/>
      </c>
      <c r="AK50" t="str">
        <f ca="1">IFERROR(IF(0=LEN(ReferenceData!$AK$50),"",ReferenceData!$AK$50),"")</f>
        <v/>
      </c>
      <c r="AL50" t="str">
        <f ca="1">IFERROR(IF(0=LEN(ReferenceData!$AL$50),"",ReferenceData!$AL$50),"")</f>
        <v/>
      </c>
      <c r="AM50" t="str">
        <f ca="1">IFERROR(IF(0=LEN(ReferenceData!$AM$50),"",ReferenceData!$AM$50),"")</f>
        <v/>
      </c>
      <c r="AN50" t="str">
        <f ca="1">IFERROR(IF(0=LEN(ReferenceData!$AN$50),"",ReferenceData!$AN$50),"")</f>
        <v/>
      </c>
      <c r="AO50" t="str">
        <f ca="1">IFERROR(IF(0=LEN(ReferenceData!$AO$50),"",ReferenceData!$AO$50),"")</f>
        <v/>
      </c>
      <c r="AP50" t="str">
        <f ca="1">IFERROR(IF(0=LEN(ReferenceData!$AP$50),"",ReferenceData!$AP$50),"")</f>
        <v/>
      </c>
      <c r="AQ50" t="str">
        <f ca="1">IFERROR(IF(0=LEN(ReferenceData!$AQ$50),"",ReferenceData!$AQ$50),"")</f>
        <v/>
      </c>
      <c r="AR50" t="str">
        <f ca="1">IFERROR(IF(0=LEN(ReferenceData!$AR$50),"",ReferenceData!$AR$50),"")</f>
        <v/>
      </c>
      <c r="AS50" t="str">
        <f ca="1">IFERROR(IF(0=LEN(ReferenceData!$AS$50),"",ReferenceData!$AS$50),"")</f>
        <v/>
      </c>
    </row>
    <row r="51" spans="1:45" x14ac:dyDescent="0.2">
      <c r="A51" t="str">
        <f>IFERROR(IF(0=LEN(ReferenceData!$A$51),"",ReferenceData!$A$51),"")</f>
        <v xml:space="preserve">        Docks, Piers &amp; Wharves</v>
      </c>
      <c r="B51" t="str">
        <f>IFERROR(IF(0=LEN(ReferenceData!$B$51),"",ReferenceData!$B$51),"")</f>
        <v>RTBADPVD Index</v>
      </c>
      <c r="C51" t="str">
        <f>IFERROR(IF(0=LEN(ReferenceData!$C$51),"",ReferenceData!$C$51),"")</f>
        <v>PX385</v>
      </c>
      <c r="D51" t="str">
        <f>IFERROR(IF(0=LEN(ReferenceData!$D$51),"",ReferenceData!$D$51),"")</f>
        <v>INTERVAL_SUM</v>
      </c>
      <c r="E51" t="str">
        <f>IFERROR(IF(0=LEN(ReferenceData!$E$51),"",ReferenceData!$E$51),"")</f>
        <v>Dynamic</v>
      </c>
      <c r="F51">
        <f ca="1">IFERROR(IF(0=LEN(ReferenceData!$F$51),"",ReferenceData!$F$51),"")</f>
        <v>4030.6080000000002</v>
      </c>
      <c r="G51">
        <f ca="1">IFERROR(IF(0=LEN(ReferenceData!$G$51),"",ReferenceData!$G$51),"")</f>
        <v>2277.6969899999999</v>
      </c>
      <c r="H51">
        <f ca="1">IFERROR(IF(0=LEN(ReferenceData!$H$51),"",ReferenceData!$H$51),"")</f>
        <v>2454.0529999999999</v>
      </c>
      <c r="I51">
        <f ca="1">IFERROR(IF(0=LEN(ReferenceData!$I$51),"",ReferenceData!$I$51),"")</f>
        <v>2154.5460200000002</v>
      </c>
      <c r="J51">
        <f ca="1">IFERROR(IF(0=LEN(ReferenceData!$J$51),"",ReferenceData!$J$51),"")</f>
        <v>1311.64599</v>
      </c>
      <c r="K51">
        <f ca="1">IFERROR(IF(0=LEN(ReferenceData!$K$51),"",ReferenceData!$K$51),"")</f>
        <v>2125.77</v>
      </c>
      <c r="L51">
        <f ca="1">IFERROR(IF(0=LEN(ReferenceData!$L$51),"",ReferenceData!$L$51),"")</f>
        <v>1361.22901</v>
      </c>
      <c r="M51">
        <f ca="1">IFERROR(IF(0=LEN(ReferenceData!$M$51),"",ReferenceData!$M$51),"")</f>
        <v>1798.3889999999999</v>
      </c>
      <c r="N51">
        <f ca="1">IFERROR(IF(0=LEN(ReferenceData!$N$51),"",ReferenceData!$N$51),"")</f>
        <v>922.61800000000005</v>
      </c>
      <c r="O51">
        <f ca="1">IFERROR(IF(0=LEN(ReferenceData!$O$51),"",ReferenceData!$O$51),"")</f>
        <v>875.42100000000005</v>
      </c>
      <c r="P51">
        <f ca="1">IFERROR(IF(0=LEN(ReferenceData!$P$51),"",ReferenceData!$P$51),"")</f>
        <v>1041.617</v>
      </c>
      <c r="Q51">
        <f ca="1">IFERROR(IF(0=LEN(ReferenceData!$Q$51),"",ReferenceData!$Q$51),"")</f>
        <v>1248.248</v>
      </c>
      <c r="R51">
        <f ca="1">IFERROR(IF(0=LEN(ReferenceData!$R$51),"",ReferenceData!$R$51),"")</f>
        <v>1060.693</v>
      </c>
      <c r="S51">
        <f ca="1">IFERROR(IF(0=LEN(ReferenceData!$S$51),"",ReferenceData!$S$51),"")</f>
        <v>813.98500000000001</v>
      </c>
      <c r="T51">
        <f ca="1">IFERROR(IF(0=LEN(ReferenceData!$T$51),"",ReferenceData!$T$51),"")</f>
        <v>1065.8389999999999</v>
      </c>
      <c r="U51">
        <f ca="1">IFERROR(IF(0=LEN(ReferenceData!$U$51),"",ReferenceData!$U$51),"")</f>
        <v>1061.9860000000001</v>
      </c>
      <c r="V51">
        <f ca="1">IFERROR(IF(0=LEN(ReferenceData!$V$51),"",ReferenceData!$V$51),"")</f>
        <v>858.54499999999996</v>
      </c>
      <c r="W51">
        <f ca="1">IFERROR(IF(0=LEN(ReferenceData!$W$51),"",ReferenceData!$W$51),"")</f>
        <v>886.03700000000003</v>
      </c>
      <c r="X51">
        <f ca="1">IFERROR(IF(0=LEN(ReferenceData!$X$51),"",ReferenceData!$X$51),"")</f>
        <v>971.77499999999998</v>
      </c>
      <c r="Y51">
        <f ca="1">IFERROR(IF(0=LEN(ReferenceData!$Y$51),"",ReferenceData!$Y$51),"")</f>
        <v>578.78</v>
      </c>
      <c r="Z51">
        <f ca="1">IFERROR(IF(0=LEN(ReferenceData!$Z$51),"",ReferenceData!$Z$51),"")</f>
        <v>878.88400000000001</v>
      </c>
      <c r="AA51">
        <f ca="1">IFERROR(IF(0=LEN(ReferenceData!$AA$51),"",ReferenceData!$AA$51),"")</f>
        <v>909.75699999999995</v>
      </c>
      <c r="AB51">
        <f ca="1">IFERROR(IF(0=LEN(ReferenceData!$AB$51),"",ReferenceData!$AB$51),"")</f>
        <v>602.47900000000004</v>
      </c>
      <c r="AC51">
        <f ca="1">IFERROR(IF(0=LEN(ReferenceData!$AC$51),"",ReferenceData!$AC$51),"")</f>
        <v>665.28399999999999</v>
      </c>
      <c r="AD51">
        <f ca="1">IFERROR(IF(0=LEN(ReferenceData!$AD$51),"",ReferenceData!$AD$51),"")</f>
        <v>834.05899999999997</v>
      </c>
      <c r="AE51" t="str">
        <f ca="1">IFERROR(IF(0=LEN(ReferenceData!$AE$51),"",ReferenceData!$AE$51),"")</f>
        <v/>
      </c>
      <c r="AF51" t="str">
        <f ca="1">IFERROR(IF(0=LEN(ReferenceData!$AF$51),"",ReferenceData!$AF$51),"")</f>
        <v/>
      </c>
      <c r="AG51" t="str">
        <f ca="1">IFERROR(IF(0=LEN(ReferenceData!$AG$51),"",ReferenceData!$AG$51),"")</f>
        <v/>
      </c>
      <c r="AH51" t="str">
        <f ca="1">IFERROR(IF(0=LEN(ReferenceData!$AH$51),"",ReferenceData!$AH$51),"")</f>
        <v/>
      </c>
      <c r="AI51" t="str">
        <f ca="1">IFERROR(IF(0=LEN(ReferenceData!$AI$51),"",ReferenceData!$AI$51),"")</f>
        <v/>
      </c>
      <c r="AJ51" t="str">
        <f ca="1">IFERROR(IF(0=LEN(ReferenceData!$AJ$51),"",ReferenceData!$AJ$51),"")</f>
        <v/>
      </c>
      <c r="AK51" t="str">
        <f ca="1">IFERROR(IF(0=LEN(ReferenceData!$AK$51),"",ReferenceData!$AK$51),"")</f>
        <v/>
      </c>
      <c r="AL51" t="str">
        <f ca="1">IFERROR(IF(0=LEN(ReferenceData!$AL$51),"",ReferenceData!$AL$51),"")</f>
        <v/>
      </c>
      <c r="AM51" t="str">
        <f ca="1">IFERROR(IF(0=LEN(ReferenceData!$AM$51),"",ReferenceData!$AM$51),"")</f>
        <v/>
      </c>
      <c r="AN51" t="str">
        <f ca="1">IFERROR(IF(0=LEN(ReferenceData!$AN$51),"",ReferenceData!$AN$51),"")</f>
        <v/>
      </c>
      <c r="AO51" t="str">
        <f ca="1">IFERROR(IF(0=LEN(ReferenceData!$AO$51),"",ReferenceData!$AO$51),"")</f>
        <v/>
      </c>
      <c r="AP51" t="str">
        <f ca="1">IFERROR(IF(0=LEN(ReferenceData!$AP$51),"",ReferenceData!$AP$51),"")</f>
        <v/>
      </c>
      <c r="AQ51" t="str">
        <f ca="1">IFERROR(IF(0=LEN(ReferenceData!$AQ$51),"",ReferenceData!$AQ$51),"")</f>
        <v/>
      </c>
      <c r="AR51" t="str">
        <f ca="1">IFERROR(IF(0=LEN(ReferenceData!$AR$51),"",ReferenceData!$AR$51),"")</f>
        <v/>
      </c>
      <c r="AS51" t="str">
        <f ca="1">IFERROR(IF(0=LEN(ReferenceData!$AS$51),"",ReferenceData!$AS$51),"")</f>
        <v/>
      </c>
    </row>
    <row r="52" spans="1:45" x14ac:dyDescent="0.2">
      <c r="A52" t="str">
        <f>IFERROR(IF(0=LEN(ReferenceData!$A$52),"",ReferenceData!$A$52),"")</f>
        <v xml:space="preserve">        Highways</v>
      </c>
      <c r="B52" t="str">
        <f>IFERROR(IF(0=LEN(ReferenceData!$B$52),"",ReferenceData!$B$52),"")</f>
        <v>RTBAHWVD Index</v>
      </c>
      <c r="C52" t="str">
        <f>IFERROR(IF(0=LEN(ReferenceData!$C$52),"",ReferenceData!$C$52),"")</f>
        <v>PX385</v>
      </c>
      <c r="D52" t="str">
        <f>IFERROR(IF(0=LEN(ReferenceData!$D$52),"",ReferenceData!$D$52),"")</f>
        <v>INTERVAL_SUM</v>
      </c>
      <c r="E52" t="str">
        <f>IFERROR(IF(0=LEN(ReferenceData!$E$52),"",ReferenceData!$E$52),"")</f>
        <v>Dynamic</v>
      </c>
      <c r="F52">
        <f ca="1">IFERROR(IF(0=LEN(ReferenceData!$F$52),"",ReferenceData!$F$52),"")</f>
        <v>71525.152830000006</v>
      </c>
      <c r="G52">
        <f ca="1">IFERROR(IF(0=LEN(ReferenceData!$G$52),"",ReferenceData!$G$52),"")</f>
        <v>81888.120599999995</v>
      </c>
      <c r="H52">
        <f ca="1">IFERROR(IF(0=LEN(ReferenceData!$H$52),"",ReferenceData!$H$52),"")</f>
        <v>64665.73487</v>
      </c>
      <c r="I52">
        <f ca="1">IFERROR(IF(0=LEN(ReferenceData!$I$52),"",ReferenceData!$I$52),"")</f>
        <v>61476.506370000003</v>
      </c>
      <c r="J52">
        <f ca="1">IFERROR(IF(0=LEN(ReferenceData!$J$52),"",ReferenceData!$J$52),"")</f>
        <v>58108.090579999996</v>
      </c>
      <c r="K52">
        <f ca="1">IFERROR(IF(0=LEN(ReferenceData!$K$52),"",ReferenceData!$K$52),"")</f>
        <v>57044.738770000004</v>
      </c>
      <c r="L52">
        <f ca="1">IFERROR(IF(0=LEN(ReferenceData!$L$52),"",ReferenceData!$L$52),"")</f>
        <v>51783.006090000003</v>
      </c>
      <c r="M52">
        <f ca="1">IFERROR(IF(0=LEN(ReferenceData!$M$52),"",ReferenceData!$M$52),"")</f>
        <v>47411.166140000001</v>
      </c>
      <c r="N52">
        <f ca="1">IFERROR(IF(0=LEN(ReferenceData!$N$52),"",ReferenceData!$N$52),"")</f>
        <v>48939.756999999998</v>
      </c>
      <c r="O52">
        <f ca="1">IFERROR(IF(0=LEN(ReferenceData!$O$52),"",ReferenceData!$O$52),"")</f>
        <v>43666.135999999999</v>
      </c>
      <c r="P52">
        <f ca="1">IFERROR(IF(0=LEN(ReferenceData!$P$52),"",ReferenceData!$P$52),"")</f>
        <v>43797.955000000002</v>
      </c>
      <c r="Q52">
        <f ca="1">IFERROR(IF(0=LEN(ReferenceData!$Q$52),"",ReferenceData!$Q$52),"")</f>
        <v>39139.983999999997</v>
      </c>
      <c r="R52">
        <f ca="1">IFERROR(IF(0=LEN(ReferenceData!$R$52),"",ReferenceData!$R$52),"")</f>
        <v>41152.620999999999</v>
      </c>
      <c r="S52">
        <f ca="1">IFERROR(IF(0=LEN(ReferenceData!$S$52),"",ReferenceData!$S$52),"")</f>
        <v>43078.436000000002</v>
      </c>
      <c r="T52">
        <f ca="1">IFERROR(IF(0=LEN(ReferenceData!$T$52),"",ReferenceData!$T$52),"")</f>
        <v>41638.417999999998</v>
      </c>
      <c r="U52">
        <f ca="1">IFERROR(IF(0=LEN(ReferenceData!$U$52),"",ReferenceData!$U$52),"")</f>
        <v>38981.273000000001</v>
      </c>
      <c r="V52">
        <f ca="1">IFERROR(IF(0=LEN(ReferenceData!$V$52),"",ReferenceData!$V$52),"")</f>
        <v>38925.400999999998</v>
      </c>
      <c r="W52">
        <f ca="1">IFERROR(IF(0=LEN(ReferenceData!$W$52),"",ReferenceData!$W$52),"")</f>
        <v>37900.250999999997</v>
      </c>
      <c r="X52">
        <f ca="1">IFERROR(IF(0=LEN(ReferenceData!$X$52),"",ReferenceData!$X$52),"")</f>
        <v>33204.470999999998</v>
      </c>
      <c r="Y52">
        <f ca="1">IFERROR(IF(0=LEN(ReferenceData!$Y$52),"",ReferenceData!$Y$52),"")</f>
        <v>31422.370999999999</v>
      </c>
      <c r="Z52">
        <f ca="1">IFERROR(IF(0=LEN(ReferenceData!$Z$52),"",ReferenceData!$Z$52),"")</f>
        <v>30802.33</v>
      </c>
      <c r="AA52">
        <f ca="1">IFERROR(IF(0=LEN(ReferenceData!$AA$52),"",ReferenceData!$AA$52),"")</f>
        <v>32560.868999999999</v>
      </c>
      <c r="AB52">
        <f ca="1">IFERROR(IF(0=LEN(ReferenceData!$AB$52),"",ReferenceData!$AB$52),"")</f>
        <v>31991.420999999998</v>
      </c>
      <c r="AC52">
        <f ca="1">IFERROR(IF(0=LEN(ReferenceData!$AC$52),"",ReferenceData!$AC$52),"")</f>
        <v>30730.708999999999</v>
      </c>
      <c r="AD52">
        <f ca="1">IFERROR(IF(0=LEN(ReferenceData!$AD$52),"",ReferenceData!$AD$52),"")</f>
        <v>26939.289000000001</v>
      </c>
      <c r="AE52" t="str">
        <f ca="1">IFERROR(IF(0=LEN(ReferenceData!$AE$52),"",ReferenceData!$AE$52),"")</f>
        <v/>
      </c>
      <c r="AF52" t="str">
        <f ca="1">IFERROR(IF(0=LEN(ReferenceData!$AF$52),"",ReferenceData!$AF$52),"")</f>
        <v/>
      </c>
      <c r="AG52" t="str">
        <f ca="1">IFERROR(IF(0=LEN(ReferenceData!$AG$52),"",ReferenceData!$AG$52),"")</f>
        <v/>
      </c>
      <c r="AH52" t="str">
        <f ca="1">IFERROR(IF(0=LEN(ReferenceData!$AH$52),"",ReferenceData!$AH$52),"")</f>
        <v/>
      </c>
      <c r="AI52" t="str">
        <f ca="1">IFERROR(IF(0=LEN(ReferenceData!$AI$52),"",ReferenceData!$AI$52),"")</f>
        <v/>
      </c>
      <c r="AJ52" t="str">
        <f ca="1">IFERROR(IF(0=LEN(ReferenceData!$AJ$52),"",ReferenceData!$AJ$52),"")</f>
        <v/>
      </c>
      <c r="AK52" t="str">
        <f ca="1">IFERROR(IF(0=LEN(ReferenceData!$AK$52),"",ReferenceData!$AK$52),"")</f>
        <v/>
      </c>
      <c r="AL52" t="str">
        <f ca="1">IFERROR(IF(0=LEN(ReferenceData!$AL$52),"",ReferenceData!$AL$52),"")</f>
        <v/>
      </c>
      <c r="AM52" t="str">
        <f ca="1">IFERROR(IF(0=LEN(ReferenceData!$AM$52),"",ReferenceData!$AM$52),"")</f>
        <v/>
      </c>
      <c r="AN52" t="str">
        <f ca="1">IFERROR(IF(0=LEN(ReferenceData!$AN$52),"",ReferenceData!$AN$52),"")</f>
        <v/>
      </c>
      <c r="AO52" t="str">
        <f ca="1">IFERROR(IF(0=LEN(ReferenceData!$AO$52),"",ReferenceData!$AO$52),"")</f>
        <v/>
      </c>
      <c r="AP52" t="str">
        <f ca="1">IFERROR(IF(0=LEN(ReferenceData!$AP$52),"",ReferenceData!$AP$52),"")</f>
        <v/>
      </c>
      <c r="AQ52" t="str">
        <f ca="1">IFERROR(IF(0=LEN(ReferenceData!$AQ$52),"",ReferenceData!$AQ$52),"")</f>
        <v/>
      </c>
      <c r="AR52" t="str">
        <f ca="1">IFERROR(IF(0=LEN(ReferenceData!$AR$52),"",ReferenceData!$AR$52),"")</f>
        <v/>
      </c>
      <c r="AS52" t="str">
        <f ca="1">IFERROR(IF(0=LEN(ReferenceData!$AS$52),"",ReferenceData!$AS$52),"")</f>
        <v/>
      </c>
    </row>
    <row r="53" spans="1:45" x14ac:dyDescent="0.2">
      <c r="A53" t="str">
        <f>IFERROR(IF(0=LEN(ReferenceData!$A$53),"",ReferenceData!$A$53),"")</f>
        <v xml:space="preserve">        Railways</v>
      </c>
      <c r="B53" t="str">
        <f>IFERROR(IF(0=LEN(ReferenceData!$B$53),"",ReferenceData!$B$53),"")</f>
        <v>RTBARAVD Index</v>
      </c>
      <c r="C53" t="str">
        <f>IFERROR(IF(0=LEN(ReferenceData!$C$53),"",ReferenceData!$C$53),"")</f>
        <v>PX385</v>
      </c>
      <c r="D53" t="str">
        <f>IFERROR(IF(0=LEN(ReferenceData!$D$53),"",ReferenceData!$D$53),"")</f>
        <v>INTERVAL_SUM</v>
      </c>
      <c r="E53" t="str">
        <f>IFERROR(IF(0=LEN(ReferenceData!$E$53),"",ReferenceData!$E$53),"")</f>
        <v>Dynamic</v>
      </c>
      <c r="F53">
        <f ca="1">IFERROR(IF(0=LEN(ReferenceData!$F$53),"",ReferenceData!$F$53),"")</f>
        <v>1810.5949900000001</v>
      </c>
      <c r="G53">
        <f ca="1">IFERROR(IF(0=LEN(ReferenceData!$G$53),"",ReferenceData!$G$53),"")</f>
        <v>3506.2000499999999</v>
      </c>
      <c r="H53">
        <f ca="1">IFERROR(IF(0=LEN(ReferenceData!$H$53),"",ReferenceData!$H$53),"")</f>
        <v>1533.877</v>
      </c>
      <c r="I53">
        <f ca="1">IFERROR(IF(0=LEN(ReferenceData!$I$53),"",ReferenceData!$I$53),"")</f>
        <v>6317.6550399999996</v>
      </c>
      <c r="J53">
        <f ca="1">IFERROR(IF(0=LEN(ReferenceData!$J$53),"",ReferenceData!$J$53),"")</f>
        <v>11033.01009</v>
      </c>
      <c r="K53">
        <f ca="1">IFERROR(IF(0=LEN(ReferenceData!$K$53),"",ReferenceData!$K$53),"")</f>
        <v>7162.3750799999998</v>
      </c>
      <c r="L53">
        <f ca="1">IFERROR(IF(0=LEN(ReferenceData!$L$53),"",ReferenceData!$L$53),"")</f>
        <v>9960.2270000000008</v>
      </c>
      <c r="M53">
        <f ca="1">IFERROR(IF(0=LEN(ReferenceData!$M$53),"",ReferenceData!$M$53),"")</f>
        <v>4702.6009999999997</v>
      </c>
      <c r="N53">
        <f ca="1">IFERROR(IF(0=LEN(ReferenceData!$N$53),"",ReferenceData!$N$53),"")</f>
        <v>4910.9809999999998</v>
      </c>
      <c r="O53">
        <f ca="1">IFERROR(IF(0=LEN(ReferenceData!$O$53),"",ReferenceData!$O$53),"")</f>
        <v>6763.3950000000004</v>
      </c>
      <c r="P53">
        <f ca="1">IFERROR(IF(0=LEN(ReferenceData!$P$53),"",ReferenceData!$P$53),"")</f>
        <v>5012.6189999999997</v>
      </c>
      <c r="Q53">
        <f ca="1">IFERROR(IF(0=LEN(ReferenceData!$Q$53),"",ReferenceData!$Q$53),"")</f>
        <v>3971.4850000000001</v>
      </c>
      <c r="R53">
        <f ca="1">IFERROR(IF(0=LEN(ReferenceData!$R$53),"",ReferenceData!$R$53),"")</f>
        <v>2140.63</v>
      </c>
      <c r="S53">
        <f ca="1">IFERROR(IF(0=LEN(ReferenceData!$S$53),"",ReferenceData!$S$53),"")</f>
        <v>3101.1280000000002</v>
      </c>
      <c r="T53">
        <f ca="1">IFERROR(IF(0=LEN(ReferenceData!$T$53),"",ReferenceData!$T$53),"")</f>
        <v>5090.107</v>
      </c>
      <c r="U53">
        <f ca="1">IFERROR(IF(0=LEN(ReferenceData!$U$53),"",ReferenceData!$U$53),"")</f>
        <v>3000.0259999999998</v>
      </c>
      <c r="V53">
        <f ca="1">IFERROR(IF(0=LEN(ReferenceData!$V$53),"",ReferenceData!$V$53),"")</f>
        <v>2593.1480000000001</v>
      </c>
      <c r="W53">
        <f ca="1">IFERROR(IF(0=LEN(ReferenceData!$W$53),"",ReferenceData!$W$53),"")</f>
        <v>1178.5360000000001</v>
      </c>
      <c r="X53">
        <f ca="1">IFERROR(IF(0=LEN(ReferenceData!$X$53),"",ReferenceData!$X$53),"")</f>
        <v>2129.35</v>
      </c>
      <c r="Y53">
        <f ca="1">IFERROR(IF(0=LEN(ReferenceData!$Y$53),"",ReferenceData!$Y$53),"")</f>
        <v>1908.595</v>
      </c>
      <c r="Z53">
        <f ca="1">IFERROR(IF(0=LEN(ReferenceData!$Z$53),"",ReferenceData!$Z$53),"")</f>
        <v>1787.798</v>
      </c>
      <c r="AA53">
        <f ca="1">IFERROR(IF(0=LEN(ReferenceData!$AA$53),"",ReferenceData!$AA$53),"")</f>
        <v>2386.62</v>
      </c>
      <c r="AB53">
        <f ca="1">IFERROR(IF(0=LEN(ReferenceData!$AB$53),"",ReferenceData!$AB$53),"")</f>
        <v>3250.105</v>
      </c>
      <c r="AC53">
        <f ca="1">IFERROR(IF(0=LEN(ReferenceData!$AC$53),"",ReferenceData!$AC$53),"")</f>
        <v>1888.309</v>
      </c>
      <c r="AD53">
        <f ca="1">IFERROR(IF(0=LEN(ReferenceData!$AD$53),"",ReferenceData!$AD$53),"")</f>
        <v>1760.963</v>
      </c>
      <c r="AE53" t="str">
        <f ca="1">IFERROR(IF(0=LEN(ReferenceData!$AE$53),"",ReferenceData!$AE$53),"")</f>
        <v/>
      </c>
      <c r="AF53" t="str">
        <f ca="1">IFERROR(IF(0=LEN(ReferenceData!$AF$53),"",ReferenceData!$AF$53),"")</f>
        <v/>
      </c>
      <c r="AG53" t="str">
        <f ca="1">IFERROR(IF(0=LEN(ReferenceData!$AG$53),"",ReferenceData!$AG$53),"")</f>
        <v/>
      </c>
      <c r="AH53" t="str">
        <f ca="1">IFERROR(IF(0=LEN(ReferenceData!$AH$53),"",ReferenceData!$AH$53),"")</f>
        <v/>
      </c>
      <c r="AI53" t="str">
        <f ca="1">IFERROR(IF(0=LEN(ReferenceData!$AI$53),"",ReferenceData!$AI$53),"")</f>
        <v/>
      </c>
      <c r="AJ53" t="str">
        <f ca="1">IFERROR(IF(0=LEN(ReferenceData!$AJ$53),"",ReferenceData!$AJ$53),"")</f>
        <v/>
      </c>
      <c r="AK53" t="str">
        <f ca="1">IFERROR(IF(0=LEN(ReferenceData!$AK$53),"",ReferenceData!$AK$53),"")</f>
        <v/>
      </c>
      <c r="AL53" t="str">
        <f ca="1">IFERROR(IF(0=LEN(ReferenceData!$AL$53),"",ReferenceData!$AL$53),"")</f>
        <v/>
      </c>
      <c r="AM53" t="str">
        <f ca="1">IFERROR(IF(0=LEN(ReferenceData!$AM$53),"",ReferenceData!$AM$53),"")</f>
        <v/>
      </c>
      <c r="AN53" t="str">
        <f ca="1">IFERROR(IF(0=LEN(ReferenceData!$AN$53),"",ReferenceData!$AN$53),"")</f>
        <v/>
      </c>
      <c r="AO53" t="str">
        <f ca="1">IFERROR(IF(0=LEN(ReferenceData!$AO$53),"",ReferenceData!$AO$53),"")</f>
        <v/>
      </c>
      <c r="AP53" t="str">
        <f ca="1">IFERROR(IF(0=LEN(ReferenceData!$AP$53),"",ReferenceData!$AP$53),"")</f>
        <v/>
      </c>
      <c r="AQ53" t="str">
        <f ca="1">IFERROR(IF(0=LEN(ReferenceData!$AQ$53),"",ReferenceData!$AQ$53),"")</f>
        <v/>
      </c>
      <c r="AR53" t="str">
        <f ca="1">IFERROR(IF(0=LEN(ReferenceData!$AR$53),"",ReferenceData!$AR$53),"")</f>
        <v/>
      </c>
      <c r="AS53" t="str">
        <f ca="1">IFERROR(IF(0=LEN(ReferenceData!$AS$53),"",ReferenceData!$AS$53),"")</f>
        <v/>
      </c>
    </row>
    <row r="54" spans="1:45" x14ac:dyDescent="0.2">
      <c r="A54" t="str">
        <f>IFERROR(IF(0=LEN(ReferenceData!$A$54),"",ReferenceData!$A$54),"")</f>
        <v xml:space="preserve">    </v>
      </c>
      <c r="B54" t="str">
        <f>IFERROR(IF(0=LEN(ReferenceData!$B$54),"",ReferenceData!$B$54),"")</f>
        <v/>
      </c>
      <c r="C54" t="str">
        <f>IFERROR(IF(0=LEN(ReferenceData!$C$54),"",ReferenceData!$C$54),"")</f>
        <v/>
      </c>
      <c r="D54" t="str">
        <f>IFERROR(IF(0=LEN(ReferenceData!$D$54),"",ReferenceData!$D$54),"")</f>
        <v/>
      </c>
      <c r="E54" t="str">
        <f>IFERROR(IF(0=LEN(ReferenceData!$E$54),"",ReferenceData!$E$54),"")</f>
        <v>Static</v>
      </c>
      <c r="F54" t="str">
        <f ca="1">IFERROR(IF(0=LEN(ReferenceData!$F$54),"",ReferenceData!$F$54),"")</f>
        <v/>
      </c>
      <c r="G54" t="str">
        <f ca="1">IFERROR(IF(0=LEN(ReferenceData!$G$54),"",ReferenceData!$G$54),"")</f>
        <v/>
      </c>
      <c r="H54" t="str">
        <f ca="1">IFERROR(IF(0=LEN(ReferenceData!$H$54),"",ReferenceData!$H$54),"")</f>
        <v/>
      </c>
      <c r="I54" t="str">
        <f ca="1">IFERROR(IF(0=LEN(ReferenceData!$I$54),"",ReferenceData!$I$54),"")</f>
        <v/>
      </c>
      <c r="J54" t="str">
        <f ca="1">IFERROR(IF(0=LEN(ReferenceData!$J$54),"",ReferenceData!$J$54),"")</f>
        <v/>
      </c>
      <c r="K54" t="str">
        <f ca="1">IFERROR(IF(0=LEN(ReferenceData!$K$54),"",ReferenceData!$K$54),"")</f>
        <v/>
      </c>
      <c r="L54" t="str">
        <f ca="1">IFERROR(IF(0=LEN(ReferenceData!$L$54),"",ReferenceData!$L$54),"")</f>
        <v/>
      </c>
      <c r="M54" t="str">
        <f ca="1">IFERROR(IF(0=LEN(ReferenceData!$M$54),"",ReferenceData!$M$54),"")</f>
        <v/>
      </c>
      <c r="N54" t="str">
        <f ca="1">IFERROR(IF(0=LEN(ReferenceData!$N$54),"",ReferenceData!$N$54),"")</f>
        <v/>
      </c>
      <c r="O54" t="str">
        <f ca="1">IFERROR(IF(0=LEN(ReferenceData!$O$54),"",ReferenceData!$O$54),"")</f>
        <v/>
      </c>
      <c r="P54" t="str">
        <f ca="1">IFERROR(IF(0=LEN(ReferenceData!$P$54),"",ReferenceData!$P$54),"")</f>
        <v/>
      </c>
      <c r="Q54" t="str">
        <f ca="1">IFERROR(IF(0=LEN(ReferenceData!$Q$54),"",ReferenceData!$Q$54),"")</f>
        <v/>
      </c>
      <c r="R54" t="str">
        <f ca="1">IFERROR(IF(0=LEN(ReferenceData!$R$54),"",ReferenceData!$R$54),"")</f>
        <v/>
      </c>
      <c r="S54" t="str">
        <f ca="1">IFERROR(IF(0=LEN(ReferenceData!$S$54),"",ReferenceData!$S$54),"")</f>
        <v/>
      </c>
      <c r="T54" t="str">
        <f ca="1">IFERROR(IF(0=LEN(ReferenceData!$T$54),"",ReferenceData!$T$54),"")</f>
        <v/>
      </c>
      <c r="U54" t="str">
        <f ca="1">IFERROR(IF(0=LEN(ReferenceData!$U$54),"",ReferenceData!$U$54),"")</f>
        <v/>
      </c>
      <c r="V54" t="str">
        <f ca="1">IFERROR(IF(0=LEN(ReferenceData!$V$54),"",ReferenceData!$V$54),"")</f>
        <v/>
      </c>
      <c r="W54" t="str">
        <f ca="1">IFERROR(IF(0=LEN(ReferenceData!$W$54),"",ReferenceData!$W$54),"")</f>
        <v/>
      </c>
      <c r="X54" t="str">
        <f ca="1">IFERROR(IF(0=LEN(ReferenceData!$X$54),"",ReferenceData!$X$54),"")</f>
        <v/>
      </c>
      <c r="Y54" t="str">
        <f ca="1">IFERROR(IF(0=LEN(ReferenceData!$Y$54),"",ReferenceData!$Y$54),"")</f>
        <v/>
      </c>
      <c r="Z54" t="str">
        <f ca="1">IFERROR(IF(0=LEN(ReferenceData!$Z$54),"",ReferenceData!$Z$54),"")</f>
        <v/>
      </c>
      <c r="AA54" t="str">
        <f ca="1">IFERROR(IF(0=LEN(ReferenceData!$AA$54),"",ReferenceData!$AA$54),"")</f>
        <v/>
      </c>
      <c r="AB54" t="str">
        <f ca="1">IFERROR(IF(0=LEN(ReferenceData!$AB$54),"",ReferenceData!$AB$54),"")</f>
        <v/>
      </c>
      <c r="AC54" t="str">
        <f ca="1">IFERROR(IF(0=LEN(ReferenceData!$AC$54),"",ReferenceData!$AC$54),"")</f>
        <v/>
      </c>
      <c r="AD54" t="str">
        <f ca="1">IFERROR(IF(0=LEN(ReferenceData!$AD$54),"",ReferenceData!$AD$54),"")</f>
        <v/>
      </c>
      <c r="AE54" t="str">
        <f ca="1">IFERROR(IF(0=LEN(ReferenceData!$AE$54),"",ReferenceData!$AE$54),"")</f>
        <v/>
      </c>
      <c r="AF54" t="str">
        <f ca="1">IFERROR(IF(0=LEN(ReferenceData!$AF$54),"",ReferenceData!$AF$54),"")</f>
        <v/>
      </c>
      <c r="AG54" t="str">
        <f ca="1">IFERROR(IF(0=LEN(ReferenceData!$AG$54),"",ReferenceData!$AG$54),"")</f>
        <v/>
      </c>
      <c r="AH54" t="str">
        <f ca="1">IFERROR(IF(0=LEN(ReferenceData!$AH$54),"",ReferenceData!$AH$54),"")</f>
        <v/>
      </c>
      <c r="AI54" t="str">
        <f ca="1">IFERROR(IF(0=LEN(ReferenceData!$AI$54),"",ReferenceData!$AI$54),"")</f>
        <v/>
      </c>
      <c r="AJ54" t="str">
        <f ca="1">IFERROR(IF(0=LEN(ReferenceData!$AJ$54),"",ReferenceData!$AJ$54),"")</f>
        <v/>
      </c>
      <c r="AK54" t="str">
        <f ca="1">IFERROR(IF(0=LEN(ReferenceData!$AK$54),"",ReferenceData!$AK$54),"")</f>
        <v/>
      </c>
      <c r="AL54" t="str">
        <f ca="1">IFERROR(IF(0=LEN(ReferenceData!$AL$54),"",ReferenceData!$AL$54),"")</f>
        <v/>
      </c>
      <c r="AM54" t="str">
        <f ca="1">IFERROR(IF(0=LEN(ReferenceData!$AM$54),"",ReferenceData!$AM$54),"")</f>
        <v/>
      </c>
      <c r="AN54" t="str">
        <f ca="1">IFERROR(IF(0=LEN(ReferenceData!$AN$54),"",ReferenceData!$AN$54),"")</f>
        <v/>
      </c>
      <c r="AO54" t="str">
        <f ca="1">IFERROR(IF(0=LEN(ReferenceData!$AO$54),"",ReferenceData!$AO$54),"")</f>
        <v/>
      </c>
      <c r="AP54" t="str">
        <f ca="1">IFERROR(IF(0=LEN(ReferenceData!$AP$54),"",ReferenceData!$AP$54),"")</f>
        <v/>
      </c>
      <c r="AQ54" t="str">
        <f ca="1">IFERROR(IF(0=LEN(ReferenceData!$AQ$54),"",ReferenceData!$AQ$54),"")</f>
        <v/>
      </c>
      <c r="AR54" t="str">
        <f ca="1">IFERROR(IF(0=LEN(ReferenceData!$AR$54),"",ReferenceData!$AR$54),"")</f>
        <v/>
      </c>
      <c r="AS54" t="str">
        <f ca="1">IFERROR(IF(0=LEN(ReferenceData!$AS$54),"",ReferenceData!$AS$54),"")</f>
        <v/>
      </c>
    </row>
    <row r="55" spans="1:45" x14ac:dyDescent="0.2">
      <c r="A55" t="str">
        <f>IFERROR(IF(0=LEN(ReferenceData!$A$55),"",ReferenceData!$A$55),"")</f>
        <v xml:space="preserve">    US Transportation Awards (Number)</v>
      </c>
      <c r="B55" t="str">
        <f>IFERROR(IF(0=LEN(ReferenceData!$B$55),"",ReferenceData!$B$55),"")</f>
        <v/>
      </c>
      <c r="C55" t="str">
        <f>IFERROR(IF(0=LEN(ReferenceData!$C$55),"",ReferenceData!$C$55),"")</f>
        <v/>
      </c>
      <c r="D55" t="str">
        <f>IFERROR(IF(0=LEN(ReferenceData!$D$55),"",ReferenceData!$D$55),"")</f>
        <v/>
      </c>
      <c r="E55" t="str">
        <f>IFERROR(IF(0=LEN(ReferenceData!$E$55),"",ReferenceData!$E$55),"")</f>
        <v>Sum</v>
      </c>
      <c r="F55">
        <f ca="1">IFERROR(IF(0=LEN(ReferenceData!$F$55),"",ReferenceData!$F$55),"")</f>
        <v>33672</v>
      </c>
      <c r="G55">
        <f ca="1">IFERROR(IF(0=LEN(ReferenceData!$G$55),"",ReferenceData!$G$55),"")</f>
        <v>40230</v>
      </c>
      <c r="H55">
        <f ca="1">IFERROR(IF(0=LEN(ReferenceData!$H$55),"",ReferenceData!$H$55),"")</f>
        <v>35179</v>
      </c>
      <c r="I55">
        <f ca="1">IFERROR(IF(0=LEN(ReferenceData!$I$55),"",ReferenceData!$I$55),"")</f>
        <v>33329</v>
      </c>
      <c r="J55">
        <f ca="1">IFERROR(IF(0=LEN(ReferenceData!$J$55),"",ReferenceData!$J$55),"")</f>
        <v>33070</v>
      </c>
      <c r="K55">
        <f ca="1">IFERROR(IF(0=LEN(ReferenceData!$K$55),"",ReferenceData!$K$55),"")</f>
        <v>33405</v>
      </c>
      <c r="L55">
        <f ca="1">IFERROR(IF(0=LEN(ReferenceData!$L$55),"",ReferenceData!$L$55),"")</f>
        <v>33089</v>
      </c>
      <c r="M55">
        <f ca="1">IFERROR(IF(0=LEN(ReferenceData!$M$55),"",ReferenceData!$M$55),"")</f>
        <v>34344</v>
      </c>
      <c r="N55">
        <f ca="1">IFERROR(IF(0=LEN(ReferenceData!$N$55),"",ReferenceData!$N$55),"")</f>
        <v>34142</v>
      </c>
      <c r="O55">
        <f ca="1">IFERROR(IF(0=LEN(ReferenceData!$O$55),"",ReferenceData!$O$55),"")</f>
        <v>35802</v>
      </c>
      <c r="P55">
        <f ca="1">IFERROR(IF(0=LEN(ReferenceData!$P$55),"",ReferenceData!$P$55),"")</f>
        <v>34132</v>
      </c>
      <c r="Q55">
        <f ca="1">IFERROR(IF(0=LEN(ReferenceData!$Q$55),"",ReferenceData!$Q$55),"")</f>
        <v>33193</v>
      </c>
      <c r="R55">
        <f ca="1">IFERROR(IF(0=LEN(ReferenceData!$R$55),"",ReferenceData!$R$55),"")</f>
        <v>33026</v>
      </c>
      <c r="S55">
        <f ca="1">IFERROR(IF(0=LEN(ReferenceData!$S$55),"",ReferenceData!$S$55),"")</f>
        <v>34090</v>
      </c>
      <c r="T55">
        <f ca="1">IFERROR(IF(0=LEN(ReferenceData!$T$55),"",ReferenceData!$T$55),"")</f>
        <v>33884</v>
      </c>
      <c r="U55">
        <f ca="1">IFERROR(IF(0=LEN(ReferenceData!$U$55),"",ReferenceData!$U$55),"")</f>
        <v>30214</v>
      </c>
      <c r="V55">
        <f ca="1">IFERROR(IF(0=LEN(ReferenceData!$V$55),"",ReferenceData!$V$55),"")</f>
        <v>29378</v>
      </c>
      <c r="W55">
        <f ca="1">IFERROR(IF(0=LEN(ReferenceData!$W$55),"",ReferenceData!$W$55),"")</f>
        <v>29951</v>
      </c>
      <c r="X55">
        <f ca="1">IFERROR(IF(0=LEN(ReferenceData!$X$55),"",ReferenceData!$X$55),"")</f>
        <v>28370</v>
      </c>
      <c r="Y55">
        <f ca="1">IFERROR(IF(0=LEN(ReferenceData!$Y$55),"",ReferenceData!$Y$55),"")</f>
        <v>29428</v>
      </c>
      <c r="Z55">
        <f ca="1">IFERROR(IF(0=LEN(ReferenceData!$Z$55),"",ReferenceData!$Z$55),"")</f>
        <v>29392</v>
      </c>
      <c r="AA55">
        <f ca="1">IFERROR(IF(0=LEN(ReferenceData!$AA$55),"",ReferenceData!$AA$55),"")</f>
        <v>32534</v>
      </c>
      <c r="AB55">
        <f ca="1">IFERROR(IF(0=LEN(ReferenceData!$AB$55),"",ReferenceData!$AB$55),"")</f>
        <v>31356</v>
      </c>
      <c r="AC55">
        <f ca="1">IFERROR(IF(0=LEN(ReferenceData!$AC$55),"",ReferenceData!$AC$55),"")</f>
        <v>31606</v>
      </c>
      <c r="AD55">
        <f ca="1">IFERROR(IF(0=LEN(ReferenceData!$AD$55),"",ReferenceData!$AD$55),"")</f>
        <v>32637</v>
      </c>
      <c r="AE55" t="str">
        <f ca="1">IFERROR(IF(0=LEN(ReferenceData!$AE$55),"",ReferenceData!$AE$55),"")</f>
        <v/>
      </c>
      <c r="AF55" t="str">
        <f ca="1">IFERROR(IF(0=LEN(ReferenceData!$AF$55),"",ReferenceData!$AF$55),"")</f>
        <v/>
      </c>
      <c r="AG55" t="str">
        <f ca="1">IFERROR(IF(0=LEN(ReferenceData!$AG$55),"",ReferenceData!$AG$55),"")</f>
        <v/>
      </c>
      <c r="AH55" t="str">
        <f ca="1">IFERROR(IF(0=LEN(ReferenceData!$AH$55),"",ReferenceData!$AH$55),"")</f>
        <v/>
      </c>
      <c r="AI55" t="str">
        <f ca="1">IFERROR(IF(0=LEN(ReferenceData!$AI$55),"",ReferenceData!$AI$55),"")</f>
        <v/>
      </c>
      <c r="AJ55" t="str">
        <f ca="1">IFERROR(IF(0=LEN(ReferenceData!$AJ$55),"",ReferenceData!$AJ$55),"")</f>
        <v/>
      </c>
      <c r="AK55" t="str">
        <f ca="1">IFERROR(IF(0=LEN(ReferenceData!$AK$55),"",ReferenceData!$AK$55),"")</f>
        <v/>
      </c>
      <c r="AL55" t="str">
        <f ca="1">IFERROR(IF(0=LEN(ReferenceData!$AL$55),"",ReferenceData!$AL$55),"")</f>
        <v/>
      </c>
      <c r="AM55" t="str">
        <f ca="1">IFERROR(IF(0=LEN(ReferenceData!$AM$55),"",ReferenceData!$AM$55),"")</f>
        <v/>
      </c>
      <c r="AN55" t="str">
        <f ca="1">IFERROR(IF(0=LEN(ReferenceData!$AN$55),"",ReferenceData!$AN$55),"")</f>
        <v/>
      </c>
      <c r="AO55" t="str">
        <f ca="1">IFERROR(IF(0=LEN(ReferenceData!$AO$55),"",ReferenceData!$AO$55),"")</f>
        <v/>
      </c>
      <c r="AP55" t="str">
        <f ca="1">IFERROR(IF(0=LEN(ReferenceData!$AP$55),"",ReferenceData!$AP$55),"")</f>
        <v/>
      </c>
      <c r="AQ55" t="str">
        <f ca="1">IFERROR(IF(0=LEN(ReferenceData!$AQ$55),"",ReferenceData!$AQ$55),"")</f>
        <v/>
      </c>
      <c r="AR55" t="str">
        <f ca="1">IFERROR(IF(0=LEN(ReferenceData!$AR$55),"",ReferenceData!$AR$55),"")</f>
        <v/>
      </c>
      <c r="AS55" t="str">
        <f ca="1">IFERROR(IF(0=LEN(ReferenceData!$AS$55),"",ReferenceData!$AS$55),"")</f>
        <v/>
      </c>
    </row>
    <row r="56" spans="1:45" x14ac:dyDescent="0.2">
      <c r="A56" t="str">
        <f>IFERROR(IF(0=LEN(ReferenceData!$A$56),"",ReferenceData!$A$56),"")</f>
        <v xml:space="preserve">        Airports</v>
      </c>
      <c r="B56" t="str">
        <f>IFERROR(IF(0=LEN(ReferenceData!$B$56),"",ReferenceData!$B$56),"")</f>
        <v>RTBAAANU Index</v>
      </c>
      <c r="C56" t="str">
        <f>IFERROR(IF(0=LEN(ReferenceData!$C$56),"",ReferenceData!$C$56),"")</f>
        <v>PX385</v>
      </c>
      <c r="D56" t="str">
        <f>IFERROR(IF(0=LEN(ReferenceData!$D$56),"",ReferenceData!$D$56),"")</f>
        <v>INTERVAL_SUM</v>
      </c>
      <c r="E56" t="str">
        <f>IFERROR(IF(0=LEN(ReferenceData!$E$56),"",ReferenceData!$E$56),"")</f>
        <v>Dynamic</v>
      </c>
      <c r="F56">
        <f ca="1">IFERROR(IF(0=LEN(ReferenceData!$F$56),"",ReferenceData!$F$56),"")</f>
        <v>577</v>
      </c>
      <c r="G56">
        <f ca="1">IFERROR(IF(0=LEN(ReferenceData!$G$56),"",ReferenceData!$G$56),"")</f>
        <v>724</v>
      </c>
      <c r="H56">
        <f ca="1">IFERROR(IF(0=LEN(ReferenceData!$H$56),"",ReferenceData!$H$56),"")</f>
        <v>681</v>
      </c>
      <c r="I56">
        <f ca="1">IFERROR(IF(0=LEN(ReferenceData!$I$56),"",ReferenceData!$I$56),"")</f>
        <v>636</v>
      </c>
      <c r="J56">
        <f ca="1">IFERROR(IF(0=LEN(ReferenceData!$J$56),"",ReferenceData!$J$56),"")</f>
        <v>480</v>
      </c>
      <c r="K56">
        <f ca="1">IFERROR(IF(0=LEN(ReferenceData!$K$56),"",ReferenceData!$K$56),"")</f>
        <v>495</v>
      </c>
      <c r="L56">
        <f ca="1">IFERROR(IF(0=LEN(ReferenceData!$L$56),"",ReferenceData!$L$56),"")</f>
        <v>504</v>
      </c>
      <c r="M56">
        <f ca="1">IFERROR(IF(0=LEN(ReferenceData!$M$56),"",ReferenceData!$M$56),"")</f>
        <v>657</v>
      </c>
      <c r="N56">
        <f ca="1">IFERROR(IF(0=LEN(ReferenceData!$N$56),"",ReferenceData!$N$56),"")</f>
        <v>745</v>
      </c>
      <c r="O56">
        <f ca="1">IFERROR(IF(0=LEN(ReferenceData!$O$56),"",ReferenceData!$O$56),"")</f>
        <v>803</v>
      </c>
      <c r="P56">
        <f ca="1">IFERROR(IF(0=LEN(ReferenceData!$P$56),"",ReferenceData!$P$56),"")</f>
        <v>677</v>
      </c>
      <c r="Q56">
        <f ca="1">IFERROR(IF(0=LEN(ReferenceData!$Q$56),"",ReferenceData!$Q$56),"")</f>
        <v>778</v>
      </c>
      <c r="R56">
        <f ca="1">IFERROR(IF(0=LEN(ReferenceData!$R$56),"",ReferenceData!$R$56),"")</f>
        <v>724</v>
      </c>
      <c r="S56">
        <f ca="1">IFERROR(IF(0=LEN(ReferenceData!$S$56),"",ReferenceData!$S$56),"")</f>
        <v>810</v>
      </c>
      <c r="T56">
        <f ca="1">IFERROR(IF(0=LEN(ReferenceData!$T$56),"",ReferenceData!$T$56),"")</f>
        <v>1078</v>
      </c>
      <c r="U56">
        <f ca="1">IFERROR(IF(0=LEN(ReferenceData!$U$56),"",ReferenceData!$U$56),"")</f>
        <v>782</v>
      </c>
      <c r="V56">
        <f ca="1">IFERROR(IF(0=LEN(ReferenceData!$V$56),"",ReferenceData!$V$56),"")</f>
        <v>825</v>
      </c>
      <c r="W56">
        <f ca="1">IFERROR(IF(0=LEN(ReferenceData!$W$56),"",ReferenceData!$W$56),"")</f>
        <v>829</v>
      </c>
      <c r="X56">
        <f ca="1">IFERROR(IF(0=LEN(ReferenceData!$X$56),"",ReferenceData!$X$56),"")</f>
        <v>900</v>
      </c>
      <c r="Y56">
        <f ca="1">IFERROR(IF(0=LEN(ReferenceData!$Y$56),"",ReferenceData!$Y$56),"")</f>
        <v>917</v>
      </c>
      <c r="Z56">
        <f ca="1">IFERROR(IF(0=LEN(ReferenceData!$Z$56),"",ReferenceData!$Z$56),"")</f>
        <v>887</v>
      </c>
      <c r="AA56">
        <f ca="1">IFERROR(IF(0=LEN(ReferenceData!$AA$56),"",ReferenceData!$AA$56),"")</f>
        <v>864</v>
      </c>
      <c r="AB56">
        <f ca="1">IFERROR(IF(0=LEN(ReferenceData!$AB$56),"",ReferenceData!$AB$56),"")</f>
        <v>848</v>
      </c>
      <c r="AC56">
        <f ca="1">IFERROR(IF(0=LEN(ReferenceData!$AC$56),"",ReferenceData!$AC$56),"")</f>
        <v>711</v>
      </c>
      <c r="AD56">
        <f ca="1">IFERROR(IF(0=LEN(ReferenceData!$AD$56),"",ReferenceData!$AD$56),"")</f>
        <v>676</v>
      </c>
      <c r="AE56" t="str">
        <f ca="1">IFERROR(IF(0=LEN(ReferenceData!$AE$56),"",ReferenceData!$AE$56),"")</f>
        <v/>
      </c>
      <c r="AF56" t="str">
        <f ca="1">IFERROR(IF(0=LEN(ReferenceData!$AF$56),"",ReferenceData!$AF$56),"")</f>
        <v/>
      </c>
      <c r="AG56" t="str">
        <f ca="1">IFERROR(IF(0=LEN(ReferenceData!$AG$56),"",ReferenceData!$AG$56),"")</f>
        <v/>
      </c>
      <c r="AH56" t="str">
        <f ca="1">IFERROR(IF(0=LEN(ReferenceData!$AH$56),"",ReferenceData!$AH$56),"")</f>
        <v/>
      </c>
      <c r="AI56" t="str">
        <f ca="1">IFERROR(IF(0=LEN(ReferenceData!$AI$56),"",ReferenceData!$AI$56),"")</f>
        <v/>
      </c>
      <c r="AJ56" t="str">
        <f ca="1">IFERROR(IF(0=LEN(ReferenceData!$AJ$56),"",ReferenceData!$AJ$56),"")</f>
        <v/>
      </c>
      <c r="AK56" t="str">
        <f ca="1">IFERROR(IF(0=LEN(ReferenceData!$AK$56),"",ReferenceData!$AK$56),"")</f>
        <v/>
      </c>
      <c r="AL56" t="str">
        <f ca="1">IFERROR(IF(0=LEN(ReferenceData!$AL$56),"",ReferenceData!$AL$56),"")</f>
        <v/>
      </c>
      <c r="AM56" t="str">
        <f ca="1">IFERROR(IF(0=LEN(ReferenceData!$AM$56),"",ReferenceData!$AM$56),"")</f>
        <v/>
      </c>
      <c r="AN56" t="str">
        <f ca="1">IFERROR(IF(0=LEN(ReferenceData!$AN$56),"",ReferenceData!$AN$56),"")</f>
        <v/>
      </c>
      <c r="AO56" t="str">
        <f ca="1">IFERROR(IF(0=LEN(ReferenceData!$AO$56),"",ReferenceData!$AO$56),"")</f>
        <v/>
      </c>
      <c r="AP56" t="str">
        <f ca="1">IFERROR(IF(0=LEN(ReferenceData!$AP$56),"",ReferenceData!$AP$56),"")</f>
        <v/>
      </c>
      <c r="AQ56" t="str">
        <f ca="1">IFERROR(IF(0=LEN(ReferenceData!$AQ$56),"",ReferenceData!$AQ$56),"")</f>
        <v/>
      </c>
      <c r="AR56" t="str">
        <f ca="1">IFERROR(IF(0=LEN(ReferenceData!$AR$56),"",ReferenceData!$AR$56),"")</f>
        <v/>
      </c>
      <c r="AS56" t="str">
        <f ca="1">IFERROR(IF(0=LEN(ReferenceData!$AS$56),"",ReferenceData!$AS$56),"")</f>
        <v/>
      </c>
    </row>
    <row r="57" spans="1:45" x14ac:dyDescent="0.2">
      <c r="A57" t="str">
        <f>IFERROR(IF(0=LEN(ReferenceData!$A$57),"",ReferenceData!$A$57),"")</f>
        <v xml:space="preserve">        Bridge &amp; Tunnel</v>
      </c>
      <c r="B57" t="str">
        <f>IFERROR(IF(0=LEN(ReferenceData!$B$57),"",ReferenceData!$B$57),"")</f>
        <v>RTBABTNU Index</v>
      </c>
      <c r="C57" t="str">
        <f>IFERROR(IF(0=LEN(ReferenceData!$C$57),"",ReferenceData!$C$57),"")</f>
        <v>PX385</v>
      </c>
      <c r="D57" t="str">
        <f>IFERROR(IF(0=LEN(ReferenceData!$D$57),"",ReferenceData!$D$57),"")</f>
        <v>INTERVAL_SUM</v>
      </c>
      <c r="E57" t="str">
        <f>IFERROR(IF(0=LEN(ReferenceData!$E$57),"",ReferenceData!$E$57),"")</f>
        <v>Dynamic</v>
      </c>
      <c r="F57">
        <f ca="1">IFERROR(IF(0=LEN(ReferenceData!$F$57),"",ReferenceData!$F$57),"")</f>
        <v>4703</v>
      </c>
      <c r="G57">
        <f ca="1">IFERROR(IF(0=LEN(ReferenceData!$G$57),"",ReferenceData!$G$57),"")</f>
        <v>5651</v>
      </c>
      <c r="H57">
        <f ca="1">IFERROR(IF(0=LEN(ReferenceData!$H$57),"",ReferenceData!$H$57),"")</f>
        <v>5326</v>
      </c>
      <c r="I57">
        <f ca="1">IFERROR(IF(0=LEN(ReferenceData!$I$57),"",ReferenceData!$I$57),"")</f>
        <v>5186</v>
      </c>
      <c r="J57">
        <f ca="1">IFERROR(IF(0=LEN(ReferenceData!$J$57),"",ReferenceData!$J$57),"")</f>
        <v>5401</v>
      </c>
      <c r="K57">
        <f ca="1">IFERROR(IF(0=LEN(ReferenceData!$K$57),"",ReferenceData!$K$57),"")</f>
        <v>5582</v>
      </c>
      <c r="L57">
        <f ca="1">IFERROR(IF(0=LEN(ReferenceData!$L$57),"",ReferenceData!$L$57),"")</f>
        <v>5594</v>
      </c>
      <c r="M57">
        <f ca="1">IFERROR(IF(0=LEN(ReferenceData!$M$57),"",ReferenceData!$M$57),"")</f>
        <v>6321</v>
      </c>
      <c r="N57">
        <f ca="1">IFERROR(IF(0=LEN(ReferenceData!$N$57),"",ReferenceData!$N$57),"")</f>
        <v>6050</v>
      </c>
      <c r="O57">
        <f ca="1">IFERROR(IF(0=LEN(ReferenceData!$O$57),"",ReferenceData!$O$57),"")</f>
        <v>6144</v>
      </c>
      <c r="P57">
        <f ca="1">IFERROR(IF(0=LEN(ReferenceData!$P$57),"",ReferenceData!$P$57),"")</f>
        <v>6060</v>
      </c>
      <c r="Q57">
        <f ca="1">IFERROR(IF(0=LEN(ReferenceData!$Q$57),"",ReferenceData!$Q$57),"")</f>
        <v>5860</v>
      </c>
      <c r="R57">
        <f ca="1">IFERROR(IF(0=LEN(ReferenceData!$R$57),"",ReferenceData!$R$57),"")</f>
        <v>5336</v>
      </c>
      <c r="S57">
        <f ca="1">IFERROR(IF(0=LEN(ReferenceData!$S$57),"",ReferenceData!$S$57),"")</f>
        <v>5240</v>
      </c>
      <c r="T57">
        <f ca="1">IFERROR(IF(0=LEN(ReferenceData!$T$57),"",ReferenceData!$T$57),"")</f>
        <v>5416</v>
      </c>
      <c r="U57">
        <f ca="1">IFERROR(IF(0=LEN(ReferenceData!$U$57),"",ReferenceData!$U$57),"")</f>
        <v>4760</v>
      </c>
      <c r="V57">
        <f ca="1">IFERROR(IF(0=LEN(ReferenceData!$V$57),"",ReferenceData!$V$57),"")</f>
        <v>4222</v>
      </c>
      <c r="W57">
        <f ca="1">IFERROR(IF(0=LEN(ReferenceData!$W$57),"",ReferenceData!$W$57),"")</f>
        <v>4585</v>
      </c>
      <c r="X57">
        <f ca="1">IFERROR(IF(0=LEN(ReferenceData!$X$57),"",ReferenceData!$X$57),"")</f>
        <v>4243</v>
      </c>
      <c r="Y57">
        <f ca="1">IFERROR(IF(0=LEN(ReferenceData!$Y$57),"",ReferenceData!$Y$57),"")</f>
        <v>4731</v>
      </c>
      <c r="Z57">
        <f ca="1">IFERROR(IF(0=LEN(ReferenceData!$Z$57),"",ReferenceData!$Z$57),"")</f>
        <v>4717</v>
      </c>
      <c r="AA57">
        <f ca="1">IFERROR(IF(0=LEN(ReferenceData!$AA$57),"",ReferenceData!$AA$57),"")</f>
        <v>5311</v>
      </c>
      <c r="AB57">
        <f ca="1">IFERROR(IF(0=LEN(ReferenceData!$AB$57),"",ReferenceData!$AB$57),"")</f>
        <v>4869</v>
      </c>
      <c r="AC57">
        <f ca="1">IFERROR(IF(0=LEN(ReferenceData!$AC$57),"",ReferenceData!$AC$57),"")</f>
        <v>5086</v>
      </c>
      <c r="AD57">
        <f ca="1">IFERROR(IF(0=LEN(ReferenceData!$AD$57),"",ReferenceData!$AD$57),"")</f>
        <v>5391</v>
      </c>
      <c r="AE57" t="str">
        <f ca="1">IFERROR(IF(0=LEN(ReferenceData!$AE$57),"",ReferenceData!$AE$57),"")</f>
        <v/>
      </c>
      <c r="AF57" t="str">
        <f ca="1">IFERROR(IF(0=LEN(ReferenceData!$AF$57),"",ReferenceData!$AF$57),"")</f>
        <v/>
      </c>
      <c r="AG57" t="str">
        <f ca="1">IFERROR(IF(0=LEN(ReferenceData!$AG$57),"",ReferenceData!$AG$57),"")</f>
        <v/>
      </c>
      <c r="AH57" t="str">
        <f ca="1">IFERROR(IF(0=LEN(ReferenceData!$AH$57),"",ReferenceData!$AH$57),"")</f>
        <v/>
      </c>
      <c r="AI57" t="str">
        <f ca="1">IFERROR(IF(0=LEN(ReferenceData!$AI$57),"",ReferenceData!$AI$57),"")</f>
        <v/>
      </c>
      <c r="AJ57" t="str">
        <f ca="1">IFERROR(IF(0=LEN(ReferenceData!$AJ$57),"",ReferenceData!$AJ$57),"")</f>
        <v/>
      </c>
      <c r="AK57" t="str">
        <f ca="1">IFERROR(IF(0=LEN(ReferenceData!$AK$57),"",ReferenceData!$AK$57),"")</f>
        <v/>
      </c>
      <c r="AL57" t="str">
        <f ca="1">IFERROR(IF(0=LEN(ReferenceData!$AL$57),"",ReferenceData!$AL$57),"")</f>
        <v/>
      </c>
      <c r="AM57" t="str">
        <f ca="1">IFERROR(IF(0=LEN(ReferenceData!$AM$57),"",ReferenceData!$AM$57),"")</f>
        <v/>
      </c>
      <c r="AN57" t="str">
        <f ca="1">IFERROR(IF(0=LEN(ReferenceData!$AN$57),"",ReferenceData!$AN$57),"")</f>
        <v/>
      </c>
      <c r="AO57" t="str">
        <f ca="1">IFERROR(IF(0=LEN(ReferenceData!$AO$57),"",ReferenceData!$AO$57),"")</f>
        <v/>
      </c>
      <c r="AP57" t="str">
        <f ca="1">IFERROR(IF(0=LEN(ReferenceData!$AP$57),"",ReferenceData!$AP$57),"")</f>
        <v/>
      </c>
      <c r="AQ57" t="str">
        <f ca="1">IFERROR(IF(0=LEN(ReferenceData!$AQ$57),"",ReferenceData!$AQ$57),"")</f>
        <v/>
      </c>
      <c r="AR57" t="str">
        <f ca="1">IFERROR(IF(0=LEN(ReferenceData!$AR$57),"",ReferenceData!$AR$57),"")</f>
        <v/>
      </c>
      <c r="AS57" t="str">
        <f ca="1">IFERROR(IF(0=LEN(ReferenceData!$AS$57),"",ReferenceData!$AS$57),"")</f>
        <v/>
      </c>
    </row>
    <row r="58" spans="1:45" x14ac:dyDescent="0.2">
      <c r="A58" t="str">
        <f>IFERROR(IF(0=LEN(ReferenceData!$A$58),"",ReferenceData!$A$58),"")</f>
        <v xml:space="preserve">        Docks, Piers &amp; Wharves</v>
      </c>
      <c r="B58" t="str">
        <f>IFERROR(IF(0=LEN(ReferenceData!$B$58),"",ReferenceData!$B$58),"")</f>
        <v>RTBADPNU Index</v>
      </c>
      <c r="C58" t="str">
        <f>IFERROR(IF(0=LEN(ReferenceData!$C$58),"",ReferenceData!$C$58),"")</f>
        <v>PX385</v>
      </c>
      <c r="D58" t="str">
        <f>IFERROR(IF(0=LEN(ReferenceData!$D$58),"",ReferenceData!$D$58),"")</f>
        <v>INTERVAL_SUM</v>
      </c>
      <c r="E58" t="str">
        <f>IFERROR(IF(0=LEN(ReferenceData!$E$58),"",ReferenceData!$E$58),"")</f>
        <v>Dynamic</v>
      </c>
      <c r="F58">
        <f ca="1">IFERROR(IF(0=LEN(ReferenceData!$F$58),"",ReferenceData!$F$58),"")</f>
        <v>348</v>
      </c>
      <c r="G58">
        <f ca="1">IFERROR(IF(0=LEN(ReferenceData!$G$58),"",ReferenceData!$G$58),"")</f>
        <v>449</v>
      </c>
      <c r="H58">
        <f ca="1">IFERROR(IF(0=LEN(ReferenceData!$H$58),"",ReferenceData!$H$58),"")</f>
        <v>361</v>
      </c>
      <c r="I58">
        <f ca="1">IFERROR(IF(0=LEN(ReferenceData!$I$58),"",ReferenceData!$I$58),"")</f>
        <v>383</v>
      </c>
      <c r="J58">
        <f ca="1">IFERROR(IF(0=LEN(ReferenceData!$J$58),"",ReferenceData!$J$58),"")</f>
        <v>406</v>
      </c>
      <c r="K58">
        <f ca="1">IFERROR(IF(0=LEN(ReferenceData!$K$58),"",ReferenceData!$K$58),"")</f>
        <v>450</v>
      </c>
      <c r="L58">
        <f ca="1">IFERROR(IF(0=LEN(ReferenceData!$L$58),"",ReferenceData!$L$58),"")</f>
        <v>440</v>
      </c>
      <c r="M58">
        <f ca="1">IFERROR(IF(0=LEN(ReferenceData!$M$58),"",ReferenceData!$M$58),"")</f>
        <v>418</v>
      </c>
      <c r="N58">
        <f ca="1">IFERROR(IF(0=LEN(ReferenceData!$N$58),"",ReferenceData!$N$58),"")</f>
        <v>435</v>
      </c>
      <c r="O58">
        <f ca="1">IFERROR(IF(0=LEN(ReferenceData!$O$58),"",ReferenceData!$O$58),"")</f>
        <v>448</v>
      </c>
      <c r="P58">
        <f ca="1">IFERROR(IF(0=LEN(ReferenceData!$P$58),"",ReferenceData!$P$58),"")</f>
        <v>454</v>
      </c>
      <c r="Q58">
        <f ca="1">IFERROR(IF(0=LEN(ReferenceData!$Q$58),"",ReferenceData!$Q$58),"")</f>
        <v>432</v>
      </c>
      <c r="R58">
        <f ca="1">IFERROR(IF(0=LEN(ReferenceData!$R$58),"",ReferenceData!$R$58),"")</f>
        <v>403</v>
      </c>
      <c r="S58">
        <f ca="1">IFERROR(IF(0=LEN(ReferenceData!$S$58),"",ReferenceData!$S$58),"")</f>
        <v>458</v>
      </c>
      <c r="T58">
        <f ca="1">IFERROR(IF(0=LEN(ReferenceData!$T$58),"",ReferenceData!$T$58),"")</f>
        <v>528</v>
      </c>
      <c r="U58">
        <f ca="1">IFERROR(IF(0=LEN(ReferenceData!$U$58),"",ReferenceData!$U$58),"")</f>
        <v>425</v>
      </c>
      <c r="V58">
        <f ca="1">IFERROR(IF(0=LEN(ReferenceData!$V$58),"",ReferenceData!$V$58),"")</f>
        <v>400</v>
      </c>
      <c r="W58">
        <f ca="1">IFERROR(IF(0=LEN(ReferenceData!$W$58),"",ReferenceData!$W$58),"")</f>
        <v>411</v>
      </c>
      <c r="X58">
        <f ca="1">IFERROR(IF(0=LEN(ReferenceData!$X$58),"",ReferenceData!$X$58),"")</f>
        <v>349</v>
      </c>
      <c r="Y58">
        <f ca="1">IFERROR(IF(0=LEN(ReferenceData!$Y$58),"",ReferenceData!$Y$58),"")</f>
        <v>364</v>
      </c>
      <c r="Z58">
        <f ca="1">IFERROR(IF(0=LEN(ReferenceData!$Z$58),"",ReferenceData!$Z$58),"")</f>
        <v>402</v>
      </c>
      <c r="AA58">
        <f ca="1">IFERROR(IF(0=LEN(ReferenceData!$AA$58),"",ReferenceData!$AA$58),"")</f>
        <v>433</v>
      </c>
      <c r="AB58">
        <f ca="1">IFERROR(IF(0=LEN(ReferenceData!$AB$58),"",ReferenceData!$AB$58),"")</f>
        <v>444</v>
      </c>
      <c r="AC58">
        <f ca="1">IFERROR(IF(0=LEN(ReferenceData!$AC$58),"",ReferenceData!$AC$58),"")</f>
        <v>433</v>
      </c>
      <c r="AD58">
        <f ca="1">IFERROR(IF(0=LEN(ReferenceData!$AD$58),"",ReferenceData!$AD$58),"")</f>
        <v>530</v>
      </c>
      <c r="AE58" t="str">
        <f ca="1">IFERROR(IF(0=LEN(ReferenceData!$AE$58),"",ReferenceData!$AE$58),"")</f>
        <v/>
      </c>
      <c r="AF58" t="str">
        <f ca="1">IFERROR(IF(0=LEN(ReferenceData!$AF$58),"",ReferenceData!$AF$58),"")</f>
        <v/>
      </c>
      <c r="AG58" t="str">
        <f ca="1">IFERROR(IF(0=LEN(ReferenceData!$AG$58),"",ReferenceData!$AG$58),"")</f>
        <v/>
      </c>
      <c r="AH58" t="str">
        <f ca="1">IFERROR(IF(0=LEN(ReferenceData!$AH$58),"",ReferenceData!$AH$58),"")</f>
        <v/>
      </c>
      <c r="AI58" t="str">
        <f ca="1">IFERROR(IF(0=LEN(ReferenceData!$AI$58),"",ReferenceData!$AI$58),"")</f>
        <v/>
      </c>
      <c r="AJ58" t="str">
        <f ca="1">IFERROR(IF(0=LEN(ReferenceData!$AJ$58),"",ReferenceData!$AJ$58),"")</f>
        <v/>
      </c>
      <c r="AK58" t="str">
        <f ca="1">IFERROR(IF(0=LEN(ReferenceData!$AK$58),"",ReferenceData!$AK$58),"")</f>
        <v/>
      </c>
      <c r="AL58" t="str">
        <f ca="1">IFERROR(IF(0=LEN(ReferenceData!$AL$58),"",ReferenceData!$AL$58),"")</f>
        <v/>
      </c>
      <c r="AM58" t="str">
        <f ca="1">IFERROR(IF(0=LEN(ReferenceData!$AM$58),"",ReferenceData!$AM$58),"")</f>
        <v/>
      </c>
      <c r="AN58" t="str">
        <f ca="1">IFERROR(IF(0=LEN(ReferenceData!$AN$58),"",ReferenceData!$AN$58),"")</f>
        <v/>
      </c>
      <c r="AO58" t="str">
        <f ca="1">IFERROR(IF(0=LEN(ReferenceData!$AO$58),"",ReferenceData!$AO$58),"")</f>
        <v/>
      </c>
      <c r="AP58" t="str">
        <f ca="1">IFERROR(IF(0=LEN(ReferenceData!$AP$58),"",ReferenceData!$AP$58),"")</f>
        <v/>
      </c>
      <c r="AQ58" t="str">
        <f ca="1">IFERROR(IF(0=LEN(ReferenceData!$AQ$58),"",ReferenceData!$AQ$58),"")</f>
        <v/>
      </c>
      <c r="AR58" t="str">
        <f ca="1">IFERROR(IF(0=LEN(ReferenceData!$AR$58),"",ReferenceData!$AR$58),"")</f>
        <v/>
      </c>
      <c r="AS58" t="str">
        <f ca="1">IFERROR(IF(0=LEN(ReferenceData!$AS$58),"",ReferenceData!$AS$58),"")</f>
        <v/>
      </c>
    </row>
    <row r="59" spans="1:45" x14ac:dyDescent="0.2">
      <c r="A59" t="str">
        <f>IFERROR(IF(0=LEN(ReferenceData!$A$59),"",ReferenceData!$A$59),"")</f>
        <v xml:space="preserve">        Highways</v>
      </c>
      <c r="B59" t="str">
        <f>IFERROR(IF(0=LEN(ReferenceData!$B$59),"",ReferenceData!$B$59),"")</f>
        <v>RTBAHWNU Index</v>
      </c>
      <c r="C59" t="str">
        <f>IFERROR(IF(0=LEN(ReferenceData!$C$59),"",ReferenceData!$C$59),"")</f>
        <v>PX385</v>
      </c>
      <c r="D59" t="str">
        <f>IFERROR(IF(0=LEN(ReferenceData!$D$59),"",ReferenceData!$D$59),"")</f>
        <v>INTERVAL_SUM</v>
      </c>
      <c r="E59" t="str">
        <f>IFERROR(IF(0=LEN(ReferenceData!$E$59),"",ReferenceData!$E$59),"")</f>
        <v>Dynamic</v>
      </c>
      <c r="F59">
        <f ca="1">IFERROR(IF(0=LEN(ReferenceData!$F$59),"",ReferenceData!$F$59),"")</f>
        <v>27895</v>
      </c>
      <c r="G59">
        <f ca="1">IFERROR(IF(0=LEN(ReferenceData!$G$59),"",ReferenceData!$G$59),"")</f>
        <v>33217</v>
      </c>
      <c r="H59">
        <f ca="1">IFERROR(IF(0=LEN(ReferenceData!$H$59),"",ReferenceData!$H$59),"")</f>
        <v>28653</v>
      </c>
      <c r="I59">
        <f ca="1">IFERROR(IF(0=LEN(ReferenceData!$I$59),"",ReferenceData!$I$59),"")</f>
        <v>26930</v>
      </c>
      <c r="J59">
        <f ca="1">IFERROR(IF(0=LEN(ReferenceData!$J$59),"",ReferenceData!$J$59),"")</f>
        <v>26620</v>
      </c>
      <c r="K59">
        <f ca="1">IFERROR(IF(0=LEN(ReferenceData!$K$59),"",ReferenceData!$K$59),"")</f>
        <v>26672</v>
      </c>
      <c r="L59">
        <f ca="1">IFERROR(IF(0=LEN(ReferenceData!$L$59),"",ReferenceData!$L$59),"")</f>
        <v>26297</v>
      </c>
      <c r="M59">
        <f ca="1">IFERROR(IF(0=LEN(ReferenceData!$M$59),"",ReferenceData!$M$59),"")</f>
        <v>26760</v>
      </c>
      <c r="N59">
        <f ca="1">IFERROR(IF(0=LEN(ReferenceData!$N$59),"",ReferenceData!$N$59),"")</f>
        <v>26673</v>
      </c>
      <c r="O59">
        <f ca="1">IFERROR(IF(0=LEN(ReferenceData!$O$59),"",ReferenceData!$O$59),"")</f>
        <v>28152</v>
      </c>
      <c r="P59">
        <f ca="1">IFERROR(IF(0=LEN(ReferenceData!$P$59),"",ReferenceData!$P$59),"")</f>
        <v>26681</v>
      </c>
      <c r="Q59">
        <f ca="1">IFERROR(IF(0=LEN(ReferenceData!$Q$59),"",ReferenceData!$Q$59),"")</f>
        <v>25882</v>
      </c>
      <c r="R59">
        <f ca="1">IFERROR(IF(0=LEN(ReferenceData!$R$59),"",ReferenceData!$R$59),"")</f>
        <v>26387</v>
      </c>
      <c r="S59">
        <f ca="1">IFERROR(IF(0=LEN(ReferenceData!$S$59),"",ReferenceData!$S$59),"")</f>
        <v>27341</v>
      </c>
      <c r="T59">
        <f ca="1">IFERROR(IF(0=LEN(ReferenceData!$T$59),"",ReferenceData!$T$59),"")</f>
        <v>26665</v>
      </c>
      <c r="U59">
        <f ca="1">IFERROR(IF(0=LEN(ReferenceData!$U$59),"",ReferenceData!$U$59),"")</f>
        <v>24053</v>
      </c>
      <c r="V59">
        <f ca="1">IFERROR(IF(0=LEN(ReferenceData!$V$59),"",ReferenceData!$V$59),"")</f>
        <v>23747</v>
      </c>
      <c r="W59">
        <f ca="1">IFERROR(IF(0=LEN(ReferenceData!$W$59),"",ReferenceData!$W$59),"")</f>
        <v>23931</v>
      </c>
      <c r="X59">
        <f ca="1">IFERROR(IF(0=LEN(ReferenceData!$X$59),"",ReferenceData!$X$59),"")</f>
        <v>22710</v>
      </c>
      <c r="Y59">
        <f ca="1">IFERROR(IF(0=LEN(ReferenceData!$Y$59),"",ReferenceData!$Y$59),"")</f>
        <v>23257</v>
      </c>
      <c r="Z59">
        <f ca="1">IFERROR(IF(0=LEN(ReferenceData!$Z$59),"",ReferenceData!$Z$59),"")</f>
        <v>23199</v>
      </c>
      <c r="AA59">
        <f ca="1">IFERROR(IF(0=LEN(ReferenceData!$AA$59),"",ReferenceData!$AA$59),"")</f>
        <v>25723</v>
      </c>
      <c r="AB59">
        <f ca="1">IFERROR(IF(0=LEN(ReferenceData!$AB$59),"",ReferenceData!$AB$59),"")</f>
        <v>24971</v>
      </c>
      <c r="AC59">
        <f ca="1">IFERROR(IF(0=LEN(ReferenceData!$AC$59),"",ReferenceData!$AC$59),"")</f>
        <v>25162</v>
      </c>
      <c r="AD59">
        <f ca="1">IFERROR(IF(0=LEN(ReferenceData!$AD$59),"",ReferenceData!$AD$59),"")</f>
        <v>25821</v>
      </c>
      <c r="AE59" t="str">
        <f ca="1">IFERROR(IF(0=LEN(ReferenceData!$AE$59),"",ReferenceData!$AE$59),"")</f>
        <v/>
      </c>
      <c r="AF59" t="str">
        <f ca="1">IFERROR(IF(0=LEN(ReferenceData!$AF$59),"",ReferenceData!$AF$59),"")</f>
        <v/>
      </c>
      <c r="AG59" t="str">
        <f ca="1">IFERROR(IF(0=LEN(ReferenceData!$AG$59),"",ReferenceData!$AG$59),"")</f>
        <v/>
      </c>
      <c r="AH59" t="str">
        <f ca="1">IFERROR(IF(0=LEN(ReferenceData!$AH$59),"",ReferenceData!$AH$59),"")</f>
        <v/>
      </c>
      <c r="AI59" t="str">
        <f ca="1">IFERROR(IF(0=LEN(ReferenceData!$AI$59),"",ReferenceData!$AI$59),"")</f>
        <v/>
      </c>
      <c r="AJ59" t="str">
        <f ca="1">IFERROR(IF(0=LEN(ReferenceData!$AJ$59),"",ReferenceData!$AJ$59),"")</f>
        <v/>
      </c>
      <c r="AK59" t="str">
        <f ca="1">IFERROR(IF(0=LEN(ReferenceData!$AK$59),"",ReferenceData!$AK$59),"")</f>
        <v/>
      </c>
      <c r="AL59" t="str">
        <f ca="1">IFERROR(IF(0=LEN(ReferenceData!$AL$59),"",ReferenceData!$AL$59),"")</f>
        <v/>
      </c>
      <c r="AM59" t="str">
        <f ca="1">IFERROR(IF(0=LEN(ReferenceData!$AM$59),"",ReferenceData!$AM$59),"")</f>
        <v/>
      </c>
      <c r="AN59" t="str">
        <f ca="1">IFERROR(IF(0=LEN(ReferenceData!$AN$59),"",ReferenceData!$AN$59),"")</f>
        <v/>
      </c>
      <c r="AO59" t="str">
        <f ca="1">IFERROR(IF(0=LEN(ReferenceData!$AO$59),"",ReferenceData!$AO$59),"")</f>
        <v/>
      </c>
      <c r="AP59" t="str">
        <f ca="1">IFERROR(IF(0=LEN(ReferenceData!$AP$59),"",ReferenceData!$AP$59),"")</f>
        <v/>
      </c>
      <c r="AQ59" t="str">
        <f ca="1">IFERROR(IF(0=LEN(ReferenceData!$AQ$59),"",ReferenceData!$AQ$59),"")</f>
        <v/>
      </c>
      <c r="AR59" t="str">
        <f ca="1">IFERROR(IF(0=LEN(ReferenceData!$AR$59),"",ReferenceData!$AR$59),"")</f>
        <v/>
      </c>
      <c r="AS59" t="str">
        <f ca="1">IFERROR(IF(0=LEN(ReferenceData!$AS$59),"",ReferenceData!$AS$59),"")</f>
        <v/>
      </c>
    </row>
    <row r="60" spans="1:45" x14ac:dyDescent="0.2">
      <c r="A60" t="str">
        <f>IFERROR(IF(0=LEN(ReferenceData!$A$60),"",ReferenceData!$A$60),"")</f>
        <v xml:space="preserve">        Railways</v>
      </c>
      <c r="B60" t="str">
        <f>IFERROR(IF(0=LEN(ReferenceData!$B$60),"",ReferenceData!$B$60),"")</f>
        <v>RTBARANU Index</v>
      </c>
      <c r="C60" t="str">
        <f>IFERROR(IF(0=LEN(ReferenceData!$C$60),"",ReferenceData!$C$60),"")</f>
        <v>PX385</v>
      </c>
      <c r="D60" t="str">
        <f>IFERROR(IF(0=LEN(ReferenceData!$D$60),"",ReferenceData!$D$60),"")</f>
        <v>INTERVAL_SUM</v>
      </c>
      <c r="E60" t="str">
        <f>IFERROR(IF(0=LEN(ReferenceData!$E$60),"",ReferenceData!$E$60),"")</f>
        <v>Dynamic</v>
      </c>
      <c r="F60">
        <f ca="1">IFERROR(IF(0=LEN(ReferenceData!$F$60),"",ReferenceData!$F$60),"")</f>
        <v>149</v>
      </c>
      <c r="G60">
        <f ca="1">IFERROR(IF(0=LEN(ReferenceData!$G$60),"",ReferenceData!$G$60),"")</f>
        <v>189</v>
      </c>
      <c r="H60">
        <f ca="1">IFERROR(IF(0=LEN(ReferenceData!$H$60),"",ReferenceData!$H$60),"")</f>
        <v>158</v>
      </c>
      <c r="I60">
        <f ca="1">IFERROR(IF(0=LEN(ReferenceData!$I$60),"",ReferenceData!$I$60),"")</f>
        <v>194</v>
      </c>
      <c r="J60">
        <f ca="1">IFERROR(IF(0=LEN(ReferenceData!$J$60),"",ReferenceData!$J$60),"")</f>
        <v>163</v>
      </c>
      <c r="K60">
        <f ca="1">IFERROR(IF(0=LEN(ReferenceData!$K$60),"",ReferenceData!$K$60),"")</f>
        <v>206</v>
      </c>
      <c r="L60">
        <f ca="1">IFERROR(IF(0=LEN(ReferenceData!$L$60),"",ReferenceData!$L$60),"")</f>
        <v>254</v>
      </c>
      <c r="M60">
        <f ca="1">IFERROR(IF(0=LEN(ReferenceData!$M$60),"",ReferenceData!$M$60),"")</f>
        <v>188</v>
      </c>
      <c r="N60">
        <f ca="1">IFERROR(IF(0=LEN(ReferenceData!$N$60),"",ReferenceData!$N$60),"")</f>
        <v>239</v>
      </c>
      <c r="O60">
        <f ca="1">IFERROR(IF(0=LEN(ReferenceData!$O$60),"",ReferenceData!$O$60),"")</f>
        <v>255</v>
      </c>
      <c r="P60">
        <f ca="1">IFERROR(IF(0=LEN(ReferenceData!$P$60),"",ReferenceData!$P$60),"")</f>
        <v>260</v>
      </c>
      <c r="Q60">
        <f ca="1">IFERROR(IF(0=LEN(ReferenceData!$Q$60),"",ReferenceData!$Q$60),"")</f>
        <v>241</v>
      </c>
      <c r="R60">
        <f ca="1">IFERROR(IF(0=LEN(ReferenceData!$R$60),"",ReferenceData!$R$60),"")</f>
        <v>176</v>
      </c>
      <c r="S60">
        <f ca="1">IFERROR(IF(0=LEN(ReferenceData!$S$60),"",ReferenceData!$S$60),"")</f>
        <v>241</v>
      </c>
      <c r="T60">
        <f ca="1">IFERROR(IF(0=LEN(ReferenceData!$T$60),"",ReferenceData!$T$60),"")</f>
        <v>197</v>
      </c>
      <c r="U60">
        <f ca="1">IFERROR(IF(0=LEN(ReferenceData!$U$60),"",ReferenceData!$U$60),"")</f>
        <v>194</v>
      </c>
      <c r="V60">
        <f ca="1">IFERROR(IF(0=LEN(ReferenceData!$V$60),"",ReferenceData!$V$60),"")</f>
        <v>184</v>
      </c>
      <c r="W60">
        <f ca="1">IFERROR(IF(0=LEN(ReferenceData!$W$60),"",ReferenceData!$W$60),"")</f>
        <v>195</v>
      </c>
      <c r="X60">
        <f ca="1">IFERROR(IF(0=LEN(ReferenceData!$X$60),"",ReferenceData!$X$60),"")</f>
        <v>168</v>
      </c>
      <c r="Y60">
        <f ca="1">IFERROR(IF(0=LEN(ReferenceData!$Y$60),"",ReferenceData!$Y$60),"")</f>
        <v>159</v>
      </c>
      <c r="Z60">
        <f ca="1">IFERROR(IF(0=LEN(ReferenceData!$Z$60),"",ReferenceData!$Z$60),"")</f>
        <v>187</v>
      </c>
      <c r="AA60">
        <f ca="1">IFERROR(IF(0=LEN(ReferenceData!$AA$60),"",ReferenceData!$AA$60),"")</f>
        <v>203</v>
      </c>
      <c r="AB60">
        <f ca="1">IFERROR(IF(0=LEN(ReferenceData!$AB$60),"",ReferenceData!$AB$60),"")</f>
        <v>224</v>
      </c>
      <c r="AC60">
        <f ca="1">IFERROR(IF(0=LEN(ReferenceData!$AC$60),"",ReferenceData!$AC$60),"")</f>
        <v>214</v>
      </c>
      <c r="AD60">
        <f ca="1">IFERROR(IF(0=LEN(ReferenceData!$AD$60),"",ReferenceData!$AD$60),"")</f>
        <v>219</v>
      </c>
      <c r="AE60" t="str">
        <f ca="1">IFERROR(IF(0=LEN(ReferenceData!$AE$60),"",ReferenceData!$AE$60),"")</f>
        <v/>
      </c>
      <c r="AF60" t="str">
        <f ca="1">IFERROR(IF(0=LEN(ReferenceData!$AF$60),"",ReferenceData!$AF$60),"")</f>
        <v/>
      </c>
      <c r="AG60" t="str">
        <f ca="1">IFERROR(IF(0=LEN(ReferenceData!$AG$60),"",ReferenceData!$AG$60),"")</f>
        <v/>
      </c>
      <c r="AH60" t="str">
        <f ca="1">IFERROR(IF(0=LEN(ReferenceData!$AH$60),"",ReferenceData!$AH$60),"")</f>
        <v/>
      </c>
      <c r="AI60" t="str">
        <f ca="1">IFERROR(IF(0=LEN(ReferenceData!$AI$60),"",ReferenceData!$AI$60),"")</f>
        <v/>
      </c>
      <c r="AJ60" t="str">
        <f ca="1">IFERROR(IF(0=LEN(ReferenceData!$AJ$60),"",ReferenceData!$AJ$60),"")</f>
        <v/>
      </c>
      <c r="AK60" t="str">
        <f ca="1">IFERROR(IF(0=LEN(ReferenceData!$AK$60),"",ReferenceData!$AK$60),"")</f>
        <v/>
      </c>
      <c r="AL60" t="str">
        <f ca="1">IFERROR(IF(0=LEN(ReferenceData!$AL$60),"",ReferenceData!$AL$60),"")</f>
        <v/>
      </c>
      <c r="AM60" t="str">
        <f ca="1">IFERROR(IF(0=LEN(ReferenceData!$AM$60),"",ReferenceData!$AM$60),"")</f>
        <v/>
      </c>
      <c r="AN60" t="str">
        <f ca="1">IFERROR(IF(0=LEN(ReferenceData!$AN$60),"",ReferenceData!$AN$60),"")</f>
        <v/>
      </c>
      <c r="AO60" t="str">
        <f ca="1">IFERROR(IF(0=LEN(ReferenceData!$AO$60),"",ReferenceData!$AO$60),"")</f>
        <v/>
      </c>
      <c r="AP60" t="str">
        <f ca="1">IFERROR(IF(0=LEN(ReferenceData!$AP$60),"",ReferenceData!$AP$60),"")</f>
        <v/>
      </c>
      <c r="AQ60" t="str">
        <f ca="1">IFERROR(IF(0=LEN(ReferenceData!$AQ$60),"",ReferenceData!$AQ$60),"")</f>
        <v/>
      </c>
      <c r="AR60" t="str">
        <f ca="1">IFERROR(IF(0=LEN(ReferenceData!$AR$60),"",ReferenceData!$AR$60),"")</f>
        <v/>
      </c>
      <c r="AS60" t="str">
        <f ca="1">IFERROR(IF(0=LEN(ReferenceData!$AS$60),"",ReferenceData!$AS$60),"")</f>
        <v/>
      </c>
    </row>
    <row r="61" spans="1:45" x14ac:dyDescent="0.2">
      <c r="A61" t="str">
        <f>IFERROR(IF(0=LEN(ReferenceData!$A$61),"",ReferenceData!$A$61),"")</f>
        <v xml:space="preserve">    </v>
      </c>
      <c r="B61" t="str">
        <f>IFERROR(IF(0=LEN(ReferenceData!$B$61),"",ReferenceData!$B$61),"")</f>
        <v/>
      </c>
      <c r="C61" t="str">
        <f>IFERROR(IF(0=LEN(ReferenceData!$C$61),"",ReferenceData!$C$61),"")</f>
        <v/>
      </c>
      <c r="D61" t="str">
        <f>IFERROR(IF(0=LEN(ReferenceData!$D$61),"",ReferenceData!$D$61),"")</f>
        <v/>
      </c>
      <c r="E61" t="str">
        <f>IFERROR(IF(0=LEN(ReferenceData!$E$61),"",ReferenceData!$E$61),"")</f>
        <v>Static</v>
      </c>
      <c r="F61" t="str">
        <f ca="1">IFERROR(IF(0=LEN(ReferenceData!$F$61),"",ReferenceData!$F$61),"")</f>
        <v/>
      </c>
      <c r="G61" t="str">
        <f ca="1">IFERROR(IF(0=LEN(ReferenceData!$G$61),"",ReferenceData!$G$61),"")</f>
        <v/>
      </c>
      <c r="H61" t="str">
        <f ca="1">IFERROR(IF(0=LEN(ReferenceData!$H$61),"",ReferenceData!$H$61),"")</f>
        <v/>
      </c>
      <c r="I61" t="str">
        <f ca="1">IFERROR(IF(0=LEN(ReferenceData!$I$61),"",ReferenceData!$I$61),"")</f>
        <v/>
      </c>
      <c r="J61" t="str">
        <f ca="1">IFERROR(IF(0=LEN(ReferenceData!$J$61),"",ReferenceData!$J$61),"")</f>
        <v/>
      </c>
      <c r="K61" t="str">
        <f ca="1">IFERROR(IF(0=LEN(ReferenceData!$K$61),"",ReferenceData!$K$61),"")</f>
        <v/>
      </c>
      <c r="L61" t="str">
        <f ca="1">IFERROR(IF(0=LEN(ReferenceData!$L$61),"",ReferenceData!$L$61),"")</f>
        <v/>
      </c>
      <c r="M61" t="str">
        <f ca="1">IFERROR(IF(0=LEN(ReferenceData!$M$61),"",ReferenceData!$M$61),"")</f>
        <v/>
      </c>
      <c r="N61" t="str">
        <f ca="1">IFERROR(IF(0=LEN(ReferenceData!$N$61),"",ReferenceData!$N$61),"")</f>
        <v/>
      </c>
      <c r="O61" t="str">
        <f ca="1">IFERROR(IF(0=LEN(ReferenceData!$O$61),"",ReferenceData!$O$61),"")</f>
        <v/>
      </c>
      <c r="P61" t="str">
        <f ca="1">IFERROR(IF(0=LEN(ReferenceData!$P$61),"",ReferenceData!$P$61),"")</f>
        <v/>
      </c>
      <c r="Q61" t="str">
        <f ca="1">IFERROR(IF(0=LEN(ReferenceData!$Q$61),"",ReferenceData!$Q$61),"")</f>
        <v/>
      </c>
      <c r="R61" t="str">
        <f ca="1">IFERROR(IF(0=LEN(ReferenceData!$R$61),"",ReferenceData!$R$61),"")</f>
        <v/>
      </c>
      <c r="S61" t="str">
        <f ca="1">IFERROR(IF(0=LEN(ReferenceData!$S$61),"",ReferenceData!$S$61),"")</f>
        <v/>
      </c>
      <c r="T61" t="str">
        <f ca="1">IFERROR(IF(0=LEN(ReferenceData!$T$61),"",ReferenceData!$T$61),"")</f>
        <v/>
      </c>
      <c r="U61" t="str">
        <f ca="1">IFERROR(IF(0=LEN(ReferenceData!$U$61),"",ReferenceData!$U$61),"")</f>
        <v/>
      </c>
      <c r="V61" t="str">
        <f ca="1">IFERROR(IF(0=LEN(ReferenceData!$V$61),"",ReferenceData!$V$61),"")</f>
        <v/>
      </c>
      <c r="W61" t="str">
        <f ca="1">IFERROR(IF(0=LEN(ReferenceData!$W$61),"",ReferenceData!$W$61),"")</f>
        <v/>
      </c>
      <c r="X61" t="str">
        <f ca="1">IFERROR(IF(0=LEN(ReferenceData!$X$61),"",ReferenceData!$X$61),"")</f>
        <v/>
      </c>
      <c r="Y61" t="str">
        <f ca="1">IFERROR(IF(0=LEN(ReferenceData!$Y$61),"",ReferenceData!$Y$61),"")</f>
        <v/>
      </c>
      <c r="Z61" t="str">
        <f ca="1">IFERROR(IF(0=LEN(ReferenceData!$Z$61),"",ReferenceData!$Z$61),"")</f>
        <v/>
      </c>
      <c r="AA61" t="str">
        <f ca="1">IFERROR(IF(0=LEN(ReferenceData!$AA$61),"",ReferenceData!$AA$61),"")</f>
        <v/>
      </c>
      <c r="AB61" t="str">
        <f ca="1">IFERROR(IF(0=LEN(ReferenceData!$AB$61),"",ReferenceData!$AB$61),"")</f>
        <v/>
      </c>
      <c r="AC61" t="str">
        <f ca="1">IFERROR(IF(0=LEN(ReferenceData!$AC$61),"",ReferenceData!$AC$61),"")</f>
        <v/>
      </c>
      <c r="AD61" t="str">
        <f ca="1">IFERROR(IF(0=LEN(ReferenceData!$AD$61),"",ReferenceData!$AD$61),"")</f>
        <v/>
      </c>
      <c r="AE61" t="str">
        <f ca="1">IFERROR(IF(0=LEN(ReferenceData!$AE$61),"",ReferenceData!$AE$61),"")</f>
        <v/>
      </c>
      <c r="AF61" t="str">
        <f ca="1">IFERROR(IF(0=LEN(ReferenceData!$AF$61),"",ReferenceData!$AF$61),"")</f>
        <v/>
      </c>
      <c r="AG61" t="str">
        <f ca="1">IFERROR(IF(0=LEN(ReferenceData!$AG$61),"",ReferenceData!$AG$61),"")</f>
        <v/>
      </c>
      <c r="AH61" t="str">
        <f ca="1">IFERROR(IF(0=LEN(ReferenceData!$AH$61),"",ReferenceData!$AH$61),"")</f>
        <v/>
      </c>
      <c r="AI61" t="str">
        <f ca="1">IFERROR(IF(0=LEN(ReferenceData!$AI$61),"",ReferenceData!$AI$61),"")</f>
        <v/>
      </c>
      <c r="AJ61" t="str">
        <f ca="1">IFERROR(IF(0=LEN(ReferenceData!$AJ$61),"",ReferenceData!$AJ$61),"")</f>
        <v/>
      </c>
      <c r="AK61" t="str">
        <f ca="1">IFERROR(IF(0=LEN(ReferenceData!$AK$61),"",ReferenceData!$AK$61),"")</f>
        <v/>
      </c>
      <c r="AL61" t="str">
        <f ca="1">IFERROR(IF(0=LEN(ReferenceData!$AL$61),"",ReferenceData!$AL$61),"")</f>
        <v/>
      </c>
      <c r="AM61" t="str">
        <f ca="1">IFERROR(IF(0=LEN(ReferenceData!$AM$61),"",ReferenceData!$AM$61),"")</f>
        <v/>
      </c>
      <c r="AN61" t="str">
        <f ca="1">IFERROR(IF(0=LEN(ReferenceData!$AN$61),"",ReferenceData!$AN$61),"")</f>
        <v/>
      </c>
      <c r="AO61" t="str">
        <f ca="1">IFERROR(IF(0=LEN(ReferenceData!$AO$61),"",ReferenceData!$AO$61),"")</f>
        <v/>
      </c>
      <c r="AP61" t="str">
        <f ca="1">IFERROR(IF(0=LEN(ReferenceData!$AP$61),"",ReferenceData!$AP$61),"")</f>
        <v/>
      </c>
      <c r="AQ61" t="str">
        <f ca="1">IFERROR(IF(0=LEN(ReferenceData!$AQ$61),"",ReferenceData!$AQ$61),"")</f>
        <v/>
      </c>
      <c r="AR61" t="str">
        <f ca="1">IFERROR(IF(0=LEN(ReferenceData!$AR$61),"",ReferenceData!$AR$61),"")</f>
        <v/>
      </c>
      <c r="AS61" t="str">
        <f ca="1">IFERROR(IF(0=LEN(ReferenceData!$AS$61),"",ReferenceData!$AS$61),"")</f>
        <v/>
      </c>
    </row>
    <row r="62" spans="1:45" x14ac:dyDescent="0.2">
      <c r="A62" t="str">
        <f>IFERROR(IF(0=LEN(ReferenceData!$A$62),"",ReferenceData!$A$62),"")</f>
        <v xml:space="preserve">    Source: ARTBA, U.S. Census Bureau</v>
      </c>
      <c r="B62" t="str">
        <f>IFERROR(IF(0=LEN(ReferenceData!$B$62),"",ReferenceData!$B$62),"")</f>
        <v/>
      </c>
      <c r="C62" t="str">
        <f>IFERROR(IF(0=LEN(ReferenceData!$C$62),"",ReferenceData!$C$62),"")</f>
        <v/>
      </c>
      <c r="D62" t="str">
        <f>IFERROR(IF(0=LEN(ReferenceData!$D$62),"",ReferenceData!$D$62),"")</f>
        <v/>
      </c>
      <c r="E62" t="str">
        <f>IFERROR(IF(0=LEN(ReferenceData!$E$62),"",ReferenceData!$E$62),"")</f>
        <v>Heading</v>
      </c>
      <c r="F62" t="str">
        <f>IFERROR(IF(0=LEN(ReferenceData!$F$62),"",ReferenceData!$F$62),"")</f>
        <v/>
      </c>
      <c r="G62" t="str">
        <f>IFERROR(IF(0=LEN(ReferenceData!$G$62),"",ReferenceData!$G$62),"")</f>
        <v/>
      </c>
      <c r="H62" t="str">
        <f>IFERROR(IF(0=LEN(ReferenceData!$H$62),"",ReferenceData!$H$62),"")</f>
        <v/>
      </c>
      <c r="I62" t="str">
        <f>IFERROR(IF(0=LEN(ReferenceData!$I$62),"",ReferenceData!$I$62),"")</f>
        <v/>
      </c>
      <c r="J62" t="str">
        <f>IFERROR(IF(0=LEN(ReferenceData!$J$62),"",ReferenceData!$J$62),"")</f>
        <v/>
      </c>
      <c r="K62" t="str">
        <f>IFERROR(IF(0=LEN(ReferenceData!$K$62),"",ReferenceData!$K$62),"")</f>
        <v/>
      </c>
      <c r="L62" t="str">
        <f>IFERROR(IF(0=LEN(ReferenceData!$L$62),"",ReferenceData!$L$62),"")</f>
        <v/>
      </c>
      <c r="M62" t="str">
        <f>IFERROR(IF(0=LEN(ReferenceData!$M$62),"",ReferenceData!$M$62),"")</f>
        <v/>
      </c>
      <c r="N62" t="str">
        <f>IFERROR(IF(0=LEN(ReferenceData!$N$62),"",ReferenceData!$N$62),"")</f>
        <v/>
      </c>
      <c r="O62" t="str">
        <f>IFERROR(IF(0=LEN(ReferenceData!$O$62),"",ReferenceData!$O$62),"")</f>
        <v/>
      </c>
      <c r="P62" t="str">
        <f>IFERROR(IF(0=LEN(ReferenceData!$P$62),"",ReferenceData!$P$62),"")</f>
        <v/>
      </c>
      <c r="Q62" t="str">
        <f>IFERROR(IF(0=LEN(ReferenceData!$Q$62),"",ReferenceData!$Q$62),"")</f>
        <v/>
      </c>
      <c r="R62" t="str">
        <f>IFERROR(IF(0=LEN(ReferenceData!$R$62),"",ReferenceData!$R$62),"")</f>
        <v/>
      </c>
      <c r="S62" t="str">
        <f>IFERROR(IF(0=LEN(ReferenceData!$S$62),"",ReferenceData!$S$62),"")</f>
        <v/>
      </c>
      <c r="T62" t="str">
        <f>IFERROR(IF(0=LEN(ReferenceData!$T$62),"",ReferenceData!$T$62),"")</f>
        <v/>
      </c>
      <c r="U62" t="str">
        <f>IFERROR(IF(0=LEN(ReferenceData!$U$62),"",ReferenceData!$U$62),"")</f>
        <v/>
      </c>
      <c r="V62" t="str">
        <f>IFERROR(IF(0=LEN(ReferenceData!$V$62),"",ReferenceData!$V$62),"")</f>
        <v/>
      </c>
      <c r="W62" t="str">
        <f>IFERROR(IF(0=LEN(ReferenceData!$W$62),"",ReferenceData!$W$62),"")</f>
        <v/>
      </c>
      <c r="X62" t="str">
        <f>IFERROR(IF(0=LEN(ReferenceData!$X$62),"",ReferenceData!$X$62),"")</f>
        <v/>
      </c>
      <c r="Y62" t="str">
        <f>IFERROR(IF(0=LEN(ReferenceData!$Y$62),"",ReferenceData!$Y$62),"")</f>
        <v/>
      </c>
      <c r="Z62" t="str">
        <f>IFERROR(IF(0=LEN(ReferenceData!$Z$62),"",ReferenceData!$Z$62),"")</f>
        <v/>
      </c>
      <c r="AA62" t="str">
        <f>IFERROR(IF(0=LEN(ReferenceData!$AA$62),"",ReferenceData!$AA$62),"")</f>
        <v/>
      </c>
      <c r="AB62" t="str">
        <f>IFERROR(IF(0=LEN(ReferenceData!$AB$62),"",ReferenceData!$AB$62),"")</f>
        <v/>
      </c>
      <c r="AC62" t="str">
        <f>IFERROR(IF(0=LEN(ReferenceData!$AC$62),"",ReferenceData!$AC$62),"")</f>
        <v/>
      </c>
      <c r="AD62" t="str">
        <f>IFERROR(IF(0=LEN(ReferenceData!$AD$62),"",ReferenceData!$AD$62),"")</f>
        <v/>
      </c>
      <c r="AE62" t="str">
        <f>IFERROR(IF(0=LEN(ReferenceData!$AE$62),"",ReferenceData!$AE$62),"")</f>
        <v/>
      </c>
      <c r="AF62" t="str">
        <f>IFERROR(IF(0=LEN(ReferenceData!$AF$62),"",ReferenceData!$AF$62),"")</f>
        <v/>
      </c>
      <c r="AG62" t="str">
        <f>IFERROR(IF(0=LEN(ReferenceData!$AG$62),"",ReferenceData!$AG$62),"")</f>
        <v/>
      </c>
      <c r="AH62" t="str">
        <f>IFERROR(IF(0=LEN(ReferenceData!$AH$62),"",ReferenceData!$AH$62),"")</f>
        <v/>
      </c>
      <c r="AI62" t="str">
        <f>IFERROR(IF(0=LEN(ReferenceData!$AI$62),"",ReferenceData!$AI$62),"")</f>
        <v/>
      </c>
      <c r="AJ62" t="str">
        <f>IFERROR(IF(0=LEN(ReferenceData!$AJ$62),"",ReferenceData!$AJ$62),"")</f>
        <v/>
      </c>
      <c r="AK62" t="str">
        <f>IFERROR(IF(0=LEN(ReferenceData!$AK$62),"",ReferenceData!$AK$62),"")</f>
        <v/>
      </c>
      <c r="AL62" t="str">
        <f>IFERROR(IF(0=LEN(ReferenceData!$AL$62),"",ReferenceData!$AL$62),"")</f>
        <v/>
      </c>
      <c r="AM62" t="str">
        <f>IFERROR(IF(0=LEN(ReferenceData!$AM$62),"",ReferenceData!$AM$62),"")</f>
        <v/>
      </c>
      <c r="AN62" t="str">
        <f>IFERROR(IF(0=LEN(ReferenceData!$AN$62),"",ReferenceData!$AN$62),"")</f>
        <v/>
      </c>
      <c r="AO62" t="str">
        <f>IFERROR(IF(0=LEN(ReferenceData!$AO$62),"",ReferenceData!$AO$62),"")</f>
        <v/>
      </c>
      <c r="AP62" t="str">
        <f>IFERROR(IF(0=LEN(ReferenceData!$AP$62),"",ReferenceData!$AP$62),"")</f>
        <v/>
      </c>
      <c r="AQ62" t="str">
        <f>IFERROR(IF(0=LEN(ReferenceData!$AQ$62),"",ReferenceData!$AQ$62),"")</f>
        <v/>
      </c>
      <c r="AR62" t="str">
        <f>IFERROR(IF(0=LEN(ReferenceData!$AR$62),"",ReferenceData!$AR$62),"")</f>
        <v/>
      </c>
      <c r="AS62" t="str">
        <f>IFERROR(IF(0=LEN(ReferenceData!$AS$62),"",ReferenceData!$AS$62),"")</f>
        <v/>
      </c>
    </row>
    <row r="63" spans="1:45" x14ac:dyDescent="0.2">
      <c r="A63" t="str">
        <f>IFERROR(IF(0=LEN(ReferenceData!$A$63),"",ReferenceData!$A$63),"")</f>
        <v xml:space="preserve">    </v>
      </c>
      <c r="B63" t="str">
        <f>IFERROR(IF(0=LEN(ReferenceData!$B$63),"",ReferenceData!$B$63),"")</f>
        <v/>
      </c>
      <c r="C63" t="str">
        <f>IFERROR(IF(0=LEN(ReferenceData!$C$63),"",ReferenceData!$C$63),"")</f>
        <v/>
      </c>
      <c r="D63" t="str">
        <f>IFERROR(IF(0=LEN(ReferenceData!$D$63),"",ReferenceData!$D$63),"")</f>
        <v/>
      </c>
      <c r="E63" t="str">
        <f>IFERROR(IF(0=LEN(ReferenceData!$E$63),"",ReferenceData!$E$63),"")</f>
        <v>Static</v>
      </c>
      <c r="F63" t="str">
        <f ca="1">IFERROR(IF(0=LEN(ReferenceData!$F$63),"",ReferenceData!$F$63),"")</f>
        <v/>
      </c>
      <c r="G63" t="str">
        <f ca="1">IFERROR(IF(0=LEN(ReferenceData!$G$63),"",ReferenceData!$G$63),"")</f>
        <v/>
      </c>
      <c r="H63" t="str">
        <f ca="1">IFERROR(IF(0=LEN(ReferenceData!$H$63),"",ReferenceData!$H$63),"")</f>
        <v/>
      </c>
      <c r="I63" t="str">
        <f ca="1">IFERROR(IF(0=LEN(ReferenceData!$I$63),"",ReferenceData!$I$63),"")</f>
        <v/>
      </c>
      <c r="J63" t="str">
        <f ca="1">IFERROR(IF(0=LEN(ReferenceData!$J$63),"",ReferenceData!$J$63),"")</f>
        <v/>
      </c>
      <c r="K63" t="str">
        <f ca="1">IFERROR(IF(0=LEN(ReferenceData!$K$63),"",ReferenceData!$K$63),"")</f>
        <v/>
      </c>
      <c r="L63" t="str">
        <f ca="1">IFERROR(IF(0=LEN(ReferenceData!$L$63),"",ReferenceData!$L$63),"")</f>
        <v/>
      </c>
      <c r="M63" t="str">
        <f ca="1">IFERROR(IF(0=LEN(ReferenceData!$M$63),"",ReferenceData!$M$63),"")</f>
        <v/>
      </c>
      <c r="N63" t="str">
        <f ca="1">IFERROR(IF(0=LEN(ReferenceData!$N$63),"",ReferenceData!$N$63),"")</f>
        <v/>
      </c>
      <c r="O63" t="str">
        <f ca="1">IFERROR(IF(0=LEN(ReferenceData!$O$63),"",ReferenceData!$O$63),"")</f>
        <v/>
      </c>
      <c r="P63" t="str">
        <f ca="1">IFERROR(IF(0=LEN(ReferenceData!$P$63),"",ReferenceData!$P$63),"")</f>
        <v/>
      </c>
      <c r="Q63" t="str">
        <f ca="1">IFERROR(IF(0=LEN(ReferenceData!$Q$63),"",ReferenceData!$Q$63),"")</f>
        <v/>
      </c>
      <c r="R63" t="str">
        <f ca="1">IFERROR(IF(0=LEN(ReferenceData!$R$63),"",ReferenceData!$R$63),"")</f>
        <v/>
      </c>
      <c r="S63" t="str">
        <f ca="1">IFERROR(IF(0=LEN(ReferenceData!$S$63),"",ReferenceData!$S$63),"")</f>
        <v/>
      </c>
      <c r="T63" t="str">
        <f ca="1">IFERROR(IF(0=LEN(ReferenceData!$T$63),"",ReferenceData!$T$63),"")</f>
        <v/>
      </c>
      <c r="U63" t="str">
        <f ca="1">IFERROR(IF(0=LEN(ReferenceData!$U$63),"",ReferenceData!$U$63),"")</f>
        <v/>
      </c>
      <c r="V63" t="str">
        <f ca="1">IFERROR(IF(0=LEN(ReferenceData!$V$63),"",ReferenceData!$V$63),"")</f>
        <v/>
      </c>
      <c r="W63" t="str">
        <f ca="1">IFERROR(IF(0=LEN(ReferenceData!$W$63),"",ReferenceData!$W$63),"")</f>
        <v/>
      </c>
      <c r="X63" t="str">
        <f ca="1">IFERROR(IF(0=LEN(ReferenceData!$X$63),"",ReferenceData!$X$63),"")</f>
        <v/>
      </c>
      <c r="Y63" t="str">
        <f ca="1">IFERROR(IF(0=LEN(ReferenceData!$Y$63),"",ReferenceData!$Y$63),"")</f>
        <v/>
      </c>
      <c r="Z63" t="str">
        <f ca="1">IFERROR(IF(0=LEN(ReferenceData!$Z$63),"",ReferenceData!$Z$63),"")</f>
        <v/>
      </c>
      <c r="AA63" t="str">
        <f ca="1">IFERROR(IF(0=LEN(ReferenceData!$AA$63),"",ReferenceData!$AA$63),"")</f>
        <v/>
      </c>
      <c r="AB63" t="str">
        <f ca="1">IFERROR(IF(0=LEN(ReferenceData!$AB$63),"",ReferenceData!$AB$63),"")</f>
        <v/>
      </c>
      <c r="AC63" t="str">
        <f ca="1">IFERROR(IF(0=LEN(ReferenceData!$AC$63),"",ReferenceData!$AC$63),"")</f>
        <v/>
      </c>
      <c r="AD63" t="str">
        <f ca="1">IFERROR(IF(0=LEN(ReferenceData!$AD$63),"",ReferenceData!$AD$63),"")</f>
        <v/>
      </c>
      <c r="AE63" t="str">
        <f ca="1">IFERROR(IF(0=LEN(ReferenceData!$AE$63),"",ReferenceData!$AE$63),"")</f>
        <v/>
      </c>
      <c r="AF63" t="str">
        <f ca="1">IFERROR(IF(0=LEN(ReferenceData!$AF$63),"",ReferenceData!$AF$63),"")</f>
        <v/>
      </c>
      <c r="AG63" t="str">
        <f ca="1">IFERROR(IF(0=LEN(ReferenceData!$AG$63),"",ReferenceData!$AG$63),"")</f>
        <v/>
      </c>
      <c r="AH63" t="str">
        <f ca="1">IFERROR(IF(0=LEN(ReferenceData!$AH$63),"",ReferenceData!$AH$63),"")</f>
        <v/>
      </c>
      <c r="AI63" t="str">
        <f ca="1">IFERROR(IF(0=LEN(ReferenceData!$AI$63),"",ReferenceData!$AI$63),"")</f>
        <v/>
      </c>
      <c r="AJ63" t="str">
        <f ca="1">IFERROR(IF(0=LEN(ReferenceData!$AJ$63),"",ReferenceData!$AJ$63),"")</f>
        <v/>
      </c>
      <c r="AK63" t="str">
        <f ca="1">IFERROR(IF(0=LEN(ReferenceData!$AK$63),"",ReferenceData!$AK$63),"")</f>
        <v/>
      </c>
      <c r="AL63" t="str">
        <f ca="1">IFERROR(IF(0=LEN(ReferenceData!$AL$63),"",ReferenceData!$AL$63),"")</f>
        <v/>
      </c>
      <c r="AM63" t="str">
        <f ca="1">IFERROR(IF(0=LEN(ReferenceData!$AM$63),"",ReferenceData!$AM$63),"")</f>
        <v/>
      </c>
      <c r="AN63" t="str">
        <f ca="1">IFERROR(IF(0=LEN(ReferenceData!$AN$63),"",ReferenceData!$AN$63),"")</f>
        <v/>
      </c>
      <c r="AO63" t="str">
        <f ca="1">IFERROR(IF(0=LEN(ReferenceData!$AO$63),"",ReferenceData!$AO$63),"")</f>
        <v/>
      </c>
      <c r="AP63" t="str">
        <f ca="1">IFERROR(IF(0=LEN(ReferenceData!$AP$63),"",ReferenceData!$AP$63),"")</f>
        <v/>
      </c>
      <c r="AQ63" t="str">
        <f ca="1">IFERROR(IF(0=LEN(ReferenceData!$AQ$63),"",ReferenceData!$AQ$63),"")</f>
        <v/>
      </c>
      <c r="AR63" t="str">
        <f ca="1">IFERROR(IF(0=LEN(ReferenceData!$AR$63),"",ReferenceData!$AR$63),"")</f>
        <v/>
      </c>
      <c r="AS63" t="str">
        <f ca="1">IFERROR(IF(0=LEN(ReferenceData!$AS$63),"",ReferenceData!$AS$63),"")</f>
        <v/>
      </c>
    </row>
    <row r="64" spans="1:45" x14ac:dyDescent="0.2">
      <c r="A64" t="str">
        <f>IFERROR(IF(0=LEN(ReferenceData!$A$64),"",ReferenceData!$A$64),"")</f>
        <v xml:space="preserve">    </v>
      </c>
      <c r="B64" t="str">
        <f>IFERROR(IF(0=LEN(ReferenceData!$B$64),"",ReferenceData!$B$64),"")</f>
        <v/>
      </c>
      <c r="C64" t="str">
        <f>IFERROR(IF(0=LEN(ReferenceData!$C$64),"",ReferenceData!$C$64),"")</f>
        <v/>
      </c>
      <c r="D64" t="str">
        <f>IFERROR(IF(0=LEN(ReferenceData!$D$64),"",ReferenceData!$D$64),"")</f>
        <v/>
      </c>
      <c r="E64" t="str">
        <f>IFERROR(IF(0=LEN(ReferenceData!$E$64),"",ReferenceData!$E$64),"")</f>
        <v>Static</v>
      </c>
      <c r="F64" t="str">
        <f ca="1">IFERROR(IF(0=LEN(ReferenceData!$F$64),"",ReferenceData!$F$64),"")</f>
        <v/>
      </c>
      <c r="G64" t="str">
        <f ca="1">IFERROR(IF(0=LEN(ReferenceData!$G$64),"",ReferenceData!$G$64),"")</f>
        <v/>
      </c>
      <c r="H64" t="str">
        <f ca="1">IFERROR(IF(0=LEN(ReferenceData!$H$64),"",ReferenceData!$H$64),"")</f>
        <v/>
      </c>
      <c r="I64" t="str">
        <f ca="1">IFERROR(IF(0=LEN(ReferenceData!$I$64),"",ReferenceData!$I$64),"")</f>
        <v/>
      </c>
      <c r="J64" t="str">
        <f ca="1">IFERROR(IF(0=LEN(ReferenceData!$J$64),"",ReferenceData!$J$64),"")</f>
        <v/>
      </c>
      <c r="K64" t="str">
        <f ca="1">IFERROR(IF(0=LEN(ReferenceData!$K$64),"",ReferenceData!$K$64),"")</f>
        <v/>
      </c>
      <c r="L64" t="str">
        <f ca="1">IFERROR(IF(0=LEN(ReferenceData!$L$64),"",ReferenceData!$L$64),"")</f>
        <v/>
      </c>
      <c r="M64" t="str">
        <f ca="1">IFERROR(IF(0=LEN(ReferenceData!$M$64),"",ReferenceData!$M$64),"")</f>
        <v/>
      </c>
      <c r="N64" t="str">
        <f ca="1">IFERROR(IF(0=LEN(ReferenceData!$N$64),"",ReferenceData!$N$64),"")</f>
        <v/>
      </c>
      <c r="O64" t="str">
        <f ca="1">IFERROR(IF(0=LEN(ReferenceData!$O$64),"",ReferenceData!$O$64),"")</f>
        <v/>
      </c>
      <c r="P64" t="str">
        <f ca="1">IFERROR(IF(0=LEN(ReferenceData!$P$64),"",ReferenceData!$P$64),"")</f>
        <v/>
      </c>
      <c r="Q64" t="str">
        <f ca="1">IFERROR(IF(0=LEN(ReferenceData!$Q$64),"",ReferenceData!$Q$64),"")</f>
        <v/>
      </c>
      <c r="R64" t="str">
        <f ca="1">IFERROR(IF(0=LEN(ReferenceData!$R$64),"",ReferenceData!$R$64),"")</f>
        <v/>
      </c>
      <c r="S64" t="str">
        <f ca="1">IFERROR(IF(0=LEN(ReferenceData!$S$64),"",ReferenceData!$S$64),"")</f>
        <v/>
      </c>
      <c r="T64" t="str">
        <f ca="1">IFERROR(IF(0=LEN(ReferenceData!$T$64),"",ReferenceData!$T$64),"")</f>
        <v/>
      </c>
      <c r="U64" t="str">
        <f ca="1">IFERROR(IF(0=LEN(ReferenceData!$U$64),"",ReferenceData!$U$64),"")</f>
        <v/>
      </c>
      <c r="V64" t="str">
        <f ca="1">IFERROR(IF(0=LEN(ReferenceData!$V$64),"",ReferenceData!$V$64),"")</f>
        <v/>
      </c>
      <c r="W64" t="str">
        <f ca="1">IFERROR(IF(0=LEN(ReferenceData!$W$64),"",ReferenceData!$W$64),"")</f>
        <v/>
      </c>
      <c r="X64" t="str">
        <f ca="1">IFERROR(IF(0=LEN(ReferenceData!$X$64),"",ReferenceData!$X$64),"")</f>
        <v/>
      </c>
      <c r="Y64" t="str">
        <f ca="1">IFERROR(IF(0=LEN(ReferenceData!$Y$64),"",ReferenceData!$Y$64),"")</f>
        <v/>
      </c>
      <c r="Z64" t="str">
        <f ca="1">IFERROR(IF(0=LEN(ReferenceData!$Z$64),"",ReferenceData!$Z$64),"")</f>
        <v/>
      </c>
      <c r="AA64" t="str">
        <f ca="1">IFERROR(IF(0=LEN(ReferenceData!$AA$64),"",ReferenceData!$AA$64),"")</f>
        <v/>
      </c>
      <c r="AB64" t="str">
        <f ca="1">IFERROR(IF(0=LEN(ReferenceData!$AB$64),"",ReferenceData!$AB$64),"")</f>
        <v/>
      </c>
      <c r="AC64" t="str">
        <f ca="1">IFERROR(IF(0=LEN(ReferenceData!$AC$64),"",ReferenceData!$AC$64),"")</f>
        <v/>
      </c>
      <c r="AD64" t="str">
        <f ca="1">IFERROR(IF(0=LEN(ReferenceData!$AD$64),"",ReferenceData!$AD$64),"")</f>
        <v/>
      </c>
      <c r="AE64" t="str">
        <f ca="1">IFERROR(IF(0=LEN(ReferenceData!$AE$64),"",ReferenceData!$AE$64),"")</f>
        <v/>
      </c>
      <c r="AF64" t="str">
        <f ca="1">IFERROR(IF(0=LEN(ReferenceData!$AF$64),"",ReferenceData!$AF$64),"")</f>
        <v/>
      </c>
      <c r="AG64" t="str">
        <f ca="1">IFERROR(IF(0=LEN(ReferenceData!$AG$64),"",ReferenceData!$AG$64),"")</f>
        <v/>
      </c>
      <c r="AH64" t="str">
        <f ca="1">IFERROR(IF(0=LEN(ReferenceData!$AH$64),"",ReferenceData!$AH$64),"")</f>
        <v/>
      </c>
      <c r="AI64" t="str">
        <f ca="1">IFERROR(IF(0=LEN(ReferenceData!$AI$64),"",ReferenceData!$AI$64),"")</f>
        <v/>
      </c>
      <c r="AJ64" t="str">
        <f ca="1">IFERROR(IF(0=LEN(ReferenceData!$AJ$64),"",ReferenceData!$AJ$64),"")</f>
        <v/>
      </c>
      <c r="AK64" t="str">
        <f ca="1">IFERROR(IF(0=LEN(ReferenceData!$AK$64),"",ReferenceData!$AK$64),"")</f>
        <v/>
      </c>
      <c r="AL64" t="str">
        <f ca="1">IFERROR(IF(0=LEN(ReferenceData!$AL$64),"",ReferenceData!$AL$64),"")</f>
        <v/>
      </c>
      <c r="AM64" t="str">
        <f ca="1">IFERROR(IF(0=LEN(ReferenceData!$AM$64),"",ReferenceData!$AM$64),"")</f>
        <v/>
      </c>
      <c r="AN64" t="str">
        <f ca="1">IFERROR(IF(0=LEN(ReferenceData!$AN$64),"",ReferenceData!$AN$64),"")</f>
        <v/>
      </c>
      <c r="AO64" t="str">
        <f ca="1">IFERROR(IF(0=LEN(ReferenceData!$AO$64),"",ReferenceData!$AO$64),"")</f>
        <v/>
      </c>
      <c r="AP64" t="str">
        <f ca="1">IFERROR(IF(0=LEN(ReferenceData!$AP$64),"",ReferenceData!$AP$64),"")</f>
        <v/>
      </c>
      <c r="AQ64" t="str">
        <f ca="1">IFERROR(IF(0=LEN(ReferenceData!$AQ$64),"",ReferenceData!$AQ$64),"")</f>
        <v/>
      </c>
      <c r="AR64" t="str">
        <f ca="1">IFERROR(IF(0=LEN(ReferenceData!$AR$64),"",ReferenceData!$AR$64),"")</f>
        <v/>
      </c>
      <c r="AS64" t="str">
        <f ca="1">IFERROR(IF(0=LEN(ReferenceData!$AS$64),"",ReferenceData!$AS$64),"")</f>
        <v/>
      </c>
    </row>
    <row r="65" spans="1:45" x14ac:dyDescent="0.2">
      <c r="A65" t="str">
        <f>IFERROR(IF(0=LEN(ReferenceData!$A$65),"",ReferenceData!$A$65),"")</f>
        <v xml:space="preserve">    U.S. Real Estate Data</v>
      </c>
      <c r="B65" t="str">
        <f>IFERROR(IF(0=LEN(ReferenceData!$B$65),"",ReferenceData!$B$65),"")</f>
        <v/>
      </c>
      <c r="C65" t="str">
        <f>IFERROR(IF(0=LEN(ReferenceData!$C$65),"",ReferenceData!$C$65),"")</f>
        <v/>
      </c>
      <c r="D65" t="str">
        <f>IFERROR(IF(0=LEN(ReferenceData!$D$65),"",ReferenceData!$D$65),"")</f>
        <v/>
      </c>
      <c r="E65" t="str">
        <f>IFERROR(IF(0=LEN(ReferenceData!$E$65),"",ReferenceData!$E$65),"")</f>
        <v>Heading</v>
      </c>
      <c r="F65" t="str">
        <f>IFERROR(IF(0=LEN(ReferenceData!$F$65),"",ReferenceData!$F$65),"")</f>
        <v/>
      </c>
      <c r="G65" t="str">
        <f>IFERROR(IF(0=LEN(ReferenceData!$G$65),"",ReferenceData!$G$65),"")</f>
        <v/>
      </c>
      <c r="H65" t="str">
        <f>IFERROR(IF(0=LEN(ReferenceData!$H$65),"",ReferenceData!$H$65),"")</f>
        <v/>
      </c>
      <c r="I65" t="str">
        <f>IFERROR(IF(0=LEN(ReferenceData!$I$65),"",ReferenceData!$I$65),"")</f>
        <v/>
      </c>
      <c r="J65" t="str">
        <f>IFERROR(IF(0=LEN(ReferenceData!$J$65),"",ReferenceData!$J$65),"")</f>
        <v/>
      </c>
      <c r="K65" t="str">
        <f>IFERROR(IF(0=LEN(ReferenceData!$K$65),"",ReferenceData!$K$65),"")</f>
        <v/>
      </c>
      <c r="L65" t="str">
        <f>IFERROR(IF(0=LEN(ReferenceData!$L$65),"",ReferenceData!$L$65),"")</f>
        <v/>
      </c>
      <c r="M65" t="str">
        <f>IFERROR(IF(0=LEN(ReferenceData!$M$65),"",ReferenceData!$M$65),"")</f>
        <v/>
      </c>
      <c r="N65" t="str">
        <f>IFERROR(IF(0=LEN(ReferenceData!$N$65),"",ReferenceData!$N$65),"")</f>
        <v/>
      </c>
      <c r="O65" t="str">
        <f>IFERROR(IF(0=LEN(ReferenceData!$O$65),"",ReferenceData!$O$65),"")</f>
        <v/>
      </c>
      <c r="P65" t="str">
        <f>IFERROR(IF(0=LEN(ReferenceData!$P$65),"",ReferenceData!$P$65),"")</f>
        <v/>
      </c>
      <c r="Q65" t="str">
        <f>IFERROR(IF(0=LEN(ReferenceData!$Q$65),"",ReferenceData!$Q$65),"")</f>
        <v/>
      </c>
      <c r="R65" t="str">
        <f>IFERROR(IF(0=LEN(ReferenceData!$R$65),"",ReferenceData!$R$65),"")</f>
        <v/>
      </c>
      <c r="S65" t="str">
        <f>IFERROR(IF(0=LEN(ReferenceData!$S$65),"",ReferenceData!$S$65),"")</f>
        <v/>
      </c>
      <c r="T65" t="str">
        <f>IFERROR(IF(0=LEN(ReferenceData!$T$65),"",ReferenceData!$T$65),"")</f>
        <v/>
      </c>
      <c r="U65" t="str">
        <f>IFERROR(IF(0=LEN(ReferenceData!$U$65),"",ReferenceData!$U$65),"")</f>
        <v/>
      </c>
      <c r="V65" t="str">
        <f>IFERROR(IF(0=LEN(ReferenceData!$V$65),"",ReferenceData!$V$65),"")</f>
        <v/>
      </c>
      <c r="W65" t="str">
        <f>IFERROR(IF(0=LEN(ReferenceData!$W$65),"",ReferenceData!$W$65),"")</f>
        <v/>
      </c>
      <c r="X65" t="str">
        <f>IFERROR(IF(0=LEN(ReferenceData!$X$65),"",ReferenceData!$X$65),"")</f>
        <v/>
      </c>
      <c r="Y65" t="str">
        <f>IFERROR(IF(0=LEN(ReferenceData!$Y$65),"",ReferenceData!$Y$65),"")</f>
        <v/>
      </c>
      <c r="Z65" t="str">
        <f>IFERROR(IF(0=LEN(ReferenceData!$Z$65),"",ReferenceData!$Z$65),"")</f>
        <v/>
      </c>
      <c r="AA65" t="str">
        <f>IFERROR(IF(0=LEN(ReferenceData!$AA$65),"",ReferenceData!$AA$65),"")</f>
        <v/>
      </c>
      <c r="AB65" t="str">
        <f>IFERROR(IF(0=LEN(ReferenceData!$AB$65),"",ReferenceData!$AB$65),"")</f>
        <v/>
      </c>
      <c r="AC65" t="str">
        <f>IFERROR(IF(0=LEN(ReferenceData!$AC$65),"",ReferenceData!$AC$65),"")</f>
        <v/>
      </c>
      <c r="AD65" t="str">
        <f>IFERROR(IF(0=LEN(ReferenceData!$AD$65),"",ReferenceData!$AD$65),"")</f>
        <v/>
      </c>
      <c r="AE65" t="str">
        <f>IFERROR(IF(0=LEN(ReferenceData!$AE$65),"",ReferenceData!$AE$65),"")</f>
        <v/>
      </c>
      <c r="AF65" t="str">
        <f>IFERROR(IF(0=LEN(ReferenceData!$AF$65),"",ReferenceData!$AF$65),"")</f>
        <v/>
      </c>
      <c r="AG65" t="str">
        <f>IFERROR(IF(0=LEN(ReferenceData!$AG$65),"",ReferenceData!$AG$65),"")</f>
        <v/>
      </c>
      <c r="AH65" t="str">
        <f>IFERROR(IF(0=LEN(ReferenceData!$AH$65),"",ReferenceData!$AH$65),"")</f>
        <v/>
      </c>
      <c r="AI65" t="str">
        <f>IFERROR(IF(0=LEN(ReferenceData!$AI$65),"",ReferenceData!$AI$65),"")</f>
        <v/>
      </c>
      <c r="AJ65" t="str">
        <f>IFERROR(IF(0=LEN(ReferenceData!$AJ$65),"",ReferenceData!$AJ$65),"")</f>
        <v/>
      </c>
      <c r="AK65" t="str">
        <f>IFERROR(IF(0=LEN(ReferenceData!$AK$65),"",ReferenceData!$AK$65),"")</f>
        <v/>
      </c>
      <c r="AL65" t="str">
        <f>IFERROR(IF(0=LEN(ReferenceData!$AL$65),"",ReferenceData!$AL$65),"")</f>
        <v/>
      </c>
      <c r="AM65" t="str">
        <f>IFERROR(IF(0=LEN(ReferenceData!$AM$65),"",ReferenceData!$AM$65),"")</f>
        <v/>
      </c>
      <c r="AN65" t="str">
        <f>IFERROR(IF(0=LEN(ReferenceData!$AN$65),"",ReferenceData!$AN$65),"")</f>
        <v/>
      </c>
      <c r="AO65" t="str">
        <f>IFERROR(IF(0=LEN(ReferenceData!$AO$65),"",ReferenceData!$AO$65),"")</f>
        <v/>
      </c>
      <c r="AP65" t="str">
        <f>IFERROR(IF(0=LEN(ReferenceData!$AP$65),"",ReferenceData!$AP$65),"")</f>
        <v/>
      </c>
      <c r="AQ65" t="str">
        <f>IFERROR(IF(0=LEN(ReferenceData!$AQ$65),"",ReferenceData!$AQ$65),"")</f>
        <v/>
      </c>
      <c r="AR65" t="str">
        <f>IFERROR(IF(0=LEN(ReferenceData!$AR$65),"",ReferenceData!$AR$65),"")</f>
        <v/>
      </c>
      <c r="AS65" t="str">
        <f>IFERROR(IF(0=LEN(ReferenceData!$AS$65),"",ReferenceData!$AS$65),"")</f>
        <v/>
      </c>
    </row>
    <row r="66" spans="1:45" x14ac:dyDescent="0.2">
      <c r="A66" t="str">
        <f>IFERROR(IF(0=LEN(ReferenceData!$A$66),"",ReferenceData!$A$66),"")</f>
        <v xml:space="preserve">        U.S. Housing Starts ('000 Units)</v>
      </c>
      <c r="B66" t="str">
        <f>IFERROR(IF(0=LEN(ReferenceData!$B$66),"",ReferenceData!$B$66),"")</f>
        <v>NHSPSTOT Index</v>
      </c>
      <c r="C66" t="str">
        <f>IFERROR(IF(0=LEN(ReferenceData!$C$66),"",ReferenceData!$C$66),"")</f>
        <v>PR005</v>
      </c>
      <c r="D66" t="str">
        <f>IFERROR(IF(0=LEN(ReferenceData!$D$66),"",ReferenceData!$D$66),"")</f>
        <v>PX_LAST</v>
      </c>
      <c r="E66" t="str">
        <f>IFERROR(IF(0=LEN(ReferenceData!$E$66),"",ReferenceData!$E$66),"")</f>
        <v>Dynamic</v>
      </c>
      <c r="F66">
        <f ca="1">IFERROR(IF(0=LEN(ReferenceData!$F$66),"",ReferenceData!$F$66),"")</f>
        <v>1372</v>
      </c>
      <c r="G66">
        <f ca="1">IFERROR(IF(0=LEN(ReferenceData!$G$66),"",ReferenceData!$G$66),"")</f>
        <v>1357</v>
      </c>
      <c r="H66">
        <f ca="1">IFERROR(IF(0=LEN(ReferenceData!$H$66),"",ReferenceData!$H$66),"")</f>
        <v>1787</v>
      </c>
      <c r="I66">
        <f ca="1">IFERROR(IF(0=LEN(ReferenceData!$I$66),"",ReferenceData!$I$66),"")</f>
        <v>1663</v>
      </c>
      <c r="J66">
        <f ca="1">IFERROR(IF(0=LEN(ReferenceData!$J$66),"",ReferenceData!$J$66),"")</f>
        <v>1551</v>
      </c>
      <c r="K66">
        <f ca="1">IFERROR(IF(0=LEN(ReferenceData!$K$66),"",ReferenceData!$K$66),"")</f>
        <v>1095</v>
      </c>
      <c r="L66">
        <f ca="1">IFERROR(IF(0=LEN(ReferenceData!$L$66),"",ReferenceData!$L$66),"")</f>
        <v>1177</v>
      </c>
      <c r="M66">
        <f ca="1">IFERROR(IF(0=LEN(ReferenceData!$M$66),"",ReferenceData!$M$66),"")</f>
        <v>1252</v>
      </c>
      <c r="N66">
        <f ca="1">IFERROR(IF(0=LEN(ReferenceData!$N$66),"",ReferenceData!$N$66),"")</f>
        <v>1146</v>
      </c>
      <c r="O66">
        <f ca="1">IFERROR(IF(0=LEN(ReferenceData!$O$66),"",ReferenceData!$O$66),"")</f>
        <v>1073</v>
      </c>
      <c r="P66">
        <f ca="1">IFERROR(IF(0=LEN(ReferenceData!$P$66),"",ReferenceData!$P$66),"")</f>
        <v>1002</v>
      </c>
      <c r="Q66">
        <f ca="1">IFERROR(IF(0=LEN(ReferenceData!$Q$66),"",ReferenceData!$Q$66),"")</f>
        <v>976</v>
      </c>
      <c r="R66">
        <f ca="1">IFERROR(IF(0=LEN(ReferenceData!$R$66),"",ReferenceData!$R$66),"")</f>
        <v>694</v>
      </c>
      <c r="S66">
        <f ca="1">IFERROR(IF(0=LEN(ReferenceData!$S$66),"",ReferenceData!$S$66),"")</f>
        <v>539</v>
      </c>
      <c r="T66">
        <f ca="1">IFERROR(IF(0=LEN(ReferenceData!$T$66),"",ReferenceData!$T$66),"")</f>
        <v>581</v>
      </c>
      <c r="U66">
        <f ca="1">IFERROR(IF(0=LEN(ReferenceData!$U$66),"",ReferenceData!$U$66),"")</f>
        <v>560</v>
      </c>
      <c r="V66">
        <f ca="1">IFERROR(IF(0=LEN(ReferenceData!$V$66),"",ReferenceData!$V$66),"")</f>
        <v>1037</v>
      </c>
      <c r="W66">
        <f ca="1">IFERROR(IF(0=LEN(ReferenceData!$W$66),"",ReferenceData!$W$66),"")</f>
        <v>1649</v>
      </c>
      <c r="X66">
        <f ca="1">IFERROR(IF(0=LEN(ReferenceData!$X$66),"",ReferenceData!$X$66),"")</f>
        <v>1994</v>
      </c>
      <c r="Y66">
        <f ca="1">IFERROR(IF(0=LEN(ReferenceData!$Y$66),"",ReferenceData!$Y$66),"")</f>
        <v>2042</v>
      </c>
      <c r="Z66">
        <f ca="1">IFERROR(IF(0=LEN(ReferenceData!$Z$66),"",ReferenceData!$Z$66),"")</f>
        <v>2057</v>
      </c>
      <c r="AA66">
        <f ca="1">IFERROR(IF(0=LEN(ReferenceData!$AA$66),"",ReferenceData!$AA$66),"")</f>
        <v>1788</v>
      </c>
      <c r="AB66">
        <f ca="1">IFERROR(IF(0=LEN(ReferenceData!$AB$66),"",ReferenceData!$AB$66),"")</f>
        <v>1568</v>
      </c>
      <c r="AC66">
        <f ca="1">IFERROR(IF(0=LEN(ReferenceData!$AC$66),"",ReferenceData!$AC$66),"")</f>
        <v>1532</v>
      </c>
      <c r="AD66">
        <f ca="1">IFERROR(IF(0=LEN(ReferenceData!$AD$66),"",ReferenceData!$AD$66),"")</f>
        <v>1708</v>
      </c>
      <c r="AE66">
        <f ca="1">IFERROR(IF(0=LEN(ReferenceData!$AE$66),"",ReferenceData!$AE$66),"")</f>
        <v>1792</v>
      </c>
      <c r="AF66">
        <f ca="1">IFERROR(IF(0=LEN(ReferenceData!$AF$66),"",ReferenceData!$AF$66),"")</f>
        <v>1566</v>
      </c>
      <c r="AG66">
        <f ca="1">IFERROR(IF(0=LEN(ReferenceData!$AG$66),"",ReferenceData!$AG$66),"")</f>
        <v>1370</v>
      </c>
      <c r="AH66">
        <f ca="1">IFERROR(IF(0=LEN(ReferenceData!$AH$66),"",ReferenceData!$AH$66),"")</f>
        <v>1431</v>
      </c>
      <c r="AI66">
        <f ca="1">IFERROR(IF(0=LEN(ReferenceData!$AI$66),"",ReferenceData!$AI$66),"")</f>
        <v>1455</v>
      </c>
      <c r="AJ66">
        <f ca="1">IFERROR(IF(0=LEN(ReferenceData!$AJ$66),"",ReferenceData!$AJ$66),"")</f>
        <v>1533</v>
      </c>
      <c r="AK66">
        <f ca="1">IFERROR(IF(0=LEN(ReferenceData!$AK$66),"",ReferenceData!$AK$66),"")</f>
        <v>1227</v>
      </c>
      <c r="AL66">
        <f ca="1">IFERROR(IF(0=LEN(ReferenceData!$AL$66),"",ReferenceData!$AL$66),"")</f>
        <v>1079</v>
      </c>
      <c r="AM66">
        <f ca="1">IFERROR(IF(0=LEN(ReferenceData!$AM$66),"",ReferenceData!$AM$66),"")</f>
        <v>969</v>
      </c>
      <c r="AN66">
        <f ca="1">IFERROR(IF(0=LEN(ReferenceData!$AN$66),"",ReferenceData!$AN$66),"")</f>
        <v>1251</v>
      </c>
      <c r="AO66">
        <f ca="1">IFERROR(IF(0=LEN(ReferenceData!$AO$66),"",ReferenceData!$AO$66),"")</f>
        <v>1563</v>
      </c>
      <c r="AP66">
        <f ca="1">IFERROR(IF(0=LEN(ReferenceData!$AP$66),"",ReferenceData!$AP$66),"")</f>
        <v>1400</v>
      </c>
      <c r="AQ66">
        <f ca="1">IFERROR(IF(0=LEN(ReferenceData!$AQ$66),"",ReferenceData!$AQ$66),"")</f>
        <v>1833</v>
      </c>
      <c r="AR66">
        <f ca="1">IFERROR(IF(0=LEN(ReferenceData!$AR$66),"",ReferenceData!$AR$66),"")</f>
        <v>1942</v>
      </c>
      <c r="AS66">
        <f ca="1">IFERROR(IF(0=LEN(ReferenceData!$AS$66),"",ReferenceData!$AS$66),"")</f>
        <v>1612</v>
      </c>
    </row>
    <row r="67" spans="1:45" x14ac:dyDescent="0.2">
      <c r="A67" t="str">
        <f>IFERROR(IF(0=LEN(ReferenceData!$A$67),"",ReferenceData!$A$67),"")</f>
        <v xml:space="preserve">        U.S. Residential Building Permits (SAAR) ('000 Units)</v>
      </c>
      <c r="B67" t="str">
        <f>IFERROR(IF(0=LEN(ReferenceData!$B$67),"",ReferenceData!$B$67),"")</f>
        <v>NHSPATOT Index</v>
      </c>
      <c r="C67" t="str">
        <f>IFERROR(IF(0=LEN(ReferenceData!$C$67),"",ReferenceData!$C$67),"")</f>
        <v>PR005</v>
      </c>
      <c r="D67" t="str">
        <f>IFERROR(IF(0=LEN(ReferenceData!$D$67),"",ReferenceData!$D$67),"")</f>
        <v>PX_LAST</v>
      </c>
      <c r="E67" t="str">
        <f>IFERROR(IF(0=LEN(ReferenceData!$E$67),"",ReferenceData!$E$67),"")</f>
        <v>Dynamic</v>
      </c>
      <c r="F67">
        <f ca="1">IFERROR(IF(0=LEN(ReferenceData!$F$67),"",ReferenceData!$F$67),"")</f>
        <v>1487</v>
      </c>
      <c r="G67">
        <f ca="1">IFERROR(IF(0=LEN(ReferenceData!$G$67),"",ReferenceData!$G$67),"")</f>
        <v>1409</v>
      </c>
      <c r="H67">
        <f ca="1">IFERROR(IF(0=LEN(ReferenceData!$H$67),"",ReferenceData!$H$67),"")</f>
        <v>1948</v>
      </c>
      <c r="I67">
        <f ca="1">IFERROR(IF(0=LEN(ReferenceData!$I$67),"",ReferenceData!$I$67),"")</f>
        <v>1760</v>
      </c>
      <c r="J67">
        <f ca="1">IFERROR(IF(0=LEN(ReferenceData!$J$67),"",ReferenceData!$J$67),"")</f>
        <v>1461</v>
      </c>
      <c r="K67">
        <f ca="1">IFERROR(IF(0=LEN(ReferenceData!$K$67),"",ReferenceData!$K$67),"")</f>
        <v>1320</v>
      </c>
      <c r="L67">
        <f ca="1">IFERROR(IF(0=LEN(ReferenceData!$L$67),"",ReferenceData!$L$67),"")</f>
        <v>1312</v>
      </c>
      <c r="M67">
        <f ca="1">IFERROR(IF(0=LEN(ReferenceData!$M$67),"",ReferenceData!$M$67),"")</f>
        <v>1248</v>
      </c>
      <c r="N67">
        <f ca="1">IFERROR(IF(0=LEN(ReferenceData!$N$67),"",ReferenceData!$N$67),"")</f>
        <v>1211</v>
      </c>
      <c r="O67">
        <f ca="1">IFERROR(IF(0=LEN(ReferenceData!$O$67),"",ReferenceData!$O$67),"")</f>
        <v>1072</v>
      </c>
      <c r="P67">
        <f ca="1">IFERROR(IF(0=LEN(ReferenceData!$P$67),"",ReferenceData!$P$67),"")</f>
        <v>1005</v>
      </c>
      <c r="Q67">
        <f ca="1">IFERROR(IF(0=LEN(ReferenceData!$Q$67),"",ReferenceData!$Q$67),"")</f>
        <v>941</v>
      </c>
      <c r="R67">
        <f ca="1">IFERROR(IF(0=LEN(ReferenceData!$R$67),"",ReferenceData!$R$67),"")</f>
        <v>697</v>
      </c>
      <c r="S67">
        <f ca="1">IFERROR(IF(0=LEN(ReferenceData!$S$67),"",ReferenceData!$S$67),"")</f>
        <v>632</v>
      </c>
      <c r="T67">
        <f ca="1">IFERROR(IF(0=LEN(ReferenceData!$T$67),"",ReferenceData!$T$67),"")</f>
        <v>664</v>
      </c>
      <c r="U67">
        <f ca="1">IFERROR(IF(0=LEN(ReferenceData!$U$67),"",ReferenceData!$U$67),"")</f>
        <v>554</v>
      </c>
      <c r="V67">
        <f ca="1">IFERROR(IF(0=LEN(ReferenceData!$V$67),"",ReferenceData!$V$67),"")</f>
        <v>1149</v>
      </c>
      <c r="W67">
        <f ca="1">IFERROR(IF(0=LEN(ReferenceData!$W$67),"",ReferenceData!$W$67),"")</f>
        <v>1638</v>
      </c>
      <c r="X67">
        <f ca="1">IFERROR(IF(0=LEN(ReferenceData!$X$67),"",ReferenceData!$X$67),"")</f>
        <v>2120</v>
      </c>
      <c r="Y67">
        <f ca="1">IFERROR(IF(0=LEN(ReferenceData!$Y$67),"",ReferenceData!$Y$67),"")</f>
        <v>2082</v>
      </c>
      <c r="Z67">
        <f ca="1">IFERROR(IF(0=LEN(ReferenceData!$Z$67),"",ReferenceData!$Z$67),"")</f>
        <v>1987</v>
      </c>
      <c r="AA67">
        <f ca="1">IFERROR(IF(0=LEN(ReferenceData!$AA$67),"",ReferenceData!$AA$67),"")</f>
        <v>1896</v>
      </c>
      <c r="AB67">
        <f ca="1">IFERROR(IF(0=LEN(ReferenceData!$AB$67),"",ReferenceData!$AB$67),"")</f>
        <v>1680</v>
      </c>
      <c r="AC67">
        <f ca="1">IFERROR(IF(0=LEN(ReferenceData!$AC$67),"",ReferenceData!$AC$67),"")</f>
        <v>1543</v>
      </c>
      <c r="AD67">
        <f ca="1">IFERROR(IF(0=LEN(ReferenceData!$AD$67),"",ReferenceData!$AD$67),"")</f>
        <v>1683</v>
      </c>
      <c r="AE67">
        <f ca="1">IFERROR(IF(0=LEN(ReferenceData!$AE$67),"",ReferenceData!$AE$67),"")</f>
        <v>1742</v>
      </c>
      <c r="AF67">
        <f ca="1">IFERROR(IF(0=LEN(ReferenceData!$AF$67),"",ReferenceData!$AF$67),"")</f>
        <v>1456</v>
      </c>
      <c r="AG67">
        <f ca="1">IFERROR(IF(0=LEN(ReferenceData!$AG$67),"",ReferenceData!$AG$67),"")</f>
        <v>1411</v>
      </c>
      <c r="AH67">
        <f ca="1">IFERROR(IF(0=LEN(ReferenceData!$AH$67),"",ReferenceData!$AH$67),"")</f>
        <v>1442</v>
      </c>
      <c r="AI67">
        <f ca="1">IFERROR(IF(0=LEN(ReferenceData!$AI$67),"",ReferenceData!$AI$67),"")</f>
        <v>1396</v>
      </c>
      <c r="AJ67">
        <f ca="1">IFERROR(IF(0=LEN(ReferenceData!$AJ$67),"",ReferenceData!$AJ$67),"")</f>
        <v>1461</v>
      </c>
      <c r="AK67">
        <f ca="1">IFERROR(IF(0=LEN(ReferenceData!$AK$67),"",ReferenceData!$AK$67),"")</f>
        <v>1176</v>
      </c>
      <c r="AL67">
        <f ca="1">IFERROR(IF(0=LEN(ReferenceData!$AL$67),"",ReferenceData!$AL$67),"")</f>
        <v>1061</v>
      </c>
      <c r="AM67">
        <f ca="1">IFERROR(IF(0=LEN(ReferenceData!$AM$67),"",ReferenceData!$AM$67),"")</f>
        <v>861</v>
      </c>
      <c r="AN67">
        <f ca="1">IFERROR(IF(0=LEN(ReferenceData!$AN$67),"",ReferenceData!$AN$67),"")</f>
        <v>1422</v>
      </c>
      <c r="AO67">
        <f ca="1">IFERROR(IF(0=LEN(ReferenceData!$AO$67),"",ReferenceData!$AO$67),"")</f>
        <v>1501</v>
      </c>
      <c r="AP67">
        <f ca="1">IFERROR(IF(0=LEN(ReferenceData!$AP$67),"",ReferenceData!$AP$67),"")</f>
        <v>1345</v>
      </c>
      <c r="AQ67">
        <f ca="1">IFERROR(IF(0=LEN(ReferenceData!$AQ$67),"",ReferenceData!$AQ$67),"")</f>
        <v>1903</v>
      </c>
      <c r="AR67">
        <f ca="1">IFERROR(IF(0=LEN(ReferenceData!$AR$67),"",ReferenceData!$AR$67),"")</f>
        <v>1794</v>
      </c>
      <c r="AS67">
        <f ca="1">IFERROR(IF(0=LEN(ReferenceData!$AS$67),"",ReferenceData!$AS$67),"")</f>
        <v>1626</v>
      </c>
    </row>
    <row r="68" spans="1:45" x14ac:dyDescent="0.2">
      <c r="A68" t="str">
        <f>IFERROR(IF(0=LEN(ReferenceData!$A$68),"",ReferenceData!$A$68),"")</f>
        <v xml:space="preserve">        U.S. New Home Sales ('000 Units)</v>
      </c>
      <c r="B68" t="str">
        <f>IFERROR(IF(0=LEN(ReferenceData!$B$68),"",ReferenceData!$B$68),"")</f>
        <v>NHSLTOT Index</v>
      </c>
      <c r="C68" t="str">
        <f>IFERROR(IF(0=LEN(ReferenceData!$C$68),"",ReferenceData!$C$68),"")</f>
        <v>PR005</v>
      </c>
      <c r="D68" t="str">
        <f>IFERROR(IF(0=LEN(ReferenceData!$D$68),"",ReferenceData!$D$68),"")</f>
        <v>PX_LAST</v>
      </c>
      <c r="E68" t="str">
        <f>IFERROR(IF(0=LEN(ReferenceData!$E$68),"",ReferenceData!$E$68),"")</f>
        <v>Dynamic</v>
      </c>
      <c r="F68">
        <f ca="1">IFERROR(IF(0=LEN(ReferenceData!$F$68),"",ReferenceData!$F$68),"")</f>
        <v>679</v>
      </c>
      <c r="G68">
        <f ca="1">IFERROR(IF(0=LEN(ReferenceData!$G$68),"",ReferenceData!$G$68),"")</f>
        <v>636</v>
      </c>
      <c r="H68">
        <f ca="1">IFERROR(IF(0=LEN(ReferenceData!$H$68),"",ReferenceData!$H$68),"")</f>
        <v>830</v>
      </c>
      <c r="I68">
        <f ca="1">IFERROR(IF(0=LEN(ReferenceData!$I$68),"",ReferenceData!$I$68),"")</f>
        <v>873</v>
      </c>
      <c r="J68">
        <f ca="1">IFERROR(IF(0=LEN(ReferenceData!$J$68),"",ReferenceData!$J$68),"")</f>
        <v>693</v>
      </c>
      <c r="K68">
        <f ca="1">IFERROR(IF(0=LEN(ReferenceData!$K$68),"",ReferenceData!$K$68),"")</f>
        <v>546</v>
      </c>
      <c r="L68">
        <f ca="1">IFERROR(IF(0=LEN(ReferenceData!$L$68),"",ReferenceData!$L$68),"")</f>
        <v>630</v>
      </c>
      <c r="M68">
        <f ca="1">IFERROR(IF(0=LEN(ReferenceData!$M$68),"",ReferenceData!$M$68),"")</f>
        <v>561</v>
      </c>
      <c r="N68">
        <f ca="1">IFERROR(IF(0=LEN(ReferenceData!$N$68),"",ReferenceData!$N$68),"")</f>
        <v>546</v>
      </c>
      <c r="O68">
        <f ca="1">IFERROR(IF(0=LEN(ReferenceData!$O$68),"",ReferenceData!$O$68),"")</f>
        <v>497</v>
      </c>
      <c r="P68">
        <f ca="1">IFERROR(IF(0=LEN(ReferenceData!$P$68),"",ReferenceData!$P$68),"")</f>
        <v>433</v>
      </c>
      <c r="Q68">
        <f ca="1">IFERROR(IF(0=LEN(ReferenceData!$Q$68),"",ReferenceData!$Q$68),"")</f>
        <v>399</v>
      </c>
      <c r="R68">
        <f ca="1">IFERROR(IF(0=LEN(ReferenceData!$R$68),"",ReferenceData!$R$68),"")</f>
        <v>341</v>
      </c>
      <c r="S68">
        <f ca="1">IFERROR(IF(0=LEN(ReferenceData!$S$68),"",ReferenceData!$S$68),"")</f>
        <v>326</v>
      </c>
      <c r="T68">
        <f ca="1">IFERROR(IF(0=LEN(ReferenceData!$T$68),"",ReferenceData!$T$68),"")</f>
        <v>352</v>
      </c>
      <c r="U68">
        <f ca="1">IFERROR(IF(0=LEN(ReferenceData!$U$68),"",ReferenceData!$U$68),"")</f>
        <v>377</v>
      </c>
      <c r="V68">
        <f ca="1">IFERROR(IF(0=LEN(ReferenceData!$V$68),"",ReferenceData!$V$68),"")</f>
        <v>619</v>
      </c>
      <c r="W68">
        <f ca="1">IFERROR(IF(0=LEN(ReferenceData!$W$68),"",ReferenceData!$W$68),"")</f>
        <v>998</v>
      </c>
      <c r="X68">
        <f ca="1">IFERROR(IF(0=LEN(ReferenceData!$X$68),"",ReferenceData!$X$68),"")</f>
        <v>1239</v>
      </c>
      <c r="Y68">
        <f ca="1">IFERROR(IF(0=LEN(ReferenceData!$Y$68),"",ReferenceData!$Y$68),"")</f>
        <v>1242</v>
      </c>
      <c r="Z68">
        <f ca="1">IFERROR(IF(0=LEN(ReferenceData!$Z$68),"",ReferenceData!$Z$68),"")</f>
        <v>1129</v>
      </c>
      <c r="AA68">
        <f ca="1">IFERROR(IF(0=LEN(ReferenceData!$AA$68),"",ReferenceData!$AA$68),"")</f>
        <v>1048</v>
      </c>
      <c r="AB68">
        <f ca="1">IFERROR(IF(0=LEN(ReferenceData!$AB$68),"",ReferenceData!$AB$68),"")</f>
        <v>979</v>
      </c>
      <c r="AC68">
        <f ca="1">IFERROR(IF(0=LEN(ReferenceData!$AC$68),"",ReferenceData!$AC$68),"")</f>
        <v>983</v>
      </c>
      <c r="AD68">
        <f ca="1">IFERROR(IF(0=LEN(ReferenceData!$AD$68),"",ReferenceData!$AD$68),"")</f>
        <v>873</v>
      </c>
      <c r="AE68">
        <f ca="1">IFERROR(IF(0=LEN(ReferenceData!$AE$68),"",ReferenceData!$AE$68),"")</f>
        <v>949</v>
      </c>
      <c r="AF68">
        <f ca="1">IFERROR(IF(0=LEN(ReferenceData!$AF$68),"",ReferenceData!$AF$68),"")</f>
        <v>793</v>
      </c>
      <c r="AG68">
        <f ca="1">IFERROR(IF(0=LEN(ReferenceData!$AG$68),"",ReferenceData!$AG$68),"")</f>
        <v>805</v>
      </c>
      <c r="AH68">
        <f ca="1">IFERROR(IF(0=LEN(ReferenceData!$AH$68),"",ReferenceData!$AH$68),"")</f>
        <v>709</v>
      </c>
      <c r="AI68">
        <f ca="1">IFERROR(IF(0=LEN(ReferenceData!$AI$68),"",ReferenceData!$AI$68),"")</f>
        <v>629</v>
      </c>
      <c r="AJ68">
        <f ca="1">IFERROR(IF(0=LEN(ReferenceData!$AJ$68),"",ReferenceData!$AJ$68),"")</f>
        <v>812</v>
      </c>
      <c r="AK68">
        <f ca="1">IFERROR(IF(0=LEN(ReferenceData!$AK$68),"",ReferenceData!$AK$68),"")</f>
        <v>650</v>
      </c>
      <c r="AL68">
        <f ca="1">IFERROR(IF(0=LEN(ReferenceData!$AL$68),"",ReferenceData!$AL$68),"")</f>
        <v>558</v>
      </c>
      <c r="AM68">
        <f ca="1">IFERROR(IF(0=LEN(ReferenceData!$AM$68),"",ReferenceData!$AM$68),"")</f>
        <v>464</v>
      </c>
      <c r="AN68">
        <f ca="1">IFERROR(IF(0=LEN(ReferenceData!$AN$68),"",ReferenceData!$AN$68),"")</f>
        <v>630</v>
      </c>
      <c r="AO68">
        <f ca="1">IFERROR(IF(0=LEN(ReferenceData!$AO$68),"",ReferenceData!$AO$68),"")</f>
        <v>658</v>
      </c>
      <c r="AP68">
        <f ca="1">IFERROR(IF(0=LEN(ReferenceData!$AP$68),"",ReferenceData!$AP$68),"")</f>
        <v>595</v>
      </c>
      <c r="AQ68">
        <f ca="1">IFERROR(IF(0=LEN(ReferenceData!$AQ$68),"",ReferenceData!$AQ$68),"")</f>
        <v>784</v>
      </c>
      <c r="AR68">
        <f ca="1">IFERROR(IF(0=LEN(ReferenceData!$AR$68),"",ReferenceData!$AR$68),"")</f>
        <v>721</v>
      </c>
      <c r="AS68">
        <f ca="1">IFERROR(IF(0=LEN(ReferenceData!$AS$68),"",ReferenceData!$AS$68),"")</f>
        <v>597</v>
      </c>
    </row>
    <row r="69" spans="1:45" x14ac:dyDescent="0.2">
      <c r="A69" t="str">
        <f>IFERROR(IF(0=LEN(ReferenceData!$A$69),"",ReferenceData!$A$69),"")</f>
        <v xml:space="preserve">        U.S. New Home Months Supply</v>
      </c>
      <c r="B69" t="str">
        <f>IFERROR(IF(0=LEN(ReferenceData!$B$69),"",ReferenceData!$B$69),"")</f>
        <v>NHSLSUPP Index</v>
      </c>
      <c r="C69" t="str">
        <f>IFERROR(IF(0=LEN(ReferenceData!$C$69),"",ReferenceData!$C$69),"")</f>
        <v>PR005</v>
      </c>
      <c r="D69" t="str">
        <f>IFERROR(IF(0=LEN(ReferenceData!$D$69),"",ReferenceData!$D$69),"")</f>
        <v>PX_LAST</v>
      </c>
      <c r="E69" t="str">
        <f>IFERROR(IF(0=LEN(ReferenceData!$E$69),"",ReferenceData!$E$69),"")</f>
        <v>Dynamic</v>
      </c>
      <c r="F69">
        <f ca="1">IFERROR(IF(0=LEN(ReferenceData!$F$69),"",ReferenceData!$F$69),"")</f>
        <v>6.9</v>
      </c>
      <c r="G69">
        <f ca="1">IFERROR(IF(0=LEN(ReferenceData!$G$69),"",ReferenceData!$G$69),"")</f>
        <v>8.5</v>
      </c>
      <c r="H69">
        <f ca="1">IFERROR(IF(0=LEN(ReferenceData!$H$69),"",ReferenceData!$H$69),"")</f>
        <v>5.6</v>
      </c>
      <c r="I69">
        <f ca="1">IFERROR(IF(0=LEN(ReferenceData!$I$69),"",ReferenceData!$I$69),"")</f>
        <v>4.0999999999999996</v>
      </c>
      <c r="J69">
        <f ca="1">IFERROR(IF(0=LEN(ReferenceData!$J$69),"",ReferenceData!$J$69),"")</f>
        <v>5.6</v>
      </c>
      <c r="K69">
        <f ca="1">IFERROR(IF(0=LEN(ReferenceData!$K$69),"",ReferenceData!$K$69),"")</f>
        <v>7.6</v>
      </c>
      <c r="L69">
        <f ca="1">IFERROR(IF(0=LEN(ReferenceData!$L$69),"",ReferenceData!$L$69),"")</f>
        <v>5.6</v>
      </c>
      <c r="M69">
        <f ca="1">IFERROR(IF(0=LEN(ReferenceData!$M$69),"",ReferenceData!$M$69),"")</f>
        <v>5.4</v>
      </c>
      <c r="N69">
        <f ca="1">IFERROR(IF(0=LEN(ReferenceData!$N$69),"",ReferenceData!$N$69),"")</f>
        <v>5.0999999999999996</v>
      </c>
      <c r="O69">
        <f ca="1">IFERROR(IF(0=LEN(ReferenceData!$O$69),"",ReferenceData!$O$69),"")</f>
        <v>5.0999999999999996</v>
      </c>
      <c r="P69">
        <f ca="1">IFERROR(IF(0=LEN(ReferenceData!$P$69),"",ReferenceData!$P$69),"")</f>
        <v>5.2</v>
      </c>
      <c r="Q69">
        <f ca="1">IFERROR(IF(0=LEN(ReferenceData!$Q$69),"",ReferenceData!$Q$69),"")</f>
        <v>4.5</v>
      </c>
      <c r="R69">
        <f ca="1">IFERROR(IF(0=LEN(ReferenceData!$R$69),"",ReferenceData!$R$69),"")</f>
        <v>5.3</v>
      </c>
      <c r="S69">
        <f ca="1">IFERROR(IF(0=LEN(ReferenceData!$S$69),"",ReferenceData!$S$69),"")</f>
        <v>7</v>
      </c>
      <c r="T69">
        <f ca="1">IFERROR(IF(0=LEN(ReferenceData!$T$69),"",ReferenceData!$T$69),"")</f>
        <v>8</v>
      </c>
      <c r="U69">
        <f ca="1">IFERROR(IF(0=LEN(ReferenceData!$U$69),"",ReferenceData!$U$69),"")</f>
        <v>11.2</v>
      </c>
      <c r="V69">
        <f ca="1">IFERROR(IF(0=LEN(ReferenceData!$V$69),"",ReferenceData!$V$69),"")</f>
        <v>9.6</v>
      </c>
      <c r="W69">
        <f ca="1">IFERROR(IF(0=LEN(ReferenceData!$W$69),"",ReferenceData!$W$69),"")</f>
        <v>6.5</v>
      </c>
      <c r="X69">
        <f ca="1">IFERROR(IF(0=LEN(ReferenceData!$X$69),"",ReferenceData!$X$69),"")</f>
        <v>4.9000000000000004</v>
      </c>
      <c r="Y69">
        <f ca="1">IFERROR(IF(0=LEN(ReferenceData!$Y$69),"",ReferenceData!$Y$69),"")</f>
        <v>4.0999999999999996</v>
      </c>
      <c r="Z69">
        <f ca="1">IFERROR(IF(0=LEN(ReferenceData!$Z$69),"",ReferenceData!$Z$69),"")</f>
        <v>4</v>
      </c>
      <c r="AA69">
        <f ca="1">IFERROR(IF(0=LEN(ReferenceData!$AA$69),"",ReferenceData!$AA$69),"")</f>
        <v>4</v>
      </c>
      <c r="AB69">
        <f ca="1">IFERROR(IF(0=LEN(ReferenceData!$AB$69),"",ReferenceData!$AB$69),"")</f>
        <v>3.8</v>
      </c>
      <c r="AC69">
        <f ca="1">IFERROR(IF(0=LEN(ReferenceData!$AC$69),"",ReferenceData!$AC$69),"")</f>
        <v>3.6</v>
      </c>
      <c r="AD69">
        <f ca="1">IFERROR(IF(0=LEN(ReferenceData!$AD$69),"",ReferenceData!$AD$69),"")</f>
        <v>4.3</v>
      </c>
      <c r="AE69">
        <f ca="1">IFERROR(IF(0=LEN(ReferenceData!$AE$69),"",ReferenceData!$AE$69),"")</f>
        <v>3.8</v>
      </c>
      <c r="AF69">
        <f ca="1">IFERROR(IF(0=LEN(ReferenceData!$AF$69),"",ReferenceData!$AF$69),"")</f>
        <v>4.4000000000000004</v>
      </c>
      <c r="AG69">
        <f ca="1">IFERROR(IF(0=LEN(ReferenceData!$AG$69),"",ReferenceData!$AG$69),"")</f>
        <v>5</v>
      </c>
      <c r="AH69">
        <f ca="1">IFERROR(IF(0=LEN(ReferenceData!$AH$69),"",ReferenceData!$AH$69),"")</f>
        <v>6.4</v>
      </c>
      <c r="AI69">
        <f ca="1">IFERROR(IF(0=LEN(ReferenceData!$AI$69),"",ReferenceData!$AI$69),"")</f>
        <v>6.6</v>
      </c>
      <c r="AJ69">
        <f ca="1">IFERROR(IF(0=LEN(ReferenceData!$AJ$69),"",ReferenceData!$AJ$69),"")</f>
        <v>4.5</v>
      </c>
      <c r="AK69">
        <f ca="1">IFERROR(IF(0=LEN(ReferenceData!$AK$69),"",ReferenceData!$AK$69),"")</f>
        <v>5</v>
      </c>
      <c r="AL69">
        <f ca="1">IFERROR(IF(0=LEN(ReferenceData!$AL$69),"",ReferenceData!$AL$69),"")</f>
        <v>6.2</v>
      </c>
      <c r="AM69">
        <f ca="1">IFERROR(IF(0=LEN(ReferenceData!$AM$69),"",ReferenceData!$AM$69),"")</f>
        <v>8.5</v>
      </c>
      <c r="AN69">
        <f ca="1">IFERROR(IF(0=LEN(ReferenceData!$AN$69),"",ReferenceData!$AN$69),"")</f>
        <v>7</v>
      </c>
      <c r="AO69">
        <f ca="1">IFERROR(IF(0=LEN(ReferenceData!$AO$69),"",ReferenceData!$AO$69),"")</f>
        <v>6.8</v>
      </c>
      <c r="AP69">
        <f ca="1">IFERROR(IF(0=LEN(ReferenceData!$AP$69),"",ReferenceData!$AP$69),"")</f>
        <v>7.6</v>
      </c>
      <c r="AQ69">
        <f ca="1">IFERROR(IF(0=LEN(ReferenceData!$AQ$69),"",ReferenceData!$AQ$69),"")</f>
        <v>5.5</v>
      </c>
      <c r="AR69">
        <f ca="1">IFERROR(IF(0=LEN(ReferenceData!$AR$69),"",ReferenceData!$AR$69),"")</f>
        <v>5.8</v>
      </c>
      <c r="AS69">
        <f ca="1">IFERROR(IF(0=LEN(ReferenceData!$AS$69),"",ReferenceData!$AS$69),"")</f>
        <v>7.3</v>
      </c>
    </row>
    <row r="70" spans="1:45" x14ac:dyDescent="0.2">
      <c r="A70" t="str">
        <f>IFERROR(IF(0=LEN(ReferenceData!$A$70),"",ReferenceData!$A$70),"")</f>
        <v xml:space="preserve">        U.S. New Home Median Price ($)</v>
      </c>
      <c r="B70" t="str">
        <f>IFERROR(IF(0=LEN(ReferenceData!$B$70),"",ReferenceData!$B$70),"")</f>
        <v>NHSLAVSL Index</v>
      </c>
      <c r="C70" t="str">
        <f>IFERROR(IF(0=LEN(ReferenceData!$C$70),"",ReferenceData!$C$70),"")</f>
        <v/>
      </c>
      <c r="D70" t="str">
        <f>IFERROR(IF(0=LEN(ReferenceData!$D$70),"",ReferenceData!$D$70),"")</f>
        <v/>
      </c>
      <c r="E70" t="str">
        <f>IFERROR(IF(0=LEN(ReferenceData!$E$70),"",ReferenceData!$E$70),"")</f>
        <v>Expression</v>
      </c>
      <c r="F70" t="str">
        <f ca="1">IFERROR(IF(0=LEN(ReferenceData!$F$70),"",ReferenceData!$F$70),"")</f>
        <v/>
      </c>
      <c r="G70">
        <f ca="1">IFERROR(IF(0=LEN(ReferenceData!$G$70),"",ReferenceData!$G$70),"")</f>
        <v>457800</v>
      </c>
      <c r="H70">
        <f ca="1">IFERROR(IF(0=LEN(ReferenceData!$H$70),"",ReferenceData!$H$70),"")</f>
        <v>397100</v>
      </c>
      <c r="I70">
        <f ca="1">IFERROR(IF(0=LEN(ReferenceData!$I$70),"",ReferenceData!$I$70),"")</f>
        <v>336900</v>
      </c>
      <c r="J70">
        <f ca="1">IFERROR(IF(0=LEN(ReferenceData!$J$70),"",ReferenceData!$J$70),"")</f>
        <v>321500</v>
      </c>
      <c r="K70">
        <f ca="1">IFERROR(IF(0=LEN(ReferenceData!$K$70),"",ReferenceData!$K$70),"")</f>
        <v>326400</v>
      </c>
      <c r="L70">
        <f ca="1">IFERROR(IF(0=LEN(ReferenceData!$L$70),"",ReferenceData!$L$70),"")</f>
        <v>323100</v>
      </c>
      <c r="M70">
        <f ca="1">IFERROR(IF(0=LEN(ReferenceData!$M$70),"",ReferenceData!$M$70),"")</f>
        <v>307800</v>
      </c>
      <c r="N70">
        <f ca="1">IFERROR(IF(0=LEN(ReferenceData!$N$70),"",ReferenceData!$N$70),"")</f>
        <v>294200</v>
      </c>
      <c r="O70">
        <f ca="1">IFERROR(IF(0=LEN(ReferenceData!$O$70),"",ReferenceData!$O$70),"")</f>
        <v>288500</v>
      </c>
      <c r="P70">
        <f ca="1">IFERROR(IF(0=LEN(ReferenceData!$P$70),"",ReferenceData!$P$70),"")</f>
        <v>268900</v>
      </c>
      <c r="Q70">
        <f ca="1">IFERROR(IF(0=LEN(ReferenceData!$Q$70),"",ReferenceData!$Q$70),"")</f>
        <v>245200</v>
      </c>
      <c r="R70">
        <f ca="1">IFERROR(IF(0=LEN(ReferenceData!$R$70),"",ReferenceData!$R$70),"")</f>
        <v>227200</v>
      </c>
      <c r="S70">
        <f ca="1">IFERROR(IF(0=LEN(ReferenceData!$S$70),"",ReferenceData!$S$70),"")</f>
        <v>221800</v>
      </c>
      <c r="T70">
        <f ca="1">IFERROR(IF(0=LEN(ReferenceData!$T$70),"",ReferenceData!$T$70),"")</f>
        <v>216700</v>
      </c>
      <c r="U70">
        <f ca="1">IFERROR(IF(0=LEN(ReferenceData!$U$70),"",ReferenceData!$U$70),"")</f>
        <v>232100</v>
      </c>
      <c r="V70">
        <f ca="1">IFERROR(IF(0=LEN(ReferenceData!$V$70),"",ReferenceData!$V$70),"")</f>
        <v>247900</v>
      </c>
      <c r="W70">
        <f ca="1">IFERROR(IF(0=LEN(ReferenceData!$W$70),"",ReferenceData!$W$70),"")</f>
        <v>246500</v>
      </c>
      <c r="X70">
        <f ca="1">IFERROR(IF(0=LEN(ReferenceData!$X$70),"",ReferenceData!$X$70),"")</f>
        <v>240900</v>
      </c>
      <c r="Y70">
        <f ca="1">IFERROR(IF(0=LEN(ReferenceData!$Y$70),"",ReferenceData!$Y$70),"")</f>
        <v>221000</v>
      </c>
      <c r="Z70">
        <f ca="1">IFERROR(IF(0=LEN(ReferenceData!$Z$70),"",ReferenceData!$Z$70),"")</f>
        <v>195000</v>
      </c>
      <c r="AA70">
        <f ca="1">IFERROR(IF(0=LEN(ReferenceData!$AA$70),"",ReferenceData!$AA$70),"")</f>
        <v>187600</v>
      </c>
      <c r="AB70">
        <f ca="1">IFERROR(IF(0=LEN(ReferenceData!$AB$70),"",ReferenceData!$AB$70),"")</f>
        <v>175200</v>
      </c>
      <c r="AC70">
        <f ca="1">IFERROR(IF(0=LEN(ReferenceData!$AC$70),"",ReferenceData!$AC$70),"")</f>
        <v>169000</v>
      </c>
      <c r="AD70">
        <f ca="1">IFERROR(IF(0=LEN(ReferenceData!$AD$70),"",ReferenceData!$AD$70),"")</f>
        <v>161000</v>
      </c>
      <c r="AE70">
        <f ca="1">IFERROR(IF(0=LEN(ReferenceData!$AE$70),"",ReferenceData!$AE$70),"")</f>
        <v>152500</v>
      </c>
      <c r="AF70">
        <f ca="1">IFERROR(IF(0=LEN(ReferenceData!$AF$70),"",ReferenceData!$AF$70),"")</f>
        <v>146000</v>
      </c>
      <c r="AG70">
        <f ca="1">IFERROR(IF(0=LEN(ReferenceData!$AG$70),"",ReferenceData!$AG$70),"")</f>
        <v>140000</v>
      </c>
      <c r="AH70">
        <f ca="1">IFERROR(IF(0=LEN(ReferenceData!$AH$70),"",ReferenceData!$AH$70),"")</f>
        <v>133900</v>
      </c>
      <c r="AI70">
        <f ca="1">IFERROR(IF(0=LEN(ReferenceData!$AI$70),"",ReferenceData!$AI$70),"")</f>
        <v>130000</v>
      </c>
      <c r="AJ70">
        <f ca="1">IFERROR(IF(0=LEN(ReferenceData!$AJ$70),"",ReferenceData!$AJ$70),"")</f>
        <v>126500</v>
      </c>
      <c r="AK70">
        <f ca="1">IFERROR(IF(0=LEN(ReferenceData!$AK$70),"",ReferenceData!$AK$70),"")</f>
        <v>121500</v>
      </c>
      <c r="AL70">
        <f ca="1">IFERROR(IF(0=LEN(ReferenceData!$AL$70),"",ReferenceData!$AL$70),"")</f>
        <v>120000</v>
      </c>
      <c r="AM70">
        <f ca="1">IFERROR(IF(0=LEN(ReferenceData!$AM$70),"",ReferenceData!$AM$70),"")</f>
        <v>122900</v>
      </c>
      <c r="AN70">
        <f ca="1">IFERROR(IF(0=LEN(ReferenceData!$AN$70),"",ReferenceData!$AN$70),"")</f>
        <v>120000</v>
      </c>
      <c r="AO70">
        <f ca="1">IFERROR(IF(0=LEN(ReferenceData!$AO$70),"",ReferenceData!$AO$70),"")</f>
        <v>112500</v>
      </c>
      <c r="AP70">
        <f ca="1">IFERROR(IF(0=LEN(ReferenceData!$AP$70),"",ReferenceData!$AP$70),"")</f>
        <v>104500</v>
      </c>
      <c r="AQ70">
        <f ca="1">IFERROR(IF(0=LEN(ReferenceData!$AQ$70),"",ReferenceData!$AQ$70),"")</f>
        <v>92000</v>
      </c>
      <c r="AR70">
        <f ca="1">IFERROR(IF(0=LEN(ReferenceData!$AR$70),"",ReferenceData!$AR$70),"")</f>
        <v>84300</v>
      </c>
      <c r="AS70">
        <f ca="1">IFERROR(IF(0=LEN(ReferenceData!$AS$70),"",ReferenceData!$AS$70),"")</f>
        <v>79900</v>
      </c>
    </row>
    <row r="71" spans="1:45" x14ac:dyDescent="0.2">
      <c r="A71" t="str">
        <f>IFERROR(IF(0=LEN(ReferenceData!$A$71),"",ReferenceData!$A$71),"")</f>
        <v xml:space="preserve">        U.S. Existing Home Sales (M Units)</v>
      </c>
      <c r="B71" t="str">
        <f>IFERROR(IF(0=LEN(ReferenceData!$B$71),"",ReferenceData!$B$71),"")</f>
        <v>ETSLTOTL Index</v>
      </c>
      <c r="C71" t="str">
        <f>IFERROR(IF(0=LEN(ReferenceData!$C$71),"",ReferenceData!$C$71),"")</f>
        <v>PR005</v>
      </c>
      <c r="D71" t="str">
        <f>IFERROR(IF(0=LEN(ReferenceData!$D$71),"",ReferenceData!$D$71),"")</f>
        <v>PX_LAST</v>
      </c>
      <c r="E71" t="str">
        <f>IFERROR(IF(0=LEN(ReferenceData!$E$71),"",ReferenceData!$E$71),"")</f>
        <v>Dynamic</v>
      </c>
      <c r="F71">
        <f ca="1">IFERROR(IF(0=LEN(ReferenceData!$F$71),"",ReferenceData!$F$71),"")</f>
        <v>3.79</v>
      </c>
      <c r="G71">
        <f ca="1">IFERROR(IF(0=LEN(ReferenceData!$G$71),"",ReferenceData!$G$71),"")</f>
        <v>4.03</v>
      </c>
      <c r="H71">
        <f ca="1">IFERROR(IF(0=LEN(ReferenceData!$H$71),"",ReferenceData!$H$71),"")</f>
        <v>6.11</v>
      </c>
      <c r="I71">
        <f ca="1">IFERROR(IF(0=LEN(ReferenceData!$I$71),"",ReferenceData!$I$71),"")</f>
        <v>6.51</v>
      </c>
      <c r="J71">
        <f ca="1">IFERROR(IF(0=LEN(ReferenceData!$J$71),"",ReferenceData!$J$71),"")</f>
        <v>5.45</v>
      </c>
      <c r="K71">
        <f ca="1">IFERROR(IF(0=LEN(ReferenceData!$K$71),"",ReferenceData!$K$71),"")</f>
        <v>5.01</v>
      </c>
      <c r="L71">
        <f ca="1">IFERROR(IF(0=LEN(ReferenceData!$L$71),"",ReferenceData!$L$71),"")</f>
        <v>5.57</v>
      </c>
      <c r="M71">
        <f ca="1">IFERROR(IF(0=LEN(ReferenceData!$M$71),"",ReferenceData!$M$71),"")</f>
        <v>5.52</v>
      </c>
      <c r="N71">
        <f ca="1">IFERROR(IF(0=LEN(ReferenceData!$N$71),"",ReferenceData!$N$71),"")</f>
        <v>5.44</v>
      </c>
      <c r="O71">
        <f ca="1">IFERROR(IF(0=LEN(ReferenceData!$O$71),"",ReferenceData!$O$71),"")</f>
        <v>5.09</v>
      </c>
      <c r="P71">
        <f ca="1">IFERROR(IF(0=LEN(ReferenceData!$P$71),"",ReferenceData!$P$71),"")</f>
        <v>4.8600000000000003</v>
      </c>
      <c r="Q71">
        <f ca="1">IFERROR(IF(0=LEN(ReferenceData!$Q$71),"",ReferenceData!$Q$71),"")</f>
        <v>4.8899999999999997</v>
      </c>
      <c r="R71">
        <f ca="1">IFERROR(IF(0=LEN(ReferenceData!$R$71),"",ReferenceData!$R$71),"")</f>
        <v>4.3499999999999996</v>
      </c>
      <c r="S71">
        <f ca="1">IFERROR(IF(0=LEN(ReferenceData!$S$71),"",ReferenceData!$S$71),"")</f>
        <v>4.2699999999999996</v>
      </c>
      <c r="T71">
        <f ca="1">IFERROR(IF(0=LEN(ReferenceData!$T$71),"",ReferenceData!$T$71),"")</f>
        <v>4.4000000000000004</v>
      </c>
      <c r="U71">
        <f ca="1">IFERROR(IF(0=LEN(ReferenceData!$U$71),"",ReferenceData!$U$71),"")</f>
        <v>4.01</v>
      </c>
      <c r="V71">
        <f ca="1">IFERROR(IF(0=LEN(ReferenceData!$V$71),"",ReferenceData!$V$71),"")</f>
        <v>4.41</v>
      </c>
      <c r="W71">
        <f ca="1">IFERROR(IF(0=LEN(ReferenceData!$W$71),"",ReferenceData!$W$71),"")</f>
        <v>6.4</v>
      </c>
      <c r="X71">
        <f ca="1">IFERROR(IF(0=LEN(ReferenceData!$X$71),"",ReferenceData!$X$71),"")</f>
        <v>6.84</v>
      </c>
      <c r="Y71">
        <f ca="1">IFERROR(IF(0=LEN(ReferenceData!$Y$71),"",ReferenceData!$Y$71),"")</f>
        <v>6.89</v>
      </c>
      <c r="Z71">
        <f ca="1">IFERROR(IF(0=LEN(ReferenceData!$Z$71),"",ReferenceData!$Z$71),"")</f>
        <v>6.49</v>
      </c>
      <c r="AA71">
        <f ca="1">IFERROR(IF(0=LEN(ReferenceData!$AA$71),"",ReferenceData!$AA$71),"")</f>
        <v>5.97</v>
      </c>
      <c r="AB71">
        <f ca="1">IFERROR(IF(0=LEN(ReferenceData!$AB$71),"",ReferenceData!$AB$71),"")</f>
        <v>5.49</v>
      </c>
      <c r="AC71">
        <f ca="1">IFERROR(IF(0=LEN(ReferenceData!$AC$71),"",ReferenceData!$AC$71),"")</f>
        <v>5.0999999999999996</v>
      </c>
      <c r="AD71">
        <f ca="1">IFERROR(IF(0=LEN(ReferenceData!$AD$71),"",ReferenceData!$AD$71),"")</f>
        <v>5.08</v>
      </c>
      <c r="AE71" t="str">
        <f ca="1">IFERROR(IF(0=LEN(ReferenceData!$AE$71),"",ReferenceData!$AE$71),"")</f>
        <v/>
      </c>
      <c r="AF71" t="str">
        <f ca="1">IFERROR(IF(0=LEN(ReferenceData!$AF$71),"",ReferenceData!$AF$71),"")</f>
        <v/>
      </c>
      <c r="AG71" t="str">
        <f ca="1">IFERROR(IF(0=LEN(ReferenceData!$AG$71),"",ReferenceData!$AG$71),"")</f>
        <v/>
      </c>
      <c r="AH71" t="str">
        <f ca="1">IFERROR(IF(0=LEN(ReferenceData!$AH$71),"",ReferenceData!$AH$71),"")</f>
        <v/>
      </c>
      <c r="AI71" t="str">
        <f ca="1">IFERROR(IF(0=LEN(ReferenceData!$AI$71),"",ReferenceData!$AI$71),"")</f>
        <v/>
      </c>
      <c r="AJ71" t="str">
        <f ca="1">IFERROR(IF(0=LEN(ReferenceData!$AJ$71),"",ReferenceData!$AJ$71),"")</f>
        <v/>
      </c>
      <c r="AK71" t="str">
        <f ca="1">IFERROR(IF(0=LEN(ReferenceData!$AK$71),"",ReferenceData!$AK$71),"")</f>
        <v/>
      </c>
      <c r="AL71" t="str">
        <f ca="1">IFERROR(IF(0=LEN(ReferenceData!$AL$71),"",ReferenceData!$AL$71),"")</f>
        <v/>
      </c>
      <c r="AM71" t="str">
        <f ca="1">IFERROR(IF(0=LEN(ReferenceData!$AM$71),"",ReferenceData!$AM$71),"")</f>
        <v/>
      </c>
      <c r="AN71" t="str">
        <f ca="1">IFERROR(IF(0=LEN(ReferenceData!$AN$71),"",ReferenceData!$AN$71),"")</f>
        <v/>
      </c>
      <c r="AO71" t="str">
        <f ca="1">IFERROR(IF(0=LEN(ReferenceData!$AO$71),"",ReferenceData!$AO$71),"")</f>
        <v/>
      </c>
      <c r="AP71" t="str">
        <f ca="1">IFERROR(IF(0=LEN(ReferenceData!$AP$71),"",ReferenceData!$AP$71),"")</f>
        <v/>
      </c>
      <c r="AQ71" t="str">
        <f ca="1">IFERROR(IF(0=LEN(ReferenceData!$AQ$71),"",ReferenceData!$AQ$71),"")</f>
        <v/>
      </c>
      <c r="AR71" t="str">
        <f ca="1">IFERROR(IF(0=LEN(ReferenceData!$AR$71),"",ReferenceData!$AR$71),"")</f>
        <v/>
      </c>
      <c r="AS71" t="str">
        <f ca="1">IFERROR(IF(0=LEN(ReferenceData!$AS$71),"",ReferenceData!$AS$71),"")</f>
        <v/>
      </c>
    </row>
    <row r="72" spans="1:45" x14ac:dyDescent="0.2">
      <c r="A72" t="str">
        <f>IFERROR(IF(0=LEN(ReferenceData!$A$72),"",ReferenceData!$A$72),"")</f>
        <v xml:space="preserve">        U.S. Existing Home Sales Months Supply</v>
      </c>
      <c r="B72" t="str">
        <f>IFERROR(IF(0=LEN(ReferenceData!$B$72),"",ReferenceData!$B$72),"")</f>
        <v>ETSLMSUP Index</v>
      </c>
      <c r="C72" t="str">
        <f>IFERROR(IF(0=LEN(ReferenceData!$C$72),"",ReferenceData!$C$72),"")</f>
        <v>PR005</v>
      </c>
      <c r="D72" t="str">
        <f>IFERROR(IF(0=LEN(ReferenceData!$D$72),"",ReferenceData!$D$72),"")</f>
        <v>PX_LAST</v>
      </c>
      <c r="E72" t="str">
        <f>IFERROR(IF(0=LEN(ReferenceData!$E$72),"",ReferenceData!$E$72),"")</f>
        <v>Dynamic</v>
      </c>
      <c r="F72">
        <f ca="1">IFERROR(IF(0=LEN(ReferenceData!$F$72),"",ReferenceData!$F$72),"")</f>
        <v>3.4</v>
      </c>
      <c r="G72">
        <f ca="1">IFERROR(IF(0=LEN(ReferenceData!$G$72),"",ReferenceData!$G$72),"")</f>
        <v>2.9</v>
      </c>
      <c r="H72">
        <f ca="1">IFERROR(IF(0=LEN(ReferenceData!$H$72),"",ReferenceData!$H$72),"")</f>
        <v>1.7</v>
      </c>
      <c r="I72">
        <f ca="1">IFERROR(IF(0=LEN(ReferenceData!$I$72),"",ReferenceData!$I$72),"")</f>
        <v>2</v>
      </c>
      <c r="J72">
        <f ca="1">IFERROR(IF(0=LEN(ReferenceData!$J$72),"",ReferenceData!$J$72),"")</f>
        <v>3.1</v>
      </c>
      <c r="K72">
        <f ca="1">IFERROR(IF(0=LEN(ReferenceData!$K$72),"",ReferenceData!$K$72),"")</f>
        <v>3.7</v>
      </c>
      <c r="L72">
        <f ca="1">IFERROR(IF(0=LEN(ReferenceData!$L$72),"",ReferenceData!$L$72),"")</f>
        <v>3.1</v>
      </c>
      <c r="M72">
        <f ca="1">IFERROR(IF(0=LEN(ReferenceData!$M$72),"",ReferenceData!$M$72),"")</f>
        <v>3.6</v>
      </c>
      <c r="N72">
        <f ca="1">IFERROR(IF(0=LEN(ReferenceData!$N$72),"",ReferenceData!$N$72),"")</f>
        <v>3.9</v>
      </c>
      <c r="O72">
        <f ca="1">IFERROR(IF(0=LEN(ReferenceData!$O$72),"",ReferenceData!$O$72),"")</f>
        <v>4.4000000000000004</v>
      </c>
      <c r="P72">
        <f ca="1">IFERROR(IF(0=LEN(ReferenceData!$P$72),"",ReferenceData!$P$72),"")</f>
        <v>4.5999999999999996</v>
      </c>
      <c r="Q72">
        <f ca="1">IFERROR(IF(0=LEN(ReferenceData!$Q$72),"",ReferenceData!$Q$72),"")</f>
        <v>4.5</v>
      </c>
      <c r="R72">
        <f ca="1">IFERROR(IF(0=LEN(ReferenceData!$R$72),"",ReferenceData!$R$72),"")</f>
        <v>6.4</v>
      </c>
      <c r="S72">
        <f ca="1">IFERROR(IF(0=LEN(ReferenceData!$S$72),"",ReferenceData!$S$72),"")</f>
        <v>8.5</v>
      </c>
      <c r="T72">
        <f ca="1">IFERROR(IF(0=LEN(ReferenceData!$T$72),"",ReferenceData!$T$72),"")</f>
        <v>7.5</v>
      </c>
      <c r="U72">
        <f ca="1">IFERROR(IF(0=LEN(ReferenceData!$U$72),"",ReferenceData!$U$72),"")</f>
        <v>9.4</v>
      </c>
      <c r="V72">
        <f ca="1">IFERROR(IF(0=LEN(ReferenceData!$V$72),"",ReferenceData!$V$72),"")</f>
        <v>9.6</v>
      </c>
      <c r="W72">
        <f ca="1">IFERROR(IF(0=LEN(ReferenceData!$W$72),"",ReferenceData!$W$72),"")</f>
        <v>6.5</v>
      </c>
      <c r="X72">
        <f ca="1">IFERROR(IF(0=LEN(ReferenceData!$X$72),"",ReferenceData!$X$72),"")</f>
        <v>5</v>
      </c>
      <c r="Y72">
        <f ca="1">IFERROR(IF(0=LEN(ReferenceData!$Y$72),"",ReferenceData!$Y$72),"")</f>
        <v>3.9</v>
      </c>
      <c r="Z72">
        <f ca="1">IFERROR(IF(0=LEN(ReferenceData!$Z$72),"",ReferenceData!$Z$72),"")</f>
        <v>4.2</v>
      </c>
      <c r="AA72">
        <f ca="1">IFERROR(IF(0=LEN(ReferenceData!$AA$72),"",ReferenceData!$AA$72),"")</f>
        <v>4.3</v>
      </c>
      <c r="AB72">
        <f ca="1">IFERROR(IF(0=LEN(ReferenceData!$AB$72),"",ReferenceData!$AB$72),"")</f>
        <v>4.0999999999999996</v>
      </c>
      <c r="AC72">
        <f ca="1">IFERROR(IF(0=LEN(ReferenceData!$AC$72),"",ReferenceData!$AC$72),"")</f>
        <v>4.4000000000000004</v>
      </c>
      <c r="AD72">
        <f ca="1">IFERROR(IF(0=LEN(ReferenceData!$AD$72),"",ReferenceData!$AD$72),"")</f>
        <v>4</v>
      </c>
      <c r="AE72" t="str">
        <f ca="1">IFERROR(IF(0=LEN(ReferenceData!$AE$72),"",ReferenceData!$AE$72),"")</f>
        <v/>
      </c>
      <c r="AF72" t="str">
        <f ca="1">IFERROR(IF(0=LEN(ReferenceData!$AF$72),"",ReferenceData!$AF$72),"")</f>
        <v/>
      </c>
      <c r="AG72" t="str">
        <f ca="1">IFERROR(IF(0=LEN(ReferenceData!$AG$72),"",ReferenceData!$AG$72),"")</f>
        <v/>
      </c>
      <c r="AH72" t="str">
        <f ca="1">IFERROR(IF(0=LEN(ReferenceData!$AH$72),"",ReferenceData!$AH$72),"")</f>
        <v/>
      </c>
      <c r="AI72" t="str">
        <f ca="1">IFERROR(IF(0=LEN(ReferenceData!$AI$72),"",ReferenceData!$AI$72),"")</f>
        <v/>
      </c>
      <c r="AJ72" t="str">
        <f ca="1">IFERROR(IF(0=LEN(ReferenceData!$AJ$72),"",ReferenceData!$AJ$72),"")</f>
        <v/>
      </c>
      <c r="AK72" t="str">
        <f ca="1">IFERROR(IF(0=LEN(ReferenceData!$AK$72),"",ReferenceData!$AK$72),"")</f>
        <v/>
      </c>
      <c r="AL72" t="str">
        <f ca="1">IFERROR(IF(0=LEN(ReferenceData!$AL$72),"",ReferenceData!$AL$72),"")</f>
        <v/>
      </c>
      <c r="AM72" t="str">
        <f ca="1">IFERROR(IF(0=LEN(ReferenceData!$AM$72),"",ReferenceData!$AM$72),"")</f>
        <v/>
      </c>
      <c r="AN72" t="str">
        <f ca="1">IFERROR(IF(0=LEN(ReferenceData!$AN$72),"",ReferenceData!$AN$72),"")</f>
        <v/>
      </c>
      <c r="AO72" t="str">
        <f ca="1">IFERROR(IF(0=LEN(ReferenceData!$AO$72),"",ReferenceData!$AO$72),"")</f>
        <v/>
      </c>
      <c r="AP72" t="str">
        <f ca="1">IFERROR(IF(0=LEN(ReferenceData!$AP$72),"",ReferenceData!$AP$72),"")</f>
        <v/>
      </c>
      <c r="AQ72" t="str">
        <f ca="1">IFERROR(IF(0=LEN(ReferenceData!$AQ$72),"",ReferenceData!$AQ$72),"")</f>
        <v/>
      </c>
      <c r="AR72" t="str">
        <f ca="1">IFERROR(IF(0=LEN(ReferenceData!$AR$72),"",ReferenceData!$AR$72),"")</f>
        <v/>
      </c>
      <c r="AS72" t="str">
        <f ca="1">IFERROR(IF(0=LEN(ReferenceData!$AS$72),"",ReferenceData!$AS$72),"")</f>
        <v/>
      </c>
    </row>
    <row r="73" spans="1:45" x14ac:dyDescent="0.2">
      <c r="A73" t="str">
        <f>IFERROR(IF(0=LEN(ReferenceData!$A$73),"",ReferenceData!$A$73),"")</f>
        <v xml:space="preserve">        U.S. Existing Home Median Price ($)</v>
      </c>
      <c r="B73" t="str">
        <f>IFERROR(IF(0=LEN(ReferenceData!$B$73),"",ReferenceData!$B$73),"")</f>
        <v>ETSLMP Index</v>
      </c>
      <c r="C73" t="str">
        <f>IFERROR(IF(0=LEN(ReferenceData!$C$73),"",ReferenceData!$C$73),"")</f>
        <v/>
      </c>
      <c r="D73" t="str">
        <f>IFERROR(IF(0=LEN(ReferenceData!$D$73),"",ReferenceData!$D$73),"")</f>
        <v/>
      </c>
      <c r="E73" t="str">
        <f>IFERROR(IF(0=LEN(ReferenceData!$E$73),"",ReferenceData!$E$73),"")</f>
        <v>Expression</v>
      </c>
      <c r="F73" t="str">
        <f ca="1">IFERROR(IF(0=LEN(ReferenceData!$F$73),"",ReferenceData!$F$73),"")</f>
        <v/>
      </c>
      <c r="G73">
        <f ca="1">IFERROR(IF(0=LEN(ReferenceData!$G$73),"",ReferenceData!$G$73),"")</f>
        <v>366500</v>
      </c>
      <c r="H73">
        <f ca="1">IFERROR(IF(0=LEN(ReferenceData!$H$73),"",ReferenceData!$H$73),"")</f>
        <v>358800</v>
      </c>
      <c r="I73">
        <f ca="1">IFERROR(IF(0=LEN(ReferenceData!$I$73),"",ReferenceData!$I$73),"")</f>
        <v>309200</v>
      </c>
      <c r="J73">
        <f ca="1">IFERROR(IF(0=LEN(ReferenceData!$J$73),"",ReferenceData!$J$73),"")</f>
        <v>274500</v>
      </c>
      <c r="K73">
        <f ca="1">IFERROR(IF(0=LEN(ReferenceData!$K$73),"",ReferenceData!$K$73),"")</f>
        <v>254700</v>
      </c>
      <c r="L73">
        <f ca="1">IFERROR(IF(0=LEN(ReferenceData!$L$73),"",ReferenceData!$L$73),"")</f>
        <v>246500</v>
      </c>
      <c r="M73">
        <f ca="1">IFERROR(IF(0=LEN(ReferenceData!$M$73),"",ReferenceData!$M$73),"")</f>
        <v>233300</v>
      </c>
      <c r="N73">
        <f ca="1">IFERROR(IF(0=LEN(ReferenceData!$N$73),"",ReferenceData!$N$73),"")</f>
        <v>223200</v>
      </c>
      <c r="O73">
        <f ca="1">IFERROR(IF(0=LEN(ReferenceData!$O$73),"",ReferenceData!$O$73),"")</f>
        <v>208200</v>
      </c>
      <c r="P73">
        <f ca="1">IFERROR(IF(0=LEN(ReferenceData!$P$73),"",ReferenceData!$P$73),"")</f>
        <v>197700</v>
      </c>
      <c r="Q73">
        <f ca="1">IFERROR(IF(0=LEN(ReferenceData!$Q$73),"",ReferenceData!$Q$73),"")</f>
        <v>180200</v>
      </c>
      <c r="R73">
        <f ca="1">IFERROR(IF(0=LEN(ReferenceData!$R$73),"",ReferenceData!$R$73),"")</f>
        <v>162200</v>
      </c>
      <c r="S73">
        <f ca="1">IFERROR(IF(0=LEN(ReferenceData!$S$73),"",ReferenceData!$S$73),"")</f>
        <v>168800</v>
      </c>
      <c r="T73">
        <f ca="1">IFERROR(IF(0=LEN(ReferenceData!$T$73),"",ReferenceData!$T$73),"")</f>
        <v>170700</v>
      </c>
      <c r="U73">
        <f ca="1">IFERROR(IF(0=LEN(ReferenceData!$U$73),"",ReferenceData!$U$73),"")</f>
        <v>175700</v>
      </c>
      <c r="V73">
        <f ca="1">IFERROR(IF(0=LEN(ReferenceData!$V$73),"",ReferenceData!$V$73),"")</f>
        <v>206900</v>
      </c>
      <c r="W73">
        <f ca="1">IFERROR(IF(0=LEN(ReferenceData!$W$73),"",ReferenceData!$W$73),"")</f>
        <v>221800</v>
      </c>
      <c r="X73">
        <f ca="1">IFERROR(IF(0=LEN(ReferenceData!$X$73),"",ReferenceData!$X$73),"")</f>
        <v>222300</v>
      </c>
      <c r="Y73">
        <f ca="1">IFERROR(IF(0=LEN(ReferenceData!$Y$73),"",ReferenceData!$Y$73),"")</f>
        <v>201300</v>
      </c>
      <c r="Z73">
        <f ca="1">IFERROR(IF(0=LEN(ReferenceData!$Z$73),"",ReferenceData!$Z$73),"")</f>
        <v>184800</v>
      </c>
      <c r="AA73">
        <f ca="1">IFERROR(IF(0=LEN(ReferenceData!$AA$73),"",ReferenceData!$AA$73),"")</f>
        <v>170800</v>
      </c>
      <c r="AB73">
        <f ca="1">IFERROR(IF(0=LEN(ReferenceData!$AB$73),"",ReferenceData!$AB$73),"")</f>
        <v>159300</v>
      </c>
      <c r="AC73">
        <f ca="1">IFERROR(IF(0=LEN(ReferenceData!$AC$73),"",ReferenceData!$AC$73),"")</f>
        <v>144500</v>
      </c>
      <c r="AD73">
        <f ca="1">IFERROR(IF(0=LEN(ReferenceData!$AD$73),"",ReferenceData!$AD$73),"")</f>
        <v>138400</v>
      </c>
      <c r="AE73" t="str">
        <f ca="1">IFERROR(IF(0=LEN(ReferenceData!$AE$73),"",ReferenceData!$AE$73),"")</f>
        <v/>
      </c>
      <c r="AF73" t="str">
        <f ca="1">IFERROR(IF(0=LEN(ReferenceData!$AF$73),"",ReferenceData!$AF$73),"")</f>
        <v/>
      </c>
      <c r="AG73" t="str">
        <f ca="1">IFERROR(IF(0=LEN(ReferenceData!$AG$73),"",ReferenceData!$AG$73),"")</f>
        <v/>
      </c>
      <c r="AH73" t="str">
        <f ca="1">IFERROR(IF(0=LEN(ReferenceData!$AH$73),"",ReferenceData!$AH$73),"")</f>
        <v/>
      </c>
      <c r="AI73" t="str">
        <f ca="1">IFERROR(IF(0=LEN(ReferenceData!$AI$73),"",ReferenceData!$AI$73),"")</f>
        <v/>
      </c>
      <c r="AJ73" t="str">
        <f ca="1">IFERROR(IF(0=LEN(ReferenceData!$AJ$73),"",ReferenceData!$AJ$73),"")</f>
        <v/>
      </c>
      <c r="AK73" t="str">
        <f ca="1">IFERROR(IF(0=LEN(ReferenceData!$AK$73),"",ReferenceData!$AK$73),"")</f>
        <v/>
      </c>
      <c r="AL73" t="str">
        <f ca="1">IFERROR(IF(0=LEN(ReferenceData!$AL$73),"",ReferenceData!$AL$73),"")</f>
        <v/>
      </c>
      <c r="AM73" t="str">
        <f ca="1">IFERROR(IF(0=LEN(ReferenceData!$AM$73),"",ReferenceData!$AM$73),"")</f>
        <v/>
      </c>
      <c r="AN73" t="str">
        <f ca="1">IFERROR(IF(0=LEN(ReferenceData!$AN$73),"",ReferenceData!$AN$73),"")</f>
        <v/>
      </c>
      <c r="AO73" t="str">
        <f ca="1">IFERROR(IF(0=LEN(ReferenceData!$AO$73),"",ReferenceData!$AO$73),"")</f>
        <v/>
      </c>
      <c r="AP73" t="str">
        <f ca="1">IFERROR(IF(0=LEN(ReferenceData!$AP$73),"",ReferenceData!$AP$73),"")</f>
        <v/>
      </c>
      <c r="AQ73" t="str">
        <f ca="1">IFERROR(IF(0=LEN(ReferenceData!$AQ$73),"",ReferenceData!$AQ$73),"")</f>
        <v/>
      </c>
      <c r="AR73" t="str">
        <f ca="1">IFERROR(IF(0=LEN(ReferenceData!$AR$73),"",ReferenceData!$AR$73),"")</f>
        <v/>
      </c>
      <c r="AS73" t="str">
        <f ca="1">IFERROR(IF(0=LEN(ReferenceData!$AS$73),"",ReferenceData!$AS$73),"")</f>
        <v/>
      </c>
    </row>
    <row r="74" spans="1:45" x14ac:dyDescent="0.2">
      <c r="A74" t="str">
        <f>IFERROR(IF(0=LEN(ReferenceData!$A$74),"",ReferenceData!$A$74),"")</f>
        <v xml:space="preserve">        NAHB Market Index</v>
      </c>
      <c r="B74" t="str">
        <f>IFERROR(IF(0=LEN(ReferenceData!$B$74),"",ReferenceData!$B$74),"")</f>
        <v>USHBMIDX Index</v>
      </c>
      <c r="C74" t="str">
        <f>IFERROR(IF(0=LEN(ReferenceData!$C$74),"",ReferenceData!$C$74),"")</f>
        <v>PR005</v>
      </c>
      <c r="D74" t="str">
        <f>IFERROR(IF(0=LEN(ReferenceData!$D$74),"",ReferenceData!$D$74),"")</f>
        <v>PX_LAST</v>
      </c>
      <c r="E74" t="str">
        <f>IFERROR(IF(0=LEN(ReferenceData!$E$74),"",ReferenceData!$E$74),"")</f>
        <v>Dynamic</v>
      </c>
      <c r="F74">
        <f ca="1">IFERROR(IF(0=LEN(ReferenceData!$F$74),"",ReferenceData!$F$74),"")</f>
        <v>34</v>
      </c>
      <c r="G74">
        <f ca="1">IFERROR(IF(0=LEN(ReferenceData!$G$74),"",ReferenceData!$G$74),"")</f>
        <v>31</v>
      </c>
      <c r="H74">
        <f ca="1">IFERROR(IF(0=LEN(ReferenceData!$H$74),"",ReferenceData!$H$74),"")</f>
        <v>84</v>
      </c>
      <c r="I74">
        <f ca="1">IFERROR(IF(0=LEN(ReferenceData!$I$74),"",ReferenceData!$I$74),"")</f>
        <v>86</v>
      </c>
      <c r="J74">
        <f ca="1">IFERROR(IF(0=LEN(ReferenceData!$J$74),"",ReferenceData!$J$74),"")</f>
        <v>76</v>
      </c>
      <c r="K74">
        <f ca="1">IFERROR(IF(0=LEN(ReferenceData!$K$74),"",ReferenceData!$K$74),"")</f>
        <v>56</v>
      </c>
      <c r="L74">
        <f ca="1">IFERROR(IF(0=LEN(ReferenceData!$L$74),"",ReferenceData!$L$74),"")</f>
        <v>74</v>
      </c>
      <c r="M74">
        <f ca="1">IFERROR(IF(0=LEN(ReferenceData!$M$74),"",ReferenceData!$M$74),"")</f>
        <v>69</v>
      </c>
      <c r="N74">
        <f ca="1">IFERROR(IF(0=LEN(ReferenceData!$N$74),"",ReferenceData!$N$74),"")</f>
        <v>60</v>
      </c>
      <c r="O74">
        <f ca="1">IFERROR(IF(0=LEN(ReferenceData!$O$74),"",ReferenceData!$O$74),"")</f>
        <v>58</v>
      </c>
      <c r="P74">
        <f ca="1">IFERROR(IF(0=LEN(ReferenceData!$P$74),"",ReferenceData!$P$74),"")</f>
        <v>57</v>
      </c>
      <c r="Q74">
        <f ca="1">IFERROR(IF(0=LEN(ReferenceData!$Q$74),"",ReferenceData!$Q$74),"")</f>
        <v>47</v>
      </c>
      <c r="R74">
        <f ca="1">IFERROR(IF(0=LEN(ReferenceData!$R$74),"",ReferenceData!$R$74),"")</f>
        <v>21</v>
      </c>
      <c r="S74">
        <f ca="1">IFERROR(IF(0=LEN(ReferenceData!$S$74),"",ReferenceData!$S$74),"")</f>
        <v>16</v>
      </c>
      <c r="T74">
        <f ca="1">IFERROR(IF(0=LEN(ReferenceData!$T$74),"",ReferenceData!$T$74),"")</f>
        <v>16</v>
      </c>
      <c r="U74">
        <f ca="1">IFERROR(IF(0=LEN(ReferenceData!$U$74),"",ReferenceData!$U$74),"")</f>
        <v>9</v>
      </c>
      <c r="V74">
        <f ca="1">IFERROR(IF(0=LEN(ReferenceData!$V$74),"",ReferenceData!$V$74),"")</f>
        <v>18</v>
      </c>
      <c r="W74">
        <f ca="1">IFERROR(IF(0=LEN(ReferenceData!$W$74),"",ReferenceData!$W$74),"")</f>
        <v>33</v>
      </c>
      <c r="X74">
        <f ca="1">IFERROR(IF(0=LEN(ReferenceData!$X$74),"",ReferenceData!$X$74),"")</f>
        <v>57</v>
      </c>
      <c r="Y74">
        <f ca="1">IFERROR(IF(0=LEN(ReferenceData!$Y$74),"",ReferenceData!$Y$74),"")</f>
        <v>71</v>
      </c>
      <c r="Z74">
        <f ca="1">IFERROR(IF(0=LEN(ReferenceData!$Z$74),"",ReferenceData!$Z$74),"")</f>
        <v>69</v>
      </c>
      <c r="AA74">
        <f ca="1">IFERROR(IF(0=LEN(ReferenceData!$AA$74),"",ReferenceData!$AA$74),"")</f>
        <v>63</v>
      </c>
      <c r="AB74">
        <f ca="1">IFERROR(IF(0=LEN(ReferenceData!$AB$74),"",ReferenceData!$AB$74),"")</f>
        <v>55</v>
      </c>
      <c r="AC74">
        <f ca="1">IFERROR(IF(0=LEN(ReferenceData!$AC$74),"",ReferenceData!$AC$74),"")</f>
        <v>57</v>
      </c>
      <c r="AD74">
        <f ca="1">IFERROR(IF(0=LEN(ReferenceData!$AD$74),"",ReferenceData!$AD$74),"")</f>
        <v>70</v>
      </c>
      <c r="AE74">
        <f ca="1">IFERROR(IF(0=LEN(ReferenceData!$AE$74),"",ReferenceData!$AE$74),"")</f>
        <v>78</v>
      </c>
      <c r="AF74">
        <f ca="1">IFERROR(IF(0=LEN(ReferenceData!$AF$74),"",ReferenceData!$AF$74),"")</f>
        <v>60</v>
      </c>
      <c r="AG74">
        <f ca="1">IFERROR(IF(0=LEN(ReferenceData!$AG$74),"",ReferenceData!$AG$74),"")</f>
        <v>55</v>
      </c>
      <c r="AH74">
        <f ca="1">IFERROR(IF(0=LEN(ReferenceData!$AH$74),"",ReferenceData!$AH$74),"")</f>
        <v>53</v>
      </c>
      <c r="AI74">
        <f ca="1">IFERROR(IF(0=LEN(ReferenceData!$AI$74),"",ReferenceData!$AI$74),"")</f>
        <v>43</v>
      </c>
      <c r="AJ74">
        <f ca="1">IFERROR(IF(0=LEN(ReferenceData!$AJ$74),"",ReferenceData!$AJ$74),"")</f>
        <v>71</v>
      </c>
      <c r="AK74">
        <f ca="1">IFERROR(IF(0=LEN(ReferenceData!$AK$74),"",ReferenceData!$AK$74),"")</f>
        <v>56</v>
      </c>
      <c r="AL74">
        <f ca="1">IFERROR(IF(0=LEN(ReferenceData!$AL$74),"",ReferenceData!$AL$74),"")</f>
        <v>35</v>
      </c>
      <c r="AM74">
        <f ca="1">IFERROR(IF(0=LEN(ReferenceData!$AM$74),"",ReferenceData!$AM$74),"")</f>
        <v>22</v>
      </c>
      <c r="AN74">
        <f ca="1">IFERROR(IF(0=LEN(ReferenceData!$AN$74),"",ReferenceData!$AN$74),"")</f>
        <v>43</v>
      </c>
      <c r="AO74">
        <f ca="1">IFERROR(IF(0=LEN(ReferenceData!$AO$74),"",ReferenceData!$AO$74),"")</f>
        <v>60</v>
      </c>
      <c r="AP74">
        <f ca="1">IFERROR(IF(0=LEN(ReferenceData!$AP$74),"",ReferenceData!$AP$74),"")</f>
        <v>51</v>
      </c>
      <c r="AQ74">
        <f ca="1">IFERROR(IF(0=LEN(ReferenceData!$AQ$74),"",ReferenceData!$AQ$74),"")</f>
        <v>64</v>
      </c>
      <c r="AR74">
        <f ca="1">IFERROR(IF(0=LEN(ReferenceData!$AR$74),"",ReferenceData!$AR$74),"")</f>
        <v>57</v>
      </c>
      <c r="AS74" t="str">
        <f ca="1">IFERROR(IF(0=LEN(ReferenceData!$AS$74),"",ReferenceData!$AS$74),"")</f>
        <v/>
      </c>
    </row>
    <row r="75" spans="1:45" x14ac:dyDescent="0.2">
      <c r="A75" t="str">
        <f>IFERROR(IF(0=LEN(ReferenceData!$A$75),"",ReferenceData!$A$75),"")</f>
        <v xml:space="preserve">        U.S. Mortgage Rates</v>
      </c>
      <c r="B75" t="str">
        <f>IFERROR(IF(0=LEN(ReferenceData!$B$75),"",ReferenceData!$B$75),"")</f>
        <v/>
      </c>
      <c r="C75" t="str">
        <f>IFERROR(IF(0=LEN(ReferenceData!$C$75),"",ReferenceData!$C$75),"")</f>
        <v/>
      </c>
      <c r="D75" t="str">
        <f>IFERROR(IF(0=LEN(ReferenceData!$D$75),"",ReferenceData!$D$75),"")</f>
        <v/>
      </c>
      <c r="E75" t="str">
        <f>IFERROR(IF(0=LEN(ReferenceData!$E$75),"",ReferenceData!$E$75),"")</f>
        <v>Static</v>
      </c>
      <c r="F75" t="str">
        <f ca="1">IFERROR(IF(0=LEN(ReferenceData!$F$75),"",ReferenceData!$F$75),"")</f>
        <v/>
      </c>
      <c r="G75" t="str">
        <f ca="1">IFERROR(IF(0=LEN(ReferenceData!$G$75),"",ReferenceData!$G$75),"")</f>
        <v/>
      </c>
      <c r="H75" t="str">
        <f ca="1">IFERROR(IF(0=LEN(ReferenceData!$H$75),"",ReferenceData!$H$75),"")</f>
        <v/>
      </c>
      <c r="I75" t="str">
        <f ca="1">IFERROR(IF(0=LEN(ReferenceData!$I$75),"",ReferenceData!$I$75),"")</f>
        <v/>
      </c>
      <c r="J75" t="str">
        <f ca="1">IFERROR(IF(0=LEN(ReferenceData!$J$75),"",ReferenceData!$J$75),"")</f>
        <v/>
      </c>
      <c r="K75" t="str">
        <f ca="1">IFERROR(IF(0=LEN(ReferenceData!$K$75),"",ReferenceData!$K$75),"")</f>
        <v/>
      </c>
      <c r="L75" t="str">
        <f ca="1">IFERROR(IF(0=LEN(ReferenceData!$L$75),"",ReferenceData!$L$75),"")</f>
        <v/>
      </c>
      <c r="M75" t="str">
        <f ca="1">IFERROR(IF(0=LEN(ReferenceData!$M$75),"",ReferenceData!$M$75),"")</f>
        <v/>
      </c>
      <c r="N75" t="str">
        <f ca="1">IFERROR(IF(0=LEN(ReferenceData!$N$75),"",ReferenceData!$N$75),"")</f>
        <v/>
      </c>
      <c r="O75" t="str">
        <f ca="1">IFERROR(IF(0=LEN(ReferenceData!$O$75),"",ReferenceData!$O$75),"")</f>
        <v/>
      </c>
      <c r="P75" t="str">
        <f ca="1">IFERROR(IF(0=LEN(ReferenceData!$P$75),"",ReferenceData!$P$75),"")</f>
        <v/>
      </c>
      <c r="Q75" t="str">
        <f ca="1">IFERROR(IF(0=LEN(ReferenceData!$Q$75),"",ReferenceData!$Q$75),"")</f>
        <v/>
      </c>
      <c r="R75" t="str">
        <f ca="1">IFERROR(IF(0=LEN(ReferenceData!$R$75),"",ReferenceData!$R$75),"")</f>
        <v/>
      </c>
      <c r="S75" t="str">
        <f ca="1">IFERROR(IF(0=LEN(ReferenceData!$S$75),"",ReferenceData!$S$75),"")</f>
        <v/>
      </c>
      <c r="T75" t="str">
        <f ca="1">IFERROR(IF(0=LEN(ReferenceData!$T$75),"",ReferenceData!$T$75),"")</f>
        <v/>
      </c>
      <c r="U75" t="str">
        <f ca="1">IFERROR(IF(0=LEN(ReferenceData!$U$75),"",ReferenceData!$U$75),"")</f>
        <v/>
      </c>
      <c r="V75" t="str">
        <f ca="1">IFERROR(IF(0=LEN(ReferenceData!$V$75),"",ReferenceData!$V$75),"")</f>
        <v/>
      </c>
      <c r="W75" t="str">
        <f ca="1">IFERROR(IF(0=LEN(ReferenceData!$W$75),"",ReferenceData!$W$75),"")</f>
        <v/>
      </c>
      <c r="X75" t="str">
        <f ca="1">IFERROR(IF(0=LEN(ReferenceData!$X$75),"",ReferenceData!$X$75),"")</f>
        <v/>
      </c>
      <c r="Y75" t="str">
        <f ca="1">IFERROR(IF(0=LEN(ReferenceData!$Y$75),"",ReferenceData!$Y$75),"")</f>
        <v/>
      </c>
      <c r="Z75" t="str">
        <f ca="1">IFERROR(IF(0=LEN(ReferenceData!$Z$75),"",ReferenceData!$Z$75),"")</f>
        <v/>
      </c>
      <c r="AA75" t="str">
        <f ca="1">IFERROR(IF(0=LEN(ReferenceData!$AA$75),"",ReferenceData!$AA$75),"")</f>
        <v/>
      </c>
      <c r="AB75" t="str">
        <f ca="1">IFERROR(IF(0=LEN(ReferenceData!$AB$75),"",ReferenceData!$AB$75),"")</f>
        <v/>
      </c>
      <c r="AC75" t="str">
        <f ca="1">IFERROR(IF(0=LEN(ReferenceData!$AC$75),"",ReferenceData!$AC$75),"")</f>
        <v/>
      </c>
      <c r="AD75" t="str">
        <f ca="1">IFERROR(IF(0=LEN(ReferenceData!$AD$75),"",ReferenceData!$AD$75),"")</f>
        <v/>
      </c>
      <c r="AE75" t="str">
        <f ca="1">IFERROR(IF(0=LEN(ReferenceData!$AE$75),"",ReferenceData!$AE$75),"")</f>
        <v/>
      </c>
      <c r="AF75" t="str">
        <f ca="1">IFERROR(IF(0=LEN(ReferenceData!$AF$75),"",ReferenceData!$AF$75),"")</f>
        <v/>
      </c>
      <c r="AG75" t="str">
        <f ca="1">IFERROR(IF(0=LEN(ReferenceData!$AG$75),"",ReferenceData!$AG$75),"")</f>
        <v/>
      </c>
      <c r="AH75" t="str">
        <f ca="1">IFERROR(IF(0=LEN(ReferenceData!$AH$75),"",ReferenceData!$AH$75),"")</f>
        <v/>
      </c>
      <c r="AI75" t="str">
        <f ca="1">IFERROR(IF(0=LEN(ReferenceData!$AI$75),"",ReferenceData!$AI$75),"")</f>
        <v/>
      </c>
      <c r="AJ75" t="str">
        <f ca="1">IFERROR(IF(0=LEN(ReferenceData!$AJ$75),"",ReferenceData!$AJ$75),"")</f>
        <v/>
      </c>
      <c r="AK75" t="str">
        <f ca="1">IFERROR(IF(0=LEN(ReferenceData!$AK$75),"",ReferenceData!$AK$75),"")</f>
        <v/>
      </c>
      <c r="AL75" t="str">
        <f ca="1">IFERROR(IF(0=LEN(ReferenceData!$AL$75),"",ReferenceData!$AL$75),"")</f>
        <v/>
      </c>
      <c r="AM75" t="str">
        <f ca="1">IFERROR(IF(0=LEN(ReferenceData!$AM$75),"",ReferenceData!$AM$75),"")</f>
        <v/>
      </c>
      <c r="AN75" t="str">
        <f ca="1">IFERROR(IF(0=LEN(ReferenceData!$AN$75),"",ReferenceData!$AN$75),"")</f>
        <v/>
      </c>
      <c r="AO75" t="str">
        <f ca="1">IFERROR(IF(0=LEN(ReferenceData!$AO$75),"",ReferenceData!$AO$75),"")</f>
        <v/>
      </c>
      <c r="AP75" t="str">
        <f ca="1">IFERROR(IF(0=LEN(ReferenceData!$AP$75),"",ReferenceData!$AP$75),"")</f>
        <v/>
      </c>
      <c r="AQ75" t="str">
        <f ca="1">IFERROR(IF(0=LEN(ReferenceData!$AQ$75),"",ReferenceData!$AQ$75),"")</f>
        <v/>
      </c>
      <c r="AR75" t="str">
        <f ca="1">IFERROR(IF(0=LEN(ReferenceData!$AR$75),"",ReferenceData!$AR$75),"")</f>
        <v/>
      </c>
      <c r="AS75" t="str">
        <f ca="1">IFERROR(IF(0=LEN(ReferenceData!$AS$75),"",ReferenceData!$AS$75),"")</f>
        <v/>
      </c>
    </row>
    <row r="76" spans="1:45" x14ac:dyDescent="0.2">
      <c r="A76" t="str">
        <f>IFERROR(IF(0=LEN(ReferenceData!$A$76),"",ReferenceData!$A$76),"")</f>
        <v xml:space="preserve">        </v>
      </c>
      <c r="B76" t="str">
        <f>IFERROR(IF(0=LEN(ReferenceData!$B$76),"",ReferenceData!$B$76),"")</f>
        <v/>
      </c>
      <c r="C76" t="str">
        <f>IFERROR(IF(0=LEN(ReferenceData!$C$76),"",ReferenceData!$C$76),"")</f>
        <v/>
      </c>
      <c r="D76" t="str">
        <f>IFERROR(IF(0=LEN(ReferenceData!$D$76),"",ReferenceData!$D$76),"")</f>
        <v/>
      </c>
      <c r="E76" t="str">
        <f>IFERROR(IF(0=LEN(ReferenceData!$E$76),"",ReferenceData!$E$76),"")</f>
        <v>Static</v>
      </c>
      <c r="F76" t="str">
        <f ca="1">IFERROR(IF(0=LEN(ReferenceData!$F$76),"",ReferenceData!$F$76),"")</f>
        <v/>
      </c>
      <c r="G76" t="str">
        <f ca="1">IFERROR(IF(0=LEN(ReferenceData!$G$76),"",ReferenceData!$G$76),"")</f>
        <v/>
      </c>
      <c r="H76" t="str">
        <f ca="1">IFERROR(IF(0=LEN(ReferenceData!$H$76),"",ReferenceData!$H$76),"")</f>
        <v/>
      </c>
      <c r="I76" t="str">
        <f ca="1">IFERROR(IF(0=LEN(ReferenceData!$I$76),"",ReferenceData!$I$76),"")</f>
        <v/>
      </c>
      <c r="J76" t="str">
        <f ca="1">IFERROR(IF(0=LEN(ReferenceData!$J$76),"",ReferenceData!$J$76),"")</f>
        <v/>
      </c>
      <c r="K76" t="str">
        <f ca="1">IFERROR(IF(0=LEN(ReferenceData!$K$76),"",ReferenceData!$K$76),"")</f>
        <v/>
      </c>
      <c r="L76" t="str">
        <f ca="1">IFERROR(IF(0=LEN(ReferenceData!$L$76),"",ReferenceData!$L$76),"")</f>
        <v/>
      </c>
      <c r="M76" t="str">
        <f ca="1">IFERROR(IF(0=LEN(ReferenceData!$M$76),"",ReferenceData!$M$76),"")</f>
        <v/>
      </c>
      <c r="N76" t="str">
        <f ca="1">IFERROR(IF(0=LEN(ReferenceData!$N$76),"",ReferenceData!$N$76),"")</f>
        <v/>
      </c>
      <c r="O76" t="str">
        <f ca="1">IFERROR(IF(0=LEN(ReferenceData!$O$76),"",ReferenceData!$O$76),"")</f>
        <v/>
      </c>
      <c r="P76" t="str">
        <f ca="1">IFERROR(IF(0=LEN(ReferenceData!$P$76),"",ReferenceData!$P$76),"")</f>
        <v/>
      </c>
      <c r="Q76" t="str">
        <f ca="1">IFERROR(IF(0=LEN(ReferenceData!$Q$76),"",ReferenceData!$Q$76),"")</f>
        <v/>
      </c>
      <c r="R76" t="str">
        <f ca="1">IFERROR(IF(0=LEN(ReferenceData!$R$76),"",ReferenceData!$R$76),"")</f>
        <v/>
      </c>
      <c r="S76" t="str">
        <f ca="1">IFERROR(IF(0=LEN(ReferenceData!$S$76),"",ReferenceData!$S$76),"")</f>
        <v/>
      </c>
      <c r="T76" t="str">
        <f ca="1">IFERROR(IF(0=LEN(ReferenceData!$T$76),"",ReferenceData!$T$76),"")</f>
        <v/>
      </c>
      <c r="U76" t="str">
        <f ca="1">IFERROR(IF(0=LEN(ReferenceData!$U$76),"",ReferenceData!$U$76),"")</f>
        <v/>
      </c>
      <c r="V76" t="str">
        <f ca="1">IFERROR(IF(0=LEN(ReferenceData!$V$76),"",ReferenceData!$V$76),"")</f>
        <v/>
      </c>
      <c r="W76" t="str">
        <f ca="1">IFERROR(IF(0=LEN(ReferenceData!$W$76),"",ReferenceData!$W$76),"")</f>
        <v/>
      </c>
      <c r="X76" t="str">
        <f ca="1">IFERROR(IF(0=LEN(ReferenceData!$X$76),"",ReferenceData!$X$76),"")</f>
        <v/>
      </c>
      <c r="Y76" t="str">
        <f ca="1">IFERROR(IF(0=LEN(ReferenceData!$Y$76),"",ReferenceData!$Y$76),"")</f>
        <v/>
      </c>
      <c r="Z76" t="str">
        <f ca="1">IFERROR(IF(0=LEN(ReferenceData!$Z$76),"",ReferenceData!$Z$76),"")</f>
        <v/>
      </c>
      <c r="AA76" t="str">
        <f ca="1">IFERROR(IF(0=LEN(ReferenceData!$AA$76),"",ReferenceData!$AA$76),"")</f>
        <v/>
      </c>
      <c r="AB76" t="str">
        <f ca="1">IFERROR(IF(0=LEN(ReferenceData!$AB$76),"",ReferenceData!$AB$76),"")</f>
        <v/>
      </c>
      <c r="AC76" t="str">
        <f ca="1">IFERROR(IF(0=LEN(ReferenceData!$AC$76),"",ReferenceData!$AC$76),"")</f>
        <v/>
      </c>
      <c r="AD76" t="str">
        <f ca="1">IFERROR(IF(0=LEN(ReferenceData!$AD$76),"",ReferenceData!$AD$76),"")</f>
        <v/>
      </c>
      <c r="AE76" t="str">
        <f ca="1">IFERROR(IF(0=LEN(ReferenceData!$AE$76),"",ReferenceData!$AE$76),"")</f>
        <v/>
      </c>
      <c r="AF76" t="str">
        <f ca="1">IFERROR(IF(0=LEN(ReferenceData!$AF$76),"",ReferenceData!$AF$76),"")</f>
        <v/>
      </c>
      <c r="AG76" t="str">
        <f ca="1">IFERROR(IF(0=LEN(ReferenceData!$AG$76),"",ReferenceData!$AG$76),"")</f>
        <v/>
      </c>
      <c r="AH76" t="str">
        <f ca="1">IFERROR(IF(0=LEN(ReferenceData!$AH$76),"",ReferenceData!$AH$76),"")</f>
        <v/>
      </c>
      <c r="AI76" t="str">
        <f ca="1">IFERROR(IF(0=LEN(ReferenceData!$AI$76),"",ReferenceData!$AI$76),"")</f>
        <v/>
      </c>
      <c r="AJ76" t="str">
        <f ca="1">IFERROR(IF(0=LEN(ReferenceData!$AJ$76),"",ReferenceData!$AJ$76),"")</f>
        <v/>
      </c>
      <c r="AK76" t="str">
        <f ca="1">IFERROR(IF(0=LEN(ReferenceData!$AK$76),"",ReferenceData!$AK$76),"")</f>
        <v/>
      </c>
      <c r="AL76" t="str">
        <f ca="1">IFERROR(IF(0=LEN(ReferenceData!$AL$76),"",ReferenceData!$AL$76),"")</f>
        <v/>
      </c>
      <c r="AM76" t="str">
        <f ca="1">IFERROR(IF(0=LEN(ReferenceData!$AM$76),"",ReferenceData!$AM$76),"")</f>
        <v/>
      </c>
      <c r="AN76" t="str">
        <f ca="1">IFERROR(IF(0=LEN(ReferenceData!$AN$76),"",ReferenceData!$AN$76),"")</f>
        <v/>
      </c>
      <c r="AO76" t="str">
        <f ca="1">IFERROR(IF(0=LEN(ReferenceData!$AO$76),"",ReferenceData!$AO$76),"")</f>
        <v/>
      </c>
      <c r="AP76" t="str">
        <f ca="1">IFERROR(IF(0=LEN(ReferenceData!$AP$76),"",ReferenceData!$AP$76),"")</f>
        <v/>
      </c>
      <c r="AQ76" t="str">
        <f ca="1">IFERROR(IF(0=LEN(ReferenceData!$AQ$76),"",ReferenceData!$AQ$76),"")</f>
        <v/>
      </c>
      <c r="AR76" t="str">
        <f ca="1">IFERROR(IF(0=LEN(ReferenceData!$AR$76),"",ReferenceData!$AR$76),"")</f>
        <v/>
      </c>
      <c r="AS76" t="str">
        <f ca="1">IFERROR(IF(0=LEN(ReferenceData!$AS$76),"",ReferenceData!$AS$76),"")</f>
        <v/>
      </c>
    </row>
    <row r="77" spans="1:45" x14ac:dyDescent="0.2">
      <c r="A77" t="str">
        <f>IFERROR(IF(0=LEN(ReferenceData!$A$77),"",ReferenceData!$A$77),"")</f>
        <v xml:space="preserve">        U.S. Constant Quality House Price Index (2005=100)</v>
      </c>
      <c r="B77" t="str">
        <f>IFERROR(IF(0=LEN(ReferenceData!$B$77),"",ReferenceData!$B$77),"")</f>
        <v>CQHPINDX Index</v>
      </c>
      <c r="C77" t="str">
        <f>IFERROR(IF(0=LEN(ReferenceData!$C$77),"",ReferenceData!$C$77),"")</f>
        <v>PR005</v>
      </c>
      <c r="D77" t="str">
        <f>IFERROR(IF(0=LEN(ReferenceData!$D$77),"",ReferenceData!$D$77),"")</f>
        <v>PX_LAST</v>
      </c>
      <c r="E77" t="str">
        <f>IFERROR(IF(0=LEN(ReferenceData!$E$77),"",ReferenceData!$E$77),"")</f>
        <v>Dynamic</v>
      </c>
      <c r="F77">
        <f ca="1">IFERROR(IF(0=LEN(ReferenceData!$F$77),"",ReferenceData!$F$77),"")</f>
        <v>196.5</v>
      </c>
      <c r="G77">
        <f ca="1">IFERROR(IF(0=LEN(ReferenceData!$G$77),"",ReferenceData!$G$77),"")</f>
        <v>195.8</v>
      </c>
      <c r="H77">
        <f ca="1">IFERROR(IF(0=LEN(ReferenceData!$H$77),"",ReferenceData!$H$77),"")</f>
        <v>175.8</v>
      </c>
      <c r="I77">
        <f ca="1">IFERROR(IF(0=LEN(ReferenceData!$I$77),"",ReferenceData!$I$77),"")</f>
        <v>144.6</v>
      </c>
      <c r="J77">
        <f ca="1">IFERROR(IF(0=LEN(ReferenceData!$J$77),"",ReferenceData!$J$77),"")</f>
        <v>137.1</v>
      </c>
      <c r="K77">
        <f ca="1">IFERROR(IF(0=LEN(ReferenceData!$K$77),"",ReferenceData!$K$77),"")</f>
        <v>135.1</v>
      </c>
      <c r="L77">
        <f ca="1">IFERROR(IF(0=LEN(ReferenceData!$L$77),"",ReferenceData!$L$77),"")</f>
        <v>127.8</v>
      </c>
      <c r="M77">
        <f ca="1">IFERROR(IF(0=LEN(ReferenceData!$M$77),"",ReferenceData!$M$77),"")</f>
        <v>123.7</v>
      </c>
      <c r="N77">
        <f ca="1">IFERROR(IF(0=LEN(ReferenceData!$N$77),"",ReferenceData!$N$77),"")</f>
        <v>116.9</v>
      </c>
      <c r="O77">
        <f ca="1">IFERROR(IF(0=LEN(ReferenceData!$O$77),"",ReferenceData!$O$77),"")</f>
        <v>114.4</v>
      </c>
      <c r="P77">
        <f ca="1">IFERROR(IF(0=LEN(ReferenceData!$P$77),"",ReferenceData!$P$77),"")</f>
        <v>105.8</v>
      </c>
      <c r="Q77">
        <f ca="1">IFERROR(IF(0=LEN(ReferenceData!$Q$77),"",ReferenceData!$Q$77),"")</f>
        <v>100</v>
      </c>
      <c r="R77">
        <f ca="1">IFERROR(IF(0=LEN(ReferenceData!$R$77),"",ReferenceData!$R$77),"")</f>
        <v>94</v>
      </c>
      <c r="S77">
        <f ca="1">IFERROR(IF(0=LEN(ReferenceData!$S$77),"",ReferenceData!$S$77),"")</f>
        <v>96.3</v>
      </c>
      <c r="T77">
        <f ca="1">IFERROR(IF(0=LEN(ReferenceData!$T$77),"",ReferenceData!$T$77),"")</f>
        <v>96.2</v>
      </c>
      <c r="U77">
        <f ca="1">IFERROR(IF(0=LEN(ReferenceData!$U$77),"",ReferenceData!$U$77),"")</f>
        <v>95.7</v>
      </c>
      <c r="V77">
        <f ca="1">IFERROR(IF(0=LEN(ReferenceData!$V$77),"",ReferenceData!$V$77),"")</f>
        <v>102.1</v>
      </c>
      <c r="W77">
        <f ca="1">IFERROR(IF(0=LEN(ReferenceData!$W$77),"",ReferenceData!$W$77),"")</f>
        <v>103.8</v>
      </c>
      <c r="X77">
        <f ca="1">IFERROR(IF(0=LEN(ReferenceData!$X$77),"",ReferenceData!$X$77),"")</f>
        <v>103.9</v>
      </c>
      <c r="Y77">
        <f ca="1">IFERROR(IF(0=LEN(ReferenceData!$Y$77),"",ReferenceData!$Y$77),"")</f>
        <v>95</v>
      </c>
      <c r="Z77">
        <f ca="1">IFERROR(IF(0=LEN(ReferenceData!$Z$77),"",ReferenceData!$Z$77),"")</f>
        <v>88.5</v>
      </c>
      <c r="AA77">
        <f ca="1">IFERROR(IF(0=LEN(ReferenceData!$AA$77),"",ReferenceData!$AA$77),"")</f>
        <v>83.8</v>
      </c>
      <c r="AB77">
        <f ca="1">IFERROR(IF(0=LEN(ReferenceData!$AB$77),"",ReferenceData!$AB$77),"")</f>
        <v>79.099999999999994</v>
      </c>
      <c r="AC77">
        <f ca="1">IFERROR(IF(0=LEN(ReferenceData!$AC$77),"",ReferenceData!$AC$77),"")</f>
        <v>76.2</v>
      </c>
      <c r="AD77">
        <f ca="1">IFERROR(IF(0=LEN(ReferenceData!$AD$77),"",ReferenceData!$AD$77),"")</f>
        <v>73</v>
      </c>
      <c r="AE77">
        <f ca="1">IFERROR(IF(0=LEN(ReferenceData!$AE$77),"",ReferenceData!$AE$77),"")</f>
        <v>70.099999999999994</v>
      </c>
      <c r="AF77">
        <f ca="1">IFERROR(IF(0=LEN(ReferenceData!$AF$77),"",ReferenceData!$AF$77),"")</f>
        <v>67.099999999999994</v>
      </c>
      <c r="AG77">
        <f ca="1">IFERROR(IF(0=LEN(ReferenceData!$AG$77),"",ReferenceData!$AG$77),"")</f>
        <v>65.599999999999994</v>
      </c>
      <c r="AH77">
        <f ca="1">IFERROR(IF(0=LEN(ReferenceData!$AH$77),"",ReferenceData!$AH$77),"")</f>
        <v>63.6</v>
      </c>
      <c r="AI77">
        <f ca="1">IFERROR(IF(0=LEN(ReferenceData!$AI$77),"",ReferenceData!$AI$77),"")</f>
        <v>63.4</v>
      </c>
      <c r="AJ77">
        <f ca="1">IFERROR(IF(0=LEN(ReferenceData!$AJ$77),"",ReferenceData!$AJ$77),"")</f>
        <v>59.6</v>
      </c>
      <c r="AK77">
        <f ca="1">IFERROR(IF(0=LEN(ReferenceData!$AK$77),"",ReferenceData!$AK$77),"")</f>
        <v>58.2</v>
      </c>
      <c r="AL77">
        <f ca="1">IFERROR(IF(0=LEN(ReferenceData!$AL$77),"",ReferenceData!$AL$77),"")</f>
        <v>56.18</v>
      </c>
      <c r="AM77">
        <f ca="1">IFERROR(IF(0=LEN(ReferenceData!$AM$77),"",ReferenceData!$AM$77),"")</f>
        <v>55.72</v>
      </c>
      <c r="AN77">
        <f ca="1">IFERROR(IF(0=LEN(ReferenceData!$AN$77),"",ReferenceData!$AN$77),"")</f>
        <v>54.94</v>
      </c>
      <c r="AO77">
        <f ca="1">IFERROR(IF(0=LEN(ReferenceData!$AO$77),"",ReferenceData!$AO$77),"")</f>
        <v>53.11</v>
      </c>
      <c r="AP77">
        <f ca="1">IFERROR(IF(0=LEN(ReferenceData!$AP$77),"",ReferenceData!$AP$77),"")</f>
        <v>51.67</v>
      </c>
      <c r="AQ77">
        <f ca="1">IFERROR(IF(0=LEN(ReferenceData!$AQ$77),"",ReferenceData!$AQ$77),"")</f>
        <v>48.66</v>
      </c>
      <c r="AR77">
        <f ca="1">IFERROR(IF(0=LEN(ReferenceData!$AR$77),"",ReferenceData!$AR$77),"")</f>
        <v>46.89</v>
      </c>
      <c r="AS77">
        <f ca="1">IFERROR(IF(0=LEN(ReferenceData!$AS$77),"",ReferenceData!$AS$77),"")</f>
        <v>46.76</v>
      </c>
    </row>
    <row r="78" spans="1:45" x14ac:dyDescent="0.2">
      <c r="A78" t="str">
        <f>IFERROR(IF(0=LEN(ReferenceData!$A$78),"",ReferenceData!$A$78),"")</f>
        <v xml:space="preserve">            YoY %</v>
      </c>
      <c r="B78" t="str">
        <f>IFERROR(IF(0=LEN(ReferenceData!$B$78),"",ReferenceData!$B$78),"")</f>
        <v>CQHPYOY Index</v>
      </c>
      <c r="C78" t="str">
        <f>IFERROR(IF(0=LEN(ReferenceData!$C$78),"",ReferenceData!$C$78),"")</f>
        <v>PR005</v>
      </c>
      <c r="D78" t="str">
        <f>IFERROR(IF(0=LEN(ReferenceData!$D$78),"",ReferenceData!$D$78),"")</f>
        <v>PX_LAST</v>
      </c>
      <c r="E78" t="str">
        <f>IFERROR(IF(0=LEN(ReferenceData!$E$78),"",ReferenceData!$E$78),"")</f>
        <v>Dynamic</v>
      </c>
      <c r="F78">
        <f ca="1">IFERROR(IF(0=LEN(ReferenceData!$F$78),"",ReferenceData!$F$78),"")</f>
        <v>1.1322700000000001</v>
      </c>
      <c r="G78">
        <f ca="1">IFERROR(IF(0=LEN(ReferenceData!$G$78),"",ReferenceData!$G$78),"")</f>
        <v>11.37656</v>
      </c>
      <c r="H78">
        <f ca="1">IFERROR(IF(0=LEN(ReferenceData!$H$78),"",ReferenceData!$H$78),"")</f>
        <v>21.57676</v>
      </c>
      <c r="I78">
        <f ca="1">IFERROR(IF(0=LEN(ReferenceData!$I$78),"",ReferenceData!$I$78),"")</f>
        <v>5.4704600000000001</v>
      </c>
      <c r="J78">
        <f ca="1">IFERROR(IF(0=LEN(ReferenceData!$J$78),"",ReferenceData!$J$78),"")</f>
        <v>1.48038</v>
      </c>
      <c r="K78">
        <f ca="1">IFERROR(IF(0=LEN(ReferenceData!$K$78),"",ReferenceData!$K$78),"")</f>
        <v>5.7120499999999996</v>
      </c>
      <c r="L78">
        <f ca="1">IFERROR(IF(0=LEN(ReferenceData!$L$78),"",ReferenceData!$L$78),"")</f>
        <v>3.3144800000000001</v>
      </c>
      <c r="M78">
        <f ca="1">IFERROR(IF(0=LEN(ReferenceData!$M$78),"",ReferenceData!$M$78),"")</f>
        <v>5.8169300000000002</v>
      </c>
      <c r="N78">
        <f ca="1">IFERROR(IF(0=LEN(ReferenceData!$N$78),"",ReferenceData!$N$78),"")</f>
        <v>2.1853099999999999</v>
      </c>
      <c r="O78">
        <f ca="1">IFERROR(IF(0=LEN(ReferenceData!$O$78),"",ReferenceData!$O$78),"")</f>
        <v>8.1285399999999992</v>
      </c>
      <c r="P78">
        <f ca="1">IFERROR(IF(0=LEN(ReferenceData!$P$78),"",ReferenceData!$P$78),"")</f>
        <v>5.8</v>
      </c>
      <c r="Q78">
        <f ca="1">IFERROR(IF(0=LEN(ReferenceData!$Q$78),"",ReferenceData!$Q$78),"")</f>
        <v>6.3829799999999999</v>
      </c>
      <c r="R78">
        <f ca="1">IFERROR(IF(0=LEN(ReferenceData!$R$78),"",ReferenceData!$R$78),"")</f>
        <v>-2.3883700000000001</v>
      </c>
      <c r="S78">
        <f ca="1">IFERROR(IF(0=LEN(ReferenceData!$S$78),"",ReferenceData!$S$78),"")</f>
        <v>0.10396</v>
      </c>
      <c r="T78">
        <f ca="1">IFERROR(IF(0=LEN(ReferenceData!$T$78),"",ReferenceData!$T$78),"")</f>
        <v>0.52246999999999999</v>
      </c>
      <c r="U78">
        <f ca="1">IFERROR(IF(0=LEN(ReferenceData!$U$78),"",ReferenceData!$U$78),"")</f>
        <v>-6.26837</v>
      </c>
      <c r="V78">
        <f ca="1">IFERROR(IF(0=LEN(ReferenceData!$V$78),"",ReferenceData!$V$78),"")</f>
        <v>-1.6377699999999999</v>
      </c>
      <c r="W78">
        <f ca="1">IFERROR(IF(0=LEN(ReferenceData!$W$78),"",ReferenceData!$W$78),"")</f>
        <v>-9.6240000000000006E-2</v>
      </c>
      <c r="X78">
        <f ca="1">IFERROR(IF(0=LEN(ReferenceData!$X$78),"",ReferenceData!$X$78),"")</f>
        <v>9.3684200000000004</v>
      </c>
      <c r="Y78">
        <f ca="1">IFERROR(IF(0=LEN(ReferenceData!$Y$78),"",ReferenceData!$Y$78),"")</f>
        <v>7.3446300000000004</v>
      </c>
      <c r="Z78">
        <f ca="1">IFERROR(IF(0=LEN(ReferenceData!$Z$78),"",ReferenceData!$Z$78),"")</f>
        <v>5.6085900000000004</v>
      </c>
      <c r="AA78">
        <f ca="1">IFERROR(IF(0=LEN(ReferenceData!$AA$78),"",ReferenceData!$AA$78),"")</f>
        <v>5.9418499999999996</v>
      </c>
      <c r="AB78">
        <f ca="1">IFERROR(IF(0=LEN(ReferenceData!$AB$78),"",ReferenceData!$AB$78),"")</f>
        <v>3.8057799999999999</v>
      </c>
      <c r="AC78">
        <f ca="1">IFERROR(IF(0=LEN(ReferenceData!$AC$78),"",ReferenceData!$AC$78),"")</f>
        <v>4.3835600000000001</v>
      </c>
      <c r="AD78">
        <f ca="1">IFERROR(IF(0=LEN(ReferenceData!$AD$78),"",ReferenceData!$AD$78),"")</f>
        <v>4.1369495399999998</v>
      </c>
      <c r="AE78">
        <f ca="1">IFERROR(IF(0=LEN(ReferenceData!$AE$78),"",ReferenceData!$AE$78),"")</f>
        <v>4.4709399999999997</v>
      </c>
      <c r="AF78">
        <f ca="1">IFERROR(IF(0=LEN(ReferenceData!$AF$78),"",ReferenceData!$AF$78),"")</f>
        <v>2.2865899999999999</v>
      </c>
      <c r="AG78">
        <f ca="1">IFERROR(IF(0=LEN(ReferenceData!$AG$78),"",ReferenceData!$AG$78),"")</f>
        <v>3.1446499999999999</v>
      </c>
      <c r="AH78">
        <f ca="1">IFERROR(IF(0=LEN(ReferenceData!$AH$78),"",ReferenceData!$AH$78),"")</f>
        <v>0.31545000000000001</v>
      </c>
      <c r="AI78">
        <f ca="1">IFERROR(IF(0=LEN(ReferenceData!$AI$78),"",ReferenceData!$AI$78),"")</f>
        <v>6.3758400000000002</v>
      </c>
      <c r="AJ78">
        <f ca="1">IFERROR(IF(0=LEN(ReferenceData!$AJ$78),"",ReferenceData!$AJ$78),"")</f>
        <v>2.4054899999999999</v>
      </c>
      <c r="AK78">
        <f ca="1">IFERROR(IF(0=LEN(ReferenceData!$AK$78),"",ReferenceData!$AK$78),"")</f>
        <v>3.5955900000000001</v>
      </c>
      <c r="AL78">
        <f ca="1">IFERROR(IF(0=LEN(ReferenceData!$AL$78),"",ReferenceData!$AL$78),"")</f>
        <v>0.82555000000000001</v>
      </c>
      <c r="AM78">
        <f ca="1">IFERROR(IF(0=LEN(ReferenceData!$AM$78),"",ReferenceData!$AM$78),"")</f>
        <v>1.41974</v>
      </c>
      <c r="AN78">
        <f ca="1">IFERROR(IF(0=LEN(ReferenceData!$AN$78),"",ReferenceData!$AN$78),"")</f>
        <v>3.4456699999999998</v>
      </c>
      <c r="AO78">
        <f ca="1">IFERROR(IF(0=LEN(ReferenceData!$AO$78),"",ReferenceData!$AO$78),"")</f>
        <v>2.7869199999999998</v>
      </c>
      <c r="AP78">
        <f ca="1">IFERROR(IF(0=LEN(ReferenceData!$AP$78),"",ReferenceData!$AP$78),"")</f>
        <v>6.1857800000000003</v>
      </c>
      <c r="AQ78">
        <f ca="1">IFERROR(IF(0=LEN(ReferenceData!$AQ$78),"",ReferenceData!$AQ$78),"")</f>
        <v>3.7747899999999999</v>
      </c>
      <c r="AR78">
        <f ca="1">IFERROR(IF(0=LEN(ReferenceData!$AR$78),"",ReferenceData!$AR$78),"")</f>
        <v>0.27801999999999999</v>
      </c>
      <c r="AS78">
        <f ca="1">IFERROR(IF(0=LEN(ReferenceData!$AS$78),"",ReferenceData!$AS$78),"")</f>
        <v>5.1495300000000004</v>
      </c>
    </row>
    <row r="79" spans="1:45" x14ac:dyDescent="0.2">
      <c r="A79" t="str">
        <f>IFERROR(IF(0=LEN(ReferenceData!$A$79),"",ReferenceData!$A$79),"")</f>
        <v xml:space="preserve">        </v>
      </c>
      <c r="B79" t="str">
        <f>IFERROR(IF(0=LEN(ReferenceData!$B$79),"",ReferenceData!$B$79),"")</f>
        <v/>
      </c>
      <c r="C79" t="str">
        <f>IFERROR(IF(0=LEN(ReferenceData!$C$79),"",ReferenceData!$C$79),"")</f>
        <v/>
      </c>
      <c r="D79" t="str">
        <f>IFERROR(IF(0=LEN(ReferenceData!$D$79),"",ReferenceData!$D$79),"")</f>
        <v/>
      </c>
      <c r="E79" t="str">
        <f>IFERROR(IF(0=LEN(ReferenceData!$E$79),"",ReferenceData!$E$79),"")</f>
        <v>Static</v>
      </c>
      <c r="F79" t="str">
        <f ca="1">IFERROR(IF(0=LEN(ReferenceData!$F$79),"",ReferenceData!$F$79),"")</f>
        <v/>
      </c>
      <c r="G79" t="str">
        <f ca="1">IFERROR(IF(0=LEN(ReferenceData!$G$79),"",ReferenceData!$G$79),"")</f>
        <v/>
      </c>
      <c r="H79" t="str">
        <f ca="1">IFERROR(IF(0=LEN(ReferenceData!$H$79),"",ReferenceData!$H$79),"")</f>
        <v/>
      </c>
      <c r="I79" t="str">
        <f ca="1">IFERROR(IF(0=LEN(ReferenceData!$I$79),"",ReferenceData!$I$79),"")</f>
        <v/>
      </c>
      <c r="J79" t="str">
        <f ca="1">IFERROR(IF(0=LEN(ReferenceData!$J$79),"",ReferenceData!$J$79),"")</f>
        <v/>
      </c>
      <c r="K79" t="str">
        <f ca="1">IFERROR(IF(0=LEN(ReferenceData!$K$79),"",ReferenceData!$K$79),"")</f>
        <v/>
      </c>
      <c r="L79" t="str">
        <f ca="1">IFERROR(IF(0=LEN(ReferenceData!$L$79),"",ReferenceData!$L$79),"")</f>
        <v/>
      </c>
      <c r="M79" t="str">
        <f ca="1">IFERROR(IF(0=LEN(ReferenceData!$M$79),"",ReferenceData!$M$79),"")</f>
        <v/>
      </c>
      <c r="N79" t="str">
        <f ca="1">IFERROR(IF(0=LEN(ReferenceData!$N$79),"",ReferenceData!$N$79),"")</f>
        <v/>
      </c>
      <c r="O79" t="str">
        <f ca="1">IFERROR(IF(0=LEN(ReferenceData!$O$79),"",ReferenceData!$O$79),"")</f>
        <v/>
      </c>
      <c r="P79" t="str">
        <f ca="1">IFERROR(IF(0=LEN(ReferenceData!$P$79),"",ReferenceData!$P$79),"")</f>
        <v/>
      </c>
      <c r="Q79" t="str">
        <f ca="1">IFERROR(IF(0=LEN(ReferenceData!$Q$79),"",ReferenceData!$Q$79),"")</f>
        <v/>
      </c>
      <c r="R79" t="str">
        <f ca="1">IFERROR(IF(0=LEN(ReferenceData!$R$79),"",ReferenceData!$R$79),"")</f>
        <v/>
      </c>
      <c r="S79" t="str">
        <f ca="1">IFERROR(IF(0=LEN(ReferenceData!$S$79),"",ReferenceData!$S$79),"")</f>
        <v/>
      </c>
      <c r="T79" t="str">
        <f ca="1">IFERROR(IF(0=LEN(ReferenceData!$T$79),"",ReferenceData!$T$79),"")</f>
        <v/>
      </c>
      <c r="U79" t="str">
        <f ca="1">IFERROR(IF(0=LEN(ReferenceData!$U$79),"",ReferenceData!$U$79),"")</f>
        <v/>
      </c>
      <c r="V79" t="str">
        <f ca="1">IFERROR(IF(0=LEN(ReferenceData!$V$79),"",ReferenceData!$V$79),"")</f>
        <v/>
      </c>
      <c r="W79" t="str">
        <f ca="1">IFERROR(IF(0=LEN(ReferenceData!$W$79),"",ReferenceData!$W$79),"")</f>
        <v/>
      </c>
      <c r="X79" t="str">
        <f ca="1">IFERROR(IF(0=LEN(ReferenceData!$X$79),"",ReferenceData!$X$79),"")</f>
        <v/>
      </c>
      <c r="Y79" t="str">
        <f ca="1">IFERROR(IF(0=LEN(ReferenceData!$Y$79),"",ReferenceData!$Y$79),"")</f>
        <v/>
      </c>
      <c r="Z79" t="str">
        <f ca="1">IFERROR(IF(0=LEN(ReferenceData!$Z$79),"",ReferenceData!$Z$79),"")</f>
        <v/>
      </c>
      <c r="AA79" t="str">
        <f ca="1">IFERROR(IF(0=LEN(ReferenceData!$AA$79),"",ReferenceData!$AA$79),"")</f>
        <v/>
      </c>
      <c r="AB79" t="str">
        <f ca="1">IFERROR(IF(0=LEN(ReferenceData!$AB$79),"",ReferenceData!$AB$79),"")</f>
        <v/>
      </c>
      <c r="AC79" t="str">
        <f ca="1">IFERROR(IF(0=LEN(ReferenceData!$AC$79),"",ReferenceData!$AC$79),"")</f>
        <v/>
      </c>
      <c r="AD79" t="str">
        <f ca="1">IFERROR(IF(0=LEN(ReferenceData!$AD$79),"",ReferenceData!$AD$79),"")</f>
        <v/>
      </c>
      <c r="AE79" t="str">
        <f ca="1">IFERROR(IF(0=LEN(ReferenceData!$AE$79),"",ReferenceData!$AE$79),"")</f>
        <v/>
      </c>
      <c r="AF79" t="str">
        <f ca="1">IFERROR(IF(0=LEN(ReferenceData!$AF$79),"",ReferenceData!$AF$79),"")</f>
        <v/>
      </c>
      <c r="AG79" t="str">
        <f ca="1">IFERROR(IF(0=LEN(ReferenceData!$AG$79),"",ReferenceData!$AG$79),"")</f>
        <v/>
      </c>
      <c r="AH79" t="str">
        <f ca="1">IFERROR(IF(0=LEN(ReferenceData!$AH$79),"",ReferenceData!$AH$79),"")</f>
        <v/>
      </c>
      <c r="AI79" t="str">
        <f ca="1">IFERROR(IF(0=LEN(ReferenceData!$AI$79),"",ReferenceData!$AI$79),"")</f>
        <v/>
      </c>
      <c r="AJ79" t="str">
        <f ca="1">IFERROR(IF(0=LEN(ReferenceData!$AJ$79),"",ReferenceData!$AJ$79),"")</f>
        <v/>
      </c>
      <c r="AK79" t="str">
        <f ca="1">IFERROR(IF(0=LEN(ReferenceData!$AK$79),"",ReferenceData!$AK$79),"")</f>
        <v/>
      </c>
      <c r="AL79" t="str">
        <f ca="1">IFERROR(IF(0=LEN(ReferenceData!$AL$79),"",ReferenceData!$AL$79),"")</f>
        <v/>
      </c>
      <c r="AM79" t="str">
        <f ca="1">IFERROR(IF(0=LEN(ReferenceData!$AM$79),"",ReferenceData!$AM$79),"")</f>
        <v/>
      </c>
      <c r="AN79" t="str">
        <f ca="1">IFERROR(IF(0=LEN(ReferenceData!$AN$79),"",ReferenceData!$AN$79),"")</f>
        <v/>
      </c>
      <c r="AO79" t="str">
        <f ca="1">IFERROR(IF(0=LEN(ReferenceData!$AO$79),"",ReferenceData!$AO$79),"")</f>
        <v/>
      </c>
      <c r="AP79" t="str">
        <f ca="1">IFERROR(IF(0=LEN(ReferenceData!$AP$79),"",ReferenceData!$AP$79),"")</f>
        <v/>
      </c>
      <c r="AQ79" t="str">
        <f ca="1">IFERROR(IF(0=LEN(ReferenceData!$AQ$79),"",ReferenceData!$AQ$79),"")</f>
        <v/>
      </c>
      <c r="AR79" t="str">
        <f ca="1">IFERROR(IF(0=LEN(ReferenceData!$AR$79),"",ReferenceData!$AR$79),"")</f>
        <v/>
      </c>
      <c r="AS79" t="str">
        <f ca="1">IFERROR(IF(0=LEN(ReferenceData!$AS$79),"",ReferenceData!$AS$79),"")</f>
        <v/>
      </c>
    </row>
    <row r="80" spans="1:45" x14ac:dyDescent="0.2">
      <c r="A80" t="str">
        <f>IFERROR(IF(0=LEN(ReferenceData!$A$80),"",ReferenceData!$A$80),"")</f>
        <v xml:space="preserve">        Source: U.S. Census Bureau</v>
      </c>
      <c r="B80" t="str">
        <f>IFERROR(IF(0=LEN(ReferenceData!$B$80),"",ReferenceData!$B$80),"")</f>
        <v/>
      </c>
      <c r="C80" t="str">
        <f>IFERROR(IF(0=LEN(ReferenceData!$C$80),"",ReferenceData!$C$80),"")</f>
        <v/>
      </c>
      <c r="D80" t="str">
        <f>IFERROR(IF(0=LEN(ReferenceData!$D$80),"",ReferenceData!$D$80),"")</f>
        <v/>
      </c>
      <c r="E80" t="str">
        <f>IFERROR(IF(0=LEN(ReferenceData!$E$80),"",ReferenceData!$E$80),"")</f>
        <v>Heading</v>
      </c>
      <c r="F80" t="str">
        <f>IFERROR(IF(0=LEN(ReferenceData!$F$80),"",ReferenceData!$F$80),"")</f>
        <v/>
      </c>
      <c r="G80" t="str">
        <f>IFERROR(IF(0=LEN(ReferenceData!$G$80),"",ReferenceData!$G$80),"")</f>
        <v/>
      </c>
      <c r="H80" t="str">
        <f>IFERROR(IF(0=LEN(ReferenceData!$H$80),"",ReferenceData!$H$80),"")</f>
        <v/>
      </c>
      <c r="I80" t="str">
        <f>IFERROR(IF(0=LEN(ReferenceData!$I$80),"",ReferenceData!$I$80),"")</f>
        <v/>
      </c>
      <c r="J80" t="str">
        <f>IFERROR(IF(0=LEN(ReferenceData!$J$80),"",ReferenceData!$J$80),"")</f>
        <v/>
      </c>
      <c r="K80" t="str">
        <f>IFERROR(IF(0=LEN(ReferenceData!$K$80),"",ReferenceData!$K$80),"")</f>
        <v/>
      </c>
      <c r="L80" t="str">
        <f>IFERROR(IF(0=LEN(ReferenceData!$L$80),"",ReferenceData!$L$80),"")</f>
        <v/>
      </c>
      <c r="M80" t="str">
        <f>IFERROR(IF(0=LEN(ReferenceData!$M$80),"",ReferenceData!$M$80),"")</f>
        <v/>
      </c>
      <c r="N80" t="str">
        <f>IFERROR(IF(0=LEN(ReferenceData!$N$80),"",ReferenceData!$N$80),"")</f>
        <v/>
      </c>
      <c r="O80" t="str">
        <f>IFERROR(IF(0=LEN(ReferenceData!$O$80),"",ReferenceData!$O$80),"")</f>
        <v/>
      </c>
      <c r="P80" t="str">
        <f>IFERROR(IF(0=LEN(ReferenceData!$P$80),"",ReferenceData!$P$80),"")</f>
        <v/>
      </c>
      <c r="Q80" t="str">
        <f>IFERROR(IF(0=LEN(ReferenceData!$Q$80),"",ReferenceData!$Q$80),"")</f>
        <v/>
      </c>
      <c r="R80" t="str">
        <f>IFERROR(IF(0=LEN(ReferenceData!$R$80),"",ReferenceData!$R$80),"")</f>
        <v/>
      </c>
      <c r="S80" t="str">
        <f>IFERROR(IF(0=LEN(ReferenceData!$S$80),"",ReferenceData!$S$80),"")</f>
        <v/>
      </c>
      <c r="T80" t="str">
        <f>IFERROR(IF(0=LEN(ReferenceData!$T$80),"",ReferenceData!$T$80),"")</f>
        <v/>
      </c>
      <c r="U80" t="str">
        <f>IFERROR(IF(0=LEN(ReferenceData!$U$80),"",ReferenceData!$U$80),"")</f>
        <v/>
      </c>
      <c r="V80" t="str">
        <f>IFERROR(IF(0=LEN(ReferenceData!$V$80),"",ReferenceData!$V$80),"")</f>
        <v/>
      </c>
      <c r="W80" t="str">
        <f>IFERROR(IF(0=LEN(ReferenceData!$W$80),"",ReferenceData!$W$80),"")</f>
        <v/>
      </c>
      <c r="X80" t="str">
        <f>IFERROR(IF(0=LEN(ReferenceData!$X$80),"",ReferenceData!$X$80),"")</f>
        <v/>
      </c>
      <c r="Y80" t="str">
        <f>IFERROR(IF(0=LEN(ReferenceData!$Y$80),"",ReferenceData!$Y$80),"")</f>
        <v/>
      </c>
      <c r="Z80" t="str">
        <f>IFERROR(IF(0=LEN(ReferenceData!$Z$80),"",ReferenceData!$Z$80),"")</f>
        <v/>
      </c>
      <c r="AA80" t="str">
        <f>IFERROR(IF(0=LEN(ReferenceData!$AA$80),"",ReferenceData!$AA$80),"")</f>
        <v/>
      </c>
      <c r="AB80" t="str">
        <f>IFERROR(IF(0=LEN(ReferenceData!$AB$80),"",ReferenceData!$AB$80),"")</f>
        <v/>
      </c>
      <c r="AC80" t="str">
        <f>IFERROR(IF(0=LEN(ReferenceData!$AC$80),"",ReferenceData!$AC$80),"")</f>
        <v/>
      </c>
      <c r="AD80" t="str">
        <f>IFERROR(IF(0=LEN(ReferenceData!$AD$80),"",ReferenceData!$AD$80),"")</f>
        <v/>
      </c>
      <c r="AE80" t="str">
        <f>IFERROR(IF(0=LEN(ReferenceData!$AE$80),"",ReferenceData!$AE$80),"")</f>
        <v/>
      </c>
      <c r="AF80" t="str">
        <f>IFERROR(IF(0=LEN(ReferenceData!$AF$80),"",ReferenceData!$AF$80),"")</f>
        <v/>
      </c>
      <c r="AG80" t="str">
        <f>IFERROR(IF(0=LEN(ReferenceData!$AG$80),"",ReferenceData!$AG$80),"")</f>
        <v/>
      </c>
      <c r="AH80" t="str">
        <f>IFERROR(IF(0=LEN(ReferenceData!$AH$80),"",ReferenceData!$AH$80),"")</f>
        <v/>
      </c>
      <c r="AI80" t="str">
        <f>IFERROR(IF(0=LEN(ReferenceData!$AI$80),"",ReferenceData!$AI$80),"")</f>
        <v/>
      </c>
      <c r="AJ80" t="str">
        <f>IFERROR(IF(0=LEN(ReferenceData!$AJ$80),"",ReferenceData!$AJ$80),"")</f>
        <v/>
      </c>
      <c r="AK80" t="str">
        <f>IFERROR(IF(0=LEN(ReferenceData!$AK$80),"",ReferenceData!$AK$80),"")</f>
        <v/>
      </c>
      <c r="AL80" t="str">
        <f>IFERROR(IF(0=LEN(ReferenceData!$AL$80),"",ReferenceData!$AL$80),"")</f>
        <v/>
      </c>
      <c r="AM80" t="str">
        <f>IFERROR(IF(0=LEN(ReferenceData!$AM$80),"",ReferenceData!$AM$80),"")</f>
        <v/>
      </c>
      <c r="AN80" t="str">
        <f>IFERROR(IF(0=LEN(ReferenceData!$AN$80),"",ReferenceData!$AN$80),"")</f>
        <v/>
      </c>
      <c r="AO80" t="str">
        <f>IFERROR(IF(0=LEN(ReferenceData!$AO$80),"",ReferenceData!$AO$80),"")</f>
        <v/>
      </c>
      <c r="AP80" t="str">
        <f>IFERROR(IF(0=LEN(ReferenceData!$AP$80),"",ReferenceData!$AP$80),"")</f>
        <v/>
      </c>
      <c r="AQ80" t="str">
        <f>IFERROR(IF(0=LEN(ReferenceData!$AQ$80),"",ReferenceData!$AQ$80),"")</f>
        <v/>
      </c>
      <c r="AR80" t="str">
        <f>IFERROR(IF(0=LEN(ReferenceData!$AR$80),"",ReferenceData!$AR$80),"")</f>
        <v/>
      </c>
      <c r="AS80" t="str">
        <f>IFERROR(IF(0=LEN(ReferenceData!$AS$80),"",ReferenceData!$AS$80),"")</f>
        <v/>
      </c>
    </row>
    <row r="81" spans="1:45" x14ac:dyDescent="0.2">
      <c r="A81" t="str">
        <f>IFERROR(IF(0=LEN(ReferenceData!$A$81),"",ReferenceData!$A$81),"")</f>
        <v xml:space="preserve">        </v>
      </c>
      <c r="B81" t="str">
        <f>IFERROR(IF(0=LEN(ReferenceData!$B$81),"",ReferenceData!$B$81),"")</f>
        <v/>
      </c>
      <c r="C81" t="str">
        <f>IFERROR(IF(0=LEN(ReferenceData!$C$81),"",ReferenceData!$C$81),"")</f>
        <v/>
      </c>
      <c r="D81" t="str">
        <f>IFERROR(IF(0=LEN(ReferenceData!$D$81),"",ReferenceData!$D$81),"")</f>
        <v/>
      </c>
      <c r="E81" t="str">
        <f>IFERROR(IF(0=LEN(ReferenceData!$E$81),"",ReferenceData!$E$81),"")</f>
        <v>Static</v>
      </c>
      <c r="F81" t="str">
        <f ca="1">IFERROR(IF(0=LEN(ReferenceData!$F$81),"",ReferenceData!$F$81),"")</f>
        <v/>
      </c>
      <c r="G81" t="str">
        <f ca="1">IFERROR(IF(0=LEN(ReferenceData!$G$81),"",ReferenceData!$G$81),"")</f>
        <v/>
      </c>
      <c r="H81" t="str">
        <f ca="1">IFERROR(IF(0=LEN(ReferenceData!$H$81),"",ReferenceData!$H$81),"")</f>
        <v/>
      </c>
      <c r="I81" t="str">
        <f ca="1">IFERROR(IF(0=LEN(ReferenceData!$I$81),"",ReferenceData!$I$81),"")</f>
        <v/>
      </c>
      <c r="J81" t="str">
        <f ca="1">IFERROR(IF(0=LEN(ReferenceData!$J$81),"",ReferenceData!$J$81),"")</f>
        <v/>
      </c>
      <c r="K81" t="str">
        <f ca="1">IFERROR(IF(0=LEN(ReferenceData!$K$81),"",ReferenceData!$K$81),"")</f>
        <v/>
      </c>
      <c r="L81" t="str">
        <f ca="1">IFERROR(IF(0=LEN(ReferenceData!$L$81),"",ReferenceData!$L$81),"")</f>
        <v/>
      </c>
      <c r="M81" t="str">
        <f ca="1">IFERROR(IF(0=LEN(ReferenceData!$M$81),"",ReferenceData!$M$81),"")</f>
        <v/>
      </c>
      <c r="N81" t="str">
        <f ca="1">IFERROR(IF(0=LEN(ReferenceData!$N$81),"",ReferenceData!$N$81),"")</f>
        <v/>
      </c>
      <c r="O81" t="str">
        <f ca="1">IFERROR(IF(0=LEN(ReferenceData!$O$81),"",ReferenceData!$O$81),"")</f>
        <v/>
      </c>
      <c r="P81" t="str">
        <f ca="1">IFERROR(IF(0=LEN(ReferenceData!$P$81),"",ReferenceData!$P$81),"")</f>
        <v/>
      </c>
      <c r="Q81" t="str">
        <f ca="1">IFERROR(IF(0=LEN(ReferenceData!$Q$81),"",ReferenceData!$Q$81),"")</f>
        <v/>
      </c>
      <c r="R81" t="str">
        <f ca="1">IFERROR(IF(0=LEN(ReferenceData!$R$81),"",ReferenceData!$R$81),"")</f>
        <v/>
      </c>
      <c r="S81" t="str">
        <f ca="1">IFERROR(IF(0=LEN(ReferenceData!$S$81),"",ReferenceData!$S$81),"")</f>
        <v/>
      </c>
      <c r="T81" t="str">
        <f ca="1">IFERROR(IF(0=LEN(ReferenceData!$T$81),"",ReferenceData!$T$81),"")</f>
        <v/>
      </c>
      <c r="U81" t="str">
        <f ca="1">IFERROR(IF(0=LEN(ReferenceData!$U$81),"",ReferenceData!$U$81),"")</f>
        <v/>
      </c>
      <c r="V81" t="str">
        <f ca="1">IFERROR(IF(0=LEN(ReferenceData!$V$81),"",ReferenceData!$V$81),"")</f>
        <v/>
      </c>
      <c r="W81" t="str">
        <f ca="1">IFERROR(IF(0=LEN(ReferenceData!$W$81),"",ReferenceData!$W$81),"")</f>
        <v/>
      </c>
      <c r="X81" t="str">
        <f ca="1">IFERROR(IF(0=LEN(ReferenceData!$X$81),"",ReferenceData!$X$81),"")</f>
        <v/>
      </c>
      <c r="Y81" t="str">
        <f ca="1">IFERROR(IF(0=LEN(ReferenceData!$Y$81),"",ReferenceData!$Y$81),"")</f>
        <v/>
      </c>
      <c r="Z81" t="str">
        <f ca="1">IFERROR(IF(0=LEN(ReferenceData!$Z$81),"",ReferenceData!$Z$81),"")</f>
        <v/>
      </c>
      <c r="AA81" t="str">
        <f ca="1">IFERROR(IF(0=LEN(ReferenceData!$AA$81),"",ReferenceData!$AA$81),"")</f>
        <v/>
      </c>
      <c r="AB81" t="str">
        <f ca="1">IFERROR(IF(0=LEN(ReferenceData!$AB$81),"",ReferenceData!$AB$81),"")</f>
        <v/>
      </c>
      <c r="AC81" t="str">
        <f ca="1">IFERROR(IF(0=LEN(ReferenceData!$AC$81),"",ReferenceData!$AC$81),"")</f>
        <v/>
      </c>
      <c r="AD81" t="str">
        <f ca="1">IFERROR(IF(0=LEN(ReferenceData!$AD$81),"",ReferenceData!$AD$81),"")</f>
        <v/>
      </c>
      <c r="AE81" t="str">
        <f ca="1">IFERROR(IF(0=LEN(ReferenceData!$AE$81),"",ReferenceData!$AE$81),"")</f>
        <v/>
      </c>
      <c r="AF81" t="str">
        <f ca="1">IFERROR(IF(0=LEN(ReferenceData!$AF$81),"",ReferenceData!$AF$81),"")</f>
        <v/>
      </c>
      <c r="AG81" t="str">
        <f ca="1">IFERROR(IF(0=LEN(ReferenceData!$AG$81),"",ReferenceData!$AG$81),"")</f>
        <v/>
      </c>
      <c r="AH81" t="str">
        <f ca="1">IFERROR(IF(0=LEN(ReferenceData!$AH$81),"",ReferenceData!$AH$81),"")</f>
        <v/>
      </c>
      <c r="AI81" t="str">
        <f ca="1">IFERROR(IF(0=LEN(ReferenceData!$AI$81),"",ReferenceData!$AI$81),"")</f>
        <v/>
      </c>
      <c r="AJ81" t="str">
        <f ca="1">IFERROR(IF(0=LEN(ReferenceData!$AJ$81),"",ReferenceData!$AJ$81),"")</f>
        <v/>
      </c>
      <c r="AK81" t="str">
        <f ca="1">IFERROR(IF(0=LEN(ReferenceData!$AK$81),"",ReferenceData!$AK$81),"")</f>
        <v/>
      </c>
      <c r="AL81" t="str">
        <f ca="1">IFERROR(IF(0=LEN(ReferenceData!$AL$81),"",ReferenceData!$AL$81),"")</f>
        <v/>
      </c>
      <c r="AM81" t="str">
        <f ca="1">IFERROR(IF(0=LEN(ReferenceData!$AM$81),"",ReferenceData!$AM$81),"")</f>
        <v/>
      </c>
      <c r="AN81" t="str">
        <f ca="1">IFERROR(IF(0=LEN(ReferenceData!$AN$81),"",ReferenceData!$AN$81),"")</f>
        <v/>
      </c>
      <c r="AO81" t="str">
        <f ca="1">IFERROR(IF(0=LEN(ReferenceData!$AO$81),"",ReferenceData!$AO$81),"")</f>
        <v/>
      </c>
      <c r="AP81" t="str">
        <f ca="1">IFERROR(IF(0=LEN(ReferenceData!$AP$81),"",ReferenceData!$AP$81),"")</f>
        <v/>
      </c>
      <c r="AQ81" t="str">
        <f ca="1">IFERROR(IF(0=LEN(ReferenceData!$AQ$81),"",ReferenceData!$AQ$81),"")</f>
        <v/>
      </c>
      <c r="AR81" t="str">
        <f ca="1">IFERROR(IF(0=LEN(ReferenceData!$AR$81),"",ReferenceData!$AR$81),"")</f>
        <v/>
      </c>
      <c r="AS81" t="str">
        <f ca="1">IFERROR(IF(0=LEN(ReferenceData!$AS$81),"",ReferenceData!$AS$81),"")</f>
        <v/>
      </c>
    </row>
    <row r="82" spans="1:45" x14ac:dyDescent="0.2">
      <c r="A82" t="str">
        <f>IFERROR(IF(0=LEN(ReferenceData!$A$82),"",ReferenceData!$A$82),"")</f>
        <v>Canada</v>
      </c>
      <c r="B82" t="str">
        <f>IFERROR(IF(0=LEN(ReferenceData!$B$82),"",ReferenceData!$B$82),"")</f>
        <v/>
      </c>
      <c r="C82" t="str">
        <f>IFERROR(IF(0=LEN(ReferenceData!$C$82),"",ReferenceData!$C$82),"")</f>
        <v/>
      </c>
      <c r="D82" t="str">
        <f>IFERROR(IF(0=LEN(ReferenceData!$D$82),"",ReferenceData!$D$82),"")</f>
        <v/>
      </c>
      <c r="E82" t="str">
        <f>IFERROR(IF(0=LEN(ReferenceData!$E$82),"",ReferenceData!$E$82),"")</f>
        <v>Heading</v>
      </c>
      <c r="F82" t="str">
        <f>IFERROR(IF(0=LEN(ReferenceData!$F$82),"",ReferenceData!$F$82),"")</f>
        <v/>
      </c>
      <c r="G82" t="str">
        <f>IFERROR(IF(0=LEN(ReferenceData!$G$82),"",ReferenceData!$G$82),"")</f>
        <v/>
      </c>
      <c r="H82" t="str">
        <f>IFERROR(IF(0=LEN(ReferenceData!$H$82),"",ReferenceData!$H$82),"")</f>
        <v/>
      </c>
      <c r="I82" t="str">
        <f>IFERROR(IF(0=LEN(ReferenceData!$I$82),"",ReferenceData!$I$82),"")</f>
        <v/>
      </c>
      <c r="J82" t="str">
        <f>IFERROR(IF(0=LEN(ReferenceData!$J$82),"",ReferenceData!$J$82),"")</f>
        <v/>
      </c>
      <c r="K82" t="str">
        <f>IFERROR(IF(0=LEN(ReferenceData!$K$82),"",ReferenceData!$K$82),"")</f>
        <v/>
      </c>
      <c r="L82" t="str">
        <f>IFERROR(IF(0=LEN(ReferenceData!$L$82),"",ReferenceData!$L$82),"")</f>
        <v/>
      </c>
      <c r="M82" t="str">
        <f>IFERROR(IF(0=LEN(ReferenceData!$M$82),"",ReferenceData!$M$82),"")</f>
        <v/>
      </c>
      <c r="N82" t="str">
        <f>IFERROR(IF(0=LEN(ReferenceData!$N$82),"",ReferenceData!$N$82),"")</f>
        <v/>
      </c>
      <c r="O82" t="str">
        <f>IFERROR(IF(0=LEN(ReferenceData!$O$82),"",ReferenceData!$O$82),"")</f>
        <v/>
      </c>
      <c r="P82" t="str">
        <f>IFERROR(IF(0=LEN(ReferenceData!$P$82),"",ReferenceData!$P$82),"")</f>
        <v/>
      </c>
      <c r="Q82" t="str">
        <f>IFERROR(IF(0=LEN(ReferenceData!$Q$82),"",ReferenceData!$Q$82),"")</f>
        <v/>
      </c>
      <c r="R82" t="str">
        <f>IFERROR(IF(0=LEN(ReferenceData!$R$82),"",ReferenceData!$R$82),"")</f>
        <v/>
      </c>
      <c r="S82" t="str">
        <f>IFERROR(IF(0=LEN(ReferenceData!$S$82),"",ReferenceData!$S$82),"")</f>
        <v/>
      </c>
      <c r="T82" t="str">
        <f>IFERROR(IF(0=LEN(ReferenceData!$T$82),"",ReferenceData!$T$82),"")</f>
        <v/>
      </c>
      <c r="U82" t="str">
        <f>IFERROR(IF(0=LEN(ReferenceData!$U$82),"",ReferenceData!$U$82),"")</f>
        <v/>
      </c>
      <c r="V82" t="str">
        <f>IFERROR(IF(0=LEN(ReferenceData!$V$82),"",ReferenceData!$V$82),"")</f>
        <v/>
      </c>
      <c r="W82" t="str">
        <f>IFERROR(IF(0=LEN(ReferenceData!$W$82),"",ReferenceData!$W$82),"")</f>
        <v/>
      </c>
      <c r="X82" t="str">
        <f>IFERROR(IF(0=LEN(ReferenceData!$X$82),"",ReferenceData!$X$82),"")</f>
        <v/>
      </c>
      <c r="Y82" t="str">
        <f>IFERROR(IF(0=LEN(ReferenceData!$Y$82),"",ReferenceData!$Y$82),"")</f>
        <v/>
      </c>
      <c r="Z82" t="str">
        <f>IFERROR(IF(0=LEN(ReferenceData!$Z$82),"",ReferenceData!$Z$82),"")</f>
        <v/>
      </c>
      <c r="AA82" t="str">
        <f>IFERROR(IF(0=LEN(ReferenceData!$AA$82),"",ReferenceData!$AA$82),"")</f>
        <v/>
      </c>
      <c r="AB82" t="str">
        <f>IFERROR(IF(0=LEN(ReferenceData!$AB$82),"",ReferenceData!$AB$82),"")</f>
        <v/>
      </c>
      <c r="AC82" t="str">
        <f>IFERROR(IF(0=LEN(ReferenceData!$AC$82),"",ReferenceData!$AC$82),"")</f>
        <v/>
      </c>
      <c r="AD82" t="str">
        <f>IFERROR(IF(0=LEN(ReferenceData!$AD$82),"",ReferenceData!$AD$82),"")</f>
        <v/>
      </c>
      <c r="AE82" t="str">
        <f>IFERROR(IF(0=LEN(ReferenceData!$AE$82),"",ReferenceData!$AE$82),"")</f>
        <v/>
      </c>
      <c r="AF82" t="str">
        <f>IFERROR(IF(0=LEN(ReferenceData!$AF$82),"",ReferenceData!$AF$82),"")</f>
        <v/>
      </c>
      <c r="AG82" t="str">
        <f>IFERROR(IF(0=LEN(ReferenceData!$AG$82),"",ReferenceData!$AG$82),"")</f>
        <v/>
      </c>
      <c r="AH82" t="str">
        <f>IFERROR(IF(0=LEN(ReferenceData!$AH$82),"",ReferenceData!$AH$82),"")</f>
        <v/>
      </c>
      <c r="AI82" t="str">
        <f>IFERROR(IF(0=LEN(ReferenceData!$AI$82),"",ReferenceData!$AI$82),"")</f>
        <v/>
      </c>
      <c r="AJ82" t="str">
        <f>IFERROR(IF(0=LEN(ReferenceData!$AJ$82),"",ReferenceData!$AJ$82),"")</f>
        <v/>
      </c>
      <c r="AK82" t="str">
        <f>IFERROR(IF(0=LEN(ReferenceData!$AK$82),"",ReferenceData!$AK$82),"")</f>
        <v/>
      </c>
      <c r="AL82" t="str">
        <f>IFERROR(IF(0=LEN(ReferenceData!$AL$82),"",ReferenceData!$AL$82),"")</f>
        <v/>
      </c>
      <c r="AM82" t="str">
        <f>IFERROR(IF(0=LEN(ReferenceData!$AM$82),"",ReferenceData!$AM$82),"")</f>
        <v/>
      </c>
      <c r="AN82" t="str">
        <f>IFERROR(IF(0=LEN(ReferenceData!$AN$82),"",ReferenceData!$AN$82),"")</f>
        <v/>
      </c>
      <c r="AO82" t="str">
        <f>IFERROR(IF(0=LEN(ReferenceData!$AO$82),"",ReferenceData!$AO$82),"")</f>
        <v/>
      </c>
      <c r="AP82" t="str">
        <f>IFERROR(IF(0=LEN(ReferenceData!$AP$82),"",ReferenceData!$AP$82),"")</f>
        <v/>
      </c>
      <c r="AQ82" t="str">
        <f>IFERROR(IF(0=LEN(ReferenceData!$AQ$82),"",ReferenceData!$AQ$82),"")</f>
        <v/>
      </c>
      <c r="AR82" t="str">
        <f>IFERROR(IF(0=LEN(ReferenceData!$AR$82),"",ReferenceData!$AR$82),"")</f>
        <v/>
      </c>
      <c r="AS82" t="str">
        <f>IFERROR(IF(0=LEN(ReferenceData!$AS$82),"",ReferenceData!$AS$82),"")</f>
        <v/>
      </c>
    </row>
    <row r="83" spans="1:45" x14ac:dyDescent="0.2">
      <c r="A83" t="str">
        <f>IFERROR(IF(0=LEN(ReferenceData!$A$83),"",ReferenceData!$A$83),"")</f>
        <v xml:space="preserve">    </v>
      </c>
      <c r="B83" t="str">
        <f>IFERROR(IF(0=LEN(ReferenceData!$B$83),"",ReferenceData!$B$83),"")</f>
        <v/>
      </c>
      <c r="C83" t="str">
        <f>IFERROR(IF(0=LEN(ReferenceData!$C$83),"",ReferenceData!$C$83),"")</f>
        <v/>
      </c>
      <c r="D83" t="str">
        <f>IFERROR(IF(0=LEN(ReferenceData!$D$83),"",ReferenceData!$D$83),"")</f>
        <v/>
      </c>
      <c r="E83" t="str">
        <f>IFERROR(IF(0=LEN(ReferenceData!$E$83),"",ReferenceData!$E$83),"")</f>
        <v>Static</v>
      </c>
      <c r="F83" t="str">
        <f ca="1">IFERROR(IF(0=LEN(ReferenceData!$F$83),"",ReferenceData!$F$83),"")</f>
        <v/>
      </c>
      <c r="G83" t="str">
        <f ca="1">IFERROR(IF(0=LEN(ReferenceData!$G$83),"",ReferenceData!$G$83),"")</f>
        <v/>
      </c>
      <c r="H83" t="str">
        <f ca="1">IFERROR(IF(0=LEN(ReferenceData!$H$83),"",ReferenceData!$H$83),"")</f>
        <v/>
      </c>
      <c r="I83" t="str">
        <f ca="1">IFERROR(IF(0=LEN(ReferenceData!$I$83),"",ReferenceData!$I$83),"")</f>
        <v/>
      </c>
      <c r="J83" t="str">
        <f ca="1">IFERROR(IF(0=LEN(ReferenceData!$J$83),"",ReferenceData!$J$83),"")</f>
        <v/>
      </c>
      <c r="K83" t="str">
        <f ca="1">IFERROR(IF(0=LEN(ReferenceData!$K$83),"",ReferenceData!$K$83),"")</f>
        <v/>
      </c>
      <c r="L83" t="str">
        <f ca="1">IFERROR(IF(0=LEN(ReferenceData!$L$83),"",ReferenceData!$L$83),"")</f>
        <v/>
      </c>
      <c r="M83" t="str">
        <f ca="1">IFERROR(IF(0=LEN(ReferenceData!$M$83),"",ReferenceData!$M$83),"")</f>
        <v/>
      </c>
      <c r="N83" t="str">
        <f ca="1">IFERROR(IF(0=LEN(ReferenceData!$N$83),"",ReferenceData!$N$83),"")</f>
        <v/>
      </c>
      <c r="O83" t="str">
        <f ca="1">IFERROR(IF(0=LEN(ReferenceData!$O$83),"",ReferenceData!$O$83),"")</f>
        <v/>
      </c>
      <c r="P83" t="str">
        <f ca="1">IFERROR(IF(0=LEN(ReferenceData!$P$83),"",ReferenceData!$P$83),"")</f>
        <v/>
      </c>
      <c r="Q83" t="str">
        <f ca="1">IFERROR(IF(0=LEN(ReferenceData!$Q$83),"",ReferenceData!$Q$83),"")</f>
        <v/>
      </c>
      <c r="R83" t="str">
        <f ca="1">IFERROR(IF(0=LEN(ReferenceData!$R$83),"",ReferenceData!$R$83),"")</f>
        <v/>
      </c>
      <c r="S83" t="str">
        <f ca="1">IFERROR(IF(0=LEN(ReferenceData!$S$83),"",ReferenceData!$S$83),"")</f>
        <v/>
      </c>
      <c r="T83" t="str">
        <f ca="1">IFERROR(IF(0=LEN(ReferenceData!$T$83),"",ReferenceData!$T$83),"")</f>
        <v/>
      </c>
      <c r="U83" t="str">
        <f ca="1">IFERROR(IF(0=LEN(ReferenceData!$U$83),"",ReferenceData!$U$83),"")</f>
        <v/>
      </c>
      <c r="V83" t="str">
        <f ca="1">IFERROR(IF(0=LEN(ReferenceData!$V$83),"",ReferenceData!$V$83),"")</f>
        <v/>
      </c>
      <c r="W83" t="str">
        <f ca="1">IFERROR(IF(0=LEN(ReferenceData!$W$83),"",ReferenceData!$W$83),"")</f>
        <v/>
      </c>
      <c r="X83" t="str">
        <f ca="1">IFERROR(IF(0=LEN(ReferenceData!$X$83),"",ReferenceData!$X$83),"")</f>
        <v/>
      </c>
      <c r="Y83" t="str">
        <f ca="1">IFERROR(IF(0=LEN(ReferenceData!$Y$83),"",ReferenceData!$Y$83),"")</f>
        <v/>
      </c>
      <c r="Z83" t="str">
        <f ca="1">IFERROR(IF(0=LEN(ReferenceData!$Z$83),"",ReferenceData!$Z$83),"")</f>
        <v/>
      </c>
      <c r="AA83" t="str">
        <f ca="1">IFERROR(IF(0=LEN(ReferenceData!$AA$83),"",ReferenceData!$AA$83),"")</f>
        <v/>
      </c>
      <c r="AB83" t="str">
        <f ca="1">IFERROR(IF(0=LEN(ReferenceData!$AB$83),"",ReferenceData!$AB$83),"")</f>
        <v/>
      </c>
      <c r="AC83" t="str">
        <f ca="1">IFERROR(IF(0=LEN(ReferenceData!$AC$83),"",ReferenceData!$AC$83),"")</f>
        <v/>
      </c>
      <c r="AD83" t="str">
        <f ca="1">IFERROR(IF(0=LEN(ReferenceData!$AD$83),"",ReferenceData!$AD$83),"")</f>
        <v/>
      </c>
      <c r="AE83" t="str">
        <f ca="1">IFERROR(IF(0=LEN(ReferenceData!$AE$83),"",ReferenceData!$AE$83),"")</f>
        <v/>
      </c>
      <c r="AF83" t="str">
        <f ca="1">IFERROR(IF(0=LEN(ReferenceData!$AF$83),"",ReferenceData!$AF$83),"")</f>
        <v/>
      </c>
      <c r="AG83" t="str">
        <f ca="1">IFERROR(IF(0=LEN(ReferenceData!$AG$83),"",ReferenceData!$AG$83),"")</f>
        <v/>
      </c>
      <c r="AH83" t="str">
        <f ca="1">IFERROR(IF(0=LEN(ReferenceData!$AH$83),"",ReferenceData!$AH$83),"")</f>
        <v/>
      </c>
      <c r="AI83" t="str">
        <f ca="1">IFERROR(IF(0=LEN(ReferenceData!$AI$83),"",ReferenceData!$AI$83),"")</f>
        <v/>
      </c>
      <c r="AJ83" t="str">
        <f ca="1">IFERROR(IF(0=LEN(ReferenceData!$AJ$83),"",ReferenceData!$AJ$83),"")</f>
        <v/>
      </c>
      <c r="AK83" t="str">
        <f ca="1">IFERROR(IF(0=LEN(ReferenceData!$AK$83),"",ReferenceData!$AK$83),"")</f>
        <v/>
      </c>
      <c r="AL83" t="str">
        <f ca="1">IFERROR(IF(0=LEN(ReferenceData!$AL$83),"",ReferenceData!$AL$83),"")</f>
        <v/>
      </c>
      <c r="AM83" t="str">
        <f ca="1">IFERROR(IF(0=LEN(ReferenceData!$AM$83),"",ReferenceData!$AM$83),"")</f>
        <v/>
      </c>
      <c r="AN83" t="str">
        <f ca="1">IFERROR(IF(0=LEN(ReferenceData!$AN$83),"",ReferenceData!$AN$83),"")</f>
        <v/>
      </c>
      <c r="AO83" t="str">
        <f ca="1">IFERROR(IF(0=LEN(ReferenceData!$AO$83),"",ReferenceData!$AO$83),"")</f>
        <v/>
      </c>
      <c r="AP83" t="str">
        <f ca="1">IFERROR(IF(0=LEN(ReferenceData!$AP$83),"",ReferenceData!$AP$83),"")</f>
        <v/>
      </c>
      <c r="AQ83" t="str">
        <f ca="1">IFERROR(IF(0=LEN(ReferenceData!$AQ$83),"",ReferenceData!$AQ$83),"")</f>
        <v/>
      </c>
      <c r="AR83" t="str">
        <f ca="1">IFERROR(IF(0=LEN(ReferenceData!$AR$83),"",ReferenceData!$AR$83),"")</f>
        <v/>
      </c>
      <c r="AS83" t="str">
        <f ca="1">IFERROR(IF(0=LEN(ReferenceData!$AS$83),"",ReferenceData!$AS$83),"")</f>
        <v/>
      </c>
    </row>
    <row r="84" spans="1:45" x14ac:dyDescent="0.2">
      <c r="A84" t="str">
        <f>IFERROR(IF(0=LEN(ReferenceData!$A$84),"",ReferenceData!$A$84),"")</f>
        <v xml:space="preserve">    Permits</v>
      </c>
      <c r="B84" t="str">
        <f>IFERROR(IF(0=LEN(ReferenceData!$B$84),"",ReferenceData!$B$84),"")</f>
        <v/>
      </c>
      <c r="C84" t="str">
        <f>IFERROR(IF(0=LEN(ReferenceData!$C$84),"",ReferenceData!$C$84),"")</f>
        <v/>
      </c>
      <c r="D84" t="str">
        <f>IFERROR(IF(0=LEN(ReferenceData!$D$84),"",ReferenceData!$D$84),"")</f>
        <v/>
      </c>
      <c r="E84" t="str">
        <f>IFERROR(IF(0=LEN(ReferenceData!$E$84),"",ReferenceData!$E$84),"")</f>
        <v>Static</v>
      </c>
      <c r="F84" t="str">
        <f ca="1">IFERROR(IF(0=LEN(ReferenceData!$F$84),"",ReferenceData!$F$84),"")</f>
        <v/>
      </c>
      <c r="G84" t="str">
        <f ca="1">IFERROR(IF(0=LEN(ReferenceData!$G$84),"",ReferenceData!$G$84),"")</f>
        <v/>
      </c>
      <c r="H84" t="str">
        <f ca="1">IFERROR(IF(0=LEN(ReferenceData!$H$84),"",ReferenceData!$H$84),"")</f>
        <v/>
      </c>
      <c r="I84" t="str">
        <f ca="1">IFERROR(IF(0=LEN(ReferenceData!$I$84),"",ReferenceData!$I$84),"")</f>
        <v/>
      </c>
      <c r="J84" t="str">
        <f ca="1">IFERROR(IF(0=LEN(ReferenceData!$J$84),"",ReferenceData!$J$84),"")</f>
        <v/>
      </c>
      <c r="K84" t="str">
        <f ca="1">IFERROR(IF(0=LEN(ReferenceData!$K$84),"",ReferenceData!$K$84),"")</f>
        <v/>
      </c>
      <c r="L84" t="str">
        <f ca="1">IFERROR(IF(0=LEN(ReferenceData!$L$84),"",ReferenceData!$L$84),"")</f>
        <v/>
      </c>
      <c r="M84" t="str">
        <f ca="1">IFERROR(IF(0=LEN(ReferenceData!$M$84),"",ReferenceData!$M$84),"")</f>
        <v/>
      </c>
      <c r="N84" t="str">
        <f ca="1">IFERROR(IF(0=LEN(ReferenceData!$N$84),"",ReferenceData!$N$84),"")</f>
        <v/>
      </c>
      <c r="O84" t="str">
        <f ca="1">IFERROR(IF(0=LEN(ReferenceData!$O$84),"",ReferenceData!$O$84),"")</f>
        <v/>
      </c>
      <c r="P84" t="str">
        <f ca="1">IFERROR(IF(0=LEN(ReferenceData!$P$84),"",ReferenceData!$P$84),"")</f>
        <v/>
      </c>
      <c r="Q84" t="str">
        <f ca="1">IFERROR(IF(0=LEN(ReferenceData!$Q$84),"",ReferenceData!$Q$84),"")</f>
        <v/>
      </c>
      <c r="R84" t="str">
        <f ca="1">IFERROR(IF(0=LEN(ReferenceData!$R$84),"",ReferenceData!$R$84),"")</f>
        <v/>
      </c>
      <c r="S84" t="str">
        <f ca="1">IFERROR(IF(0=LEN(ReferenceData!$S$84),"",ReferenceData!$S$84),"")</f>
        <v/>
      </c>
      <c r="T84" t="str">
        <f ca="1">IFERROR(IF(0=LEN(ReferenceData!$T$84),"",ReferenceData!$T$84),"")</f>
        <v/>
      </c>
      <c r="U84" t="str">
        <f ca="1">IFERROR(IF(0=LEN(ReferenceData!$U$84),"",ReferenceData!$U$84),"")</f>
        <v/>
      </c>
      <c r="V84" t="str">
        <f ca="1">IFERROR(IF(0=LEN(ReferenceData!$V$84),"",ReferenceData!$V$84),"")</f>
        <v/>
      </c>
      <c r="W84" t="str">
        <f ca="1">IFERROR(IF(0=LEN(ReferenceData!$W$84),"",ReferenceData!$W$84),"")</f>
        <v/>
      </c>
      <c r="X84" t="str">
        <f ca="1">IFERROR(IF(0=LEN(ReferenceData!$X$84),"",ReferenceData!$X$84),"")</f>
        <v/>
      </c>
      <c r="Y84" t="str">
        <f ca="1">IFERROR(IF(0=LEN(ReferenceData!$Y$84),"",ReferenceData!$Y$84),"")</f>
        <v/>
      </c>
      <c r="Z84" t="str">
        <f ca="1">IFERROR(IF(0=LEN(ReferenceData!$Z$84),"",ReferenceData!$Z$84),"")</f>
        <v/>
      </c>
      <c r="AA84" t="str">
        <f ca="1">IFERROR(IF(0=LEN(ReferenceData!$AA$84),"",ReferenceData!$AA$84),"")</f>
        <v/>
      </c>
      <c r="AB84" t="str">
        <f ca="1">IFERROR(IF(0=LEN(ReferenceData!$AB$84),"",ReferenceData!$AB$84),"")</f>
        <v/>
      </c>
      <c r="AC84" t="str">
        <f ca="1">IFERROR(IF(0=LEN(ReferenceData!$AC$84),"",ReferenceData!$AC$84),"")</f>
        <v/>
      </c>
      <c r="AD84" t="str">
        <f ca="1">IFERROR(IF(0=LEN(ReferenceData!$AD$84),"",ReferenceData!$AD$84),"")</f>
        <v/>
      </c>
      <c r="AE84" t="str">
        <f ca="1">IFERROR(IF(0=LEN(ReferenceData!$AE$84),"",ReferenceData!$AE$84),"")</f>
        <v/>
      </c>
      <c r="AF84" t="str">
        <f ca="1">IFERROR(IF(0=LEN(ReferenceData!$AF$84),"",ReferenceData!$AF$84),"")</f>
        <v/>
      </c>
      <c r="AG84" t="str">
        <f ca="1">IFERROR(IF(0=LEN(ReferenceData!$AG$84),"",ReferenceData!$AG$84),"")</f>
        <v/>
      </c>
      <c r="AH84" t="str">
        <f ca="1">IFERROR(IF(0=LEN(ReferenceData!$AH$84),"",ReferenceData!$AH$84),"")</f>
        <v/>
      </c>
      <c r="AI84" t="str">
        <f ca="1">IFERROR(IF(0=LEN(ReferenceData!$AI$84),"",ReferenceData!$AI$84),"")</f>
        <v/>
      </c>
      <c r="AJ84" t="str">
        <f ca="1">IFERROR(IF(0=LEN(ReferenceData!$AJ$84),"",ReferenceData!$AJ$84),"")</f>
        <v/>
      </c>
      <c r="AK84" t="str">
        <f ca="1">IFERROR(IF(0=LEN(ReferenceData!$AK$84),"",ReferenceData!$AK$84),"")</f>
        <v/>
      </c>
      <c r="AL84" t="str">
        <f ca="1">IFERROR(IF(0=LEN(ReferenceData!$AL$84),"",ReferenceData!$AL$84),"")</f>
        <v/>
      </c>
      <c r="AM84" t="str">
        <f ca="1">IFERROR(IF(0=LEN(ReferenceData!$AM$84),"",ReferenceData!$AM$84),"")</f>
        <v/>
      </c>
      <c r="AN84" t="str">
        <f ca="1">IFERROR(IF(0=LEN(ReferenceData!$AN$84),"",ReferenceData!$AN$84),"")</f>
        <v/>
      </c>
      <c r="AO84" t="str">
        <f ca="1">IFERROR(IF(0=LEN(ReferenceData!$AO$84),"",ReferenceData!$AO$84),"")</f>
        <v/>
      </c>
      <c r="AP84" t="str">
        <f ca="1">IFERROR(IF(0=LEN(ReferenceData!$AP$84),"",ReferenceData!$AP$84),"")</f>
        <v/>
      </c>
      <c r="AQ84" t="str">
        <f ca="1">IFERROR(IF(0=LEN(ReferenceData!$AQ$84),"",ReferenceData!$AQ$84),"")</f>
        <v/>
      </c>
      <c r="AR84" t="str">
        <f ca="1">IFERROR(IF(0=LEN(ReferenceData!$AR$84),"",ReferenceData!$AR$84),"")</f>
        <v/>
      </c>
      <c r="AS84" t="str">
        <f ca="1">IFERROR(IF(0=LEN(ReferenceData!$AS$84),"",ReferenceData!$AS$84),"")</f>
        <v/>
      </c>
    </row>
    <row r="85" spans="1:45" x14ac:dyDescent="0.2">
      <c r="A85" t="str">
        <f>IFERROR(IF(0=LEN(ReferenceData!$A$85),"",ReferenceData!$A$85),"")</f>
        <v xml:space="preserve">        Canada Total Permits (Mn CAD)</v>
      </c>
      <c r="B85" t="str">
        <f>IFERROR(IF(0=LEN(ReferenceData!$B$85),"",ReferenceData!$B$85),"")</f>
        <v>CAHOPTOT Index</v>
      </c>
      <c r="C85" t="str">
        <f>IFERROR(IF(0=LEN(ReferenceData!$C$85),"",ReferenceData!$C$85),"")</f>
        <v>PX385</v>
      </c>
      <c r="D85" t="str">
        <f>IFERROR(IF(0=LEN(ReferenceData!$D$85),"",ReferenceData!$D$85),"")</f>
        <v>INTERVAL_SUM</v>
      </c>
      <c r="E85" t="str">
        <f>IFERROR(IF(0=LEN(ReferenceData!$E$85),"",ReferenceData!$E$85),"")</f>
        <v>Dynamic</v>
      </c>
      <c r="F85">
        <f ca="1">IFERROR(IF(0=LEN(ReferenceData!$F$85),"",ReferenceData!$F$85),"")</f>
        <v>101090.87699999999</v>
      </c>
      <c r="G85">
        <f ca="1">IFERROR(IF(0=LEN(ReferenceData!$G$85),"",ReferenceData!$G$85),"")</f>
        <v>136618.28200000001</v>
      </c>
      <c r="H85">
        <f ca="1">IFERROR(IF(0=LEN(ReferenceData!$H$85),"",ReferenceData!$H$85),"")</f>
        <v>127371.25199999999</v>
      </c>
      <c r="I85">
        <f ca="1">IFERROR(IF(0=LEN(ReferenceData!$I$85),"",ReferenceData!$I$85),"")</f>
        <v>101028.58</v>
      </c>
      <c r="J85">
        <f ca="1">IFERROR(IF(0=LEN(ReferenceData!$J$85),"",ReferenceData!$J$85),"")</f>
        <v>102863.567</v>
      </c>
      <c r="K85">
        <f ca="1">IFERROR(IF(0=LEN(ReferenceData!$K$85),"",ReferenceData!$K$85),"")</f>
        <v>99772.831999999995</v>
      </c>
      <c r="L85">
        <f ca="1">IFERROR(IF(0=LEN(ReferenceData!$L$85),"",ReferenceData!$L$85),"")</f>
        <v>95257.654999999999</v>
      </c>
      <c r="M85">
        <f ca="1">IFERROR(IF(0=LEN(ReferenceData!$M$85),"",ReferenceData!$M$85),"")</f>
        <v>85901.748999999996</v>
      </c>
      <c r="N85">
        <f ca="1">IFERROR(IF(0=LEN(ReferenceData!$N$85),"",ReferenceData!$N$85),"")</f>
        <v>85140.04</v>
      </c>
      <c r="O85">
        <f ca="1">IFERROR(IF(0=LEN(ReferenceData!$O$85),"",ReferenceData!$O$85),"")</f>
        <v>84932.078999999998</v>
      </c>
      <c r="P85">
        <f ca="1">IFERROR(IF(0=LEN(ReferenceData!$P$85),"",ReferenceData!$P$85),"")</f>
        <v>80840.899999999994</v>
      </c>
      <c r="Q85">
        <f ca="1">IFERROR(IF(0=LEN(ReferenceData!$Q$85),"",ReferenceData!$Q$85),"")</f>
        <v>80850.687000000005</v>
      </c>
      <c r="R85">
        <f ca="1">IFERROR(IF(0=LEN(ReferenceData!$R$85),"",ReferenceData!$R$85),"")</f>
        <v>73965.650999999998</v>
      </c>
      <c r="S85" t="str">
        <f ca="1">IFERROR(IF(0=LEN(ReferenceData!$S$85),"",ReferenceData!$S$85),"")</f>
        <v/>
      </c>
      <c r="T85" t="str">
        <f ca="1">IFERROR(IF(0=LEN(ReferenceData!$T$85),"",ReferenceData!$T$85),"")</f>
        <v/>
      </c>
      <c r="U85" t="str">
        <f ca="1">IFERROR(IF(0=LEN(ReferenceData!$U$85),"",ReferenceData!$U$85),"")</f>
        <v/>
      </c>
      <c r="V85" t="str">
        <f ca="1">IFERROR(IF(0=LEN(ReferenceData!$V$85),"",ReferenceData!$V$85),"")</f>
        <v/>
      </c>
      <c r="W85" t="str">
        <f ca="1">IFERROR(IF(0=LEN(ReferenceData!$W$85),"",ReferenceData!$W$85),"")</f>
        <v/>
      </c>
      <c r="X85" t="str">
        <f ca="1">IFERROR(IF(0=LEN(ReferenceData!$X$85),"",ReferenceData!$X$85),"")</f>
        <v/>
      </c>
      <c r="Y85" t="str">
        <f ca="1">IFERROR(IF(0=LEN(ReferenceData!$Y$85),"",ReferenceData!$Y$85),"")</f>
        <v/>
      </c>
      <c r="Z85" t="str">
        <f ca="1">IFERROR(IF(0=LEN(ReferenceData!$Z$85),"",ReferenceData!$Z$85),"")</f>
        <v/>
      </c>
      <c r="AA85" t="str">
        <f ca="1">IFERROR(IF(0=LEN(ReferenceData!$AA$85),"",ReferenceData!$AA$85),"")</f>
        <v/>
      </c>
      <c r="AB85" t="str">
        <f ca="1">IFERROR(IF(0=LEN(ReferenceData!$AB$85),"",ReferenceData!$AB$85),"")</f>
        <v/>
      </c>
      <c r="AC85" t="str">
        <f ca="1">IFERROR(IF(0=LEN(ReferenceData!$AC$85),"",ReferenceData!$AC$85),"")</f>
        <v/>
      </c>
      <c r="AD85" t="str">
        <f ca="1">IFERROR(IF(0=LEN(ReferenceData!$AD$85),"",ReferenceData!$AD$85),"")</f>
        <v/>
      </c>
      <c r="AE85" t="str">
        <f ca="1">IFERROR(IF(0=LEN(ReferenceData!$AE$85),"",ReferenceData!$AE$85),"")</f>
        <v/>
      </c>
      <c r="AF85" t="str">
        <f ca="1">IFERROR(IF(0=LEN(ReferenceData!$AF$85),"",ReferenceData!$AF$85),"")</f>
        <v/>
      </c>
      <c r="AG85" t="str">
        <f ca="1">IFERROR(IF(0=LEN(ReferenceData!$AG$85),"",ReferenceData!$AG$85),"")</f>
        <v/>
      </c>
      <c r="AH85" t="str">
        <f ca="1">IFERROR(IF(0=LEN(ReferenceData!$AH$85),"",ReferenceData!$AH$85),"")</f>
        <v/>
      </c>
      <c r="AI85" t="str">
        <f ca="1">IFERROR(IF(0=LEN(ReferenceData!$AI$85),"",ReferenceData!$AI$85),"")</f>
        <v/>
      </c>
      <c r="AJ85" t="str">
        <f ca="1">IFERROR(IF(0=LEN(ReferenceData!$AJ$85),"",ReferenceData!$AJ$85),"")</f>
        <v/>
      </c>
      <c r="AK85" t="str">
        <f ca="1">IFERROR(IF(0=LEN(ReferenceData!$AK$85),"",ReferenceData!$AK$85),"")</f>
        <v/>
      </c>
      <c r="AL85" t="str">
        <f ca="1">IFERROR(IF(0=LEN(ReferenceData!$AL$85),"",ReferenceData!$AL$85),"")</f>
        <v/>
      </c>
      <c r="AM85" t="str">
        <f ca="1">IFERROR(IF(0=LEN(ReferenceData!$AM$85),"",ReferenceData!$AM$85),"")</f>
        <v/>
      </c>
      <c r="AN85" t="str">
        <f ca="1">IFERROR(IF(0=LEN(ReferenceData!$AN$85),"",ReferenceData!$AN$85),"")</f>
        <v/>
      </c>
      <c r="AO85" t="str">
        <f ca="1">IFERROR(IF(0=LEN(ReferenceData!$AO$85),"",ReferenceData!$AO$85),"")</f>
        <v/>
      </c>
      <c r="AP85" t="str">
        <f ca="1">IFERROR(IF(0=LEN(ReferenceData!$AP$85),"",ReferenceData!$AP$85),"")</f>
        <v/>
      </c>
      <c r="AQ85" t="str">
        <f ca="1">IFERROR(IF(0=LEN(ReferenceData!$AQ$85),"",ReferenceData!$AQ$85),"")</f>
        <v/>
      </c>
      <c r="AR85" t="str">
        <f ca="1">IFERROR(IF(0=LEN(ReferenceData!$AR$85),"",ReferenceData!$AR$85),"")</f>
        <v/>
      </c>
      <c r="AS85" t="str">
        <f ca="1">IFERROR(IF(0=LEN(ReferenceData!$AS$85),"",ReferenceData!$AS$85),"")</f>
        <v/>
      </c>
    </row>
    <row r="86" spans="1:45" x14ac:dyDescent="0.2">
      <c r="A86" t="str">
        <f>IFERROR(IF(0=LEN(ReferenceData!$A$86),"",ReferenceData!$A$86),"")</f>
        <v xml:space="preserve">        Residential Permits (Mn CAD)</v>
      </c>
      <c r="B86" t="str">
        <f>IFERROR(IF(0=LEN(ReferenceData!$B$86),"",ReferenceData!$B$86),"")</f>
        <v>CAHOPRES Index</v>
      </c>
      <c r="C86" t="str">
        <f>IFERROR(IF(0=LEN(ReferenceData!$C$86),"",ReferenceData!$C$86),"")</f>
        <v>PX385</v>
      </c>
      <c r="D86" t="str">
        <f>IFERROR(IF(0=LEN(ReferenceData!$D$86),"",ReferenceData!$D$86),"")</f>
        <v>INTERVAL_SUM</v>
      </c>
      <c r="E86" t="str">
        <f>IFERROR(IF(0=LEN(ReferenceData!$E$86),"",ReferenceData!$E$86),"")</f>
        <v>Dynamic</v>
      </c>
      <c r="F86">
        <f ca="1">IFERROR(IF(0=LEN(ReferenceData!$F$86),"",ReferenceData!$F$86),"")</f>
        <v>61357.788</v>
      </c>
      <c r="G86">
        <f ca="1">IFERROR(IF(0=LEN(ReferenceData!$G$86),"",ReferenceData!$G$86),"")</f>
        <v>89630.798999999999</v>
      </c>
      <c r="H86">
        <f ca="1">IFERROR(IF(0=LEN(ReferenceData!$H$86),"",ReferenceData!$H$86),"")</f>
        <v>87395.516000000003</v>
      </c>
      <c r="I86">
        <f ca="1">IFERROR(IF(0=LEN(ReferenceData!$I$86),"",ReferenceData!$I$86),"")</f>
        <v>67171.732999999993</v>
      </c>
      <c r="J86">
        <f ca="1">IFERROR(IF(0=LEN(ReferenceData!$J$86),"",ReferenceData!$J$86),"")</f>
        <v>62112.631999999998</v>
      </c>
      <c r="K86">
        <f ca="1">IFERROR(IF(0=LEN(ReferenceData!$K$86),"",ReferenceData!$K$86),"")</f>
        <v>62843.377</v>
      </c>
      <c r="L86">
        <f ca="1">IFERROR(IF(0=LEN(ReferenceData!$L$86),"",ReferenceData!$L$86),"")</f>
        <v>59692.076000000001</v>
      </c>
      <c r="M86">
        <f ca="1">IFERROR(IF(0=LEN(ReferenceData!$M$86),"",ReferenceData!$M$86),"")</f>
        <v>55139.607000000004</v>
      </c>
      <c r="N86">
        <f ca="1">IFERROR(IF(0=LEN(ReferenceData!$N$86),"",ReferenceData!$N$86),"")</f>
        <v>53349.976000000002</v>
      </c>
      <c r="O86">
        <f ca="1">IFERROR(IF(0=LEN(ReferenceData!$O$86),"",ReferenceData!$O$86),"")</f>
        <v>50991.601000000002</v>
      </c>
      <c r="P86">
        <f ca="1">IFERROR(IF(0=LEN(ReferenceData!$P$86),"",ReferenceData!$P$86),"")</f>
        <v>48409.49</v>
      </c>
      <c r="Q86">
        <f ca="1">IFERROR(IF(0=LEN(ReferenceData!$Q$86),"",ReferenceData!$Q$86),"")</f>
        <v>48408.351999999999</v>
      </c>
      <c r="R86">
        <f ca="1">IFERROR(IF(0=LEN(ReferenceData!$R$86),"",ReferenceData!$R$86),"")</f>
        <v>44479.012000000002</v>
      </c>
      <c r="S86" t="str">
        <f ca="1">IFERROR(IF(0=LEN(ReferenceData!$S$86),"",ReferenceData!$S$86),"")</f>
        <v/>
      </c>
      <c r="T86" t="str">
        <f ca="1">IFERROR(IF(0=LEN(ReferenceData!$T$86),"",ReferenceData!$T$86),"")</f>
        <v/>
      </c>
      <c r="U86" t="str">
        <f ca="1">IFERROR(IF(0=LEN(ReferenceData!$U$86),"",ReferenceData!$U$86),"")</f>
        <v/>
      </c>
      <c r="V86" t="str">
        <f ca="1">IFERROR(IF(0=LEN(ReferenceData!$V$86),"",ReferenceData!$V$86),"")</f>
        <v/>
      </c>
      <c r="W86" t="str">
        <f ca="1">IFERROR(IF(0=LEN(ReferenceData!$W$86),"",ReferenceData!$W$86),"")</f>
        <v/>
      </c>
      <c r="X86" t="str">
        <f ca="1">IFERROR(IF(0=LEN(ReferenceData!$X$86),"",ReferenceData!$X$86),"")</f>
        <v/>
      </c>
      <c r="Y86" t="str">
        <f ca="1">IFERROR(IF(0=LEN(ReferenceData!$Y$86),"",ReferenceData!$Y$86),"")</f>
        <v/>
      </c>
      <c r="Z86" t="str">
        <f ca="1">IFERROR(IF(0=LEN(ReferenceData!$Z$86),"",ReferenceData!$Z$86),"")</f>
        <v/>
      </c>
      <c r="AA86" t="str">
        <f ca="1">IFERROR(IF(0=LEN(ReferenceData!$AA$86),"",ReferenceData!$AA$86),"")</f>
        <v/>
      </c>
      <c r="AB86" t="str">
        <f ca="1">IFERROR(IF(0=LEN(ReferenceData!$AB$86),"",ReferenceData!$AB$86),"")</f>
        <v/>
      </c>
      <c r="AC86" t="str">
        <f ca="1">IFERROR(IF(0=LEN(ReferenceData!$AC$86),"",ReferenceData!$AC$86),"")</f>
        <v/>
      </c>
      <c r="AD86" t="str">
        <f ca="1">IFERROR(IF(0=LEN(ReferenceData!$AD$86),"",ReferenceData!$AD$86),"")</f>
        <v/>
      </c>
      <c r="AE86" t="str">
        <f ca="1">IFERROR(IF(0=LEN(ReferenceData!$AE$86),"",ReferenceData!$AE$86),"")</f>
        <v/>
      </c>
      <c r="AF86" t="str">
        <f ca="1">IFERROR(IF(0=LEN(ReferenceData!$AF$86),"",ReferenceData!$AF$86),"")</f>
        <v/>
      </c>
      <c r="AG86" t="str">
        <f ca="1">IFERROR(IF(0=LEN(ReferenceData!$AG$86),"",ReferenceData!$AG$86),"")</f>
        <v/>
      </c>
      <c r="AH86" t="str">
        <f ca="1">IFERROR(IF(0=LEN(ReferenceData!$AH$86),"",ReferenceData!$AH$86),"")</f>
        <v/>
      </c>
      <c r="AI86" t="str">
        <f ca="1">IFERROR(IF(0=LEN(ReferenceData!$AI$86),"",ReferenceData!$AI$86),"")</f>
        <v/>
      </c>
      <c r="AJ86" t="str">
        <f ca="1">IFERROR(IF(0=LEN(ReferenceData!$AJ$86),"",ReferenceData!$AJ$86),"")</f>
        <v/>
      </c>
      <c r="AK86" t="str">
        <f ca="1">IFERROR(IF(0=LEN(ReferenceData!$AK$86),"",ReferenceData!$AK$86),"")</f>
        <v/>
      </c>
      <c r="AL86" t="str">
        <f ca="1">IFERROR(IF(0=LEN(ReferenceData!$AL$86),"",ReferenceData!$AL$86),"")</f>
        <v/>
      </c>
      <c r="AM86" t="str">
        <f ca="1">IFERROR(IF(0=LEN(ReferenceData!$AM$86),"",ReferenceData!$AM$86),"")</f>
        <v/>
      </c>
      <c r="AN86" t="str">
        <f ca="1">IFERROR(IF(0=LEN(ReferenceData!$AN$86),"",ReferenceData!$AN$86),"")</f>
        <v/>
      </c>
      <c r="AO86" t="str">
        <f ca="1">IFERROR(IF(0=LEN(ReferenceData!$AO$86),"",ReferenceData!$AO$86),"")</f>
        <v/>
      </c>
      <c r="AP86" t="str">
        <f ca="1">IFERROR(IF(0=LEN(ReferenceData!$AP$86),"",ReferenceData!$AP$86),"")</f>
        <v/>
      </c>
      <c r="AQ86" t="str">
        <f ca="1">IFERROR(IF(0=LEN(ReferenceData!$AQ$86),"",ReferenceData!$AQ$86),"")</f>
        <v/>
      </c>
      <c r="AR86" t="str">
        <f ca="1">IFERROR(IF(0=LEN(ReferenceData!$AR$86),"",ReferenceData!$AR$86),"")</f>
        <v/>
      </c>
      <c r="AS86" t="str">
        <f ca="1">IFERROR(IF(0=LEN(ReferenceData!$AS$86),"",ReferenceData!$AS$86),"")</f>
        <v/>
      </c>
    </row>
    <row r="87" spans="1:45" x14ac:dyDescent="0.2">
      <c r="A87" t="str">
        <f>IFERROR(IF(0=LEN(ReferenceData!$A$87),"",ReferenceData!$A$87),"")</f>
        <v xml:space="preserve">        Non-Residential Permits (Mn CAD)</v>
      </c>
      <c r="B87" t="str">
        <f>IFERROR(IF(0=LEN(ReferenceData!$B$87),"",ReferenceData!$B$87),"")</f>
        <v>CAHONRES Index</v>
      </c>
      <c r="C87" t="str">
        <f>IFERROR(IF(0=LEN(ReferenceData!$C$87),"",ReferenceData!$C$87),"")</f>
        <v>PX385</v>
      </c>
      <c r="D87" t="str">
        <f>IFERROR(IF(0=LEN(ReferenceData!$D$87),"",ReferenceData!$D$87),"")</f>
        <v>INTERVAL_SUM</v>
      </c>
      <c r="E87" t="str">
        <f>IFERROR(IF(0=LEN(ReferenceData!$E$87),"",ReferenceData!$E$87),"")</f>
        <v>Dynamic</v>
      </c>
      <c r="F87">
        <f ca="1">IFERROR(IF(0=LEN(ReferenceData!$F$87),"",ReferenceData!$F$87),"")</f>
        <v>39733.088000000003</v>
      </c>
      <c r="G87">
        <f ca="1">IFERROR(IF(0=LEN(ReferenceData!$G$87),"",ReferenceData!$G$87),"")</f>
        <v>46987.584999999999</v>
      </c>
      <c r="H87">
        <f ca="1">IFERROR(IF(0=LEN(ReferenceData!$H$87),"",ReferenceData!$H$87),"")</f>
        <v>39975.735000000001</v>
      </c>
      <c r="I87">
        <f ca="1">IFERROR(IF(0=LEN(ReferenceData!$I$87),"",ReferenceData!$I$87),"")</f>
        <v>33856.847999999904</v>
      </c>
      <c r="J87">
        <f ca="1">IFERROR(IF(0=LEN(ReferenceData!$J$87),"",ReferenceData!$J$87),"")</f>
        <v>40750.936000000002</v>
      </c>
      <c r="K87">
        <f ca="1">IFERROR(IF(0=LEN(ReferenceData!$K$87),"",ReferenceData!$K$87),"")</f>
        <v>36929.455000000002</v>
      </c>
      <c r="L87">
        <f ca="1">IFERROR(IF(0=LEN(ReferenceData!$L$87),"",ReferenceData!$L$87),"")</f>
        <v>35565.578000000001</v>
      </c>
      <c r="M87">
        <f ca="1">IFERROR(IF(0=LEN(ReferenceData!$M$87),"",ReferenceData!$M$87),"")</f>
        <v>30762.143</v>
      </c>
      <c r="N87">
        <f ca="1">IFERROR(IF(0=LEN(ReferenceData!$N$87),"",ReferenceData!$N$87),"")</f>
        <v>31790.064999999999</v>
      </c>
      <c r="O87">
        <f ca="1">IFERROR(IF(0=LEN(ReferenceData!$O$87),"",ReferenceData!$O$87),"")</f>
        <v>33940.476000000002</v>
      </c>
      <c r="P87">
        <f ca="1">IFERROR(IF(0=LEN(ReferenceData!$P$87),"",ReferenceData!$P$87),"")</f>
        <v>32431.409</v>
      </c>
      <c r="Q87">
        <f ca="1">IFERROR(IF(0=LEN(ReferenceData!$Q$87),"",ReferenceData!$Q$87),"")</f>
        <v>32442.332999999999</v>
      </c>
      <c r="R87">
        <f ca="1">IFERROR(IF(0=LEN(ReferenceData!$R$87),"",ReferenceData!$R$87),"")</f>
        <v>29486.642</v>
      </c>
      <c r="S87" t="str">
        <f ca="1">IFERROR(IF(0=LEN(ReferenceData!$S$87),"",ReferenceData!$S$87),"")</f>
        <v/>
      </c>
      <c r="T87" t="str">
        <f ca="1">IFERROR(IF(0=LEN(ReferenceData!$T$87),"",ReferenceData!$T$87),"")</f>
        <v/>
      </c>
      <c r="U87" t="str">
        <f ca="1">IFERROR(IF(0=LEN(ReferenceData!$U$87),"",ReferenceData!$U$87),"")</f>
        <v/>
      </c>
      <c r="V87" t="str">
        <f ca="1">IFERROR(IF(0=LEN(ReferenceData!$V$87),"",ReferenceData!$V$87),"")</f>
        <v/>
      </c>
      <c r="W87" t="str">
        <f ca="1">IFERROR(IF(0=LEN(ReferenceData!$W$87),"",ReferenceData!$W$87),"")</f>
        <v/>
      </c>
      <c r="X87" t="str">
        <f ca="1">IFERROR(IF(0=LEN(ReferenceData!$X$87),"",ReferenceData!$X$87),"")</f>
        <v/>
      </c>
      <c r="Y87" t="str">
        <f ca="1">IFERROR(IF(0=LEN(ReferenceData!$Y$87),"",ReferenceData!$Y$87),"")</f>
        <v/>
      </c>
      <c r="Z87" t="str">
        <f ca="1">IFERROR(IF(0=LEN(ReferenceData!$Z$87),"",ReferenceData!$Z$87),"")</f>
        <v/>
      </c>
      <c r="AA87" t="str">
        <f ca="1">IFERROR(IF(0=LEN(ReferenceData!$AA$87),"",ReferenceData!$AA$87),"")</f>
        <v/>
      </c>
      <c r="AB87" t="str">
        <f ca="1">IFERROR(IF(0=LEN(ReferenceData!$AB$87),"",ReferenceData!$AB$87),"")</f>
        <v/>
      </c>
      <c r="AC87" t="str">
        <f ca="1">IFERROR(IF(0=LEN(ReferenceData!$AC$87),"",ReferenceData!$AC$87),"")</f>
        <v/>
      </c>
      <c r="AD87" t="str">
        <f ca="1">IFERROR(IF(0=LEN(ReferenceData!$AD$87),"",ReferenceData!$AD$87),"")</f>
        <v/>
      </c>
      <c r="AE87" t="str">
        <f ca="1">IFERROR(IF(0=LEN(ReferenceData!$AE$87),"",ReferenceData!$AE$87),"")</f>
        <v/>
      </c>
      <c r="AF87" t="str">
        <f ca="1">IFERROR(IF(0=LEN(ReferenceData!$AF$87),"",ReferenceData!$AF$87),"")</f>
        <v/>
      </c>
      <c r="AG87" t="str">
        <f ca="1">IFERROR(IF(0=LEN(ReferenceData!$AG$87),"",ReferenceData!$AG$87),"")</f>
        <v/>
      </c>
      <c r="AH87" t="str">
        <f ca="1">IFERROR(IF(0=LEN(ReferenceData!$AH$87),"",ReferenceData!$AH$87),"")</f>
        <v/>
      </c>
      <c r="AI87" t="str">
        <f ca="1">IFERROR(IF(0=LEN(ReferenceData!$AI$87),"",ReferenceData!$AI$87),"")</f>
        <v/>
      </c>
      <c r="AJ87" t="str">
        <f ca="1">IFERROR(IF(0=LEN(ReferenceData!$AJ$87),"",ReferenceData!$AJ$87),"")</f>
        <v/>
      </c>
      <c r="AK87" t="str">
        <f ca="1">IFERROR(IF(0=LEN(ReferenceData!$AK$87),"",ReferenceData!$AK$87),"")</f>
        <v/>
      </c>
      <c r="AL87" t="str">
        <f ca="1">IFERROR(IF(0=LEN(ReferenceData!$AL$87),"",ReferenceData!$AL$87),"")</f>
        <v/>
      </c>
      <c r="AM87" t="str">
        <f ca="1">IFERROR(IF(0=LEN(ReferenceData!$AM$87),"",ReferenceData!$AM$87),"")</f>
        <v/>
      </c>
      <c r="AN87" t="str">
        <f ca="1">IFERROR(IF(0=LEN(ReferenceData!$AN$87),"",ReferenceData!$AN$87),"")</f>
        <v/>
      </c>
      <c r="AO87" t="str">
        <f ca="1">IFERROR(IF(0=LEN(ReferenceData!$AO$87),"",ReferenceData!$AO$87),"")</f>
        <v/>
      </c>
      <c r="AP87" t="str">
        <f ca="1">IFERROR(IF(0=LEN(ReferenceData!$AP$87),"",ReferenceData!$AP$87),"")</f>
        <v/>
      </c>
      <c r="AQ87" t="str">
        <f ca="1">IFERROR(IF(0=LEN(ReferenceData!$AQ$87),"",ReferenceData!$AQ$87),"")</f>
        <v/>
      </c>
      <c r="AR87" t="str">
        <f ca="1">IFERROR(IF(0=LEN(ReferenceData!$AR$87),"",ReferenceData!$AR$87),"")</f>
        <v/>
      </c>
      <c r="AS87" t="str">
        <f ca="1">IFERROR(IF(0=LEN(ReferenceData!$AS$87),"",ReferenceData!$AS$87),"")</f>
        <v/>
      </c>
    </row>
    <row r="88" spans="1:45" x14ac:dyDescent="0.2">
      <c r="A88" t="str">
        <f>IFERROR(IF(0=LEN(ReferenceData!$A$88),"",ReferenceData!$A$88),"")</f>
        <v xml:space="preserve">    </v>
      </c>
      <c r="B88" t="str">
        <f>IFERROR(IF(0=LEN(ReferenceData!$B$88),"",ReferenceData!$B$88),"")</f>
        <v/>
      </c>
      <c r="C88" t="str">
        <f>IFERROR(IF(0=LEN(ReferenceData!$C$88),"",ReferenceData!$C$88),"")</f>
        <v/>
      </c>
      <c r="D88" t="str">
        <f>IFERROR(IF(0=LEN(ReferenceData!$D$88),"",ReferenceData!$D$88),"")</f>
        <v/>
      </c>
      <c r="E88" t="str">
        <f>IFERROR(IF(0=LEN(ReferenceData!$E$88),"",ReferenceData!$E$88),"")</f>
        <v>Static</v>
      </c>
      <c r="F88" t="str">
        <f ca="1">IFERROR(IF(0=LEN(ReferenceData!$F$88),"",ReferenceData!$F$88),"")</f>
        <v/>
      </c>
      <c r="G88" t="str">
        <f ca="1">IFERROR(IF(0=LEN(ReferenceData!$G$88),"",ReferenceData!$G$88),"")</f>
        <v/>
      </c>
      <c r="H88" t="str">
        <f ca="1">IFERROR(IF(0=LEN(ReferenceData!$H$88),"",ReferenceData!$H$88),"")</f>
        <v/>
      </c>
      <c r="I88" t="str">
        <f ca="1">IFERROR(IF(0=LEN(ReferenceData!$I$88),"",ReferenceData!$I$88),"")</f>
        <v/>
      </c>
      <c r="J88" t="str">
        <f ca="1">IFERROR(IF(0=LEN(ReferenceData!$J$88),"",ReferenceData!$J$88),"")</f>
        <v/>
      </c>
      <c r="K88" t="str">
        <f ca="1">IFERROR(IF(0=LEN(ReferenceData!$K$88),"",ReferenceData!$K$88),"")</f>
        <v/>
      </c>
      <c r="L88" t="str">
        <f ca="1">IFERROR(IF(0=LEN(ReferenceData!$L$88),"",ReferenceData!$L$88),"")</f>
        <v/>
      </c>
      <c r="M88" t="str">
        <f ca="1">IFERROR(IF(0=LEN(ReferenceData!$M$88),"",ReferenceData!$M$88),"")</f>
        <v/>
      </c>
      <c r="N88" t="str">
        <f ca="1">IFERROR(IF(0=LEN(ReferenceData!$N$88),"",ReferenceData!$N$88),"")</f>
        <v/>
      </c>
      <c r="O88" t="str">
        <f ca="1">IFERROR(IF(0=LEN(ReferenceData!$O$88),"",ReferenceData!$O$88),"")</f>
        <v/>
      </c>
      <c r="P88" t="str">
        <f ca="1">IFERROR(IF(0=LEN(ReferenceData!$P$88),"",ReferenceData!$P$88),"")</f>
        <v/>
      </c>
      <c r="Q88" t="str">
        <f ca="1">IFERROR(IF(0=LEN(ReferenceData!$Q$88),"",ReferenceData!$Q$88),"")</f>
        <v/>
      </c>
      <c r="R88" t="str">
        <f ca="1">IFERROR(IF(0=LEN(ReferenceData!$R$88),"",ReferenceData!$R$88),"")</f>
        <v/>
      </c>
      <c r="S88" t="str">
        <f ca="1">IFERROR(IF(0=LEN(ReferenceData!$S$88),"",ReferenceData!$S$88),"")</f>
        <v/>
      </c>
      <c r="T88" t="str">
        <f ca="1">IFERROR(IF(0=LEN(ReferenceData!$T$88),"",ReferenceData!$T$88),"")</f>
        <v/>
      </c>
      <c r="U88" t="str">
        <f ca="1">IFERROR(IF(0=LEN(ReferenceData!$U$88),"",ReferenceData!$U$88),"")</f>
        <v/>
      </c>
      <c r="V88" t="str">
        <f ca="1">IFERROR(IF(0=LEN(ReferenceData!$V$88),"",ReferenceData!$V$88),"")</f>
        <v/>
      </c>
      <c r="W88" t="str">
        <f ca="1">IFERROR(IF(0=LEN(ReferenceData!$W$88),"",ReferenceData!$W$88),"")</f>
        <v/>
      </c>
      <c r="X88" t="str">
        <f ca="1">IFERROR(IF(0=LEN(ReferenceData!$X$88),"",ReferenceData!$X$88),"")</f>
        <v/>
      </c>
      <c r="Y88" t="str">
        <f ca="1">IFERROR(IF(0=LEN(ReferenceData!$Y$88),"",ReferenceData!$Y$88),"")</f>
        <v/>
      </c>
      <c r="Z88" t="str">
        <f ca="1">IFERROR(IF(0=LEN(ReferenceData!$Z$88),"",ReferenceData!$Z$88),"")</f>
        <v/>
      </c>
      <c r="AA88" t="str">
        <f ca="1">IFERROR(IF(0=LEN(ReferenceData!$AA$88),"",ReferenceData!$AA$88),"")</f>
        <v/>
      </c>
      <c r="AB88" t="str">
        <f ca="1">IFERROR(IF(0=LEN(ReferenceData!$AB$88),"",ReferenceData!$AB$88),"")</f>
        <v/>
      </c>
      <c r="AC88" t="str">
        <f ca="1">IFERROR(IF(0=LEN(ReferenceData!$AC$88),"",ReferenceData!$AC$88),"")</f>
        <v/>
      </c>
      <c r="AD88" t="str">
        <f ca="1">IFERROR(IF(0=LEN(ReferenceData!$AD$88),"",ReferenceData!$AD$88),"")</f>
        <v/>
      </c>
      <c r="AE88" t="str">
        <f ca="1">IFERROR(IF(0=LEN(ReferenceData!$AE$88),"",ReferenceData!$AE$88),"")</f>
        <v/>
      </c>
      <c r="AF88" t="str">
        <f ca="1">IFERROR(IF(0=LEN(ReferenceData!$AF$88),"",ReferenceData!$AF$88),"")</f>
        <v/>
      </c>
      <c r="AG88" t="str">
        <f ca="1">IFERROR(IF(0=LEN(ReferenceData!$AG$88),"",ReferenceData!$AG$88),"")</f>
        <v/>
      </c>
      <c r="AH88" t="str">
        <f ca="1">IFERROR(IF(0=LEN(ReferenceData!$AH$88),"",ReferenceData!$AH$88),"")</f>
        <v/>
      </c>
      <c r="AI88" t="str">
        <f ca="1">IFERROR(IF(0=LEN(ReferenceData!$AI$88),"",ReferenceData!$AI$88),"")</f>
        <v/>
      </c>
      <c r="AJ88" t="str">
        <f ca="1">IFERROR(IF(0=LEN(ReferenceData!$AJ$88),"",ReferenceData!$AJ$88),"")</f>
        <v/>
      </c>
      <c r="AK88" t="str">
        <f ca="1">IFERROR(IF(0=LEN(ReferenceData!$AK$88),"",ReferenceData!$AK$88),"")</f>
        <v/>
      </c>
      <c r="AL88" t="str">
        <f ca="1">IFERROR(IF(0=LEN(ReferenceData!$AL$88),"",ReferenceData!$AL$88),"")</f>
        <v/>
      </c>
      <c r="AM88" t="str">
        <f ca="1">IFERROR(IF(0=LEN(ReferenceData!$AM$88),"",ReferenceData!$AM$88),"")</f>
        <v/>
      </c>
      <c r="AN88" t="str">
        <f ca="1">IFERROR(IF(0=LEN(ReferenceData!$AN$88),"",ReferenceData!$AN$88),"")</f>
        <v/>
      </c>
      <c r="AO88" t="str">
        <f ca="1">IFERROR(IF(0=LEN(ReferenceData!$AO$88),"",ReferenceData!$AO$88),"")</f>
        <v/>
      </c>
      <c r="AP88" t="str">
        <f ca="1">IFERROR(IF(0=LEN(ReferenceData!$AP$88),"",ReferenceData!$AP$88),"")</f>
        <v/>
      </c>
      <c r="AQ88" t="str">
        <f ca="1">IFERROR(IF(0=LEN(ReferenceData!$AQ$88),"",ReferenceData!$AQ$88),"")</f>
        <v/>
      </c>
      <c r="AR88" t="str">
        <f ca="1">IFERROR(IF(0=LEN(ReferenceData!$AR$88),"",ReferenceData!$AR$88),"")</f>
        <v/>
      </c>
      <c r="AS88" t="str">
        <f ca="1">IFERROR(IF(0=LEN(ReferenceData!$AS$88),"",ReferenceData!$AS$88),"")</f>
        <v/>
      </c>
    </row>
    <row r="89" spans="1:45" x14ac:dyDescent="0.2">
      <c r="A89" t="str">
        <f>IFERROR(IF(0=LEN(ReferenceData!$A$89),"",ReferenceData!$A$89),"")</f>
        <v xml:space="preserve">    Housing Starts</v>
      </c>
      <c r="B89" t="str">
        <f>IFERROR(IF(0=LEN(ReferenceData!$B$89),"",ReferenceData!$B$89),"")</f>
        <v/>
      </c>
      <c r="C89" t="str">
        <f>IFERROR(IF(0=LEN(ReferenceData!$C$89),"",ReferenceData!$C$89),"")</f>
        <v/>
      </c>
      <c r="D89" t="str">
        <f>IFERROR(IF(0=LEN(ReferenceData!$D$89),"",ReferenceData!$D$89),"")</f>
        <v/>
      </c>
      <c r="E89" t="str">
        <f>IFERROR(IF(0=LEN(ReferenceData!$E$89),"",ReferenceData!$E$89),"")</f>
        <v>Static</v>
      </c>
      <c r="F89" t="str">
        <f ca="1">IFERROR(IF(0=LEN(ReferenceData!$F$89),"",ReferenceData!$F$89),"")</f>
        <v/>
      </c>
      <c r="G89" t="str">
        <f ca="1">IFERROR(IF(0=LEN(ReferenceData!$G$89),"",ReferenceData!$G$89),"")</f>
        <v/>
      </c>
      <c r="H89" t="str">
        <f ca="1">IFERROR(IF(0=LEN(ReferenceData!$H$89),"",ReferenceData!$H$89),"")</f>
        <v/>
      </c>
      <c r="I89" t="str">
        <f ca="1">IFERROR(IF(0=LEN(ReferenceData!$I$89),"",ReferenceData!$I$89),"")</f>
        <v/>
      </c>
      <c r="J89" t="str">
        <f ca="1">IFERROR(IF(0=LEN(ReferenceData!$J$89),"",ReferenceData!$J$89),"")</f>
        <v/>
      </c>
      <c r="K89" t="str">
        <f ca="1">IFERROR(IF(0=LEN(ReferenceData!$K$89),"",ReferenceData!$K$89),"")</f>
        <v/>
      </c>
      <c r="L89" t="str">
        <f ca="1">IFERROR(IF(0=LEN(ReferenceData!$L$89),"",ReferenceData!$L$89),"")</f>
        <v/>
      </c>
      <c r="M89" t="str">
        <f ca="1">IFERROR(IF(0=LEN(ReferenceData!$M$89),"",ReferenceData!$M$89),"")</f>
        <v/>
      </c>
      <c r="N89" t="str">
        <f ca="1">IFERROR(IF(0=LEN(ReferenceData!$N$89),"",ReferenceData!$N$89),"")</f>
        <v/>
      </c>
      <c r="O89" t="str">
        <f ca="1">IFERROR(IF(0=LEN(ReferenceData!$O$89),"",ReferenceData!$O$89),"")</f>
        <v/>
      </c>
      <c r="P89" t="str">
        <f ca="1">IFERROR(IF(0=LEN(ReferenceData!$P$89),"",ReferenceData!$P$89),"")</f>
        <v/>
      </c>
      <c r="Q89" t="str">
        <f ca="1">IFERROR(IF(0=LEN(ReferenceData!$Q$89),"",ReferenceData!$Q$89),"")</f>
        <v/>
      </c>
      <c r="R89" t="str">
        <f ca="1">IFERROR(IF(0=LEN(ReferenceData!$R$89),"",ReferenceData!$R$89),"")</f>
        <v/>
      </c>
      <c r="S89" t="str">
        <f ca="1">IFERROR(IF(0=LEN(ReferenceData!$S$89),"",ReferenceData!$S$89),"")</f>
        <v/>
      </c>
      <c r="T89" t="str">
        <f ca="1">IFERROR(IF(0=LEN(ReferenceData!$T$89),"",ReferenceData!$T$89),"")</f>
        <v/>
      </c>
      <c r="U89" t="str">
        <f ca="1">IFERROR(IF(0=LEN(ReferenceData!$U$89),"",ReferenceData!$U$89),"")</f>
        <v/>
      </c>
      <c r="V89" t="str">
        <f ca="1">IFERROR(IF(0=LEN(ReferenceData!$V$89),"",ReferenceData!$V$89),"")</f>
        <v/>
      </c>
      <c r="W89" t="str">
        <f ca="1">IFERROR(IF(0=LEN(ReferenceData!$W$89),"",ReferenceData!$W$89),"")</f>
        <v/>
      </c>
      <c r="X89" t="str">
        <f ca="1">IFERROR(IF(0=LEN(ReferenceData!$X$89),"",ReferenceData!$X$89),"")</f>
        <v/>
      </c>
      <c r="Y89" t="str">
        <f ca="1">IFERROR(IF(0=LEN(ReferenceData!$Y$89),"",ReferenceData!$Y$89),"")</f>
        <v/>
      </c>
      <c r="Z89" t="str">
        <f ca="1">IFERROR(IF(0=LEN(ReferenceData!$Z$89),"",ReferenceData!$Z$89),"")</f>
        <v/>
      </c>
      <c r="AA89" t="str">
        <f ca="1">IFERROR(IF(0=LEN(ReferenceData!$AA$89),"",ReferenceData!$AA$89),"")</f>
        <v/>
      </c>
      <c r="AB89" t="str">
        <f ca="1">IFERROR(IF(0=LEN(ReferenceData!$AB$89),"",ReferenceData!$AB$89),"")</f>
        <v/>
      </c>
      <c r="AC89" t="str">
        <f ca="1">IFERROR(IF(0=LEN(ReferenceData!$AC$89),"",ReferenceData!$AC$89),"")</f>
        <v/>
      </c>
      <c r="AD89" t="str">
        <f ca="1">IFERROR(IF(0=LEN(ReferenceData!$AD$89),"",ReferenceData!$AD$89),"")</f>
        <v/>
      </c>
      <c r="AE89" t="str">
        <f ca="1">IFERROR(IF(0=LEN(ReferenceData!$AE$89),"",ReferenceData!$AE$89),"")</f>
        <v/>
      </c>
      <c r="AF89" t="str">
        <f ca="1">IFERROR(IF(0=LEN(ReferenceData!$AF$89),"",ReferenceData!$AF$89),"")</f>
        <v/>
      </c>
      <c r="AG89" t="str">
        <f ca="1">IFERROR(IF(0=LEN(ReferenceData!$AG$89),"",ReferenceData!$AG$89),"")</f>
        <v/>
      </c>
      <c r="AH89" t="str">
        <f ca="1">IFERROR(IF(0=LEN(ReferenceData!$AH$89),"",ReferenceData!$AH$89),"")</f>
        <v/>
      </c>
      <c r="AI89" t="str">
        <f ca="1">IFERROR(IF(0=LEN(ReferenceData!$AI$89),"",ReferenceData!$AI$89),"")</f>
        <v/>
      </c>
      <c r="AJ89" t="str">
        <f ca="1">IFERROR(IF(0=LEN(ReferenceData!$AJ$89),"",ReferenceData!$AJ$89),"")</f>
        <v/>
      </c>
      <c r="AK89" t="str">
        <f ca="1">IFERROR(IF(0=LEN(ReferenceData!$AK$89),"",ReferenceData!$AK$89),"")</f>
        <v/>
      </c>
      <c r="AL89" t="str">
        <f ca="1">IFERROR(IF(0=LEN(ReferenceData!$AL$89),"",ReferenceData!$AL$89),"")</f>
        <v/>
      </c>
      <c r="AM89" t="str">
        <f ca="1">IFERROR(IF(0=LEN(ReferenceData!$AM$89),"",ReferenceData!$AM$89),"")</f>
        <v/>
      </c>
      <c r="AN89" t="str">
        <f ca="1">IFERROR(IF(0=LEN(ReferenceData!$AN$89),"",ReferenceData!$AN$89),"")</f>
        <v/>
      </c>
      <c r="AO89" t="str">
        <f ca="1">IFERROR(IF(0=LEN(ReferenceData!$AO$89),"",ReferenceData!$AO$89),"")</f>
        <v/>
      </c>
      <c r="AP89" t="str">
        <f ca="1">IFERROR(IF(0=LEN(ReferenceData!$AP$89),"",ReferenceData!$AP$89),"")</f>
        <v/>
      </c>
      <c r="AQ89" t="str">
        <f ca="1">IFERROR(IF(0=LEN(ReferenceData!$AQ$89),"",ReferenceData!$AQ$89),"")</f>
        <v/>
      </c>
      <c r="AR89" t="str">
        <f ca="1">IFERROR(IF(0=LEN(ReferenceData!$AR$89),"",ReferenceData!$AR$89),"")</f>
        <v/>
      </c>
      <c r="AS89" t="str">
        <f ca="1">IFERROR(IF(0=LEN(ReferenceData!$AS$89),"",ReferenceData!$AS$89),"")</f>
        <v/>
      </c>
    </row>
    <row r="90" spans="1:45" x14ac:dyDescent="0.2">
      <c r="A90" t="str">
        <f>IFERROR(IF(0=LEN(ReferenceData!$A$90),"",ReferenceData!$A$90),"")</f>
        <v xml:space="preserve">        Canada Total Housing New Starts SAAR (000's)</v>
      </c>
      <c r="B90" t="str">
        <f>IFERROR(IF(0=LEN(ReferenceData!$B$90),"",ReferenceData!$B$90),"")</f>
        <v>CAHSTOTL Index</v>
      </c>
      <c r="C90" t="str">
        <f>IFERROR(IF(0=LEN(ReferenceData!$C$90),"",ReferenceData!$C$90),"")</f>
        <v>PR005</v>
      </c>
      <c r="D90" t="str">
        <f>IFERROR(IF(0=LEN(ReferenceData!$D$90),"",ReferenceData!$D$90),"")</f>
        <v>PX_LAST</v>
      </c>
      <c r="E90" t="str">
        <f>IFERROR(IF(0=LEN(ReferenceData!$E$90),"",ReferenceData!$E$90),"")</f>
        <v>Dynamic</v>
      </c>
      <c r="F90">
        <f ca="1">IFERROR(IF(0=LEN(ReferenceData!$F$90),"",ReferenceData!$F$90),"")</f>
        <v>274.68099999999998</v>
      </c>
      <c r="G90">
        <f ca="1">IFERROR(IF(0=LEN(ReferenceData!$G$90),"",ReferenceData!$G$90),"")</f>
        <v>248.648</v>
      </c>
      <c r="H90">
        <f ca="1">IFERROR(IF(0=LEN(ReferenceData!$H$90),"",ReferenceData!$H$90),"")</f>
        <v>245.20500000000001</v>
      </c>
      <c r="I90">
        <f ca="1">IFERROR(IF(0=LEN(ReferenceData!$I$90),"",ReferenceData!$I$90),"")</f>
        <v>240.42099999999999</v>
      </c>
      <c r="J90">
        <f ca="1">IFERROR(IF(0=LEN(ReferenceData!$J$90),"",ReferenceData!$J$90),"")</f>
        <v>199.55500000000001</v>
      </c>
      <c r="K90">
        <f ca="1">IFERROR(IF(0=LEN(ReferenceData!$K$90),"",ReferenceData!$K$90),"")</f>
        <v>214.99</v>
      </c>
      <c r="L90">
        <f ca="1">IFERROR(IF(0=LEN(ReferenceData!$L$90),"",ReferenceData!$L$90),"")</f>
        <v>214.309</v>
      </c>
      <c r="M90">
        <f ca="1">IFERROR(IF(0=LEN(ReferenceData!$M$90),"",ReferenceData!$M$90),"")</f>
        <v>202.69300000000001</v>
      </c>
      <c r="N90">
        <f ca="1">IFERROR(IF(0=LEN(ReferenceData!$N$90),"",ReferenceData!$N$90),"")</f>
        <v>171.24799999999999</v>
      </c>
      <c r="O90">
        <f ca="1">IFERROR(IF(0=LEN(ReferenceData!$O$90),"",ReferenceData!$O$90),"")</f>
        <v>177.29599999999999</v>
      </c>
      <c r="P90">
        <f ca="1">IFERROR(IF(0=LEN(ReferenceData!$P$90),"",ReferenceData!$P$90),"")</f>
        <v>185.52099999999999</v>
      </c>
      <c r="Q90">
        <f ca="1">IFERROR(IF(0=LEN(ReferenceData!$Q$90),"",ReferenceData!$Q$90),"")</f>
        <v>200.005</v>
      </c>
      <c r="R90">
        <f ca="1">IFERROR(IF(0=LEN(ReferenceData!$R$90),"",ReferenceData!$R$90),"")</f>
        <v>200.18899999999999</v>
      </c>
      <c r="S90">
        <f ca="1">IFERROR(IF(0=LEN(ReferenceData!$S$90),"",ReferenceData!$S$90),"")</f>
        <v>166.82300000000001</v>
      </c>
      <c r="T90">
        <f ca="1">IFERROR(IF(0=LEN(ReferenceData!$T$90),"",ReferenceData!$T$90),"")</f>
        <v>173.15199999999999</v>
      </c>
      <c r="U90">
        <f ca="1">IFERROR(IF(0=LEN(ReferenceData!$U$90),"",ReferenceData!$U$90),"")</f>
        <v>150.30500000000001</v>
      </c>
      <c r="V90">
        <f ca="1">IFERROR(IF(0=LEN(ReferenceData!$V$90),"",ReferenceData!$V$90),"")</f>
        <v>175.36799999999999</v>
      </c>
      <c r="W90">
        <f ca="1">IFERROR(IF(0=LEN(ReferenceData!$W$90),"",ReferenceData!$W$90),"")</f>
        <v>210.977</v>
      </c>
      <c r="X90">
        <f ca="1">IFERROR(IF(0=LEN(ReferenceData!$X$90),"",ReferenceData!$X$90),"")</f>
        <v>233.376</v>
      </c>
      <c r="Y90">
        <f ca="1">IFERROR(IF(0=LEN(ReferenceData!$Y$90),"",ReferenceData!$Y$90),"")</f>
        <v>229.102</v>
      </c>
      <c r="Z90">
        <f ca="1">IFERROR(IF(0=LEN(ReferenceData!$Z$90),"",ReferenceData!$Z$90),"")</f>
        <v>216.33799999999999</v>
      </c>
      <c r="AA90">
        <f ca="1">IFERROR(IF(0=LEN(ReferenceData!$AA$90),"",ReferenceData!$AA$90),"")</f>
        <v>197.56399999999999</v>
      </c>
      <c r="AB90">
        <f ca="1">IFERROR(IF(0=LEN(ReferenceData!$AB$90),"",ReferenceData!$AB$90),"")</f>
        <v>177.44399999999999</v>
      </c>
      <c r="AC90">
        <f ca="1">IFERROR(IF(0=LEN(ReferenceData!$AC$90),"",ReferenceData!$AC$90),"")</f>
        <v>144.483</v>
      </c>
      <c r="AD90">
        <f ca="1">IFERROR(IF(0=LEN(ReferenceData!$AD$90),"",ReferenceData!$AD$90),"")</f>
        <v>161.52600000000001</v>
      </c>
      <c r="AE90">
        <f ca="1">IFERROR(IF(0=LEN(ReferenceData!$AE$90),"",ReferenceData!$AE$90),"")</f>
        <v>141.95699999999999</v>
      </c>
      <c r="AF90">
        <f ca="1">IFERROR(IF(0=LEN(ReferenceData!$AF$90),"",ReferenceData!$AF$90),"")</f>
        <v>148.47900000000001</v>
      </c>
      <c r="AG90">
        <f ca="1">IFERROR(IF(0=LEN(ReferenceData!$AG$90),"",ReferenceData!$AG$90),"")</f>
        <v>137.32499999999999</v>
      </c>
      <c r="AH90">
        <f ca="1">IFERROR(IF(0=LEN(ReferenceData!$AH$90),"",ReferenceData!$AH$90),"")</f>
        <v>119.395</v>
      </c>
      <c r="AI90">
        <f ca="1">IFERROR(IF(0=LEN(ReferenceData!$AI$90),"",ReferenceData!$AI$90),"")</f>
        <v>125.041</v>
      </c>
      <c r="AJ90">
        <f ca="1">IFERROR(IF(0=LEN(ReferenceData!$AJ$90),"",ReferenceData!$AJ$90),"")</f>
        <v>161.59700000000001</v>
      </c>
      <c r="AK90">
        <f ca="1">IFERROR(IF(0=LEN(ReferenceData!$AK$90),"",ReferenceData!$AK$90),"")</f>
        <v>168.173</v>
      </c>
      <c r="AL90">
        <f ca="1">IFERROR(IF(0=LEN(ReferenceData!$AL$90),"",ReferenceData!$AL$90),"")</f>
        <v>165.67699999999999</v>
      </c>
      <c r="AM90">
        <f ca="1">IFERROR(IF(0=LEN(ReferenceData!$AM$90),"",ReferenceData!$AM$90),"")</f>
        <v>142.41</v>
      </c>
      <c r="AN90">
        <f ca="1">IFERROR(IF(0=LEN(ReferenceData!$AN$90),"",ReferenceData!$AN$90),"")</f>
        <v>221.1</v>
      </c>
      <c r="AO90">
        <f ca="1">IFERROR(IF(0=LEN(ReferenceData!$AO$90),"",ReferenceData!$AO$90),"")</f>
        <v>225</v>
      </c>
      <c r="AP90">
        <f ca="1">IFERROR(IF(0=LEN(ReferenceData!$AP$90),"",ReferenceData!$AP$90),"")</f>
        <v>220.3</v>
      </c>
      <c r="AQ90">
        <f ca="1">IFERROR(IF(0=LEN(ReferenceData!$AQ$90),"",ReferenceData!$AQ$90),"")</f>
        <v>214.5</v>
      </c>
      <c r="AR90">
        <f ca="1">IFERROR(IF(0=LEN(ReferenceData!$AR$90),"",ReferenceData!$AR$90),"")</f>
        <v>190.6</v>
      </c>
      <c r="AS90">
        <f ca="1">IFERROR(IF(0=LEN(ReferenceData!$AS$90),"",ReferenceData!$AS$90),"")</f>
        <v>129.9</v>
      </c>
    </row>
    <row r="91" spans="1:45" x14ac:dyDescent="0.2">
      <c r="A91" t="str">
        <f>IFERROR(IF(0=LEN(ReferenceData!$A$91),"",ReferenceData!$A$91),"")</f>
        <v xml:space="preserve">        New Starts - Urban Area SAAR (000's)</v>
      </c>
      <c r="B91" t="str">
        <f>IFERROR(IF(0=LEN(ReferenceData!$B$91),"",ReferenceData!$B$91),"")</f>
        <v>CAHSURBA Index</v>
      </c>
      <c r="C91" t="str">
        <f>IFERROR(IF(0=LEN(ReferenceData!$C$91),"",ReferenceData!$C$91),"")</f>
        <v>PR005</v>
      </c>
      <c r="D91" t="str">
        <f>IFERROR(IF(0=LEN(ReferenceData!$D$91),"",ReferenceData!$D$91),"")</f>
        <v>PX_LAST</v>
      </c>
      <c r="E91" t="str">
        <f>IFERROR(IF(0=LEN(ReferenceData!$E$91),"",ReferenceData!$E$91),"")</f>
        <v>Dynamic</v>
      </c>
      <c r="F91" t="str">
        <f ca="1">IFERROR(IF(0=LEN(ReferenceData!$F$91),"",ReferenceData!$F$91),"")</f>
        <v/>
      </c>
      <c r="G91" t="str">
        <f ca="1">IFERROR(IF(0=LEN(ReferenceData!$G$91),"",ReferenceData!$G$91),"")</f>
        <v/>
      </c>
      <c r="H91" t="str">
        <f ca="1">IFERROR(IF(0=LEN(ReferenceData!$H$91),"",ReferenceData!$H$91),"")</f>
        <v/>
      </c>
      <c r="I91" t="str">
        <f ca="1">IFERROR(IF(0=LEN(ReferenceData!$I$91),"",ReferenceData!$I$91),"")</f>
        <v/>
      </c>
      <c r="J91" t="str">
        <f ca="1">IFERROR(IF(0=LEN(ReferenceData!$J$91),"",ReferenceData!$J$91),"")</f>
        <v/>
      </c>
      <c r="K91" t="str">
        <f ca="1">IFERROR(IF(0=LEN(ReferenceData!$K$91),"",ReferenceData!$K$91),"")</f>
        <v/>
      </c>
      <c r="L91" t="str">
        <f ca="1">IFERROR(IF(0=LEN(ReferenceData!$L$91),"",ReferenceData!$L$91),"")</f>
        <v/>
      </c>
      <c r="M91" t="str">
        <f ca="1">IFERROR(IF(0=LEN(ReferenceData!$M$91),"",ReferenceData!$M$91),"")</f>
        <v/>
      </c>
      <c r="N91" t="str">
        <f ca="1">IFERROR(IF(0=LEN(ReferenceData!$N$91),"",ReferenceData!$N$91),"")</f>
        <v/>
      </c>
      <c r="O91" t="str">
        <f ca="1">IFERROR(IF(0=LEN(ReferenceData!$O$91),"",ReferenceData!$O$91),"")</f>
        <v/>
      </c>
      <c r="P91" t="str">
        <f ca="1">IFERROR(IF(0=LEN(ReferenceData!$P$91),"",ReferenceData!$P$91),"")</f>
        <v/>
      </c>
      <c r="Q91" t="str">
        <f ca="1">IFERROR(IF(0=LEN(ReferenceData!$Q$91),"",ReferenceData!$Q$91),"")</f>
        <v/>
      </c>
      <c r="R91" t="str">
        <f ca="1">IFERROR(IF(0=LEN(ReferenceData!$R$91),"",ReferenceData!$R$91),"")</f>
        <v/>
      </c>
      <c r="S91" t="str">
        <f ca="1">IFERROR(IF(0=LEN(ReferenceData!$S$91),"",ReferenceData!$S$91),"")</f>
        <v/>
      </c>
      <c r="T91" t="str">
        <f ca="1">IFERROR(IF(0=LEN(ReferenceData!$T$91),"",ReferenceData!$T$91),"")</f>
        <v/>
      </c>
      <c r="U91" t="str">
        <f ca="1">IFERROR(IF(0=LEN(ReferenceData!$U$91),"",ReferenceData!$U$91),"")</f>
        <v/>
      </c>
      <c r="V91" t="str">
        <f ca="1">IFERROR(IF(0=LEN(ReferenceData!$V$91),"",ReferenceData!$V$91),"")</f>
        <v/>
      </c>
      <c r="W91" t="str">
        <f ca="1">IFERROR(IF(0=LEN(ReferenceData!$W$91),"",ReferenceData!$W$91),"")</f>
        <v/>
      </c>
      <c r="X91" t="str">
        <f ca="1">IFERROR(IF(0=LEN(ReferenceData!$X$91),"",ReferenceData!$X$91),"")</f>
        <v/>
      </c>
      <c r="Y91" t="str">
        <f ca="1">IFERROR(IF(0=LEN(ReferenceData!$Y$91),"",ReferenceData!$Y$91),"")</f>
        <v/>
      </c>
      <c r="Z91">
        <f ca="1">IFERROR(IF(0=LEN(ReferenceData!$Z$91),"",ReferenceData!$Z$91),"")</f>
        <v>224.69900000000001</v>
      </c>
      <c r="AA91">
        <f ca="1">IFERROR(IF(0=LEN(ReferenceData!$AA$91),"",ReferenceData!$AA$91),"")</f>
        <v>189.6</v>
      </c>
      <c r="AB91" t="str">
        <f ca="1">IFERROR(IF(0=LEN(ReferenceData!$AB$91),"",ReferenceData!$AB$91),"")</f>
        <v/>
      </c>
      <c r="AC91" t="str">
        <f ca="1">IFERROR(IF(0=LEN(ReferenceData!$AC$91),"",ReferenceData!$AC$91),"")</f>
        <v/>
      </c>
      <c r="AD91" t="str">
        <f ca="1">IFERROR(IF(0=LEN(ReferenceData!$AD$91),"",ReferenceData!$AD$91),"")</f>
        <v/>
      </c>
      <c r="AE91" t="str">
        <f ca="1">IFERROR(IF(0=LEN(ReferenceData!$AE$91),"",ReferenceData!$AE$91),"")</f>
        <v/>
      </c>
      <c r="AF91" t="str">
        <f ca="1">IFERROR(IF(0=LEN(ReferenceData!$AF$91),"",ReferenceData!$AF$91),"")</f>
        <v/>
      </c>
      <c r="AG91" t="str">
        <f ca="1">IFERROR(IF(0=LEN(ReferenceData!$AG$91),"",ReferenceData!$AG$91),"")</f>
        <v/>
      </c>
      <c r="AH91" t="str">
        <f ca="1">IFERROR(IF(0=LEN(ReferenceData!$AH$91),"",ReferenceData!$AH$91),"")</f>
        <v/>
      </c>
      <c r="AI91" t="str">
        <f ca="1">IFERROR(IF(0=LEN(ReferenceData!$AI$91),"",ReferenceData!$AI$91),"")</f>
        <v/>
      </c>
      <c r="AJ91" t="str">
        <f ca="1">IFERROR(IF(0=LEN(ReferenceData!$AJ$91),"",ReferenceData!$AJ$91),"")</f>
        <v/>
      </c>
      <c r="AK91" t="str">
        <f ca="1">IFERROR(IF(0=LEN(ReferenceData!$AK$91),"",ReferenceData!$AK$91),"")</f>
        <v/>
      </c>
      <c r="AL91" t="str">
        <f ca="1">IFERROR(IF(0=LEN(ReferenceData!$AL$91),"",ReferenceData!$AL$91),"")</f>
        <v/>
      </c>
      <c r="AM91" t="str">
        <f ca="1">IFERROR(IF(0=LEN(ReferenceData!$AM$91),"",ReferenceData!$AM$91),"")</f>
        <v/>
      </c>
      <c r="AN91" t="str">
        <f ca="1">IFERROR(IF(0=LEN(ReferenceData!$AN$91),"",ReferenceData!$AN$91),"")</f>
        <v/>
      </c>
      <c r="AO91" t="str">
        <f ca="1">IFERROR(IF(0=LEN(ReferenceData!$AO$91),"",ReferenceData!$AO$91),"")</f>
        <v/>
      </c>
      <c r="AP91" t="str">
        <f ca="1">IFERROR(IF(0=LEN(ReferenceData!$AP$91),"",ReferenceData!$AP$91),"")</f>
        <v/>
      </c>
      <c r="AQ91" t="str">
        <f ca="1">IFERROR(IF(0=LEN(ReferenceData!$AQ$91),"",ReferenceData!$AQ$91),"")</f>
        <v/>
      </c>
      <c r="AR91" t="str">
        <f ca="1">IFERROR(IF(0=LEN(ReferenceData!$AR$91),"",ReferenceData!$AR$91),"")</f>
        <v/>
      </c>
      <c r="AS91" t="str">
        <f ca="1">IFERROR(IF(0=LEN(ReferenceData!$AS$91),"",ReferenceData!$AS$91),"")</f>
        <v/>
      </c>
    </row>
    <row r="92" spans="1:45" x14ac:dyDescent="0.2">
      <c r="A92" t="str">
        <f>IFERROR(IF(0=LEN(ReferenceData!$A$92),"",ReferenceData!$A$92),"")</f>
        <v xml:space="preserve">    </v>
      </c>
      <c r="B92" t="str">
        <f>IFERROR(IF(0=LEN(ReferenceData!$B$92),"",ReferenceData!$B$92),"")</f>
        <v/>
      </c>
      <c r="C92" t="str">
        <f>IFERROR(IF(0=LEN(ReferenceData!$C$92),"",ReferenceData!$C$92),"")</f>
        <v/>
      </c>
      <c r="D92" t="str">
        <f>IFERROR(IF(0=LEN(ReferenceData!$D$92),"",ReferenceData!$D$92),"")</f>
        <v/>
      </c>
      <c r="E92" t="str">
        <f>IFERROR(IF(0=LEN(ReferenceData!$E$92),"",ReferenceData!$E$92),"")</f>
        <v>Static</v>
      </c>
      <c r="F92" t="str">
        <f ca="1">IFERROR(IF(0=LEN(ReferenceData!$F$92),"",ReferenceData!$F$92),"")</f>
        <v/>
      </c>
      <c r="G92" t="str">
        <f ca="1">IFERROR(IF(0=LEN(ReferenceData!$G$92),"",ReferenceData!$G$92),"")</f>
        <v/>
      </c>
      <c r="H92" t="str">
        <f ca="1">IFERROR(IF(0=LEN(ReferenceData!$H$92),"",ReferenceData!$H$92),"")</f>
        <v/>
      </c>
      <c r="I92" t="str">
        <f ca="1">IFERROR(IF(0=LEN(ReferenceData!$I$92),"",ReferenceData!$I$92),"")</f>
        <v/>
      </c>
      <c r="J92" t="str">
        <f ca="1">IFERROR(IF(0=LEN(ReferenceData!$J$92),"",ReferenceData!$J$92),"")</f>
        <v/>
      </c>
      <c r="K92" t="str">
        <f ca="1">IFERROR(IF(0=LEN(ReferenceData!$K$92),"",ReferenceData!$K$92),"")</f>
        <v/>
      </c>
      <c r="L92" t="str">
        <f ca="1">IFERROR(IF(0=LEN(ReferenceData!$L$92),"",ReferenceData!$L$92),"")</f>
        <v/>
      </c>
      <c r="M92" t="str">
        <f ca="1">IFERROR(IF(0=LEN(ReferenceData!$M$92),"",ReferenceData!$M$92),"")</f>
        <v/>
      </c>
      <c r="N92" t="str">
        <f ca="1">IFERROR(IF(0=LEN(ReferenceData!$N$92),"",ReferenceData!$N$92),"")</f>
        <v/>
      </c>
      <c r="O92" t="str">
        <f ca="1">IFERROR(IF(0=LEN(ReferenceData!$O$92),"",ReferenceData!$O$92),"")</f>
        <v/>
      </c>
      <c r="P92" t="str">
        <f ca="1">IFERROR(IF(0=LEN(ReferenceData!$P$92),"",ReferenceData!$P$92),"")</f>
        <v/>
      </c>
      <c r="Q92" t="str">
        <f ca="1">IFERROR(IF(0=LEN(ReferenceData!$Q$92),"",ReferenceData!$Q$92),"")</f>
        <v/>
      </c>
      <c r="R92" t="str">
        <f ca="1">IFERROR(IF(0=LEN(ReferenceData!$R$92),"",ReferenceData!$R$92),"")</f>
        <v/>
      </c>
      <c r="S92" t="str">
        <f ca="1">IFERROR(IF(0=LEN(ReferenceData!$S$92),"",ReferenceData!$S$92),"")</f>
        <v/>
      </c>
      <c r="T92" t="str">
        <f ca="1">IFERROR(IF(0=LEN(ReferenceData!$T$92),"",ReferenceData!$T$92),"")</f>
        <v/>
      </c>
      <c r="U92" t="str">
        <f ca="1">IFERROR(IF(0=LEN(ReferenceData!$U$92),"",ReferenceData!$U$92),"")</f>
        <v/>
      </c>
      <c r="V92" t="str">
        <f ca="1">IFERROR(IF(0=LEN(ReferenceData!$V$92),"",ReferenceData!$V$92),"")</f>
        <v/>
      </c>
      <c r="W92" t="str">
        <f ca="1">IFERROR(IF(0=LEN(ReferenceData!$W$92),"",ReferenceData!$W$92),"")</f>
        <v/>
      </c>
      <c r="X92" t="str">
        <f ca="1">IFERROR(IF(0=LEN(ReferenceData!$X$92),"",ReferenceData!$X$92),"")</f>
        <v/>
      </c>
      <c r="Y92" t="str">
        <f ca="1">IFERROR(IF(0=LEN(ReferenceData!$Y$92),"",ReferenceData!$Y$92),"")</f>
        <v/>
      </c>
      <c r="Z92" t="str">
        <f ca="1">IFERROR(IF(0=LEN(ReferenceData!$Z$92),"",ReferenceData!$Z$92),"")</f>
        <v/>
      </c>
      <c r="AA92" t="str">
        <f ca="1">IFERROR(IF(0=LEN(ReferenceData!$AA$92),"",ReferenceData!$AA$92),"")</f>
        <v/>
      </c>
      <c r="AB92" t="str">
        <f ca="1">IFERROR(IF(0=LEN(ReferenceData!$AB$92),"",ReferenceData!$AB$92),"")</f>
        <v/>
      </c>
      <c r="AC92" t="str">
        <f ca="1">IFERROR(IF(0=LEN(ReferenceData!$AC$92),"",ReferenceData!$AC$92),"")</f>
        <v/>
      </c>
      <c r="AD92" t="str">
        <f ca="1">IFERROR(IF(0=LEN(ReferenceData!$AD$92),"",ReferenceData!$AD$92),"")</f>
        <v/>
      </c>
      <c r="AE92" t="str">
        <f ca="1">IFERROR(IF(0=LEN(ReferenceData!$AE$92),"",ReferenceData!$AE$92),"")</f>
        <v/>
      </c>
      <c r="AF92" t="str">
        <f ca="1">IFERROR(IF(0=LEN(ReferenceData!$AF$92),"",ReferenceData!$AF$92),"")</f>
        <v/>
      </c>
      <c r="AG92" t="str">
        <f ca="1">IFERROR(IF(0=LEN(ReferenceData!$AG$92),"",ReferenceData!$AG$92),"")</f>
        <v/>
      </c>
      <c r="AH92" t="str">
        <f ca="1">IFERROR(IF(0=LEN(ReferenceData!$AH$92),"",ReferenceData!$AH$92),"")</f>
        <v/>
      </c>
      <c r="AI92" t="str">
        <f ca="1">IFERROR(IF(0=LEN(ReferenceData!$AI$92),"",ReferenceData!$AI$92),"")</f>
        <v/>
      </c>
      <c r="AJ92" t="str">
        <f ca="1">IFERROR(IF(0=LEN(ReferenceData!$AJ$92),"",ReferenceData!$AJ$92),"")</f>
        <v/>
      </c>
      <c r="AK92" t="str">
        <f ca="1">IFERROR(IF(0=LEN(ReferenceData!$AK$92),"",ReferenceData!$AK$92),"")</f>
        <v/>
      </c>
      <c r="AL92" t="str">
        <f ca="1">IFERROR(IF(0=LEN(ReferenceData!$AL$92),"",ReferenceData!$AL$92),"")</f>
        <v/>
      </c>
      <c r="AM92" t="str">
        <f ca="1">IFERROR(IF(0=LEN(ReferenceData!$AM$92),"",ReferenceData!$AM$92),"")</f>
        <v/>
      </c>
      <c r="AN92" t="str">
        <f ca="1">IFERROR(IF(0=LEN(ReferenceData!$AN$92),"",ReferenceData!$AN$92),"")</f>
        <v/>
      </c>
      <c r="AO92" t="str">
        <f ca="1">IFERROR(IF(0=LEN(ReferenceData!$AO$92),"",ReferenceData!$AO$92),"")</f>
        <v/>
      </c>
      <c r="AP92" t="str">
        <f ca="1">IFERROR(IF(0=LEN(ReferenceData!$AP$92),"",ReferenceData!$AP$92),"")</f>
        <v/>
      </c>
      <c r="AQ92" t="str">
        <f ca="1">IFERROR(IF(0=LEN(ReferenceData!$AQ$92),"",ReferenceData!$AQ$92),"")</f>
        <v/>
      </c>
      <c r="AR92" t="str">
        <f ca="1">IFERROR(IF(0=LEN(ReferenceData!$AR$92),"",ReferenceData!$AR$92),"")</f>
        <v/>
      </c>
      <c r="AS92" t="str">
        <f ca="1">IFERROR(IF(0=LEN(ReferenceData!$AS$92),"",ReferenceData!$AS$92),"")</f>
        <v/>
      </c>
    </row>
    <row r="93" spans="1:45" x14ac:dyDescent="0.2">
      <c r="A93" t="str">
        <f>IFERROR(IF(0=LEN(ReferenceData!$A$93),"",ReferenceData!$A$93),"")</f>
        <v xml:space="preserve">    Canada New Housing Price Index</v>
      </c>
      <c r="B93" t="str">
        <f>IFERROR(IF(0=LEN(ReferenceData!$B$93),"",ReferenceData!$B$93),"")</f>
        <v>CAHUPI Index</v>
      </c>
      <c r="C93" t="str">
        <f>IFERROR(IF(0=LEN(ReferenceData!$C$93),"",ReferenceData!$C$93),"")</f>
        <v>PR005</v>
      </c>
      <c r="D93" t="str">
        <f>IFERROR(IF(0=LEN(ReferenceData!$D$93),"",ReferenceData!$D$93),"")</f>
        <v>PX_LAST</v>
      </c>
      <c r="E93" t="str">
        <f>IFERROR(IF(0=LEN(ReferenceData!$E$93),"",ReferenceData!$E$93),"")</f>
        <v>Dynamic</v>
      </c>
      <c r="F93">
        <f ca="1">IFERROR(IF(0=LEN(ReferenceData!$F$93),"",ReferenceData!$F$93),"")</f>
        <v>124.7</v>
      </c>
      <c r="G93">
        <f ca="1">IFERROR(IF(0=LEN(ReferenceData!$G$93),"",ReferenceData!$G$93),"")</f>
        <v>125.5</v>
      </c>
      <c r="H93">
        <f ca="1">IFERROR(IF(0=LEN(ReferenceData!$H$93),"",ReferenceData!$H$93),"")</f>
        <v>120.8</v>
      </c>
      <c r="I93">
        <f ca="1">IFERROR(IF(0=LEN(ReferenceData!$I$93),"",ReferenceData!$I$93),"")</f>
        <v>108.2</v>
      </c>
      <c r="J93">
        <f ca="1">IFERROR(IF(0=LEN(ReferenceData!$J$93),"",ReferenceData!$J$93),"")</f>
        <v>103.4</v>
      </c>
      <c r="K93">
        <f ca="1">IFERROR(IF(0=LEN(ReferenceData!$K$93),"",ReferenceData!$K$93),"")</f>
        <v>103.3</v>
      </c>
      <c r="L93">
        <f ca="1">IFERROR(IF(0=LEN(ReferenceData!$L$93),"",ReferenceData!$L$93),"")</f>
        <v>103.3</v>
      </c>
      <c r="M93">
        <f ca="1">IFERROR(IF(0=LEN(ReferenceData!$M$93),"",ReferenceData!$M$93),"")</f>
        <v>100</v>
      </c>
      <c r="N93">
        <f ca="1">IFERROR(IF(0=LEN(ReferenceData!$N$93),"",ReferenceData!$N$93),"")</f>
        <v>97</v>
      </c>
      <c r="O93">
        <f ca="1">IFERROR(IF(0=LEN(ReferenceData!$O$93),"",ReferenceData!$O$93),"")</f>
        <v>95.5</v>
      </c>
      <c r="P93">
        <f ca="1">IFERROR(IF(0=LEN(ReferenceData!$P$93),"",ReferenceData!$P$93),"")</f>
        <v>93.9</v>
      </c>
      <c r="Q93">
        <f ca="1">IFERROR(IF(0=LEN(ReferenceData!$Q$93),"",ReferenceData!$Q$93),"")</f>
        <v>92.7</v>
      </c>
      <c r="R93">
        <f ca="1">IFERROR(IF(0=LEN(ReferenceData!$R$93),"",ReferenceData!$R$93),"")</f>
        <v>90.7</v>
      </c>
      <c r="S93">
        <f ca="1">IFERROR(IF(0=LEN(ReferenceData!$S$93),"",ReferenceData!$S$93),"")</f>
        <v>88.4</v>
      </c>
      <c r="T93">
        <f ca="1">IFERROR(IF(0=LEN(ReferenceData!$T$93),"",ReferenceData!$T$93),"")</f>
        <v>86.7</v>
      </c>
      <c r="U93">
        <f ca="1">IFERROR(IF(0=LEN(ReferenceData!$U$93),"",ReferenceData!$U$93),"")</f>
        <v>87.5</v>
      </c>
      <c r="V93">
        <f ca="1">IFERROR(IF(0=LEN(ReferenceData!$V$93),"",ReferenceData!$V$93),"")</f>
        <v>87.1</v>
      </c>
      <c r="W93">
        <f ca="1">IFERROR(IF(0=LEN(ReferenceData!$W$93),"",ReferenceData!$W$93),"")</f>
        <v>82</v>
      </c>
      <c r="X93">
        <f ca="1">IFERROR(IF(0=LEN(ReferenceData!$X$93),"",ReferenceData!$X$93),"")</f>
        <v>74.099999999999994</v>
      </c>
      <c r="Y93">
        <f ca="1">IFERROR(IF(0=LEN(ReferenceData!$Y$93),"",ReferenceData!$Y$93),"")</f>
        <v>69.900000000000006</v>
      </c>
      <c r="Z93">
        <f ca="1">IFERROR(IF(0=LEN(ReferenceData!$Z$93),"",ReferenceData!$Z$93),"")</f>
        <v>66.5</v>
      </c>
      <c r="AA93">
        <f ca="1">IFERROR(IF(0=LEN(ReferenceData!$AA$93),"",ReferenceData!$AA$93),"")</f>
        <v>63.3</v>
      </c>
      <c r="AB93">
        <f ca="1">IFERROR(IF(0=LEN(ReferenceData!$AB$93),"",ReferenceData!$AB$93),"")</f>
        <v>60.2</v>
      </c>
      <c r="AC93">
        <f ca="1">IFERROR(IF(0=LEN(ReferenceData!$AC$93),"",ReferenceData!$AC$93),"")</f>
        <v>58.6</v>
      </c>
      <c r="AD93">
        <f ca="1">IFERROR(IF(0=LEN(ReferenceData!$AD$93),"",ReferenceData!$AD$93),"")</f>
        <v>57.2</v>
      </c>
      <c r="AE93">
        <f ca="1">IFERROR(IF(0=LEN(ReferenceData!$AE$93),"",ReferenceData!$AE$93),"")</f>
        <v>56.3</v>
      </c>
      <c r="AF93">
        <f ca="1">IFERROR(IF(0=LEN(ReferenceData!$AF$93),"",ReferenceData!$AF$93),"")</f>
        <v>55.9</v>
      </c>
      <c r="AG93">
        <f ca="1">IFERROR(IF(0=LEN(ReferenceData!$AG$93),"",ReferenceData!$AG$93),"")</f>
        <v>55.2</v>
      </c>
      <c r="AH93">
        <f ca="1">IFERROR(IF(0=LEN(ReferenceData!$AH$93),"",ReferenceData!$AH$93),"")</f>
        <v>55.7</v>
      </c>
      <c r="AI93">
        <f ca="1">IFERROR(IF(0=LEN(ReferenceData!$AI$93),"",ReferenceData!$AI$93),"")</f>
        <v>56.8</v>
      </c>
      <c r="AJ93">
        <f ca="1">IFERROR(IF(0=LEN(ReferenceData!$AJ$93),"",ReferenceData!$AJ$93),"")</f>
        <v>56.9</v>
      </c>
      <c r="AK93">
        <f ca="1">IFERROR(IF(0=LEN(ReferenceData!$AK$93),"",ReferenceData!$AK$93),"")</f>
        <v>56.3</v>
      </c>
      <c r="AL93">
        <f ca="1">IFERROR(IF(0=LEN(ReferenceData!$AL$93),"",ReferenceData!$AL$93),"")</f>
        <v>55.9</v>
      </c>
      <c r="AM93">
        <f ca="1">IFERROR(IF(0=LEN(ReferenceData!$AM$93),"",ReferenceData!$AM$93),"")</f>
        <v>57.8</v>
      </c>
      <c r="AN93">
        <f ca="1">IFERROR(IF(0=LEN(ReferenceData!$AN$93),"",ReferenceData!$AN$93),"")</f>
        <v>61.1</v>
      </c>
      <c r="AO93">
        <f ca="1">IFERROR(IF(0=LEN(ReferenceData!$AO$93),"",ReferenceData!$AO$93),"")</f>
        <v>55.8</v>
      </c>
      <c r="AP93">
        <f ca="1">IFERROR(IF(0=LEN(ReferenceData!$AP$93),"",ReferenceData!$AP$93),"")</f>
        <v>49.1</v>
      </c>
      <c r="AQ93">
        <f ca="1">IFERROR(IF(0=LEN(ReferenceData!$AQ$93),"",ReferenceData!$AQ$93),"")</f>
        <v>44</v>
      </c>
      <c r="AR93">
        <f ca="1">IFERROR(IF(0=LEN(ReferenceData!$AR$93),"",ReferenceData!$AR$93),"")</f>
        <v>39.299999999999997</v>
      </c>
      <c r="AS93">
        <f ca="1">IFERROR(IF(0=LEN(ReferenceData!$AS$93),"",ReferenceData!$AS$93),"")</f>
        <v>37.9</v>
      </c>
    </row>
    <row r="94" spans="1:45" x14ac:dyDescent="0.2">
      <c r="A94" t="str">
        <f>IFERROR(IF(0=LEN(ReferenceData!$A$94),"",ReferenceData!$A$94),"")</f>
        <v xml:space="preserve">    Canada Affordability Two Storey Houses</v>
      </c>
      <c r="B94" t="str">
        <f>IFERROR(IF(0=LEN(ReferenceData!$B$94),"",ReferenceData!$B$94),"")</f>
        <v>CANH2S Index</v>
      </c>
      <c r="C94" t="str">
        <f>IFERROR(IF(0=LEN(ReferenceData!$C$94),"",ReferenceData!$C$94),"")</f>
        <v>PR005</v>
      </c>
      <c r="D94" t="str">
        <f>IFERROR(IF(0=LEN(ReferenceData!$D$94),"",ReferenceData!$D$94),"")</f>
        <v>PX_LAST</v>
      </c>
      <c r="E94" t="str">
        <f>IFERROR(IF(0=LEN(ReferenceData!$E$94),"",ReferenceData!$E$94),"")</f>
        <v>Dynamic</v>
      </c>
      <c r="F94">
        <f ca="1">IFERROR(IF(0=LEN(ReferenceData!$F$94),"",ReferenceData!$F$94),"")</f>
        <v>65.900000000000006</v>
      </c>
      <c r="G94">
        <f ca="1">IFERROR(IF(0=LEN(ReferenceData!$G$94),"",ReferenceData!$G$94),"")</f>
        <v>69.400000000000006</v>
      </c>
      <c r="H94">
        <f ca="1">IFERROR(IF(0=LEN(ReferenceData!$H$94),"",ReferenceData!$H$94),"")</f>
        <v>54.6</v>
      </c>
      <c r="I94">
        <f ca="1">IFERROR(IF(0=LEN(ReferenceData!$I$94),"",ReferenceData!$I$94),"")</f>
        <v>54.7</v>
      </c>
      <c r="J94">
        <f ca="1">IFERROR(IF(0=LEN(ReferenceData!$J$94),"",ReferenceData!$J$94),"")</f>
        <v>54.9</v>
      </c>
      <c r="K94">
        <f ca="1">IFERROR(IF(0=LEN(ReferenceData!$K$94),"",ReferenceData!$K$94),"")</f>
        <v>57.1</v>
      </c>
      <c r="L94">
        <f ca="1">IFERROR(IF(0=LEN(ReferenceData!$L$94),"",ReferenceData!$L$94),"")</f>
        <v>53.3</v>
      </c>
      <c r="M94">
        <f ca="1">IFERROR(IF(0=LEN(ReferenceData!$M$94),"",ReferenceData!$M$94),"")</f>
        <v>49.2</v>
      </c>
      <c r="N94">
        <f ca="1">IFERROR(IF(0=LEN(ReferenceData!$N$94),"",ReferenceData!$N$94),"")</f>
        <v>51.3</v>
      </c>
      <c r="O94">
        <f ca="1">IFERROR(IF(0=LEN(ReferenceData!$O$94),"",ReferenceData!$O$94),"")</f>
        <v>48.1</v>
      </c>
      <c r="P94">
        <f ca="1">IFERROR(IF(0=LEN(ReferenceData!$P$94),"",ReferenceData!$P$94),"")</f>
        <v>48.7</v>
      </c>
      <c r="Q94">
        <f ca="1">IFERROR(IF(0=LEN(ReferenceData!$Q$94),"",ReferenceData!$Q$94),"")</f>
        <v>47.9</v>
      </c>
      <c r="R94">
        <f ca="1">IFERROR(IF(0=LEN(ReferenceData!$R$94),"",ReferenceData!$R$94),"")</f>
        <v>47.9</v>
      </c>
      <c r="S94">
        <f ca="1">IFERROR(IF(0=LEN(ReferenceData!$S$94),"",ReferenceData!$S$94),"")</f>
        <v>47.2</v>
      </c>
      <c r="T94">
        <f ca="1">IFERROR(IF(0=LEN(ReferenceData!$T$94),"",ReferenceData!$T$94),"")</f>
        <v>47.2</v>
      </c>
      <c r="U94">
        <f ca="1">IFERROR(IF(0=LEN(ReferenceData!$U$94),"",ReferenceData!$U$94),"")</f>
        <v>50.4</v>
      </c>
      <c r="V94">
        <f ca="1">IFERROR(IF(0=LEN(ReferenceData!$V$94),"",ReferenceData!$V$94),"")</f>
        <v>51.8</v>
      </c>
      <c r="W94">
        <f ca="1">IFERROR(IF(0=LEN(ReferenceData!$W$94),"",ReferenceData!$W$94),"")</f>
        <v>46.6</v>
      </c>
      <c r="X94">
        <f ca="1">IFERROR(IF(0=LEN(ReferenceData!$X$94),"",ReferenceData!$X$94),"")</f>
        <v>43</v>
      </c>
      <c r="Y94">
        <f ca="1">IFERROR(IF(0=LEN(ReferenceData!$Y$94),"",ReferenceData!$Y$94),"")</f>
        <v>41.9</v>
      </c>
      <c r="Z94">
        <f ca="1">IFERROR(IF(0=LEN(ReferenceData!$Z$94),"",ReferenceData!$Z$94),"")</f>
        <v>41</v>
      </c>
      <c r="AA94">
        <f ca="1">IFERROR(IF(0=LEN(ReferenceData!$AA$94),"",ReferenceData!$AA$94),"")</f>
        <v>39.5</v>
      </c>
      <c r="AB94">
        <f ca="1">IFERROR(IF(0=LEN(ReferenceData!$AB$94),"",ReferenceData!$AB$94),"")</f>
        <v>37.700000000000003</v>
      </c>
      <c r="AC94">
        <f ca="1">IFERROR(IF(0=LEN(ReferenceData!$AC$94),"",ReferenceData!$AC$94),"")</f>
        <v>40.1</v>
      </c>
      <c r="AD94">
        <f ca="1">IFERROR(IF(0=LEN(ReferenceData!$AD$94),"",ReferenceData!$AD$94),"")</f>
        <v>39.299999999999997</v>
      </c>
      <c r="AE94">
        <f ca="1">IFERROR(IF(0=LEN(ReferenceData!$AE$94),"",ReferenceData!$AE$94),"")</f>
        <v>36.700000000000003</v>
      </c>
      <c r="AF94">
        <f ca="1">IFERROR(IF(0=LEN(ReferenceData!$AF$94),"",ReferenceData!$AF$94),"")</f>
        <v>37.299999999999997</v>
      </c>
      <c r="AG94">
        <f ca="1">IFERROR(IF(0=LEN(ReferenceData!$AG$94),"",ReferenceData!$AG$94),"")</f>
        <v>37.1</v>
      </c>
      <c r="AH94">
        <f ca="1">IFERROR(IF(0=LEN(ReferenceData!$AH$94),"",ReferenceData!$AH$94),"")</f>
        <v>40.700000000000003</v>
      </c>
      <c r="AI94">
        <f ca="1">IFERROR(IF(0=LEN(ReferenceData!$AI$94),"",ReferenceData!$AI$94),"")</f>
        <v>45.7</v>
      </c>
      <c r="AJ94">
        <f ca="1">IFERROR(IF(0=LEN(ReferenceData!$AJ$94),"",ReferenceData!$AJ$94),"")</f>
        <v>40.299999999999997</v>
      </c>
      <c r="AK94">
        <f ca="1">IFERROR(IF(0=LEN(ReferenceData!$AK$94),"",ReferenceData!$AK$94),"")</f>
        <v>42.9</v>
      </c>
      <c r="AL94">
        <f ca="1">IFERROR(IF(0=LEN(ReferenceData!$AL$94),"",ReferenceData!$AL$94),"")</f>
        <v>44.3</v>
      </c>
      <c r="AM94">
        <f ca="1">IFERROR(IF(0=LEN(ReferenceData!$AM$94),"",ReferenceData!$AM$94),"")</f>
        <v>50.8</v>
      </c>
      <c r="AN94">
        <f ca="1">IFERROR(IF(0=LEN(ReferenceData!$AN$94),"",ReferenceData!$AN$94),"")</f>
        <v>47.5</v>
      </c>
      <c r="AO94">
        <f ca="1">IFERROR(IF(0=LEN(ReferenceData!$AO$94),"",ReferenceData!$AO$94),"")</f>
        <v>46.6</v>
      </c>
      <c r="AP94">
        <f ca="1">IFERROR(IF(0=LEN(ReferenceData!$AP$94),"",ReferenceData!$AP$94),"")</f>
        <v>43.5</v>
      </c>
      <c r="AQ94">
        <f ca="1">IFERROR(IF(0=LEN(ReferenceData!$AQ$94),"",ReferenceData!$AQ$94),"")</f>
        <v>39.6</v>
      </c>
      <c r="AR94">
        <f ca="1">IFERROR(IF(0=LEN(ReferenceData!$AR$94),"",ReferenceData!$AR$94),"")</f>
        <v>39.5</v>
      </c>
      <c r="AS94" t="str">
        <f ca="1">IFERROR(IF(0=LEN(ReferenceData!$AS$94),"",ReferenceData!$AS$94),"")</f>
        <v/>
      </c>
    </row>
    <row r="95" spans="1:45" x14ac:dyDescent="0.2">
      <c r="A95" t="str">
        <f>IFERROR(IF(0=LEN(ReferenceData!$A$95),"",ReferenceData!$A$95),"")</f>
        <v xml:space="preserve">    </v>
      </c>
      <c r="B95" t="str">
        <f>IFERROR(IF(0=LEN(ReferenceData!$B$95),"",ReferenceData!$B$95),"")</f>
        <v/>
      </c>
      <c r="C95" t="str">
        <f>IFERROR(IF(0=LEN(ReferenceData!$C$95),"",ReferenceData!$C$95),"")</f>
        <v/>
      </c>
      <c r="D95" t="str">
        <f>IFERROR(IF(0=LEN(ReferenceData!$D$95),"",ReferenceData!$D$95),"")</f>
        <v/>
      </c>
      <c r="E95" t="str">
        <f>IFERROR(IF(0=LEN(ReferenceData!$E$95),"",ReferenceData!$E$95),"")</f>
        <v>Static</v>
      </c>
      <c r="F95" t="str">
        <f ca="1">IFERROR(IF(0=LEN(ReferenceData!$F$95),"",ReferenceData!$F$95),"")</f>
        <v/>
      </c>
      <c r="G95" t="str">
        <f ca="1">IFERROR(IF(0=LEN(ReferenceData!$G$95),"",ReferenceData!$G$95),"")</f>
        <v/>
      </c>
      <c r="H95" t="str">
        <f ca="1">IFERROR(IF(0=LEN(ReferenceData!$H$95),"",ReferenceData!$H$95),"")</f>
        <v/>
      </c>
      <c r="I95" t="str">
        <f ca="1">IFERROR(IF(0=LEN(ReferenceData!$I$95),"",ReferenceData!$I$95),"")</f>
        <v/>
      </c>
      <c r="J95" t="str">
        <f ca="1">IFERROR(IF(0=LEN(ReferenceData!$J$95),"",ReferenceData!$J$95),"")</f>
        <v/>
      </c>
      <c r="K95" t="str">
        <f ca="1">IFERROR(IF(0=LEN(ReferenceData!$K$95),"",ReferenceData!$K$95),"")</f>
        <v/>
      </c>
      <c r="L95" t="str">
        <f ca="1">IFERROR(IF(0=LEN(ReferenceData!$L$95),"",ReferenceData!$L$95),"")</f>
        <v/>
      </c>
      <c r="M95" t="str">
        <f ca="1">IFERROR(IF(0=LEN(ReferenceData!$M$95),"",ReferenceData!$M$95),"")</f>
        <v/>
      </c>
      <c r="N95" t="str">
        <f ca="1">IFERROR(IF(0=LEN(ReferenceData!$N$95),"",ReferenceData!$N$95),"")</f>
        <v/>
      </c>
      <c r="O95" t="str">
        <f ca="1">IFERROR(IF(0=LEN(ReferenceData!$O$95),"",ReferenceData!$O$95),"")</f>
        <v/>
      </c>
      <c r="P95" t="str">
        <f ca="1">IFERROR(IF(0=LEN(ReferenceData!$P$95),"",ReferenceData!$P$95),"")</f>
        <v/>
      </c>
      <c r="Q95" t="str">
        <f ca="1">IFERROR(IF(0=LEN(ReferenceData!$Q$95),"",ReferenceData!$Q$95),"")</f>
        <v/>
      </c>
      <c r="R95" t="str">
        <f ca="1">IFERROR(IF(0=LEN(ReferenceData!$R$95),"",ReferenceData!$R$95),"")</f>
        <v/>
      </c>
      <c r="S95" t="str">
        <f ca="1">IFERROR(IF(0=LEN(ReferenceData!$S$95),"",ReferenceData!$S$95),"")</f>
        <v/>
      </c>
      <c r="T95" t="str">
        <f ca="1">IFERROR(IF(0=LEN(ReferenceData!$T$95),"",ReferenceData!$T$95),"")</f>
        <v/>
      </c>
      <c r="U95" t="str">
        <f ca="1">IFERROR(IF(0=LEN(ReferenceData!$U$95),"",ReferenceData!$U$95),"")</f>
        <v/>
      </c>
      <c r="V95" t="str">
        <f ca="1">IFERROR(IF(0=LEN(ReferenceData!$V$95),"",ReferenceData!$V$95),"")</f>
        <v/>
      </c>
      <c r="W95" t="str">
        <f ca="1">IFERROR(IF(0=LEN(ReferenceData!$W$95),"",ReferenceData!$W$95),"")</f>
        <v/>
      </c>
      <c r="X95" t="str">
        <f ca="1">IFERROR(IF(0=LEN(ReferenceData!$X$95),"",ReferenceData!$X$95),"")</f>
        <v/>
      </c>
      <c r="Y95" t="str">
        <f ca="1">IFERROR(IF(0=LEN(ReferenceData!$Y$95),"",ReferenceData!$Y$95),"")</f>
        <v/>
      </c>
      <c r="Z95" t="str">
        <f ca="1">IFERROR(IF(0=LEN(ReferenceData!$Z$95),"",ReferenceData!$Z$95),"")</f>
        <v/>
      </c>
      <c r="AA95" t="str">
        <f ca="1">IFERROR(IF(0=LEN(ReferenceData!$AA$95),"",ReferenceData!$AA$95),"")</f>
        <v/>
      </c>
      <c r="AB95" t="str">
        <f ca="1">IFERROR(IF(0=LEN(ReferenceData!$AB$95),"",ReferenceData!$AB$95),"")</f>
        <v/>
      </c>
      <c r="AC95" t="str">
        <f ca="1">IFERROR(IF(0=LEN(ReferenceData!$AC$95),"",ReferenceData!$AC$95),"")</f>
        <v/>
      </c>
      <c r="AD95" t="str">
        <f ca="1">IFERROR(IF(0=LEN(ReferenceData!$AD$95),"",ReferenceData!$AD$95),"")</f>
        <v/>
      </c>
      <c r="AE95" t="str">
        <f ca="1">IFERROR(IF(0=LEN(ReferenceData!$AE$95),"",ReferenceData!$AE$95),"")</f>
        <v/>
      </c>
      <c r="AF95" t="str">
        <f ca="1">IFERROR(IF(0=LEN(ReferenceData!$AF$95),"",ReferenceData!$AF$95),"")</f>
        <v/>
      </c>
      <c r="AG95" t="str">
        <f ca="1">IFERROR(IF(0=LEN(ReferenceData!$AG$95),"",ReferenceData!$AG$95),"")</f>
        <v/>
      </c>
      <c r="AH95" t="str">
        <f ca="1">IFERROR(IF(0=LEN(ReferenceData!$AH$95),"",ReferenceData!$AH$95),"")</f>
        <v/>
      </c>
      <c r="AI95" t="str">
        <f ca="1">IFERROR(IF(0=LEN(ReferenceData!$AI$95),"",ReferenceData!$AI$95),"")</f>
        <v/>
      </c>
      <c r="AJ95" t="str">
        <f ca="1">IFERROR(IF(0=LEN(ReferenceData!$AJ$95),"",ReferenceData!$AJ$95),"")</f>
        <v/>
      </c>
      <c r="AK95" t="str">
        <f ca="1">IFERROR(IF(0=LEN(ReferenceData!$AK$95),"",ReferenceData!$AK$95),"")</f>
        <v/>
      </c>
      <c r="AL95" t="str">
        <f ca="1">IFERROR(IF(0=LEN(ReferenceData!$AL$95),"",ReferenceData!$AL$95),"")</f>
        <v/>
      </c>
      <c r="AM95" t="str">
        <f ca="1">IFERROR(IF(0=LEN(ReferenceData!$AM$95),"",ReferenceData!$AM$95),"")</f>
        <v/>
      </c>
      <c r="AN95" t="str">
        <f ca="1">IFERROR(IF(0=LEN(ReferenceData!$AN$95),"",ReferenceData!$AN$95),"")</f>
        <v/>
      </c>
      <c r="AO95" t="str">
        <f ca="1">IFERROR(IF(0=LEN(ReferenceData!$AO$95),"",ReferenceData!$AO$95),"")</f>
        <v/>
      </c>
      <c r="AP95" t="str">
        <f ca="1">IFERROR(IF(0=LEN(ReferenceData!$AP$95),"",ReferenceData!$AP$95),"")</f>
        <v/>
      </c>
      <c r="AQ95" t="str">
        <f ca="1">IFERROR(IF(0=LEN(ReferenceData!$AQ$95),"",ReferenceData!$AQ$95),"")</f>
        <v/>
      </c>
      <c r="AR95" t="str">
        <f ca="1">IFERROR(IF(0=LEN(ReferenceData!$AR$95),"",ReferenceData!$AR$95),"")</f>
        <v/>
      </c>
      <c r="AS95" t="str">
        <f ca="1">IFERROR(IF(0=LEN(ReferenceData!$AS$95),"",ReferenceData!$AS$95),"")</f>
        <v/>
      </c>
    </row>
    <row r="96" spans="1:45" x14ac:dyDescent="0.2">
      <c r="A96" t="str">
        <f>IFERROR(IF(0=LEN(ReferenceData!$A$96),"",ReferenceData!$A$96),"")</f>
        <v xml:space="preserve">    </v>
      </c>
      <c r="B96" t="str">
        <f>IFERROR(IF(0=LEN(ReferenceData!$B$96),"",ReferenceData!$B$96),"")</f>
        <v/>
      </c>
      <c r="C96" t="str">
        <f>IFERROR(IF(0=LEN(ReferenceData!$C$96),"",ReferenceData!$C$96),"")</f>
        <v/>
      </c>
      <c r="D96" t="str">
        <f>IFERROR(IF(0=LEN(ReferenceData!$D$96),"",ReferenceData!$D$96),"")</f>
        <v/>
      </c>
      <c r="E96" t="str">
        <f>IFERROR(IF(0=LEN(ReferenceData!$E$96),"",ReferenceData!$E$96),"")</f>
        <v>Static</v>
      </c>
      <c r="F96" t="str">
        <f ca="1">IFERROR(IF(0=LEN(ReferenceData!$F$96),"",ReferenceData!$F$96),"")</f>
        <v/>
      </c>
      <c r="G96" t="str">
        <f ca="1">IFERROR(IF(0=LEN(ReferenceData!$G$96),"",ReferenceData!$G$96),"")</f>
        <v/>
      </c>
      <c r="H96" t="str">
        <f ca="1">IFERROR(IF(0=LEN(ReferenceData!$H$96),"",ReferenceData!$H$96),"")</f>
        <v/>
      </c>
      <c r="I96" t="str">
        <f ca="1">IFERROR(IF(0=LEN(ReferenceData!$I$96),"",ReferenceData!$I$96),"")</f>
        <v/>
      </c>
      <c r="J96" t="str">
        <f ca="1">IFERROR(IF(0=LEN(ReferenceData!$J$96),"",ReferenceData!$J$96),"")</f>
        <v/>
      </c>
      <c r="K96" t="str">
        <f ca="1">IFERROR(IF(0=LEN(ReferenceData!$K$96),"",ReferenceData!$K$96),"")</f>
        <v/>
      </c>
      <c r="L96" t="str">
        <f ca="1">IFERROR(IF(0=LEN(ReferenceData!$L$96),"",ReferenceData!$L$96),"")</f>
        <v/>
      </c>
      <c r="M96" t="str">
        <f ca="1">IFERROR(IF(0=LEN(ReferenceData!$M$96),"",ReferenceData!$M$96),"")</f>
        <v/>
      </c>
      <c r="N96" t="str">
        <f ca="1">IFERROR(IF(0=LEN(ReferenceData!$N$96),"",ReferenceData!$N$96),"")</f>
        <v/>
      </c>
      <c r="O96" t="str">
        <f ca="1">IFERROR(IF(0=LEN(ReferenceData!$O$96),"",ReferenceData!$O$96),"")</f>
        <v/>
      </c>
      <c r="P96" t="str">
        <f ca="1">IFERROR(IF(0=LEN(ReferenceData!$P$96),"",ReferenceData!$P$96),"")</f>
        <v/>
      </c>
      <c r="Q96" t="str">
        <f ca="1">IFERROR(IF(0=LEN(ReferenceData!$Q$96),"",ReferenceData!$Q$96),"")</f>
        <v/>
      </c>
      <c r="R96" t="str">
        <f ca="1">IFERROR(IF(0=LEN(ReferenceData!$R$96),"",ReferenceData!$R$96),"")</f>
        <v/>
      </c>
      <c r="S96" t="str">
        <f ca="1">IFERROR(IF(0=LEN(ReferenceData!$S$96),"",ReferenceData!$S$96),"")</f>
        <v/>
      </c>
      <c r="T96" t="str">
        <f ca="1">IFERROR(IF(0=LEN(ReferenceData!$T$96),"",ReferenceData!$T$96),"")</f>
        <v/>
      </c>
      <c r="U96" t="str">
        <f ca="1">IFERROR(IF(0=LEN(ReferenceData!$U$96),"",ReferenceData!$U$96),"")</f>
        <v/>
      </c>
      <c r="V96" t="str">
        <f ca="1">IFERROR(IF(0=LEN(ReferenceData!$V$96),"",ReferenceData!$V$96),"")</f>
        <v/>
      </c>
      <c r="W96" t="str">
        <f ca="1">IFERROR(IF(0=LEN(ReferenceData!$W$96),"",ReferenceData!$W$96),"")</f>
        <v/>
      </c>
      <c r="X96" t="str">
        <f ca="1">IFERROR(IF(0=LEN(ReferenceData!$X$96),"",ReferenceData!$X$96),"")</f>
        <v/>
      </c>
      <c r="Y96" t="str">
        <f ca="1">IFERROR(IF(0=LEN(ReferenceData!$Y$96),"",ReferenceData!$Y$96),"")</f>
        <v/>
      </c>
      <c r="Z96" t="str">
        <f ca="1">IFERROR(IF(0=LEN(ReferenceData!$Z$96),"",ReferenceData!$Z$96),"")</f>
        <v/>
      </c>
      <c r="AA96" t="str">
        <f ca="1">IFERROR(IF(0=LEN(ReferenceData!$AA$96),"",ReferenceData!$AA$96),"")</f>
        <v/>
      </c>
      <c r="AB96" t="str">
        <f ca="1">IFERROR(IF(0=LEN(ReferenceData!$AB$96),"",ReferenceData!$AB$96),"")</f>
        <v/>
      </c>
      <c r="AC96" t="str">
        <f ca="1">IFERROR(IF(0=LEN(ReferenceData!$AC$96),"",ReferenceData!$AC$96),"")</f>
        <v/>
      </c>
      <c r="AD96" t="str">
        <f ca="1">IFERROR(IF(0=LEN(ReferenceData!$AD$96),"",ReferenceData!$AD$96),"")</f>
        <v/>
      </c>
      <c r="AE96" t="str">
        <f ca="1">IFERROR(IF(0=LEN(ReferenceData!$AE$96),"",ReferenceData!$AE$96),"")</f>
        <v/>
      </c>
      <c r="AF96" t="str">
        <f ca="1">IFERROR(IF(0=LEN(ReferenceData!$AF$96),"",ReferenceData!$AF$96),"")</f>
        <v/>
      </c>
      <c r="AG96" t="str">
        <f ca="1">IFERROR(IF(0=LEN(ReferenceData!$AG$96),"",ReferenceData!$AG$96),"")</f>
        <v/>
      </c>
      <c r="AH96" t="str">
        <f ca="1">IFERROR(IF(0=LEN(ReferenceData!$AH$96),"",ReferenceData!$AH$96),"")</f>
        <v/>
      </c>
      <c r="AI96" t="str">
        <f ca="1">IFERROR(IF(0=LEN(ReferenceData!$AI$96),"",ReferenceData!$AI$96),"")</f>
        <v/>
      </c>
      <c r="AJ96" t="str">
        <f ca="1">IFERROR(IF(0=LEN(ReferenceData!$AJ$96),"",ReferenceData!$AJ$96),"")</f>
        <v/>
      </c>
      <c r="AK96" t="str">
        <f ca="1">IFERROR(IF(0=LEN(ReferenceData!$AK$96),"",ReferenceData!$AK$96),"")</f>
        <v/>
      </c>
      <c r="AL96" t="str">
        <f ca="1">IFERROR(IF(0=LEN(ReferenceData!$AL$96),"",ReferenceData!$AL$96),"")</f>
        <v/>
      </c>
      <c r="AM96" t="str">
        <f ca="1">IFERROR(IF(0=LEN(ReferenceData!$AM$96),"",ReferenceData!$AM$96),"")</f>
        <v/>
      </c>
      <c r="AN96" t="str">
        <f ca="1">IFERROR(IF(0=LEN(ReferenceData!$AN$96),"",ReferenceData!$AN$96),"")</f>
        <v/>
      </c>
      <c r="AO96" t="str">
        <f ca="1">IFERROR(IF(0=LEN(ReferenceData!$AO$96),"",ReferenceData!$AO$96),"")</f>
        <v/>
      </c>
      <c r="AP96" t="str">
        <f ca="1">IFERROR(IF(0=LEN(ReferenceData!$AP$96),"",ReferenceData!$AP$96),"")</f>
        <v/>
      </c>
      <c r="AQ96" t="str">
        <f ca="1">IFERROR(IF(0=LEN(ReferenceData!$AQ$96),"",ReferenceData!$AQ$96),"")</f>
        <v/>
      </c>
      <c r="AR96" t="str">
        <f ca="1">IFERROR(IF(0=LEN(ReferenceData!$AR$96),"",ReferenceData!$AR$96),"")</f>
        <v/>
      </c>
      <c r="AS96" t="str">
        <f ca="1">IFERROR(IF(0=LEN(ReferenceData!$AS$96),"",ReferenceData!$AS$96),"")</f>
        <v/>
      </c>
    </row>
    <row r="97" spans="1:45" x14ac:dyDescent="0.2">
      <c r="A97" t="str">
        <f>IFERROR(IF(0=LEN(ReferenceData!$A$97),"",ReferenceData!$A$97),"")</f>
        <v xml:space="preserve">    </v>
      </c>
      <c r="B97" t="str">
        <f>IFERROR(IF(0=LEN(ReferenceData!$B$97),"",ReferenceData!$B$97),"")</f>
        <v/>
      </c>
      <c r="C97" t="str">
        <f>IFERROR(IF(0=LEN(ReferenceData!$C$97),"",ReferenceData!$C$97),"")</f>
        <v/>
      </c>
      <c r="D97" t="str">
        <f>IFERROR(IF(0=LEN(ReferenceData!$D$97),"",ReferenceData!$D$97),"")</f>
        <v/>
      </c>
      <c r="E97" t="str">
        <f>IFERROR(IF(0=LEN(ReferenceData!$E$97),"",ReferenceData!$E$97),"")</f>
        <v>Static</v>
      </c>
      <c r="F97" t="str">
        <f ca="1">IFERROR(IF(0=LEN(ReferenceData!$F$97),"",ReferenceData!$F$97),"")</f>
        <v/>
      </c>
      <c r="G97" t="str">
        <f ca="1">IFERROR(IF(0=LEN(ReferenceData!$G$97),"",ReferenceData!$G$97),"")</f>
        <v/>
      </c>
      <c r="H97" t="str">
        <f ca="1">IFERROR(IF(0=LEN(ReferenceData!$H$97),"",ReferenceData!$H$97),"")</f>
        <v/>
      </c>
      <c r="I97" t="str">
        <f ca="1">IFERROR(IF(0=LEN(ReferenceData!$I$97),"",ReferenceData!$I$97),"")</f>
        <v/>
      </c>
      <c r="J97" t="str">
        <f ca="1">IFERROR(IF(0=LEN(ReferenceData!$J$97),"",ReferenceData!$J$97),"")</f>
        <v/>
      </c>
      <c r="K97" t="str">
        <f ca="1">IFERROR(IF(0=LEN(ReferenceData!$K$97),"",ReferenceData!$K$97),"")</f>
        <v/>
      </c>
      <c r="L97" t="str">
        <f ca="1">IFERROR(IF(0=LEN(ReferenceData!$L$97),"",ReferenceData!$L$97),"")</f>
        <v/>
      </c>
      <c r="M97" t="str">
        <f ca="1">IFERROR(IF(0=LEN(ReferenceData!$M$97),"",ReferenceData!$M$97),"")</f>
        <v/>
      </c>
      <c r="N97" t="str">
        <f ca="1">IFERROR(IF(0=LEN(ReferenceData!$N$97),"",ReferenceData!$N$97),"")</f>
        <v/>
      </c>
      <c r="O97" t="str">
        <f ca="1">IFERROR(IF(0=LEN(ReferenceData!$O$97),"",ReferenceData!$O$97),"")</f>
        <v/>
      </c>
      <c r="P97" t="str">
        <f ca="1">IFERROR(IF(0=LEN(ReferenceData!$P$97),"",ReferenceData!$P$97),"")</f>
        <v/>
      </c>
      <c r="Q97" t="str">
        <f ca="1">IFERROR(IF(0=LEN(ReferenceData!$Q$97),"",ReferenceData!$Q$97),"")</f>
        <v/>
      </c>
      <c r="R97" t="str">
        <f ca="1">IFERROR(IF(0=LEN(ReferenceData!$R$97),"",ReferenceData!$R$97),"")</f>
        <v/>
      </c>
      <c r="S97" t="str">
        <f ca="1">IFERROR(IF(0=LEN(ReferenceData!$S$97),"",ReferenceData!$S$97),"")</f>
        <v/>
      </c>
      <c r="T97" t="str">
        <f ca="1">IFERROR(IF(0=LEN(ReferenceData!$T$97),"",ReferenceData!$T$97),"")</f>
        <v/>
      </c>
      <c r="U97" t="str">
        <f ca="1">IFERROR(IF(0=LEN(ReferenceData!$U$97),"",ReferenceData!$U$97),"")</f>
        <v/>
      </c>
      <c r="V97" t="str">
        <f ca="1">IFERROR(IF(0=LEN(ReferenceData!$V$97),"",ReferenceData!$V$97),"")</f>
        <v/>
      </c>
      <c r="W97" t="str">
        <f ca="1">IFERROR(IF(0=LEN(ReferenceData!$W$97),"",ReferenceData!$W$97),"")</f>
        <v/>
      </c>
      <c r="X97" t="str">
        <f ca="1">IFERROR(IF(0=LEN(ReferenceData!$X$97),"",ReferenceData!$X$97),"")</f>
        <v/>
      </c>
      <c r="Y97" t="str">
        <f ca="1">IFERROR(IF(0=LEN(ReferenceData!$Y$97),"",ReferenceData!$Y$97),"")</f>
        <v/>
      </c>
      <c r="Z97" t="str">
        <f ca="1">IFERROR(IF(0=LEN(ReferenceData!$Z$97),"",ReferenceData!$Z$97),"")</f>
        <v/>
      </c>
      <c r="AA97" t="str">
        <f ca="1">IFERROR(IF(0=LEN(ReferenceData!$AA$97),"",ReferenceData!$AA$97),"")</f>
        <v/>
      </c>
      <c r="AB97" t="str">
        <f ca="1">IFERROR(IF(0=LEN(ReferenceData!$AB$97),"",ReferenceData!$AB$97),"")</f>
        <v/>
      </c>
      <c r="AC97" t="str">
        <f ca="1">IFERROR(IF(0=LEN(ReferenceData!$AC$97),"",ReferenceData!$AC$97),"")</f>
        <v/>
      </c>
      <c r="AD97" t="str">
        <f ca="1">IFERROR(IF(0=LEN(ReferenceData!$AD$97),"",ReferenceData!$AD$97),"")</f>
        <v/>
      </c>
      <c r="AE97" t="str">
        <f ca="1">IFERROR(IF(0=LEN(ReferenceData!$AE$97),"",ReferenceData!$AE$97),"")</f>
        <v/>
      </c>
      <c r="AF97" t="str">
        <f ca="1">IFERROR(IF(0=LEN(ReferenceData!$AF$97),"",ReferenceData!$AF$97),"")</f>
        <v/>
      </c>
      <c r="AG97" t="str">
        <f ca="1">IFERROR(IF(0=LEN(ReferenceData!$AG$97),"",ReferenceData!$AG$97),"")</f>
        <v/>
      </c>
      <c r="AH97" t="str">
        <f ca="1">IFERROR(IF(0=LEN(ReferenceData!$AH$97),"",ReferenceData!$AH$97),"")</f>
        <v/>
      </c>
      <c r="AI97" t="str">
        <f ca="1">IFERROR(IF(0=LEN(ReferenceData!$AI$97),"",ReferenceData!$AI$97),"")</f>
        <v/>
      </c>
      <c r="AJ97" t="str">
        <f ca="1">IFERROR(IF(0=LEN(ReferenceData!$AJ$97),"",ReferenceData!$AJ$97),"")</f>
        <v/>
      </c>
      <c r="AK97" t="str">
        <f ca="1">IFERROR(IF(0=LEN(ReferenceData!$AK$97),"",ReferenceData!$AK$97),"")</f>
        <v/>
      </c>
      <c r="AL97" t="str">
        <f ca="1">IFERROR(IF(0=LEN(ReferenceData!$AL$97),"",ReferenceData!$AL$97),"")</f>
        <v/>
      </c>
      <c r="AM97" t="str">
        <f ca="1">IFERROR(IF(0=LEN(ReferenceData!$AM$97),"",ReferenceData!$AM$97),"")</f>
        <v/>
      </c>
      <c r="AN97" t="str">
        <f ca="1">IFERROR(IF(0=LEN(ReferenceData!$AN$97),"",ReferenceData!$AN$97),"")</f>
        <v/>
      </c>
      <c r="AO97" t="str">
        <f ca="1">IFERROR(IF(0=LEN(ReferenceData!$AO$97),"",ReferenceData!$AO$97),"")</f>
        <v/>
      </c>
      <c r="AP97" t="str">
        <f ca="1">IFERROR(IF(0=LEN(ReferenceData!$AP$97),"",ReferenceData!$AP$97),"")</f>
        <v/>
      </c>
      <c r="AQ97" t="str">
        <f ca="1">IFERROR(IF(0=LEN(ReferenceData!$AQ$97),"",ReferenceData!$AQ$97),"")</f>
        <v/>
      </c>
      <c r="AR97" t="str">
        <f ca="1">IFERROR(IF(0=LEN(ReferenceData!$AR$97),"",ReferenceData!$AR$97),"")</f>
        <v/>
      </c>
      <c r="AS97" t="str">
        <f ca="1">IFERROR(IF(0=LEN(ReferenceData!$AS$97),"",ReferenceData!$AS$97),"")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206"/>
  <sheetViews>
    <sheetView workbookViewId="0"/>
  </sheetViews>
  <sheetFormatPr baseColWidth="10" defaultColWidth="8.83203125" defaultRowHeight="15" x14ac:dyDescent="0.2"/>
  <cols>
    <col min="1" max="1" width="56.33203125" customWidth="1"/>
    <col min="2" max="2" width="15.83203125" customWidth="1"/>
    <col min="3" max="85" width="9.1640625" bestFit="1" customWidth="1"/>
  </cols>
  <sheetData>
    <row r="1" spans="1:8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 ca="1">ReferenceData!$C$197</f>
        <v>2023</v>
      </c>
      <c r="G2" s="1" t="str">
        <f ca="1">ReferenceData!$D$197</f>
        <v>2022</v>
      </c>
      <c r="H2" s="1" t="str">
        <f ca="1">ReferenceData!$E$197</f>
        <v>2021</v>
      </c>
      <c r="I2" s="1" t="str">
        <f ca="1">ReferenceData!$F$197</f>
        <v>2020</v>
      </c>
      <c r="J2" s="1" t="str">
        <f ca="1">ReferenceData!$G$197</f>
        <v>2019</v>
      </c>
      <c r="K2" s="1" t="str">
        <f ca="1">ReferenceData!$H$197</f>
        <v>2018</v>
      </c>
      <c r="L2" s="1" t="str">
        <f ca="1">ReferenceData!$I$197</f>
        <v>2017</v>
      </c>
      <c r="M2" s="1" t="str">
        <f ca="1">ReferenceData!$J$197</f>
        <v>2016</v>
      </c>
      <c r="N2" s="1" t="str">
        <f ca="1">ReferenceData!$K$197</f>
        <v>2015</v>
      </c>
      <c r="O2" s="1" t="str">
        <f ca="1">ReferenceData!$L$197</f>
        <v>2014</v>
      </c>
      <c r="P2" s="1" t="str">
        <f ca="1">ReferenceData!$M$197</f>
        <v>2013</v>
      </c>
      <c r="Q2" s="1" t="str">
        <f ca="1">ReferenceData!$N$197</f>
        <v>2012</v>
      </c>
      <c r="R2" s="1" t="str">
        <f ca="1">ReferenceData!$O$197</f>
        <v>2011</v>
      </c>
      <c r="S2" s="1" t="str">
        <f ca="1">ReferenceData!$P$197</f>
        <v>2010</v>
      </c>
      <c r="T2" s="1" t="str">
        <f ca="1">ReferenceData!$Q$197</f>
        <v>2009</v>
      </c>
      <c r="U2" s="1" t="str">
        <f ca="1">ReferenceData!$R$197</f>
        <v>2008</v>
      </c>
      <c r="V2" s="1" t="str">
        <f ca="1">ReferenceData!$S$197</f>
        <v>2007</v>
      </c>
      <c r="W2" s="1" t="str">
        <f ca="1">ReferenceData!$T$197</f>
        <v>2006</v>
      </c>
      <c r="X2" s="1" t="str">
        <f ca="1">ReferenceData!$U$197</f>
        <v>2005</v>
      </c>
      <c r="Y2" s="1" t="str">
        <f ca="1">ReferenceData!$V$197</f>
        <v>2004</v>
      </c>
      <c r="Z2" s="1" t="str">
        <f ca="1">ReferenceData!$W$197</f>
        <v>2003</v>
      </c>
      <c r="AA2" s="1" t="str">
        <f ca="1">ReferenceData!$X$197</f>
        <v>2002</v>
      </c>
      <c r="AB2" s="1" t="str">
        <f ca="1">ReferenceData!$Y$197</f>
        <v>2001</v>
      </c>
      <c r="AC2" s="1" t="str">
        <f ca="1">ReferenceData!$Z$197</f>
        <v>2000</v>
      </c>
      <c r="AD2" s="1" t="str">
        <f ca="1">ReferenceData!$AA$197</f>
        <v>1999</v>
      </c>
      <c r="AE2" s="1" t="str">
        <f ca="1">ReferenceData!$AB$197</f>
        <v>1998</v>
      </c>
      <c r="AF2" s="1" t="str">
        <f ca="1">ReferenceData!$AC$197</f>
        <v>1997</v>
      </c>
      <c r="AG2" s="1" t="str">
        <f ca="1">ReferenceData!$AD$197</f>
        <v>1996</v>
      </c>
      <c r="AH2" s="1" t="str">
        <f ca="1">ReferenceData!$AE$197</f>
        <v>1995</v>
      </c>
      <c r="AI2" s="1" t="str">
        <f ca="1">ReferenceData!$AF$197</f>
        <v>1994</v>
      </c>
      <c r="AJ2" s="1" t="str">
        <f ca="1">ReferenceData!$AG$197</f>
        <v>1993</v>
      </c>
      <c r="AK2" s="1" t="str">
        <f ca="1">ReferenceData!$AH$197</f>
        <v>1992</v>
      </c>
      <c r="AL2" s="1" t="str">
        <f ca="1">ReferenceData!$AI$197</f>
        <v>1991</v>
      </c>
      <c r="AM2" s="1" t="str">
        <f ca="1">ReferenceData!$AJ$197</f>
        <v>1990</v>
      </c>
      <c r="AN2" s="1" t="str">
        <f ca="1">ReferenceData!$AK$197</f>
        <v>1989</v>
      </c>
      <c r="AO2" s="1" t="str">
        <f ca="1">ReferenceData!$AL$197</f>
        <v>1988</v>
      </c>
      <c r="AP2" s="1" t="str">
        <f ca="1">ReferenceData!$AM$197</f>
        <v>1987</v>
      </c>
      <c r="AQ2" s="1" t="str">
        <f ca="1">ReferenceData!$AN$197</f>
        <v>1986</v>
      </c>
      <c r="AR2" s="1" t="str">
        <f ca="1">ReferenceData!$AO$197</f>
        <v>1985</v>
      </c>
      <c r="AS2" s="1" t="str">
        <f ca="1">ReferenceData!$AP$197</f>
        <v>1984</v>
      </c>
      <c r="AT2" t="str">
        <f ca="1">$C$197</f>
        <v>2023</v>
      </c>
      <c r="AU2" t="str">
        <f ca="1">$D$197</f>
        <v>2022</v>
      </c>
      <c r="AV2" t="str">
        <f ca="1">$E$197</f>
        <v>2021</v>
      </c>
      <c r="AW2" t="str">
        <f ca="1">$F$197</f>
        <v>2020</v>
      </c>
      <c r="AX2" t="str">
        <f ca="1">$G$197</f>
        <v>2019</v>
      </c>
      <c r="AY2" t="str">
        <f ca="1">$H$197</f>
        <v>2018</v>
      </c>
      <c r="AZ2" t="str">
        <f ca="1">$I$197</f>
        <v>2017</v>
      </c>
      <c r="BA2" t="str">
        <f ca="1">$J$197</f>
        <v>2016</v>
      </c>
      <c r="BB2" t="str">
        <f ca="1">$K$197</f>
        <v>2015</v>
      </c>
      <c r="BC2" t="str">
        <f ca="1">$L$197</f>
        <v>2014</v>
      </c>
      <c r="BD2" t="str">
        <f ca="1">$M$197</f>
        <v>2013</v>
      </c>
      <c r="BE2" t="str">
        <f ca="1">$N$197</f>
        <v>2012</v>
      </c>
      <c r="BF2" t="str">
        <f ca="1">$O$197</f>
        <v>2011</v>
      </c>
      <c r="BG2" t="str">
        <f ca="1">$P$197</f>
        <v>2010</v>
      </c>
      <c r="BH2" t="str">
        <f ca="1">$Q$197</f>
        <v>2009</v>
      </c>
      <c r="BI2" t="str">
        <f ca="1">$R$197</f>
        <v>2008</v>
      </c>
      <c r="BJ2" t="str">
        <f ca="1">$S$197</f>
        <v>2007</v>
      </c>
      <c r="BK2" t="str">
        <f ca="1">$T$197</f>
        <v>2006</v>
      </c>
      <c r="BL2" t="str">
        <f ca="1">$U$197</f>
        <v>2005</v>
      </c>
      <c r="BM2" t="str">
        <f ca="1">$V$197</f>
        <v>2004</v>
      </c>
      <c r="BN2" t="str">
        <f ca="1">$W$197</f>
        <v>2003</v>
      </c>
      <c r="BO2" t="str">
        <f ca="1">$X$197</f>
        <v>2002</v>
      </c>
      <c r="BP2" t="str">
        <f ca="1">$Y$197</f>
        <v>2001</v>
      </c>
      <c r="BQ2" t="str">
        <f ca="1">$Z$197</f>
        <v>2000</v>
      </c>
      <c r="BR2" t="str">
        <f ca="1">$AA$197</f>
        <v>1999</v>
      </c>
      <c r="BS2" t="str">
        <f ca="1">$AB$197</f>
        <v>1998</v>
      </c>
      <c r="BT2" t="str">
        <f ca="1">$AC$197</f>
        <v>1997</v>
      </c>
      <c r="BU2" t="str">
        <f ca="1">$AD$197</f>
        <v>1996</v>
      </c>
      <c r="BV2" t="str">
        <f ca="1">$AE$197</f>
        <v>1995</v>
      </c>
      <c r="BW2" t="str">
        <f ca="1">$AF$197</f>
        <v>1994</v>
      </c>
      <c r="BX2" t="str">
        <f ca="1">$AG$197</f>
        <v>1993</v>
      </c>
      <c r="BY2" t="str">
        <f ca="1">$AH$197</f>
        <v>1992</v>
      </c>
      <c r="BZ2" t="str">
        <f ca="1">$AI$197</f>
        <v>1991</v>
      </c>
      <c r="CA2" t="str">
        <f ca="1">$AJ$197</f>
        <v>1990</v>
      </c>
      <c r="CB2" t="str">
        <f ca="1">$AK$197</f>
        <v>1989</v>
      </c>
      <c r="CC2" t="str">
        <f ca="1">$AL$197</f>
        <v>1988</v>
      </c>
      <c r="CD2" t="str">
        <f ca="1">$AM$197</f>
        <v>1987</v>
      </c>
      <c r="CE2" t="str">
        <f ca="1">$AN$197</f>
        <v>1986</v>
      </c>
      <c r="CF2" t="str">
        <f ca="1">$AO$197</f>
        <v>1985</v>
      </c>
      <c r="CG2" t="str">
        <f ca="1">$AP$197</f>
        <v>1984</v>
      </c>
    </row>
    <row r="3" spans="1:85" x14ac:dyDescent="0.2">
      <c r="A3" t="str">
        <f>"* Switch View For More Data"</f>
        <v>* Switch View For More Data</v>
      </c>
      <c r="B3" t="str">
        <f>""</f>
        <v/>
      </c>
      <c r="E3" t="str">
        <f>"Heading"</f>
        <v>Heading</v>
      </c>
      <c r="AT3" t="str">
        <f>""</f>
        <v/>
      </c>
      <c r="AU3" t="str">
        <f>""</f>
        <v/>
      </c>
      <c r="AV3" t="str">
        <f>""</f>
        <v/>
      </c>
      <c r="AW3" t="str">
        <f>""</f>
        <v/>
      </c>
      <c r="AX3" t="str">
        <f>""</f>
        <v/>
      </c>
      <c r="AY3" t="str">
        <f>""</f>
        <v/>
      </c>
      <c r="AZ3" t="str">
        <f>""</f>
        <v/>
      </c>
      <c r="BA3" t="str">
        <f>""</f>
        <v/>
      </c>
      <c r="BB3" t="str">
        <f>""</f>
        <v/>
      </c>
      <c r="BC3" t="str">
        <f>""</f>
        <v/>
      </c>
      <c r="BD3" t="str">
        <f>""</f>
        <v/>
      </c>
      <c r="BE3" t="str">
        <f>""</f>
        <v/>
      </c>
      <c r="BF3" t="str">
        <f>""</f>
        <v/>
      </c>
      <c r="BG3" t="str">
        <f>""</f>
        <v/>
      </c>
      <c r="BH3" t="str">
        <f>""</f>
        <v/>
      </c>
      <c r="BI3" t="str">
        <f>""</f>
        <v/>
      </c>
      <c r="BJ3" t="str">
        <f>""</f>
        <v/>
      </c>
      <c r="BK3" t="str">
        <f>""</f>
        <v/>
      </c>
      <c r="BL3" t="str">
        <f>""</f>
        <v/>
      </c>
      <c r="BM3" t="str">
        <f>""</f>
        <v/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</row>
    <row r="4" spans="1:85" x14ac:dyDescent="0.2">
      <c r="A4" t="str">
        <f>""</f>
        <v/>
      </c>
      <c r="B4" t="str">
        <f>""</f>
        <v/>
      </c>
      <c r="E4" t="str">
        <f>"Static"</f>
        <v>Static</v>
      </c>
      <c r="F4" t="str">
        <f t="shared" ref="F4:AS4" ca="1" si="0">HLOOKUP(INDIRECT(ADDRESS(2,COLUMN())),OFFSET($AT$2,0,0,ROW()-1,40),ROW()-1,FALSE)</f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0"/>
        <v/>
      </c>
      <c r="R4" t="str">
        <f t="shared" ca="1" si="0"/>
        <v/>
      </c>
      <c r="S4" t="str">
        <f t="shared" ca="1" si="0"/>
        <v/>
      </c>
      <c r="T4" t="str">
        <f t="shared" ca="1" si="0"/>
        <v/>
      </c>
      <c r="U4" t="str">
        <f t="shared" ca="1" si="0"/>
        <v/>
      </c>
      <c r="V4" t="str">
        <f t="shared" ca="1" si="0"/>
        <v/>
      </c>
      <c r="W4" t="str">
        <f t="shared" ca="1" si="0"/>
        <v/>
      </c>
      <c r="X4" t="str">
        <f t="shared" ca="1" si="0"/>
        <v/>
      </c>
      <c r="Y4" t="str">
        <f t="shared" ca="1" si="0"/>
        <v/>
      </c>
      <c r="Z4" t="str">
        <f t="shared" ca="1" si="0"/>
        <v/>
      </c>
      <c r="AA4" t="str">
        <f t="shared" ca="1" si="0"/>
        <v/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>""</f>
        <v/>
      </c>
      <c r="AU4" t="str">
        <f>""</f>
        <v/>
      </c>
      <c r="AV4" t="str">
        <f>""</f>
        <v/>
      </c>
      <c r="AW4" t="str">
        <f>""</f>
        <v/>
      </c>
      <c r="AX4" t="str">
        <f>""</f>
        <v/>
      </c>
      <c r="AY4" t="str">
        <f>""</f>
        <v/>
      </c>
      <c r="AZ4" t="str">
        <f>""</f>
        <v/>
      </c>
      <c r="BA4" t="str">
        <f>""</f>
        <v/>
      </c>
      <c r="BB4" t="str">
        <f>""</f>
        <v/>
      </c>
      <c r="BC4" t="str">
        <f>""</f>
        <v/>
      </c>
      <c r="BD4" t="str">
        <f>""</f>
        <v/>
      </c>
      <c r="BE4" t="str">
        <f>""</f>
        <v/>
      </c>
      <c r="BF4" t="str">
        <f>""</f>
        <v/>
      </c>
      <c r="BG4" t="str">
        <f>""</f>
        <v/>
      </c>
      <c r="BH4" t="str">
        <f>""</f>
        <v/>
      </c>
      <c r="BI4" t="str">
        <f>""</f>
        <v/>
      </c>
      <c r="BJ4" t="str">
        <f>""</f>
        <v/>
      </c>
      <c r="BK4" t="str">
        <f>""</f>
        <v/>
      </c>
      <c r="BL4" t="str">
        <f>""</f>
        <v/>
      </c>
      <c r="BM4" t="str">
        <f>""</f>
        <v/>
      </c>
      <c r="BN4" t="str">
        <f>""</f>
        <v/>
      </c>
      <c r="BO4" t="str">
        <f>""</f>
        <v/>
      </c>
      <c r="BP4" t="str">
        <f>""</f>
        <v/>
      </c>
      <c r="BQ4" t="str">
        <f>""</f>
        <v/>
      </c>
      <c r="BR4" t="str">
        <f>""</f>
        <v/>
      </c>
      <c r="BS4" t="str">
        <f>""</f>
        <v/>
      </c>
      <c r="BT4" t="str">
        <f>""</f>
        <v/>
      </c>
      <c r="BU4" t="str">
        <f>""</f>
        <v/>
      </c>
      <c r="BV4" t="str">
        <f>""</f>
        <v/>
      </c>
      <c r="BW4" t="str">
        <f>""</f>
        <v/>
      </c>
      <c r="BX4" t="str">
        <f>""</f>
        <v/>
      </c>
      <c r="BY4" t="str">
        <f>""</f>
        <v/>
      </c>
      <c r="BZ4" t="str">
        <f>""</f>
        <v/>
      </c>
      <c r="CA4" t="str">
        <f>""</f>
        <v/>
      </c>
      <c r="CB4" t="str">
        <f>""</f>
        <v/>
      </c>
      <c r="CC4" t="str">
        <f>""</f>
        <v/>
      </c>
      <c r="CD4" t="str">
        <f>""</f>
        <v/>
      </c>
      <c r="CE4" t="str">
        <f>""</f>
        <v/>
      </c>
      <c r="CF4" t="str">
        <f>""</f>
        <v/>
      </c>
      <c r="CG4" t="str">
        <f>""</f>
        <v/>
      </c>
    </row>
    <row r="5" spans="1:85" x14ac:dyDescent="0.2">
      <c r="A5" t="str">
        <f>"United States"</f>
        <v>United States</v>
      </c>
      <c r="B5" t="str">
        <f>""</f>
        <v/>
      </c>
      <c r="E5" t="str">
        <f>"Heading"</f>
        <v>Heading</v>
      </c>
      <c r="AT5" t="str">
        <f>""</f>
        <v/>
      </c>
      <c r="AU5" t="str">
        <f>""</f>
        <v/>
      </c>
      <c r="AV5" t="str">
        <f>""</f>
        <v/>
      </c>
      <c r="AW5" t="str">
        <f>""</f>
        <v/>
      </c>
      <c r="AX5" t="str">
        <f>""</f>
        <v/>
      </c>
      <c r="AY5" t="str">
        <f>""</f>
        <v/>
      </c>
      <c r="AZ5" t="str">
        <f>""</f>
        <v/>
      </c>
      <c r="BA5" t="str">
        <f>""</f>
        <v/>
      </c>
      <c r="BB5" t="str">
        <f>""</f>
        <v/>
      </c>
      <c r="BC5" t="str">
        <f>""</f>
        <v/>
      </c>
      <c r="BD5" t="str">
        <f>""</f>
        <v/>
      </c>
      <c r="BE5" t="str">
        <f>""</f>
        <v/>
      </c>
      <c r="BF5" t="str">
        <f>""</f>
        <v/>
      </c>
      <c r="BG5" t="str">
        <f>""</f>
        <v/>
      </c>
      <c r="BH5" t="str">
        <f>""</f>
        <v/>
      </c>
      <c r="BI5" t="str">
        <f>""</f>
        <v/>
      </c>
      <c r="BJ5" t="str">
        <f>""</f>
        <v/>
      </c>
      <c r="BK5" t="str">
        <f>""</f>
        <v/>
      </c>
      <c r="BL5" t="str">
        <f>""</f>
        <v/>
      </c>
      <c r="BM5" t="str">
        <f>""</f>
        <v/>
      </c>
      <c r="BN5" t="str">
        <f>""</f>
        <v/>
      </c>
      <c r="BO5" t="str">
        <f>""</f>
        <v/>
      </c>
      <c r="BP5" t="str">
        <f>""</f>
        <v/>
      </c>
      <c r="BQ5" t="str">
        <f>""</f>
        <v/>
      </c>
      <c r="BR5" t="str">
        <f>""</f>
        <v/>
      </c>
      <c r="BS5" t="str">
        <f>""</f>
        <v/>
      </c>
      <c r="BT5" t="str">
        <f>""</f>
        <v/>
      </c>
      <c r="BU5" t="str">
        <f>""</f>
        <v/>
      </c>
      <c r="BV5" t="str">
        <f>""</f>
        <v/>
      </c>
      <c r="BW5" t="str">
        <f>""</f>
        <v/>
      </c>
      <c r="BX5" t="str">
        <f>""</f>
        <v/>
      </c>
      <c r="BY5" t="str">
        <f>""</f>
        <v/>
      </c>
      <c r="BZ5" t="str">
        <f>""</f>
        <v/>
      </c>
      <c r="CA5" t="str">
        <f>""</f>
        <v/>
      </c>
      <c r="CB5" t="str">
        <f>""</f>
        <v/>
      </c>
      <c r="CC5" t="str">
        <f>""</f>
        <v/>
      </c>
      <c r="CD5" t="str">
        <f>""</f>
        <v/>
      </c>
      <c r="CE5" t="str">
        <f>""</f>
        <v/>
      </c>
      <c r="CF5" t="str">
        <f>""</f>
        <v/>
      </c>
      <c r="CG5" t="str">
        <f>""</f>
        <v/>
      </c>
    </row>
    <row r="6" spans="1:85" x14ac:dyDescent="0.2">
      <c r="A6" t="str">
        <f>"    "</f>
        <v xml:space="preserve">    </v>
      </c>
      <c r="B6" t="str">
        <f>""</f>
        <v/>
      </c>
      <c r="E6" t="str">
        <f>"Static"</f>
        <v>Static</v>
      </c>
      <c r="F6" t="str">
        <f t="shared" ref="F6:AS6" ca="1" si="1">HLOOKUP(INDIRECT(ADDRESS(2,COLUMN())),OFFSET($AT$2,0,0,ROW()-1,40),ROW()-1,FALSE)</f>
        <v/>
      </c>
      <c r="G6" t="str">
        <f t="shared" ca="1" si="1"/>
        <v/>
      </c>
      <c r="H6" t="str">
        <f t="shared" ca="1" si="1"/>
        <v/>
      </c>
      <c r="I6" t="str">
        <f t="shared" ca="1" si="1"/>
        <v/>
      </c>
      <c r="J6" t="str">
        <f t="shared" ca="1" si="1"/>
        <v/>
      </c>
      <c r="K6" t="str">
        <f t="shared" ca="1" si="1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1"/>
        <v/>
      </c>
      <c r="W6" t="str">
        <f t="shared" ca="1" si="1"/>
        <v/>
      </c>
      <c r="X6" t="str">
        <f t="shared" ca="1" si="1"/>
        <v/>
      </c>
      <c r="Y6" t="str">
        <f t="shared" ca="1" si="1"/>
        <v/>
      </c>
      <c r="Z6" t="str">
        <f t="shared" ca="1" si="1"/>
        <v/>
      </c>
      <c r="AA6" t="str">
        <f t="shared" ca="1" si="1"/>
        <v/>
      </c>
      <c r="AB6" t="str">
        <f t="shared" ca="1" si="1"/>
        <v/>
      </c>
      <c r="AC6" t="str">
        <f t="shared" ca="1" si="1"/>
        <v/>
      </c>
      <c r="AD6" t="str">
        <f t="shared" ca="1" si="1"/>
        <v/>
      </c>
      <c r="AE6" t="str">
        <f t="shared" ca="1" si="1"/>
        <v/>
      </c>
      <c r="AF6" t="str">
        <f t="shared" ca="1" si="1"/>
        <v/>
      </c>
      <c r="AG6" t="str">
        <f t="shared" ca="1" si="1"/>
        <v/>
      </c>
      <c r="AH6" t="str">
        <f t="shared" ca="1" si="1"/>
        <v/>
      </c>
      <c r="AI6" t="str">
        <f t="shared" ca="1" si="1"/>
        <v/>
      </c>
      <c r="AJ6" t="str">
        <f t="shared" ca="1" si="1"/>
        <v/>
      </c>
      <c r="AK6" t="str">
        <f t="shared" ca="1" si="1"/>
        <v/>
      </c>
      <c r="AL6" t="str">
        <f t="shared" ca="1" si="1"/>
        <v/>
      </c>
      <c r="AM6" t="str">
        <f t="shared" ca="1" si="1"/>
        <v/>
      </c>
      <c r="AN6" t="str">
        <f t="shared" ca="1" si="1"/>
        <v/>
      </c>
      <c r="AO6" t="str">
        <f t="shared" ca="1" si="1"/>
        <v/>
      </c>
      <c r="AP6" t="str">
        <f t="shared" ca="1" si="1"/>
        <v/>
      </c>
      <c r="AQ6" t="str">
        <f t="shared" ca="1" si="1"/>
        <v/>
      </c>
      <c r="AR6" t="str">
        <f t="shared" ca="1" si="1"/>
        <v/>
      </c>
      <c r="AS6" t="str">
        <f t="shared" ca="1" si="1"/>
        <v/>
      </c>
      <c r="AT6" t="str">
        <f>""</f>
        <v/>
      </c>
      <c r="AU6" t="str">
        <f>""</f>
        <v/>
      </c>
      <c r="AV6" t="str">
        <f>""</f>
        <v/>
      </c>
      <c r="AW6" t="str">
        <f>""</f>
        <v/>
      </c>
      <c r="AX6" t="str">
        <f>""</f>
        <v/>
      </c>
      <c r="AY6" t="str">
        <f>""</f>
        <v/>
      </c>
      <c r="AZ6" t="str">
        <f>""</f>
        <v/>
      </c>
      <c r="BA6" t="str">
        <f>""</f>
        <v/>
      </c>
      <c r="BB6" t="str">
        <f>""</f>
        <v/>
      </c>
      <c r="BC6" t="str">
        <f>""</f>
        <v/>
      </c>
      <c r="BD6" t="str">
        <f>""</f>
        <v/>
      </c>
      <c r="BE6" t="str">
        <f>""</f>
        <v/>
      </c>
      <c r="BF6" t="str">
        <f>""</f>
        <v/>
      </c>
      <c r="BG6" t="str">
        <f>""</f>
        <v/>
      </c>
      <c r="BH6" t="str">
        <f>""</f>
        <v/>
      </c>
      <c r="BI6" t="str">
        <f>""</f>
        <v/>
      </c>
      <c r="BJ6" t="str">
        <f>""</f>
        <v/>
      </c>
      <c r="BK6" t="str">
        <f>""</f>
        <v/>
      </c>
      <c r="BL6" t="str">
        <f>""</f>
        <v/>
      </c>
      <c r="BM6" t="str">
        <f>""</f>
        <v/>
      </c>
      <c r="BN6" t="str">
        <f>""</f>
        <v/>
      </c>
      <c r="BO6" t="str">
        <f>""</f>
        <v/>
      </c>
      <c r="BP6" t="str">
        <f>""</f>
        <v/>
      </c>
      <c r="BQ6" t="str">
        <f>""</f>
        <v/>
      </c>
      <c r="BR6" t="str">
        <f>""</f>
        <v/>
      </c>
      <c r="BS6" t="str">
        <f>""</f>
        <v/>
      </c>
      <c r="BT6" t="str">
        <f>""</f>
        <v/>
      </c>
      <c r="BU6" t="str">
        <f>""</f>
        <v/>
      </c>
      <c r="BV6" t="str">
        <f>""</f>
        <v/>
      </c>
      <c r="BW6" t="str">
        <f>""</f>
        <v/>
      </c>
      <c r="BX6" t="str">
        <f>""</f>
        <v/>
      </c>
      <c r="BY6" t="str">
        <f>""</f>
        <v/>
      </c>
      <c r="BZ6" t="str">
        <f>""</f>
        <v/>
      </c>
      <c r="CA6" t="str">
        <f>""</f>
        <v/>
      </c>
      <c r="CB6" t="str">
        <f>""</f>
        <v/>
      </c>
      <c r="CC6" t="str">
        <f>""</f>
        <v/>
      </c>
      <c r="CD6" t="str">
        <f>""</f>
        <v/>
      </c>
      <c r="CE6" t="str">
        <f>""</f>
        <v/>
      </c>
      <c r="CF6" t="str">
        <f>""</f>
        <v/>
      </c>
      <c r="CG6" t="str">
        <f>""</f>
        <v/>
      </c>
    </row>
    <row r="7" spans="1:85" x14ac:dyDescent="0.2">
      <c r="A7" t="str">
        <f>"    FW Dodge Construction Index"</f>
        <v xml:space="preserve">    FW Dodge Construction Index</v>
      </c>
      <c r="B7" t="str">
        <f>"DODGINDX Index"</f>
        <v>DODGINDX Index</v>
      </c>
      <c r="C7" t="str">
        <f>"PR005"</f>
        <v>PR005</v>
      </c>
      <c r="D7" t="str">
        <f>"PX_LAST"</f>
        <v>PX_LAST</v>
      </c>
      <c r="E7" t="str">
        <f>"Dynamic"</f>
        <v>Dynamic</v>
      </c>
      <c r="F7">
        <f ca="1">IF(AND(ISNUMBER($F$119),$B$113=1),$F$119,HLOOKUP(INDIRECT(ADDRESS(2,COLUMN())),OFFSET($AT$2,0,0,ROW()-1,40),ROW()-1,FALSE))</f>
        <v>253</v>
      </c>
      <c r="G7">
        <f ca="1">IF(AND(ISNUMBER($G$119),$B$113=1),$G$119,HLOOKUP(INDIRECT(ADDRESS(2,COLUMN())),OFFSET($AT$2,0,0,ROW()-1,40),ROW()-1,FALSE))</f>
        <v>251</v>
      </c>
      <c r="H7">
        <f ca="1">IF(AND(ISNUMBER($H$119),$B$113=1),$H$119,HLOOKUP(INDIRECT(ADDRESS(2,COLUMN())),OFFSET($AT$2,0,0,ROW()-1,40),ROW()-1,FALSE))</f>
        <v>188</v>
      </c>
      <c r="I7">
        <f ca="1">IF(AND(ISNUMBER($I$119),$B$113=1),$I$119,HLOOKUP(INDIRECT(ADDRESS(2,COLUMN())),OFFSET($AT$2,0,0,ROW()-1,40),ROW()-1,FALSE))</f>
        <v>175</v>
      </c>
      <c r="J7">
        <f ca="1">IF(AND(ISNUMBER($J$119),$B$113=1),$J$119,HLOOKUP(INDIRECT(ADDRESS(2,COLUMN())),OFFSET($AT$2,0,0,ROW()-1,40),ROW()-1,FALSE))</f>
        <v>171</v>
      </c>
      <c r="K7">
        <f ca="1">IF(AND(ISNUMBER($K$119),$B$113=1),$K$119,HLOOKUP(INDIRECT(ADDRESS(2,COLUMN())),OFFSET($AT$2,0,0,ROW()-1,40),ROW()-1,FALSE))</f>
        <v>150</v>
      </c>
      <c r="L7">
        <f ca="1">IF(AND(ISNUMBER($L$119),$B$113=1),$L$119,HLOOKUP(INDIRECT(ADDRESS(2,COLUMN())),OFFSET($AT$2,0,0,ROW()-1,40),ROW()-1,FALSE))</f>
        <v>156</v>
      </c>
      <c r="M7">
        <f ca="1">IF(AND(ISNUMBER($M$119),$B$113=1),$M$119,HLOOKUP(INDIRECT(ADDRESS(2,COLUMN())),OFFSET($AT$2,0,0,ROW()-1,40),ROW()-1,FALSE))</f>
        <v>130</v>
      </c>
      <c r="N7">
        <f ca="1">IF(AND(ISNUMBER($N$119),$B$113=1),$N$119,HLOOKUP(INDIRECT(ADDRESS(2,COLUMN())),OFFSET($AT$2,0,0,ROW()-1,40),ROW()-1,FALSE))</f>
        <v>127</v>
      </c>
      <c r="O7">
        <f ca="1">IF(AND(ISNUMBER($O$119),$B$113=1),$O$119,HLOOKUP(INDIRECT(ADDRESS(2,COLUMN())),OFFSET($AT$2,0,0,ROW()-1,40),ROW()-1,FALSE))</f>
        <v>120</v>
      </c>
      <c r="P7">
        <f ca="1">IF(AND(ISNUMBER($P$119),$B$113=1),$P$119,HLOOKUP(INDIRECT(ADDRESS(2,COLUMN())),OFFSET($AT$2,0,0,ROW()-1,40),ROW()-1,FALSE))</f>
        <v>118</v>
      </c>
      <c r="Q7">
        <f ca="1">IF(AND(ISNUMBER($Q$119),$B$113=1),$Q$119,HLOOKUP(INDIRECT(ADDRESS(2,COLUMN())),OFFSET($AT$2,0,0,ROW()-1,40),ROW()-1,FALSE))</f>
        <v>112</v>
      </c>
      <c r="R7">
        <f ca="1">IF(AND(ISNUMBER($R$119),$B$113=1),$R$119,HLOOKUP(INDIRECT(ADDRESS(2,COLUMN())),OFFSET($AT$2,0,0,ROW()-1,40),ROW()-1,FALSE))</f>
        <v>87</v>
      </c>
      <c r="S7">
        <f ca="1">IF(AND(ISNUMBER($S$119),$B$113=1),$S$119,HLOOKUP(INDIRECT(ADDRESS(2,COLUMN())),OFFSET($AT$2,0,0,ROW()-1,40),ROW()-1,FALSE))</f>
        <v>90</v>
      </c>
      <c r="T7">
        <f ca="1">IF(AND(ISNUMBER($T$119),$B$113=1),$T$119,HLOOKUP(INDIRECT(ADDRESS(2,COLUMN())),OFFSET($AT$2,0,0,ROW()-1,40),ROW()-1,FALSE))</f>
        <v>90</v>
      </c>
      <c r="U7">
        <f ca="1">IF(AND(ISNUMBER($U$119),$B$113=1),$U$119,HLOOKUP(INDIRECT(ADDRESS(2,COLUMN())),OFFSET($AT$2,0,0,ROW()-1,40),ROW()-1,FALSE))</f>
        <v>86</v>
      </c>
      <c r="V7">
        <f ca="1">IF(AND(ISNUMBER($V$119),$B$113=1),$V$119,HLOOKUP(INDIRECT(ADDRESS(2,COLUMN())),OFFSET($AT$2,0,0,ROW()-1,40),ROW()-1,FALSE))</f>
        <v>108</v>
      </c>
      <c r="W7">
        <f ca="1">IF(AND(ISNUMBER($W$119),$B$113=1),$W$119,HLOOKUP(INDIRECT(ADDRESS(2,COLUMN())),OFFSET($AT$2,0,0,ROW()-1,40),ROW()-1,FALSE))</f>
        <v>140.08699999999999</v>
      </c>
      <c r="X7">
        <f ca="1">IF(AND(ISNUMBER($X$119),$B$113=1),$X$119,HLOOKUP(INDIRECT(ADDRESS(2,COLUMN())),OFFSET($AT$2,0,0,ROW()-1,40),ROW()-1,FALSE))</f>
        <v>144.93299999999999</v>
      </c>
      <c r="Y7">
        <f ca="1">IF(AND(ISNUMBER($Y$119),$B$113=1),$Y$119,HLOOKUP(INDIRECT(ADDRESS(2,COLUMN())),OFFSET($AT$2,0,0,ROW()-1,40),ROW()-1,FALSE))</f>
        <v>126.461</v>
      </c>
      <c r="Z7">
        <f ca="1">IF(AND(ISNUMBER($Z$119),$B$113=1),$Z$119,HLOOKUP(INDIRECT(ADDRESS(2,COLUMN())),OFFSET($AT$2,0,0,ROW()-1,40),ROW()-1,FALSE))</f>
        <v>118.06</v>
      </c>
      <c r="AA7">
        <f ca="1">IF(AND(ISNUMBER($AA$119),$B$113=1),$AA$119,HLOOKUP(INDIRECT(ADDRESS(2,COLUMN())),OFFSET($AT$2,0,0,ROW()-1,40),ROW()-1,FALSE))</f>
        <v>104.81</v>
      </c>
      <c r="AB7">
        <f ca="1">IF(AND(ISNUMBER($AB$119),$B$113=1),$AB$119,HLOOKUP(INDIRECT(ADDRESS(2,COLUMN())),OFFSET($AT$2,0,0,ROW()-1,40),ROW()-1,FALSE))</f>
        <v>101.782</v>
      </c>
      <c r="AC7">
        <f ca="1">IF(AND(ISNUMBER($AC$119),$B$113=1),$AC$119,HLOOKUP(INDIRECT(ADDRESS(2,COLUMN())),OFFSET($AT$2,0,0,ROW()-1,40),ROW()-1,FALSE))</f>
        <v>99.902000000000001</v>
      </c>
      <c r="AD7">
        <f ca="1">IF(AND(ISNUMBER($AD$119),$B$113=1),$AD$119,HLOOKUP(INDIRECT(ADDRESS(2,COLUMN())),OFFSET($AT$2,0,0,ROW()-1,40),ROW()-1,FALSE))</f>
        <v>92.59</v>
      </c>
      <c r="AE7">
        <f ca="1">IF(AND(ISNUMBER($AE$119),$B$113=1),$AE$119,HLOOKUP(INDIRECT(ADDRESS(2,COLUMN())),OFFSET($AT$2,0,0,ROW()-1,40),ROW()-1,FALSE))</f>
        <v>91.295000000000002</v>
      </c>
      <c r="AF7">
        <f ca="1">IF(AND(ISNUMBER($AF$119),$B$113=1),$AF$119,HLOOKUP(INDIRECT(ADDRESS(2,COLUMN())),OFFSET($AT$2,0,0,ROW()-1,40),ROW()-1,FALSE))</f>
        <v>78.652000000000001</v>
      </c>
      <c r="AG7">
        <f ca="1">IF(AND(ISNUMBER($AG$119),$B$113=1),$AG$119,HLOOKUP(INDIRECT(ADDRESS(2,COLUMN())),OFFSET($AT$2,0,0,ROW()-1,40),ROW()-1,FALSE))</f>
        <v>70.501999999999995</v>
      </c>
      <c r="AH7">
        <f ca="1">IF(AND(ISNUMBER($AH$119),$B$113=1),$AH$119,HLOOKUP(INDIRECT(ADDRESS(2,COLUMN())),OFFSET($AT$2,0,0,ROW()-1,40),ROW()-1,FALSE))</f>
        <v>65.649000000000001</v>
      </c>
      <c r="AI7">
        <f ca="1">IF(AND(ISNUMBER($AI$119),$B$113=1),$AI$119,HLOOKUP(INDIRECT(ADDRESS(2,COLUMN())),OFFSET($AT$2,0,0,ROW()-1,40),ROW()-1,FALSE))</f>
        <v>61.06</v>
      </c>
      <c r="AJ7">
        <f ca="1">IF(AND(ISNUMBER($AJ$119),$B$113=1),$AJ$119,HLOOKUP(INDIRECT(ADDRESS(2,COLUMN())),OFFSET($AT$2,0,0,ROW()-1,40),ROW()-1,FALSE))</f>
        <v>60.671999999999997</v>
      </c>
      <c r="AK7">
        <f ca="1">IF(AND(ISNUMBER($AK$119),$B$113=1),$AK$119,HLOOKUP(INDIRECT(ADDRESS(2,COLUMN())),OFFSET($AT$2,0,0,ROW()-1,40),ROW()-1,FALSE))</f>
        <v>55.658000000000001</v>
      </c>
      <c r="AL7">
        <f ca="1">IF(AND(ISNUMBER($AL$119),$B$113=1),$AL$119,HLOOKUP(INDIRECT(ADDRESS(2,COLUMN())),OFFSET($AT$2,0,0,ROW()-1,40),ROW()-1,FALSE))</f>
        <v>55.088000000000001</v>
      </c>
      <c r="AM7">
        <f ca="1">IF(AND(ISNUMBER($AM$119),$B$113=1),$AM$119,HLOOKUP(INDIRECT(ADDRESS(2,COLUMN())),OFFSET($AT$2,0,0,ROW()-1,40),ROW()-1,FALSE))</f>
        <v>45.838999999999999</v>
      </c>
      <c r="AN7">
        <f ca="1">IF(AND(ISNUMBER($AN$119),$B$113=1),$AN$119,HLOOKUP(INDIRECT(ADDRESS(2,COLUMN())),OFFSET($AT$2,0,0,ROW()-1,40),ROW()-1,FALSE))</f>
        <v>59.131999999999998</v>
      </c>
      <c r="AO7">
        <f ca="1">IF(AND(ISNUMBER($AO$119),$B$113=1),$AO$119,HLOOKUP(INDIRECT(ADDRESS(2,COLUMN())),OFFSET($AT$2,0,0,ROW()-1,40),ROW()-1,FALSE))</f>
        <v>59.389000000000003</v>
      </c>
      <c r="AP7">
        <f ca="1">IF(AND(ISNUMBER($AP$119),$B$113=1),$AP$119,HLOOKUP(INDIRECT(ADDRESS(2,COLUMN())),OFFSET($AT$2,0,0,ROW()-1,40),ROW()-1,FALSE))</f>
        <v>56.808999999999997</v>
      </c>
      <c r="AQ7">
        <f ca="1">IF(AND(ISNUMBER($AQ$119),$B$113=1),$AQ$119,HLOOKUP(INDIRECT(ADDRESS(2,COLUMN())),OFFSET($AT$2,0,0,ROW()-1,40),ROW()-1,FALSE))</f>
        <v>54.734999999999999</v>
      </c>
      <c r="AR7">
        <f ca="1">IF(AND(ISNUMBER($AR$119),$B$113=1),$AR$119,HLOOKUP(INDIRECT(ADDRESS(2,COLUMN())),OFFSET($AT$2,0,0,ROW()-1,40),ROW()-1,FALSE))</f>
        <v>51.027999999999999</v>
      </c>
      <c r="AS7">
        <f ca="1">IF(AND(ISNUMBER($AS$119),$B$113=1),$AS$119,HLOOKUP(INDIRECT(ADDRESS(2,COLUMN())),OFFSET($AT$2,0,0,ROW()-1,40),ROW()-1,FALSE))</f>
        <v>45.820999999999998</v>
      </c>
      <c r="AT7">
        <f>253</f>
        <v>253</v>
      </c>
      <c r="AU7">
        <f>251</f>
        <v>251</v>
      </c>
      <c r="AV7">
        <f>188</f>
        <v>188</v>
      </c>
      <c r="AW7">
        <f>175</f>
        <v>175</v>
      </c>
      <c r="AX7">
        <f>171</f>
        <v>171</v>
      </c>
      <c r="AY7">
        <f>150</f>
        <v>150</v>
      </c>
      <c r="AZ7">
        <f>156</f>
        <v>156</v>
      </c>
      <c r="BA7">
        <f>130</f>
        <v>130</v>
      </c>
      <c r="BB7">
        <f>127</f>
        <v>127</v>
      </c>
      <c r="BC7">
        <f>120</f>
        <v>120</v>
      </c>
      <c r="BD7">
        <f>118</f>
        <v>118</v>
      </c>
      <c r="BE7">
        <f>112</f>
        <v>112</v>
      </c>
      <c r="BF7">
        <f>87</f>
        <v>87</v>
      </c>
      <c r="BG7">
        <f>90</f>
        <v>90</v>
      </c>
      <c r="BH7">
        <f>90</f>
        <v>90</v>
      </c>
      <c r="BI7">
        <f>86</f>
        <v>86</v>
      </c>
      <c r="BJ7">
        <f>108</f>
        <v>108</v>
      </c>
      <c r="BK7">
        <f>140.087</f>
        <v>140.08699999999999</v>
      </c>
      <c r="BL7">
        <f>144.933</f>
        <v>144.93299999999999</v>
      </c>
      <c r="BM7">
        <f>126.461</f>
        <v>126.461</v>
      </c>
      <c r="BN7">
        <f>118.06</f>
        <v>118.06</v>
      </c>
      <c r="BO7">
        <f>104.81</f>
        <v>104.81</v>
      </c>
      <c r="BP7">
        <f>101.782</f>
        <v>101.782</v>
      </c>
      <c r="BQ7">
        <f>99.902</f>
        <v>99.902000000000001</v>
      </c>
      <c r="BR7">
        <f>92.59</f>
        <v>92.59</v>
      </c>
      <c r="BS7">
        <f>91.295</f>
        <v>91.295000000000002</v>
      </c>
      <c r="BT7">
        <f>78.652</f>
        <v>78.652000000000001</v>
      </c>
      <c r="BU7">
        <f>70.502</f>
        <v>70.501999999999995</v>
      </c>
      <c r="BV7">
        <f>65.649</f>
        <v>65.649000000000001</v>
      </c>
      <c r="BW7">
        <f>61.06</f>
        <v>61.06</v>
      </c>
      <c r="BX7">
        <f>60.672</f>
        <v>60.671999999999997</v>
      </c>
      <c r="BY7">
        <f>55.658</f>
        <v>55.658000000000001</v>
      </c>
      <c r="BZ7">
        <f>55.088</f>
        <v>55.088000000000001</v>
      </c>
      <c r="CA7">
        <f>45.839</f>
        <v>45.838999999999999</v>
      </c>
      <c r="CB7">
        <f>59.132</f>
        <v>59.131999999999998</v>
      </c>
      <c r="CC7">
        <f>59.389</f>
        <v>59.389000000000003</v>
      </c>
      <c r="CD7">
        <f>56.809</f>
        <v>56.808999999999997</v>
      </c>
      <c r="CE7">
        <f>54.735</f>
        <v>54.734999999999999</v>
      </c>
      <c r="CF7">
        <f>51.028</f>
        <v>51.027999999999999</v>
      </c>
      <c r="CG7">
        <f>45.821</f>
        <v>45.820999999999998</v>
      </c>
    </row>
    <row r="8" spans="1:85" x14ac:dyDescent="0.2">
      <c r="A8" t="str">
        <f>"    "</f>
        <v xml:space="preserve">    </v>
      </c>
      <c r="B8" t="str">
        <f>""</f>
        <v/>
      </c>
      <c r="E8" t="str">
        <f>"Static"</f>
        <v>Static</v>
      </c>
      <c r="F8" t="str">
        <f t="shared" ref="F8:AS8" ca="1" si="2">HLOOKUP(INDIRECT(ADDRESS(2,COLUMN())),OFFSET($AT$2,0,0,ROW()-1,40),ROW()-1,FALSE)</f>
        <v/>
      </c>
      <c r="G8" t="str">
        <f t="shared" ca="1" si="2"/>
        <v/>
      </c>
      <c r="H8" t="str">
        <f t="shared" ca="1" si="2"/>
        <v/>
      </c>
      <c r="I8" t="str">
        <f t="shared" ca="1" si="2"/>
        <v/>
      </c>
      <c r="J8" t="str">
        <f t="shared" ca="1" si="2"/>
        <v/>
      </c>
      <c r="K8" t="str">
        <f t="shared" ca="1" si="2"/>
        <v/>
      </c>
      <c r="L8" t="str">
        <f t="shared" ca="1" si="2"/>
        <v/>
      </c>
      <c r="M8" t="str">
        <f t="shared" ca="1" si="2"/>
        <v/>
      </c>
      <c r="N8" t="str">
        <f t="shared" ca="1" si="2"/>
        <v/>
      </c>
      <c r="O8" t="str">
        <f t="shared" ca="1" si="2"/>
        <v/>
      </c>
      <c r="P8" t="str">
        <f t="shared" ca="1" si="2"/>
        <v/>
      </c>
      <c r="Q8" t="str">
        <f t="shared" ca="1" si="2"/>
        <v/>
      </c>
      <c r="R8" t="str">
        <f t="shared" ca="1" si="2"/>
        <v/>
      </c>
      <c r="S8" t="str">
        <f t="shared" ca="1" si="2"/>
        <v/>
      </c>
      <c r="T8" t="str">
        <f t="shared" ca="1" si="2"/>
        <v/>
      </c>
      <c r="U8" t="str">
        <f t="shared" ca="1" si="2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2"/>
        <v/>
      </c>
      <c r="AG8" t="str">
        <f t="shared" ca="1" si="2"/>
        <v/>
      </c>
      <c r="AH8" t="str">
        <f t="shared" ca="1" si="2"/>
        <v/>
      </c>
      <c r="AI8" t="str">
        <f t="shared" ca="1" si="2"/>
        <v/>
      </c>
      <c r="AJ8" t="str">
        <f t="shared" ca="1" si="2"/>
        <v/>
      </c>
      <c r="AK8" t="str">
        <f t="shared" ca="1" si="2"/>
        <v/>
      </c>
      <c r="AL8" t="str">
        <f t="shared" ca="1" si="2"/>
        <v/>
      </c>
      <c r="AM8" t="str">
        <f t="shared" ca="1" si="2"/>
        <v/>
      </c>
      <c r="AN8" t="str">
        <f t="shared" ca="1" si="2"/>
        <v/>
      </c>
      <c r="AO8" t="str">
        <f t="shared" ca="1" si="2"/>
        <v/>
      </c>
      <c r="AP8" t="str">
        <f t="shared" ca="1" si="2"/>
        <v/>
      </c>
      <c r="AQ8" t="str">
        <f t="shared" ca="1" si="2"/>
        <v/>
      </c>
      <c r="AR8" t="str">
        <f t="shared" ca="1" si="2"/>
        <v/>
      </c>
      <c r="AS8" t="str">
        <f t="shared" ca="1" si="2"/>
        <v/>
      </c>
      <c r="AT8" t="str">
        <f>""</f>
        <v/>
      </c>
      <c r="AU8" t="str">
        <f>""</f>
        <v/>
      </c>
      <c r="AV8" t="str">
        <f>""</f>
        <v/>
      </c>
      <c r="AW8" t="str">
        <f>""</f>
        <v/>
      </c>
      <c r="AX8" t="str">
        <f>""</f>
        <v/>
      </c>
      <c r="AY8" t="str">
        <f>""</f>
        <v/>
      </c>
      <c r="AZ8" t="str">
        <f>""</f>
        <v/>
      </c>
      <c r="BA8" t="str">
        <f>""</f>
        <v/>
      </c>
      <c r="BB8" t="str">
        <f>""</f>
        <v/>
      </c>
      <c r="BC8" t="str">
        <f>""</f>
        <v/>
      </c>
      <c r="BD8" t="str">
        <f>""</f>
        <v/>
      </c>
      <c r="BE8" t="str">
        <f>""</f>
        <v/>
      </c>
      <c r="BF8" t="str">
        <f>""</f>
        <v/>
      </c>
      <c r="BG8" t="str">
        <f>""</f>
        <v/>
      </c>
      <c r="BH8" t="str">
        <f>""</f>
        <v/>
      </c>
      <c r="BI8" t="str">
        <f>""</f>
        <v/>
      </c>
      <c r="BJ8" t="str">
        <f>""</f>
        <v/>
      </c>
      <c r="BK8" t="str">
        <f>""</f>
        <v/>
      </c>
      <c r="BL8" t="str">
        <f>""</f>
        <v/>
      </c>
      <c r="BM8" t="str">
        <f>""</f>
        <v/>
      </c>
      <c r="BN8" t="str">
        <f>""</f>
        <v/>
      </c>
      <c r="BO8" t="str">
        <f>""</f>
        <v/>
      </c>
      <c r="BP8" t="str">
        <f>""</f>
        <v/>
      </c>
      <c r="BQ8" t="str">
        <f>""</f>
        <v/>
      </c>
      <c r="BR8" t="str">
        <f>""</f>
        <v/>
      </c>
      <c r="BS8" t="str">
        <f>""</f>
        <v/>
      </c>
      <c r="BT8" t="str">
        <f>""</f>
        <v/>
      </c>
      <c r="BU8" t="str">
        <f>""</f>
        <v/>
      </c>
      <c r="BV8" t="str">
        <f>""</f>
        <v/>
      </c>
      <c r="BW8" t="str">
        <f>""</f>
        <v/>
      </c>
      <c r="BX8" t="str">
        <f>""</f>
        <v/>
      </c>
      <c r="BY8" t="str">
        <f>""</f>
        <v/>
      </c>
      <c r="BZ8" t="str">
        <f>""</f>
        <v/>
      </c>
      <c r="CA8" t="str">
        <f>""</f>
        <v/>
      </c>
      <c r="CB8" t="str">
        <f>""</f>
        <v/>
      </c>
      <c r="CC8" t="str">
        <f>""</f>
        <v/>
      </c>
      <c r="CD8" t="str">
        <f>""</f>
        <v/>
      </c>
      <c r="CE8" t="str">
        <f>""</f>
        <v/>
      </c>
      <c r="CF8" t="str">
        <f>""</f>
        <v/>
      </c>
      <c r="CG8" t="str">
        <f>""</f>
        <v/>
      </c>
    </row>
    <row r="9" spans="1:85" x14ac:dyDescent="0.2">
      <c r="A9" t="str">
        <f>"    US Construction Spending Monthly ($m)"</f>
        <v xml:space="preserve">    US Construction Spending Monthly ($m)</v>
      </c>
      <c r="B9" t="str">
        <f>""</f>
        <v/>
      </c>
      <c r="E9" t="str">
        <f>"Heading"</f>
        <v>Heading</v>
      </c>
      <c r="AT9" t="str">
        <f>""</f>
        <v/>
      </c>
      <c r="AU9" t="str">
        <f>""</f>
        <v/>
      </c>
      <c r="AV9" t="str">
        <f>""</f>
        <v/>
      </c>
      <c r="AW9" t="str">
        <f>""</f>
        <v/>
      </c>
      <c r="AX9" t="str">
        <f>""</f>
        <v/>
      </c>
      <c r="AY9" t="str">
        <f>""</f>
        <v/>
      </c>
      <c r="AZ9" t="str">
        <f>""</f>
        <v/>
      </c>
      <c r="BA9" t="str">
        <f>""</f>
        <v/>
      </c>
      <c r="BB9" t="str">
        <f>""</f>
        <v/>
      </c>
      <c r="BC9" t="str">
        <f>""</f>
        <v/>
      </c>
      <c r="BD9" t="str">
        <f>""</f>
        <v/>
      </c>
      <c r="BE9" t="str">
        <f>""</f>
        <v/>
      </c>
      <c r="BF9" t="str">
        <f>""</f>
        <v/>
      </c>
      <c r="BG9" t="str">
        <f>""</f>
        <v/>
      </c>
      <c r="BH9" t="str">
        <f>""</f>
        <v/>
      </c>
      <c r="BI9" t="str">
        <f>""</f>
        <v/>
      </c>
      <c r="BJ9" t="str">
        <f>""</f>
        <v/>
      </c>
      <c r="BK9" t="str">
        <f>""</f>
        <v/>
      </c>
      <c r="BL9" t="str">
        <f>""</f>
        <v/>
      </c>
      <c r="BM9" t="str">
        <f>""</f>
        <v/>
      </c>
      <c r="BN9" t="str">
        <f>""</f>
        <v/>
      </c>
      <c r="BO9" t="str">
        <f>""</f>
        <v/>
      </c>
      <c r="BP9" t="str">
        <f>""</f>
        <v/>
      </c>
      <c r="BQ9" t="str">
        <f>""</f>
        <v/>
      </c>
      <c r="BR9" t="str">
        <f>""</f>
        <v/>
      </c>
      <c r="BS9" t="str">
        <f>""</f>
        <v/>
      </c>
      <c r="BT9" t="str">
        <f>""</f>
        <v/>
      </c>
      <c r="BU9" t="str">
        <f>""</f>
        <v/>
      </c>
      <c r="BV9" t="str">
        <f>""</f>
        <v/>
      </c>
      <c r="BW9" t="str">
        <f>""</f>
        <v/>
      </c>
      <c r="BX9" t="str">
        <f>""</f>
        <v/>
      </c>
      <c r="BY9" t="str">
        <f>""</f>
        <v/>
      </c>
      <c r="BZ9" t="str">
        <f>""</f>
        <v/>
      </c>
      <c r="CA9" t="str">
        <f>""</f>
        <v/>
      </c>
      <c r="CB9" t="str">
        <f>""</f>
        <v/>
      </c>
      <c r="CC9" t="str">
        <f>""</f>
        <v/>
      </c>
      <c r="CD9" t="str">
        <f>""</f>
        <v/>
      </c>
      <c r="CE9" t="str">
        <f>""</f>
        <v/>
      </c>
      <c r="CF9" t="str">
        <f>""</f>
        <v/>
      </c>
      <c r="CG9" t="str">
        <f>""</f>
        <v/>
      </c>
    </row>
    <row r="10" spans="1:85" x14ac:dyDescent="0.2">
      <c r="A10" t="str">
        <f>"    U.S. Total Construction Spending (NSA)"</f>
        <v xml:space="preserve">    U.S. Total Construction Spending (NSA)</v>
      </c>
      <c r="B10" t="str">
        <f>"CNNSTOTA Index"</f>
        <v>CNNSTOTA Index</v>
      </c>
      <c r="C10" t="str">
        <f t="shared" ref="C10:C18" si="3">"PX385"</f>
        <v>PX385</v>
      </c>
      <c r="D10" t="str">
        <f t="shared" ref="D10:D18" si="4">"INTERVAL_SUM"</f>
        <v>INTERVAL_SUM</v>
      </c>
      <c r="E10" t="str">
        <f t="shared" ref="E10:E18" si="5">"Dynamic"</f>
        <v>Dynamic</v>
      </c>
      <c r="F10">
        <f ca="1">IF(AND(ISNUMBER($F$120),$B$113=1),$F$120,HLOOKUP(INDIRECT(ADDRESS(2,COLUMN())),OFFSET($AT$2,0,0,ROW()-1,40),ROW()-1,FALSE))</f>
        <v>1463494</v>
      </c>
      <c r="G10">
        <f ca="1">IF(AND(ISNUMBER($G$120),$B$113=1),$G$120,HLOOKUP(INDIRECT(ADDRESS(2,COLUMN())),OFFSET($AT$2,0,0,ROW()-1,40),ROW()-1,FALSE))</f>
        <v>1848676</v>
      </c>
      <c r="H10">
        <f ca="1">IF(AND(ISNUMBER($H$120),$B$113=1),$H$120,HLOOKUP(INDIRECT(ADDRESS(2,COLUMN())),OFFSET($AT$2,0,0,ROW()-1,40),ROW()-1,FALSE))</f>
        <v>1653378</v>
      </c>
      <c r="I10">
        <f ca="1">IF(AND(ISNUMBER($I$120),$B$113=1),$I$120,HLOOKUP(INDIRECT(ADDRESS(2,COLUMN())),OFFSET($AT$2,0,0,ROW()-1,40),ROW()-1,FALSE))</f>
        <v>1499570</v>
      </c>
      <c r="J10">
        <f ca="1">IF(AND(ISNUMBER($J$120),$B$113=1),$J$120,HLOOKUP(INDIRECT(ADDRESS(2,COLUMN())),OFFSET($AT$2,0,0,ROW()-1,40),ROW()-1,FALSE))</f>
        <v>1391038</v>
      </c>
      <c r="K10">
        <f ca="1">IF(AND(ISNUMBER($K$120),$B$113=1),$K$120,HLOOKUP(INDIRECT(ADDRESS(2,COLUMN())),OFFSET($AT$2,0,0,ROW()-1,40),ROW()-1,FALSE))</f>
        <v>1333184</v>
      </c>
      <c r="L10">
        <f ca="1">IF(AND(ISNUMBER($L$120),$B$113=1),$L$120,HLOOKUP(INDIRECT(ADDRESS(2,COLUMN())),OFFSET($AT$2,0,0,ROW()-1,40),ROW()-1,FALSE))</f>
        <v>1279841</v>
      </c>
      <c r="M10">
        <f ca="1">IF(AND(ISNUMBER($M$120),$B$113=1),$M$120,HLOOKUP(INDIRECT(ADDRESS(2,COLUMN())),OFFSET($AT$2,0,0,ROW()-1,40),ROW()-1,FALSE))</f>
        <v>1213146</v>
      </c>
      <c r="N10">
        <f ca="1">IF(AND(ISNUMBER($N$120),$B$113=1),$N$120,HLOOKUP(INDIRECT(ADDRESS(2,COLUMN())),OFFSET($AT$2,0,0,ROW()-1,40),ROW()-1,FALSE))</f>
        <v>1132117</v>
      </c>
      <c r="O10">
        <f ca="1">IF(AND(ISNUMBER($O$120),$B$113=1),$O$120,HLOOKUP(INDIRECT(ADDRESS(2,COLUMN())),OFFSET($AT$2,0,0,ROW()-1,40),ROW()-1,FALSE))</f>
        <v>1015292</v>
      </c>
      <c r="P10">
        <f ca="1">IF(AND(ISNUMBER($P$120),$B$113=1),$P$120,HLOOKUP(INDIRECT(ADDRESS(2,COLUMN())),OFFSET($AT$2,0,0,ROW()-1,40),ROW()-1,FALSE))</f>
        <v>914584</v>
      </c>
      <c r="Q10">
        <f ca="1">IF(AND(ISNUMBER($Q$120),$B$113=1),$Q$120,HLOOKUP(INDIRECT(ADDRESS(2,COLUMN())),OFFSET($AT$2,0,0,ROW()-1,40),ROW()-1,FALSE))</f>
        <v>854403</v>
      </c>
      <c r="R10">
        <f ca="1">IF(AND(ISNUMBER($R$120),$B$113=1),$R$120,HLOOKUP(INDIRECT(ADDRESS(2,COLUMN())),OFFSET($AT$2,0,0,ROW()-1,40),ROW()-1,FALSE))</f>
        <v>791238</v>
      </c>
      <c r="S10">
        <f ca="1">IF(AND(ISNUMBER($S$120),$B$113=1),$S$120,HLOOKUP(INDIRECT(ADDRESS(2,COLUMN())),OFFSET($AT$2,0,0,ROW()-1,40),ROW()-1,FALSE))</f>
        <v>812965</v>
      </c>
      <c r="T10">
        <f ca="1">IF(AND(ISNUMBER($T$120),$B$113=1),$T$120,HLOOKUP(INDIRECT(ADDRESS(2,COLUMN())),OFFSET($AT$2,0,0,ROW()-1,40),ROW()-1,FALSE))</f>
        <v>911767</v>
      </c>
      <c r="U10">
        <f ca="1">IF(AND(ISNUMBER($U$120),$B$113=1),$U$120,HLOOKUP(INDIRECT(ADDRESS(2,COLUMN())),OFFSET($AT$2,0,0,ROW()-1,40),ROW()-1,FALSE))</f>
        <v>1077351</v>
      </c>
      <c r="V10">
        <f ca="1">IF(AND(ISNUMBER($V$120),$B$113=1),$V$120,HLOOKUP(INDIRECT(ADDRESS(2,COLUMN())),OFFSET($AT$2,0,0,ROW()-1,40),ROW()-1,FALSE))</f>
        <v>1147953</v>
      </c>
      <c r="W10">
        <f ca="1">IF(AND(ISNUMBER($W$120),$B$113=1),$W$120,HLOOKUP(INDIRECT(ADDRESS(2,COLUMN())),OFFSET($AT$2,0,0,ROW()-1,40),ROW()-1,FALSE))</f>
        <v>1161282</v>
      </c>
      <c r="X10">
        <f ca="1">IF(AND(ISNUMBER($X$120),$B$113=1),$X$120,HLOOKUP(INDIRECT(ADDRESS(2,COLUMN())),OFFSET($AT$2,0,0,ROW()-1,40),ROW()-1,FALSE))</f>
        <v>1116811</v>
      </c>
      <c r="Y10">
        <f ca="1">IF(AND(ISNUMBER($Y$120),$B$113=1),$Y$120,HLOOKUP(INDIRECT(ADDRESS(2,COLUMN())),OFFSET($AT$2,0,0,ROW()-1,40),ROW()-1,FALSE))</f>
        <v>991357</v>
      </c>
      <c r="Z10">
        <f ca="1">IF(AND(ISNUMBER($Z$120),$B$113=1),$Z$120,HLOOKUP(INDIRECT(ADDRESS(2,COLUMN())),OFFSET($AT$2,0,0,ROW()-1,40),ROW()-1,FALSE))</f>
        <v>891498</v>
      </c>
      <c r="AA10">
        <f ca="1">IF(AND(ISNUMBER($AA$120),$B$113=1),$AA$120,HLOOKUP(INDIRECT(ADDRESS(2,COLUMN())),OFFSET($AT$2,0,0,ROW()-1,40),ROW()-1,FALSE))</f>
        <v>847877</v>
      </c>
      <c r="AB10">
        <f ca="1">IF(AND(ISNUMBER($AB$120),$B$113=1),$AB$120,HLOOKUP(INDIRECT(ADDRESS(2,COLUMN())),OFFSET($AT$2,0,0,ROW()-1,40),ROW()-1,FALSE))</f>
        <v>840247</v>
      </c>
      <c r="AC10">
        <f ca="1">IF(AND(ISNUMBER($AC$120),$B$113=1),$AC$120,HLOOKUP(INDIRECT(ADDRESS(2,COLUMN())),OFFSET($AT$2,0,0,ROW()-1,40),ROW()-1,FALSE))</f>
        <v>802758</v>
      </c>
      <c r="AD10">
        <f ca="1">IF(AND(ISNUMBER($AD$120),$B$113=1),$AD$120,HLOOKUP(INDIRECT(ADDRESS(2,COLUMN())),OFFSET($AT$2,0,0,ROW()-1,40),ROW()-1,FALSE))</f>
        <v>744551</v>
      </c>
      <c r="AE10">
        <f ca="1">IF(AND(ISNUMBER($AE$120),$B$113=1),$AE$120,HLOOKUP(INDIRECT(ADDRESS(2,COLUMN())),OFFSET($AT$2,0,0,ROW()-1,40),ROW()-1,FALSE))</f>
        <v>688520</v>
      </c>
      <c r="AF10">
        <f ca="1">IF(AND(ISNUMBER($AF$120),$B$113=1),$AF$120,HLOOKUP(INDIRECT(ADDRESS(2,COLUMN())),OFFSET($AT$2,0,0,ROW()-1,40),ROW()-1,FALSE))</f>
        <v>631849</v>
      </c>
      <c r="AG10">
        <f ca="1">IF(AND(ISNUMBER($AG$120),$B$113=1),$AG$120,HLOOKUP(INDIRECT(ADDRESS(2,COLUMN())),OFFSET($AT$2,0,0,ROW()-1,40),ROW()-1,FALSE))</f>
        <v>599694</v>
      </c>
      <c r="AH10">
        <f ca="1">IF(AND(ISNUMBER($AH$120),$B$113=1),$AH$120,HLOOKUP(INDIRECT(ADDRESS(2,COLUMN())),OFFSET($AT$2,0,0,ROW()-1,40),ROW()-1,FALSE))</f>
        <v>548667</v>
      </c>
      <c r="AI10">
        <f ca="1">IF(AND(ISNUMBER($AI$120),$B$113=1),$AI$120,HLOOKUP(INDIRECT(ADDRESS(2,COLUMN())),OFFSET($AT$2,0,0,ROW()-1,40),ROW()-1,FALSE))</f>
        <v>531890</v>
      </c>
      <c r="AJ10">
        <f ca="1">IF(AND(ISNUMBER($AJ$120),$B$113=1),$AJ$120,HLOOKUP(INDIRECT(ADDRESS(2,COLUMN())),OFFSET($AT$2,0,0,ROW()-1,40),ROW()-1,FALSE))</f>
        <v>485549</v>
      </c>
      <c r="AK10">
        <f ca="1">IF(AND(ISNUMBER($AK$120),$B$113=1),$AK$120,HLOOKUP(INDIRECT(ADDRESS(2,COLUMN())),OFFSET($AT$2,0,0,ROW()-1,40),ROW()-1,FALSE))</f>
        <v>463661</v>
      </c>
      <c r="AL10">
        <f ca="1">IF(AND(ISNUMBER($AL$120),$B$113=1),$AL$120,HLOOKUP(INDIRECT(ADDRESS(2,COLUMN())),OFFSET($AT$2,0,0,ROW()-1,40),ROW()-1,FALSE))</f>
        <v>432593</v>
      </c>
      <c r="AM10">
        <f ca="1">IF(AND(ISNUMBER($AM$120),$B$113=1),$AM$120,HLOOKUP(INDIRECT(ADDRESS(2,COLUMN())),OFFSET($AT$2,0,0,ROW()-1,40),ROW()-1,FALSE))</f>
        <v>476777</v>
      </c>
      <c r="AN10">
        <f ca="1">IF(AND(ISNUMBER($AN$120),$B$113=1),$AN$120,HLOOKUP(INDIRECT(ADDRESS(2,COLUMN())),OFFSET($AT$2,0,0,ROW()-1,40),ROW()-1,FALSE))</f>
        <v>477501</v>
      </c>
      <c r="AO10">
        <f ca="1">IF(AND(ISNUMBER($AO$120),$B$113=1),$AO$120,HLOOKUP(INDIRECT(ADDRESS(2,COLUMN())),OFFSET($AT$2,0,0,ROW()-1,40),ROW()-1,FALSE))</f>
        <v>462013</v>
      </c>
      <c r="AP10">
        <f ca="1">IF(AND(ISNUMBER($AP$120),$B$113=1),$AP$120,HLOOKUP(INDIRECT(ADDRESS(2,COLUMN())),OFFSET($AT$2,0,0,ROW()-1,40),ROW()-1,FALSE))</f>
        <v>446642</v>
      </c>
      <c r="AQ10">
        <f ca="1">IF(AND(ISNUMBER($AQ$120),$B$113=1),$AQ$120,HLOOKUP(INDIRECT(ADDRESS(2,COLUMN())),OFFSET($AT$2,0,0,ROW()-1,40),ROW()-1,FALSE))</f>
        <v>433453</v>
      </c>
      <c r="AR10">
        <f ca="1">IF(AND(ISNUMBER($AR$120),$B$113=1),$AR$120,HLOOKUP(INDIRECT(ADDRESS(2,COLUMN())),OFFSET($AT$2,0,0,ROW()-1,40),ROW()-1,FALSE))</f>
        <v>403414</v>
      </c>
      <c r="AS10">
        <f ca="1">IF(AND(ISNUMBER($AS$120),$B$113=1),$AS$120,HLOOKUP(INDIRECT(ADDRESS(2,COLUMN())),OFFSET($AT$2,0,0,ROW()-1,40),ROW()-1,FALSE))</f>
        <v>370191</v>
      </c>
      <c r="AT10">
        <f>1463494</f>
        <v>1463494</v>
      </c>
      <c r="AU10">
        <f>1848676</f>
        <v>1848676</v>
      </c>
      <c r="AV10">
        <f>1653378</f>
        <v>1653378</v>
      </c>
      <c r="AW10">
        <f>1499570</f>
        <v>1499570</v>
      </c>
      <c r="AX10">
        <f>1391038</f>
        <v>1391038</v>
      </c>
      <c r="AY10">
        <f>1333184</f>
        <v>1333184</v>
      </c>
      <c r="AZ10">
        <f>1279841</f>
        <v>1279841</v>
      </c>
      <c r="BA10">
        <f>1213146</f>
        <v>1213146</v>
      </c>
      <c r="BB10">
        <f>1132117</f>
        <v>1132117</v>
      </c>
      <c r="BC10">
        <f>1015292</f>
        <v>1015292</v>
      </c>
      <c r="BD10">
        <f>914584</f>
        <v>914584</v>
      </c>
      <c r="BE10">
        <f>854403</f>
        <v>854403</v>
      </c>
      <c r="BF10">
        <f>791238</f>
        <v>791238</v>
      </c>
      <c r="BG10">
        <f>812965</f>
        <v>812965</v>
      </c>
      <c r="BH10">
        <f>911767</f>
        <v>911767</v>
      </c>
      <c r="BI10">
        <f>1077351</f>
        <v>1077351</v>
      </c>
      <c r="BJ10">
        <f>1147953</f>
        <v>1147953</v>
      </c>
      <c r="BK10">
        <f>1161282</f>
        <v>1161282</v>
      </c>
      <c r="BL10">
        <f>1116811</f>
        <v>1116811</v>
      </c>
      <c r="BM10">
        <f>991357</f>
        <v>991357</v>
      </c>
      <c r="BN10">
        <f>891498</f>
        <v>891498</v>
      </c>
      <c r="BO10">
        <f>847877</f>
        <v>847877</v>
      </c>
      <c r="BP10">
        <f>840247</f>
        <v>840247</v>
      </c>
      <c r="BQ10">
        <f>802758</f>
        <v>802758</v>
      </c>
      <c r="BR10">
        <f>744551</f>
        <v>744551</v>
      </c>
      <c r="BS10">
        <f>688520</f>
        <v>688520</v>
      </c>
      <c r="BT10">
        <f>631849</f>
        <v>631849</v>
      </c>
      <c r="BU10">
        <f>599694</f>
        <v>599694</v>
      </c>
      <c r="BV10">
        <f>548667</f>
        <v>548667</v>
      </c>
      <c r="BW10">
        <f>531890</f>
        <v>531890</v>
      </c>
      <c r="BX10">
        <f>485549</f>
        <v>485549</v>
      </c>
      <c r="BY10">
        <f>463661</f>
        <v>463661</v>
      </c>
      <c r="BZ10">
        <f>432593</f>
        <v>432593</v>
      </c>
      <c r="CA10">
        <f>476777</f>
        <v>476777</v>
      </c>
      <c r="CB10">
        <f>477501</f>
        <v>477501</v>
      </c>
      <c r="CC10">
        <f>462013</f>
        <v>462013</v>
      </c>
      <c r="CD10">
        <f>446642</f>
        <v>446642</v>
      </c>
      <c r="CE10">
        <f>433453</f>
        <v>433453</v>
      </c>
      <c r="CF10">
        <f>403414</f>
        <v>403414</v>
      </c>
      <c r="CG10">
        <f>370191</f>
        <v>370191</v>
      </c>
    </row>
    <row r="11" spans="1:85" x14ac:dyDescent="0.2">
      <c r="A11" t="str">
        <f>"        U.S. Total Residential Construction Spending"</f>
        <v xml:space="preserve">        U.S. Total Residential Construction Spending</v>
      </c>
      <c r="B11" t="str">
        <f>"CNNSRESI Index"</f>
        <v>CNNSRESI Index</v>
      </c>
      <c r="C11" t="str">
        <f t="shared" si="3"/>
        <v>PX385</v>
      </c>
      <c r="D11" t="str">
        <f t="shared" si="4"/>
        <v>INTERVAL_SUM</v>
      </c>
      <c r="E11" t="str">
        <f t="shared" si="5"/>
        <v>Dynamic</v>
      </c>
      <c r="F11">
        <f ca="1">IF(AND(ISNUMBER($F$121),$B$113=1),$F$121,HLOOKUP(INDIRECT(ADDRESS(2,COLUMN())),OFFSET($AT$2,0,0,ROW()-1,40),ROW()-1,FALSE))</f>
        <v>655824</v>
      </c>
      <c r="G11">
        <f ca="1">IF(AND(ISNUMBER($G$121),$B$113=1),$G$121,HLOOKUP(INDIRECT(ADDRESS(2,COLUMN())),OFFSET($AT$2,0,0,ROW()-1,40),ROW()-1,FALSE))</f>
        <v>927439</v>
      </c>
      <c r="H11">
        <f ca="1">IF(AND(ISNUMBER($H$121),$B$113=1),$H$121,HLOOKUP(INDIRECT(ADDRESS(2,COLUMN())),OFFSET($AT$2,0,0,ROW()-1,40),ROW()-1,FALSE))</f>
        <v>808969</v>
      </c>
      <c r="I11">
        <f ca="1">IF(AND(ISNUMBER($I$121),$B$113=1),$I$121,HLOOKUP(INDIRECT(ADDRESS(2,COLUMN())),OFFSET($AT$2,0,0,ROW()-1,40),ROW()-1,FALSE))</f>
        <v>644257</v>
      </c>
      <c r="J11">
        <f ca="1">IF(AND(ISNUMBER($J$121),$B$113=1),$J$121,HLOOKUP(INDIRECT(ADDRESS(2,COLUMN())),OFFSET($AT$2,0,0,ROW()-1,40),ROW()-1,FALSE))</f>
        <v>553443</v>
      </c>
      <c r="K11">
        <f ca="1">IF(AND(ISNUMBER($K$121),$B$113=1),$K$121,HLOOKUP(INDIRECT(ADDRESS(2,COLUMN())),OFFSET($AT$2,0,0,ROW()-1,40),ROW()-1,FALSE))</f>
        <v>563879</v>
      </c>
      <c r="L11">
        <f ca="1">IF(AND(ISNUMBER($L$121),$B$113=1),$L$121,HLOOKUP(INDIRECT(ADDRESS(2,COLUMN())),OFFSET($AT$2,0,0,ROW()-1,40),ROW()-1,FALSE))</f>
        <v>545753</v>
      </c>
      <c r="M11">
        <f ca="1">IF(AND(ISNUMBER($M$121),$B$113=1),$M$121,HLOOKUP(INDIRECT(ADDRESS(2,COLUMN())),OFFSET($AT$2,0,0,ROW()-1,40),ROW()-1,FALSE))</f>
        <v>485965</v>
      </c>
      <c r="N11">
        <f ca="1">IF(AND(ISNUMBER($N$121),$B$113=1),$N$121,HLOOKUP(INDIRECT(ADDRESS(2,COLUMN())),OFFSET($AT$2,0,0,ROW()-1,40),ROW()-1,FALSE))</f>
        <v>438697</v>
      </c>
      <c r="O11">
        <f ca="1">IF(AND(ISNUMBER($O$121),$B$113=1),$O$121,HLOOKUP(INDIRECT(ADDRESS(2,COLUMN())),OFFSET($AT$2,0,0,ROW()-1,40),ROW()-1,FALSE))</f>
        <v>382529</v>
      </c>
      <c r="P11">
        <f ca="1">IF(AND(ISNUMBER($P$121),$B$113=1),$P$121,HLOOKUP(INDIRECT(ADDRESS(2,COLUMN())),OFFSET($AT$2,0,0,ROW()-1,40),ROW()-1,FALSE))</f>
        <v>335475</v>
      </c>
      <c r="Q11">
        <f ca="1">IF(AND(ISNUMBER($Q$121),$B$113=1),$Q$121,HLOOKUP(INDIRECT(ADDRESS(2,COLUMN())),OFFSET($AT$2,0,0,ROW()-1,40),ROW()-1,FALSE))</f>
        <v>280004</v>
      </c>
      <c r="R11">
        <f ca="1">IF(AND(ISNUMBER($R$121),$B$113=1),$R$121,HLOOKUP(INDIRECT(ADDRESS(2,COLUMN())),OFFSET($AT$2,0,0,ROW()-1,40),ROW()-1,FALSE))</f>
        <v>255551</v>
      </c>
      <c r="S11">
        <f ca="1">IF(AND(ISNUMBER($S$121),$B$113=1),$S$121,HLOOKUP(INDIRECT(ADDRESS(2,COLUMN())),OFFSET($AT$2,0,0,ROW()-1,40),ROW()-1,FALSE))</f>
        <v>256039</v>
      </c>
      <c r="T11">
        <f ca="1">IF(AND(ISNUMBER($T$121),$B$113=1),$T$121,HLOOKUP(INDIRECT(ADDRESS(2,COLUMN())),OFFSET($AT$2,0,0,ROW()-1,40),ROW()-1,FALSE))</f>
        <v>260767</v>
      </c>
      <c r="U11">
        <f ca="1">IF(AND(ISNUMBER($U$121),$B$113=1),$U$121,HLOOKUP(INDIRECT(ADDRESS(2,COLUMN())),OFFSET($AT$2,0,0,ROW()-1,40),ROW()-1,FALSE))</f>
        <v>366661</v>
      </c>
      <c r="V11">
        <f ca="1">IF(AND(ISNUMBER($V$121),$B$113=1),$V$121,HLOOKUP(INDIRECT(ADDRESS(2,COLUMN())),OFFSET($AT$2,0,0,ROW()-1,40),ROW()-1,FALSE))</f>
        <v>496068</v>
      </c>
      <c r="W11">
        <f ca="1">IF(AND(ISNUMBER($W$121),$B$113=1),$W$121,HLOOKUP(INDIRECT(ADDRESS(2,COLUMN())),OFFSET($AT$2,0,0,ROW()-1,40),ROW()-1,FALSE))</f>
        <v>613875</v>
      </c>
      <c r="X11">
        <f ca="1">IF(AND(ISNUMBER($X$121),$B$113=1),$X$121,HLOOKUP(INDIRECT(ADDRESS(2,COLUMN())),OFFSET($AT$2,0,0,ROW()-1,40),ROW()-1,FALSE))</f>
        <v>630183</v>
      </c>
      <c r="Y11">
        <f ca="1">IF(AND(ISNUMBER($Y$121),$B$113=1),$Y$121,HLOOKUP(INDIRECT(ADDRESS(2,COLUMN())),OFFSET($AT$2,0,0,ROW()-1,40),ROW()-1,FALSE))</f>
        <v>538410</v>
      </c>
      <c r="Z11">
        <f ca="1">IF(AND(ISNUMBER($Z$121),$B$113=1),$Z$121,HLOOKUP(INDIRECT(ADDRESS(2,COLUMN())),OFFSET($AT$2,0,0,ROW()-1,40),ROW()-1,FALSE))</f>
        <v>451253</v>
      </c>
      <c r="AA11">
        <f ca="1">IF(AND(ISNUMBER($AA$121),$B$113=1),$AA$121,HLOOKUP(INDIRECT(ADDRESS(2,COLUMN())),OFFSET($AT$2,0,0,ROW()-1,40),ROW()-1,FALSE))</f>
        <v>401963</v>
      </c>
      <c r="AB11">
        <f ca="1">IF(AND(ISNUMBER($AB$121),$B$113=1),$AB$121,HLOOKUP(INDIRECT(ADDRESS(2,COLUMN())),OFFSET($AT$2,0,0,ROW()-1,40),ROW()-1,FALSE))</f>
        <v>0</v>
      </c>
      <c r="AC11">
        <f ca="1">IF(AND(ISNUMBER($AC$121),$B$113=1),$AC$121,HLOOKUP(INDIRECT(ADDRESS(2,COLUMN())),OFFSET($AT$2,0,0,ROW()-1,40),ROW()-1,FALSE))</f>
        <v>0</v>
      </c>
      <c r="AD11">
        <f ca="1">IF(AND(ISNUMBER($AD$121),$B$113=1),$AD$121,HLOOKUP(INDIRECT(ADDRESS(2,COLUMN())),OFFSET($AT$2,0,0,ROW()-1,40),ROW()-1,FALSE))</f>
        <v>0</v>
      </c>
      <c r="AE11">
        <f ca="1">IF(AND(ISNUMBER($AE$121),$B$113=1),$AE$121,HLOOKUP(INDIRECT(ADDRESS(2,COLUMN())),OFFSET($AT$2,0,0,ROW()-1,40),ROW()-1,FALSE))</f>
        <v>0</v>
      </c>
      <c r="AF11">
        <f ca="1">IF(AND(ISNUMBER($AF$121),$B$113=1),$AF$121,HLOOKUP(INDIRECT(ADDRESS(2,COLUMN())),OFFSET($AT$2,0,0,ROW()-1,40),ROW()-1,FALSE))</f>
        <v>0</v>
      </c>
      <c r="AG11">
        <f ca="1">IF(AND(ISNUMBER($AG$121),$B$113=1),$AG$121,HLOOKUP(INDIRECT(ADDRESS(2,COLUMN())),OFFSET($AT$2,0,0,ROW()-1,40),ROW()-1,FALSE))</f>
        <v>0</v>
      </c>
      <c r="AH11">
        <f ca="1">IF(AND(ISNUMBER($AH$121),$B$113=1),$AH$121,HLOOKUP(INDIRECT(ADDRESS(2,COLUMN())),OFFSET($AT$2,0,0,ROW()-1,40),ROW()-1,FALSE))</f>
        <v>0</v>
      </c>
      <c r="AI11">
        <f ca="1">IF(AND(ISNUMBER($AI$121),$B$113=1),$AI$121,HLOOKUP(INDIRECT(ADDRESS(2,COLUMN())),OFFSET($AT$2,0,0,ROW()-1,40),ROW()-1,FALSE))</f>
        <v>0</v>
      </c>
      <c r="AJ11">
        <f ca="1">IF(AND(ISNUMBER($AJ$121),$B$113=1),$AJ$121,HLOOKUP(INDIRECT(ADDRESS(2,COLUMN())),OFFSET($AT$2,0,0,ROW()-1,40),ROW()-1,FALSE))</f>
        <v>0</v>
      </c>
      <c r="AK11" t="str">
        <f ca="1">IF(AND(ISNUMBER($AK$121),$B$113=1),$AK$121,HLOOKUP(INDIRECT(ADDRESS(2,COLUMN())),OFFSET($AT$2,0,0,ROW()-1,40),ROW()-1,FALSE))</f>
        <v/>
      </c>
      <c r="AL11" t="str">
        <f ca="1">IF(AND(ISNUMBER($AL$121),$B$113=1),$AL$121,HLOOKUP(INDIRECT(ADDRESS(2,COLUMN())),OFFSET($AT$2,0,0,ROW()-1,40),ROW()-1,FALSE))</f>
        <v/>
      </c>
      <c r="AM11" t="str">
        <f ca="1">IF(AND(ISNUMBER($AM$121),$B$113=1),$AM$121,HLOOKUP(INDIRECT(ADDRESS(2,COLUMN())),OFFSET($AT$2,0,0,ROW()-1,40),ROW()-1,FALSE))</f>
        <v/>
      </c>
      <c r="AN11" t="str">
        <f ca="1">IF(AND(ISNUMBER($AN$121),$B$113=1),$AN$121,HLOOKUP(INDIRECT(ADDRESS(2,COLUMN())),OFFSET($AT$2,0,0,ROW()-1,40),ROW()-1,FALSE))</f>
        <v/>
      </c>
      <c r="AO11" t="str">
        <f ca="1">IF(AND(ISNUMBER($AO$121),$B$113=1),$AO$121,HLOOKUP(INDIRECT(ADDRESS(2,COLUMN())),OFFSET($AT$2,0,0,ROW()-1,40),ROW()-1,FALSE))</f>
        <v/>
      </c>
      <c r="AP11" t="str">
        <f ca="1">IF(AND(ISNUMBER($AP$121),$B$113=1),$AP$121,HLOOKUP(INDIRECT(ADDRESS(2,COLUMN())),OFFSET($AT$2,0,0,ROW()-1,40),ROW()-1,FALSE))</f>
        <v/>
      </c>
      <c r="AQ11" t="str">
        <f ca="1">IF(AND(ISNUMBER($AQ$121),$B$113=1),$AQ$121,HLOOKUP(INDIRECT(ADDRESS(2,COLUMN())),OFFSET($AT$2,0,0,ROW()-1,40),ROW()-1,FALSE))</f>
        <v/>
      </c>
      <c r="AR11" t="str">
        <f ca="1">IF(AND(ISNUMBER($AR$121),$B$113=1),$AR$121,HLOOKUP(INDIRECT(ADDRESS(2,COLUMN())),OFFSET($AT$2,0,0,ROW()-1,40),ROW()-1,FALSE))</f>
        <v/>
      </c>
      <c r="AS11" t="str">
        <f ca="1">IF(AND(ISNUMBER($AS$121),$B$113=1),$AS$121,HLOOKUP(INDIRECT(ADDRESS(2,COLUMN())),OFFSET($AT$2,0,0,ROW()-1,40),ROW()-1,FALSE))</f>
        <v/>
      </c>
      <c r="AT11">
        <f>655824</f>
        <v>655824</v>
      </c>
      <c r="AU11">
        <f>927439</f>
        <v>927439</v>
      </c>
      <c r="AV11">
        <f>808969</f>
        <v>808969</v>
      </c>
      <c r="AW11">
        <f>644257</f>
        <v>644257</v>
      </c>
      <c r="AX11">
        <f>553443</f>
        <v>553443</v>
      </c>
      <c r="AY11">
        <f>563879</f>
        <v>563879</v>
      </c>
      <c r="AZ11">
        <f>545753</f>
        <v>545753</v>
      </c>
      <c r="BA11">
        <f>485965</f>
        <v>485965</v>
      </c>
      <c r="BB11">
        <f>438697</f>
        <v>438697</v>
      </c>
      <c r="BC11">
        <f>382529</f>
        <v>382529</v>
      </c>
      <c r="BD11">
        <f>335475</f>
        <v>335475</v>
      </c>
      <c r="BE11">
        <f>280004</f>
        <v>280004</v>
      </c>
      <c r="BF11">
        <f>255551</f>
        <v>255551</v>
      </c>
      <c r="BG11">
        <f>256039</f>
        <v>256039</v>
      </c>
      <c r="BH11">
        <f>260767</f>
        <v>260767</v>
      </c>
      <c r="BI11">
        <f>366661</f>
        <v>366661</v>
      </c>
      <c r="BJ11">
        <f>496068</f>
        <v>496068</v>
      </c>
      <c r="BK11">
        <f>613875</f>
        <v>613875</v>
      </c>
      <c r="BL11">
        <f>630183</f>
        <v>630183</v>
      </c>
      <c r="BM11">
        <f>538410</f>
        <v>538410</v>
      </c>
      <c r="BN11">
        <f>451253</f>
        <v>451253</v>
      </c>
      <c r="BO11">
        <f>401963</f>
        <v>401963</v>
      </c>
      <c r="BP11">
        <f>0</f>
        <v>0</v>
      </c>
      <c r="BQ11">
        <f>0</f>
        <v>0</v>
      </c>
      <c r="BR11">
        <f>0</f>
        <v>0</v>
      </c>
      <c r="BS11">
        <f>0</f>
        <v>0</v>
      </c>
      <c r="BT11">
        <f>0</f>
        <v>0</v>
      </c>
      <c r="BU11">
        <f>0</f>
        <v>0</v>
      </c>
      <c r="BV11">
        <f>0</f>
        <v>0</v>
      </c>
      <c r="BW11">
        <f>0</f>
        <v>0</v>
      </c>
      <c r="BX11">
        <f>0</f>
        <v>0</v>
      </c>
      <c r="BY11" t="str">
        <f>""</f>
        <v/>
      </c>
      <c r="BZ11" t="str">
        <f>""</f>
        <v/>
      </c>
      <c r="CA11" t="str">
        <f>""</f>
        <v/>
      </c>
      <c r="CB11" t="str">
        <f>""</f>
        <v/>
      </c>
      <c r="CC11" t="str">
        <f>""</f>
        <v/>
      </c>
      <c r="CD11" t="str">
        <f>""</f>
        <v/>
      </c>
      <c r="CE11" t="str">
        <f>""</f>
        <v/>
      </c>
      <c r="CF11" t="str">
        <f>""</f>
        <v/>
      </c>
      <c r="CG11" t="str">
        <f>""</f>
        <v/>
      </c>
    </row>
    <row r="12" spans="1:85" x14ac:dyDescent="0.2">
      <c r="A12" t="str">
        <f>"        U.S. Total Non-Residential Construction Spending"</f>
        <v xml:space="preserve">        U.S. Total Non-Residential Construction Spending</v>
      </c>
      <c r="B12" t="str">
        <f>"CNNSNRES Index"</f>
        <v>CNNSNRES Index</v>
      </c>
      <c r="C12" t="str">
        <f t="shared" si="3"/>
        <v>PX385</v>
      </c>
      <c r="D12" t="str">
        <f t="shared" si="4"/>
        <v>INTERVAL_SUM</v>
      </c>
      <c r="E12" t="str">
        <f t="shared" si="5"/>
        <v>Dynamic</v>
      </c>
      <c r="F12">
        <f ca="1">IF(AND(ISNUMBER($F$122),$B$113=1),$F$122,HLOOKUP(INDIRECT(ADDRESS(2,COLUMN())),OFFSET($AT$2,0,0,ROW()-1,40),ROW()-1,FALSE))</f>
        <v>807670</v>
      </c>
      <c r="G12">
        <f ca="1">IF(AND(ISNUMBER($G$122),$B$113=1),$G$122,HLOOKUP(INDIRECT(ADDRESS(2,COLUMN())),OFFSET($AT$2,0,0,ROW()-1,40),ROW()-1,FALSE))</f>
        <v>921236</v>
      </c>
      <c r="H12">
        <f ca="1">IF(AND(ISNUMBER($H$122),$B$113=1),$H$122,HLOOKUP(INDIRECT(ADDRESS(2,COLUMN())),OFFSET($AT$2,0,0,ROW()-1,40),ROW()-1,FALSE))</f>
        <v>844409</v>
      </c>
      <c r="I12">
        <f ca="1">IF(AND(ISNUMBER($I$122),$B$113=1),$I$122,HLOOKUP(INDIRECT(ADDRESS(2,COLUMN())),OFFSET($AT$2,0,0,ROW()-1,40),ROW()-1,FALSE))</f>
        <v>855313</v>
      </c>
      <c r="J12">
        <f ca="1">IF(AND(ISNUMBER($J$122),$B$113=1),$J$122,HLOOKUP(INDIRECT(ADDRESS(2,COLUMN())),OFFSET($AT$2,0,0,ROW()-1,40),ROW()-1,FALSE))</f>
        <v>837598</v>
      </c>
      <c r="K12">
        <f ca="1">IF(AND(ISNUMBER($K$122),$B$113=1),$K$122,HLOOKUP(INDIRECT(ADDRESS(2,COLUMN())),OFFSET($AT$2,0,0,ROW()-1,40),ROW()-1,FALSE))</f>
        <v>769307</v>
      </c>
      <c r="L12">
        <f ca="1">IF(AND(ISNUMBER($L$122),$B$113=1),$L$122,HLOOKUP(INDIRECT(ADDRESS(2,COLUMN())),OFFSET($AT$2,0,0,ROW()-1,40),ROW()-1,FALSE))</f>
        <v>734087</v>
      </c>
      <c r="M12">
        <f ca="1">IF(AND(ISNUMBER($M$122),$B$113=1),$M$122,HLOOKUP(INDIRECT(ADDRESS(2,COLUMN())),OFFSET($AT$2,0,0,ROW()-1,40),ROW()-1,FALSE))</f>
        <v>727180</v>
      </c>
      <c r="N12">
        <f ca="1">IF(AND(ISNUMBER($N$122),$B$113=1),$N$122,HLOOKUP(INDIRECT(ADDRESS(2,COLUMN())),OFFSET($AT$2,0,0,ROW()-1,40),ROW()-1,FALSE))</f>
        <v>693423</v>
      </c>
      <c r="O12">
        <f ca="1">IF(AND(ISNUMBER($O$122),$B$113=1),$O$122,HLOOKUP(INDIRECT(ADDRESS(2,COLUMN())),OFFSET($AT$2,0,0,ROW()-1,40),ROW()-1,FALSE))</f>
        <v>632765</v>
      </c>
      <c r="P12">
        <f ca="1">IF(AND(ISNUMBER($P$122),$B$113=1),$P$122,HLOOKUP(INDIRECT(ADDRESS(2,COLUMN())),OFFSET($AT$2,0,0,ROW()-1,40),ROW()-1,FALSE))</f>
        <v>579106</v>
      </c>
      <c r="Q12">
        <f ca="1">IF(AND(ISNUMBER($Q$122),$B$113=1),$Q$122,HLOOKUP(INDIRECT(ADDRESS(2,COLUMN())),OFFSET($AT$2,0,0,ROW()-1,40),ROW()-1,FALSE))</f>
        <v>574401</v>
      </c>
      <c r="R12">
        <f ca="1">IF(AND(ISNUMBER($R$122),$B$113=1),$R$122,HLOOKUP(INDIRECT(ADDRESS(2,COLUMN())),OFFSET($AT$2,0,0,ROW()-1,40),ROW()-1,FALSE))</f>
        <v>535688</v>
      </c>
      <c r="S12">
        <f ca="1">IF(AND(ISNUMBER($S$122),$B$113=1),$S$122,HLOOKUP(INDIRECT(ADDRESS(2,COLUMN())),OFFSET($AT$2,0,0,ROW()-1,40),ROW()-1,FALSE))</f>
        <v>556930</v>
      </c>
      <c r="T12">
        <f ca="1">IF(AND(ISNUMBER($T$122),$B$113=1),$T$122,HLOOKUP(INDIRECT(ADDRESS(2,COLUMN())),OFFSET($AT$2,0,0,ROW()-1,40),ROW()-1,FALSE))</f>
        <v>651003</v>
      </c>
      <c r="U12">
        <f ca="1">IF(AND(ISNUMBER($U$122),$B$113=1),$U$122,HLOOKUP(INDIRECT(ADDRESS(2,COLUMN())),OFFSET($AT$2,0,0,ROW()-1,40),ROW()-1,FALSE))</f>
        <v>710690</v>
      </c>
      <c r="V12">
        <f ca="1">IF(AND(ISNUMBER($V$122),$B$113=1),$V$122,HLOOKUP(INDIRECT(ADDRESS(2,COLUMN())),OFFSET($AT$2,0,0,ROW()-1,40),ROW()-1,FALSE))</f>
        <v>651884</v>
      </c>
      <c r="W12">
        <f ca="1">IF(AND(ISNUMBER($W$122),$B$113=1),$W$122,HLOOKUP(INDIRECT(ADDRESS(2,COLUMN())),OFFSET($AT$2,0,0,ROW()-1,40),ROW()-1,FALSE))</f>
        <v>547409</v>
      </c>
      <c r="X12">
        <f ca="1">IF(AND(ISNUMBER($X$122),$B$113=1),$X$122,HLOOKUP(INDIRECT(ADDRESS(2,COLUMN())),OFFSET($AT$2,0,0,ROW()-1,40),ROW()-1,FALSE))</f>
        <v>486630</v>
      </c>
      <c r="Y12">
        <f ca="1">IF(AND(ISNUMBER($Y$122),$B$113=1),$Y$122,HLOOKUP(INDIRECT(ADDRESS(2,COLUMN())),OFFSET($AT$2,0,0,ROW()-1,40),ROW()-1,FALSE))</f>
        <v>452948</v>
      </c>
      <c r="Z12">
        <f ca="1">IF(AND(ISNUMBER($Z$122),$B$113=1),$Z$122,HLOOKUP(INDIRECT(ADDRESS(2,COLUMN())),OFFSET($AT$2,0,0,ROW()-1,40),ROW()-1,FALSE))</f>
        <v>440246</v>
      </c>
      <c r="AA12">
        <f ca="1">IF(AND(ISNUMBER($AA$122),$B$113=1),$AA$122,HLOOKUP(INDIRECT(ADDRESS(2,COLUMN())),OFFSET($AT$2,0,0,ROW()-1,40),ROW()-1,FALSE))</f>
        <v>445915</v>
      </c>
      <c r="AB12">
        <f ca="1">IF(AND(ISNUMBER($AB$122),$B$113=1),$AB$122,HLOOKUP(INDIRECT(ADDRESS(2,COLUMN())),OFFSET($AT$2,0,0,ROW()-1,40),ROW()-1,FALSE))</f>
        <v>0</v>
      </c>
      <c r="AC12">
        <f ca="1">IF(AND(ISNUMBER($AC$122),$B$113=1),$AC$122,HLOOKUP(INDIRECT(ADDRESS(2,COLUMN())),OFFSET($AT$2,0,0,ROW()-1,40),ROW()-1,FALSE))</f>
        <v>0</v>
      </c>
      <c r="AD12">
        <f ca="1">IF(AND(ISNUMBER($AD$122),$B$113=1),$AD$122,HLOOKUP(INDIRECT(ADDRESS(2,COLUMN())),OFFSET($AT$2,0,0,ROW()-1,40),ROW()-1,FALSE))</f>
        <v>0</v>
      </c>
      <c r="AE12">
        <f ca="1">IF(AND(ISNUMBER($AE$122),$B$113=1),$AE$122,HLOOKUP(INDIRECT(ADDRESS(2,COLUMN())),OFFSET($AT$2,0,0,ROW()-1,40),ROW()-1,FALSE))</f>
        <v>0</v>
      </c>
      <c r="AF12">
        <f ca="1">IF(AND(ISNUMBER($AF$122),$B$113=1),$AF$122,HLOOKUP(INDIRECT(ADDRESS(2,COLUMN())),OFFSET($AT$2,0,0,ROW()-1,40),ROW()-1,FALSE))</f>
        <v>0</v>
      </c>
      <c r="AG12">
        <f ca="1">IF(AND(ISNUMBER($AG$122),$B$113=1),$AG$122,HLOOKUP(INDIRECT(ADDRESS(2,COLUMN())),OFFSET($AT$2,0,0,ROW()-1,40),ROW()-1,FALSE))</f>
        <v>0</v>
      </c>
      <c r="AH12">
        <f ca="1">IF(AND(ISNUMBER($AH$122),$B$113=1),$AH$122,HLOOKUP(INDIRECT(ADDRESS(2,COLUMN())),OFFSET($AT$2,0,0,ROW()-1,40),ROW()-1,FALSE))</f>
        <v>0</v>
      </c>
      <c r="AI12">
        <f ca="1">IF(AND(ISNUMBER($AI$122),$B$113=1),$AI$122,HLOOKUP(INDIRECT(ADDRESS(2,COLUMN())),OFFSET($AT$2,0,0,ROW()-1,40),ROW()-1,FALSE))</f>
        <v>0</v>
      </c>
      <c r="AJ12">
        <f ca="1">IF(AND(ISNUMBER($AJ$122),$B$113=1),$AJ$122,HLOOKUP(INDIRECT(ADDRESS(2,COLUMN())),OFFSET($AT$2,0,0,ROW()-1,40),ROW()-1,FALSE))</f>
        <v>0</v>
      </c>
      <c r="AK12" t="str">
        <f ca="1">IF(AND(ISNUMBER($AK$122),$B$113=1),$AK$122,HLOOKUP(INDIRECT(ADDRESS(2,COLUMN())),OFFSET($AT$2,0,0,ROW()-1,40),ROW()-1,FALSE))</f>
        <v/>
      </c>
      <c r="AL12" t="str">
        <f ca="1">IF(AND(ISNUMBER($AL$122),$B$113=1),$AL$122,HLOOKUP(INDIRECT(ADDRESS(2,COLUMN())),OFFSET($AT$2,0,0,ROW()-1,40),ROW()-1,FALSE))</f>
        <v/>
      </c>
      <c r="AM12" t="str">
        <f ca="1">IF(AND(ISNUMBER($AM$122),$B$113=1),$AM$122,HLOOKUP(INDIRECT(ADDRESS(2,COLUMN())),OFFSET($AT$2,0,0,ROW()-1,40),ROW()-1,FALSE))</f>
        <v/>
      </c>
      <c r="AN12" t="str">
        <f ca="1">IF(AND(ISNUMBER($AN$122),$B$113=1),$AN$122,HLOOKUP(INDIRECT(ADDRESS(2,COLUMN())),OFFSET($AT$2,0,0,ROW()-1,40),ROW()-1,FALSE))</f>
        <v/>
      </c>
      <c r="AO12" t="str">
        <f ca="1">IF(AND(ISNUMBER($AO$122),$B$113=1),$AO$122,HLOOKUP(INDIRECT(ADDRESS(2,COLUMN())),OFFSET($AT$2,0,0,ROW()-1,40),ROW()-1,FALSE))</f>
        <v/>
      </c>
      <c r="AP12" t="str">
        <f ca="1">IF(AND(ISNUMBER($AP$122),$B$113=1),$AP$122,HLOOKUP(INDIRECT(ADDRESS(2,COLUMN())),OFFSET($AT$2,0,0,ROW()-1,40),ROW()-1,FALSE))</f>
        <v/>
      </c>
      <c r="AQ12" t="str">
        <f ca="1">IF(AND(ISNUMBER($AQ$122),$B$113=1),$AQ$122,HLOOKUP(INDIRECT(ADDRESS(2,COLUMN())),OFFSET($AT$2,0,0,ROW()-1,40),ROW()-1,FALSE))</f>
        <v/>
      </c>
      <c r="AR12" t="str">
        <f ca="1">IF(AND(ISNUMBER($AR$122),$B$113=1),$AR$122,HLOOKUP(INDIRECT(ADDRESS(2,COLUMN())),OFFSET($AT$2,0,0,ROW()-1,40),ROW()-1,FALSE))</f>
        <v/>
      </c>
      <c r="AS12" t="str">
        <f ca="1">IF(AND(ISNUMBER($AS$122),$B$113=1),$AS$122,HLOOKUP(INDIRECT(ADDRESS(2,COLUMN())),OFFSET($AT$2,0,0,ROW()-1,40),ROW()-1,FALSE))</f>
        <v/>
      </c>
      <c r="AT12">
        <f>807670</f>
        <v>807670</v>
      </c>
      <c r="AU12">
        <f>921236</f>
        <v>921236</v>
      </c>
      <c r="AV12">
        <f>844409</f>
        <v>844409</v>
      </c>
      <c r="AW12">
        <f>855313</f>
        <v>855313</v>
      </c>
      <c r="AX12">
        <f>837598</f>
        <v>837598</v>
      </c>
      <c r="AY12">
        <f>769307</f>
        <v>769307</v>
      </c>
      <c r="AZ12">
        <f>734087</f>
        <v>734087</v>
      </c>
      <c r="BA12">
        <f>727180</f>
        <v>727180</v>
      </c>
      <c r="BB12">
        <f>693423</f>
        <v>693423</v>
      </c>
      <c r="BC12">
        <f>632765</f>
        <v>632765</v>
      </c>
      <c r="BD12">
        <f>579106</f>
        <v>579106</v>
      </c>
      <c r="BE12">
        <f>574401</f>
        <v>574401</v>
      </c>
      <c r="BF12">
        <f>535688</f>
        <v>535688</v>
      </c>
      <c r="BG12">
        <f>556930</f>
        <v>556930</v>
      </c>
      <c r="BH12">
        <f>651003</f>
        <v>651003</v>
      </c>
      <c r="BI12">
        <f>710690</f>
        <v>710690</v>
      </c>
      <c r="BJ12">
        <f>651884</f>
        <v>651884</v>
      </c>
      <c r="BK12">
        <f>547409</f>
        <v>547409</v>
      </c>
      <c r="BL12">
        <f>486630</f>
        <v>486630</v>
      </c>
      <c r="BM12">
        <f>452948</f>
        <v>452948</v>
      </c>
      <c r="BN12">
        <f>440246</f>
        <v>440246</v>
      </c>
      <c r="BO12">
        <f>445915</f>
        <v>445915</v>
      </c>
      <c r="BP12">
        <f>0</f>
        <v>0</v>
      </c>
      <c r="BQ12">
        <f>0</f>
        <v>0</v>
      </c>
      <c r="BR12">
        <f>0</f>
        <v>0</v>
      </c>
      <c r="BS12">
        <f>0</f>
        <v>0</v>
      </c>
      <c r="BT12">
        <f>0</f>
        <v>0</v>
      </c>
      <c r="BU12">
        <f>0</f>
        <v>0</v>
      </c>
      <c r="BV12">
        <f>0</f>
        <v>0</v>
      </c>
      <c r="BW12">
        <f>0</f>
        <v>0</v>
      </c>
      <c r="BX12">
        <f>0</f>
        <v>0</v>
      </c>
      <c r="BY12" t="str">
        <f>""</f>
        <v/>
      </c>
      <c r="BZ12" t="str">
        <f>""</f>
        <v/>
      </c>
      <c r="CA12" t="str">
        <f>""</f>
        <v/>
      </c>
      <c r="CB12" t="str">
        <f>""</f>
        <v/>
      </c>
      <c r="CC12" t="str">
        <f>""</f>
        <v/>
      </c>
      <c r="CD12" t="str">
        <f>""</f>
        <v/>
      </c>
      <c r="CE12" t="str">
        <f>""</f>
        <v/>
      </c>
      <c r="CF12" t="str">
        <f>""</f>
        <v/>
      </c>
      <c r="CG12" t="str">
        <f>""</f>
        <v/>
      </c>
    </row>
    <row r="13" spans="1:85" x14ac:dyDescent="0.2">
      <c r="A13" t="str">
        <f>"    U.S. Total Private Construction Spending (NSA)"</f>
        <v xml:space="preserve">    U.S. Total Private Construction Spending (NSA)</v>
      </c>
      <c r="B13" t="str">
        <f>"CNNSPRTO Index"</f>
        <v>CNNSPRTO Index</v>
      </c>
      <c r="C13" t="str">
        <f t="shared" si="3"/>
        <v>PX385</v>
      </c>
      <c r="D13" t="str">
        <f t="shared" si="4"/>
        <v>INTERVAL_SUM</v>
      </c>
      <c r="E13" t="str">
        <f t="shared" si="5"/>
        <v>Dynamic</v>
      </c>
      <c r="F13">
        <f ca="1">IF(AND(ISNUMBER($F$123),$B$113=1),$F$123,HLOOKUP(INDIRECT(ADDRESS(2,COLUMN())),OFFSET($AT$2,0,0,ROW()-1,40),ROW()-1,FALSE))</f>
        <v>1142057</v>
      </c>
      <c r="G13">
        <f ca="1">IF(AND(ISNUMBER($G$123),$B$113=1),$G$123,HLOOKUP(INDIRECT(ADDRESS(2,COLUMN())),OFFSET($AT$2,0,0,ROW()-1,40),ROW()-1,FALSE))</f>
        <v>1472362</v>
      </c>
      <c r="H13">
        <f ca="1">IF(AND(ISNUMBER($H$123),$B$113=1),$H$123,HLOOKUP(INDIRECT(ADDRESS(2,COLUMN())),OFFSET($AT$2,0,0,ROW()-1,40),ROW()-1,FALSE))</f>
        <v>1295753</v>
      </c>
      <c r="I13">
        <f ca="1">IF(AND(ISNUMBER($I$123),$B$113=1),$I$123,HLOOKUP(INDIRECT(ADDRESS(2,COLUMN())),OFFSET($AT$2,0,0,ROW()-1,40),ROW()-1,FALSE))</f>
        <v>1130370</v>
      </c>
      <c r="J13">
        <f ca="1">IF(AND(ISNUMBER($J$123),$B$113=1),$J$123,HLOOKUP(INDIRECT(ADDRESS(2,COLUMN())),OFFSET($AT$2,0,0,ROW()-1,40),ROW()-1,FALSE))</f>
        <v>1046693</v>
      </c>
      <c r="K13">
        <f ca="1">IF(AND(ISNUMBER($K$123),$B$113=1),$K$123,HLOOKUP(INDIRECT(ADDRESS(2,COLUMN())),OFFSET($AT$2,0,0,ROW()-1,40),ROW()-1,FALSE))</f>
        <v>1023016</v>
      </c>
      <c r="L13">
        <f ca="1">IF(AND(ISNUMBER($L$123),$B$113=1),$L$123,HLOOKUP(INDIRECT(ADDRESS(2,COLUMN())),OFFSET($AT$2,0,0,ROW()-1,40),ROW()-1,FALSE))</f>
        <v>983304</v>
      </c>
      <c r="M13">
        <f ca="1">IF(AND(ISNUMBER($M$123),$B$113=1),$M$123,HLOOKUP(INDIRECT(ADDRESS(2,COLUMN())),OFFSET($AT$2,0,0,ROW()-1,40),ROW()-1,FALSE))</f>
        <v>916172</v>
      </c>
      <c r="N13">
        <f ca="1">IF(AND(ISNUMBER($N$123),$B$113=1),$N$123,HLOOKUP(INDIRECT(ADDRESS(2,COLUMN())),OFFSET($AT$2,0,0,ROW()-1,40),ROW()-1,FALSE))</f>
        <v>838348</v>
      </c>
      <c r="O13">
        <f ca="1">IF(AND(ISNUMBER($O$123),$B$113=1),$O$123,HLOOKUP(INDIRECT(ADDRESS(2,COLUMN())),OFFSET($AT$2,0,0,ROW()-1,40),ROW()-1,FALSE))</f>
        <v>739164</v>
      </c>
      <c r="P13">
        <f ca="1">IF(AND(ISNUMBER($P$123),$B$113=1),$P$123,HLOOKUP(INDIRECT(ADDRESS(2,COLUMN())),OFFSET($AT$2,0,0,ROW()-1,40),ROW()-1,FALSE))</f>
        <v>643901</v>
      </c>
      <c r="Q13">
        <f ca="1">IF(AND(ISNUMBER($Q$123),$B$113=1),$Q$123,HLOOKUP(INDIRECT(ADDRESS(2,COLUMN())),OFFSET($AT$2,0,0,ROW()-1,40),ROW()-1,FALSE))</f>
        <v>575092</v>
      </c>
      <c r="R13">
        <f ca="1">IF(AND(ISNUMBER($R$123),$B$113=1),$R$123,HLOOKUP(INDIRECT(ADDRESS(2,COLUMN())),OFFSET($AT$2,0,0,ROW()-1,40),ROW()-1,FALSE))</f>
        <v>504830</v>
      </c>
      <c r="S13">
        <f ca="1">IF(AND(ISNUMBER($S$123),$B$113=1),$S$123,HLOOKUP(INDIRECT(ADDRESS(2,COLUMN())),OFFSET($AT$2,0,0,ROW()-1,40),ROW()-1,FALSE))</f>
        <v>508998</v>
      </c>
      <c r="T13">
        <f ca="1">IF(AND(ISNUMBER($T$123),$B$113=1),$T$123,HLOOKUP(INDIRECT(ADDRESS(2,COLUMN())),OFFSET($AT$2,0,0,ROW()-1,40),ROW()-1,FALSE))</f>
        <v>596871</v>
      </c>
      <c r="U13">
        <f ca="1">IF(AND(ISNUMBER($U$123),$B$113=1),$U$123,HLOOKUP(INDIRECT(ADDRESS(2,COLUMN())),OFFSET($AT$2,0,0,ROW()-1,40),ROW()-1,FALSE))</f>
        <v>768613</v>
      </c>
      <c r="V13">
        <f ca="1">IF(AND(ISNUMBER($V$123),$B$113=1),$V$123,HLOOKUP(INDIRECT(ADDRESS(2,COLUMN())),OFFSET($AT$2,0,0,ROW()-1,40),ROW()-1,FALSE))</f>
        <v>858878</v>
      </c>
      <c r="W13">
        <f ca="1">IF(AND(ISNUMBER($W$123),$B$113=1),$W$123,HLOOKUP(INDIRECT(ADDRESS(2,COLUMN())),OFFSET($AT$2,0,0,ROW()-1,40),ROW()-1,FALSE))</f>
        <v>905897</v>
      </c>
      <c r="X13">
        <f ca="1">IF(AND(ISNUMBER($X$123),$B$113=1),$X$123,HLOOKUP(INDIRECT(ADDRESS(2,COLUMN())),OFFSET($AT$2,0,0,ROW()-1,40),ROW()-1,FALSE))</f>
        <v>882653</v>
      </c>
      <c r="Y13">
        <f ca="1">IF(AND(ISNUMBER($Y$123),$B$113=1),$Y$123,HLOOKUP(INDIRECT(ADDRESS(2,COLUMN())),OFFSET($AT$2,0,0,ROW()-1,40),ROW()-1,FALSE))</f>
        <v>771175</v>
      </c>
      <c r="Z13">
        <f ca="1">IF(AND(ISNUMBER($Z$123),$B$113=1),$Z$123,HLOOKUP(INDIRECT(ADDRESS(2,COLUMN())),OFFSET($AT$2,0,0,ROW()-1,40),ROW()-1,FALSE))</f>
        <v>675375</v>
      </c>
      <c r="AA13">
        <f ca="1">IF(AND(ISNUMBER($AA$123),$B$113=1),$AA$123,HLOOKUP(INDIRECT(ADDRESS(2,COLUMN())),OFFSET($AT$2,0,0,ROW()-1,40),ROW()-1,FALSE))</f>
        <v>634439</v>
      </c>
      <c r="AB13">
        <f ca="1">IF(AND(ISNUMBER($AB$123),$B$113=1),$AB$123,HLOOKUP(INDIRECT(ADDRESS(2,COLUMN())),OFFSET($AT$2,0,0,ROW()-1,40),ROW()-1,FALSE))</f>
        <v>638336</v>
      </c>
      <c r="AC13">
        <f ca="1">IF(AND(ISNUMBER($AC$123),$B$113=1),$AC$123,HLOOKUP(INDIRECT(ADDRESS(2,COLUMN())),OFFSET($AT$2,0,0,ROW()-1,40),ROW()-1,FALSE))</f>
        <v>621432</v>
      </c>
      <c r="AD13">
        <f ca="1">IF(AND(ISNUMBER($AD$123),$B$113=1),$AD$123,HLOOKUP(INDIRECT(ADDRESS(2,COLUMN())),OFFSET($AT$2,0,0,ROW()-1,40),ROW()-1,FALSE))</f>
        <v>575470</v>
      </c>
      <c r="AE13">
        <f ca="1">IF(AND(ISNUMBER($AE$123),$B$113=1),$AE$123,HLOOKUP(INDIRECT(ADDRESS(2,COLUMN())),OFFSET($AT$2,0,0,ROW()-1,40),ROW()-1,FALSE))</f>
        <v>533741</v>
      </c>
      <c r="AF13">
        <f ca="1">IF(AND(ISNUMBER($AF$123),$B$113=1),$AF$123,HLOOKUP(INDIRECT(ADDRESS(2,COLUMN())),OFFSET($AT$2,0,0,ROW()-1,40),ROW()-1,FALSE))</f>
        <v>478412</v>
      </c>
      <c r="AG13">
        <f ca="1">IF(AND(ISNUMBER($AG$123),$B$113=1),$AG$123,HLOOKUP(INDIRECT(ADDRESS(2,COLUMN())),OFFSET($AT$2,0,0,ROW()-1,40),ROW()-1,FALSE))</f>
        <v>453020</v>
      </c>
      <c r="AH13">
        <f ca="1">IF(AND(ISNUMBER($AH$123),$B$113=1),$AH$123,HLOOKUP(INDIRECT(ADDRESS(2,COLUMN())),OFFSET($AT$2,0,0,ROW()-1,40),ROW()-1,FALSE))</f>
        <v>408656</v>
      </c>
      <c r="AI13">
        <f ca="1">IF(AND(ISNUMBER($AI$123),$B$113=1),$AI$123,HLOOKUP(INDIRECT(ADDRESS(2,COLUMN())),OFFSET($AT$2,0,0,ROW()-1,40),ROW()-1,FALSE))</f>
        <v>401469</v>
      </c>
      <c r="AJ13">
        <f ca="1">IF(AND(ISNUMBER($AJ$123),$B$113=1),$AJ$123,HLOOKUP(INDIRECT(ADDRESS(2,COLUMN())),OFFSET($AT$2,0,0,ROW()-1,40),ROW()-1,FALSE))</f>
        <v>358187</v>
      </c>
      <c r="AK13">
        <f ca="1">IF(AND(ISNUMBER($AK$123),$B$113=1),$AK$123,HLOOKUP(INDIRECT(ADDRESS(2,COLUMN())),OFFSET($AT$2,0,0,ROW()-1,40),ROW()-1,FALSE))</f>
        <v>347815</v>
      </c>
      <c r="AL13">
        <f ca="1">IF(AND(ISNUMBER($AL$123),$B$113=1),$AL$123,HLOOKUP(INDIRECT(ADDRESS(2,COLUMN())),OFFSET($AT$2,0,0,ROW()-1,40),ROW()-1,FALSE))</f>
        <v>322482</v>
      </c>
      <c r="AM13">
        <f ca="1">IF(AND(ISNUMBER($AM$123),$B$113=1),$AM$123,HLOOKUP(INDIRECT(ADDRESS(2,COLUMN())),OFFSET($AT$2,0,0,ROW()-1,40),ROW()-1,FALSE))</f>
        <v>369300</v>
      </c>
      <c r="AN13">
        <f ca="1">IF(AND(ISNUMBER($AN$123),$B$113=1),$AN$123,HLOOKUP(INDIRECT(ADDRESS(2,COLUMN())),OFFSET($AT$2,0,0,ROW()-1,40),ROW()-1,FALSE))</f>
        <v>379328</v>
      </c>
      <c r="AO13">
        <f ca="1">IF(AND(ISNUMBER($AO$123),$B$113=1),$AO$123,HLOOKUP(INDIRECT(ADDRESS(2,COLUMN())),OFFSET($AT$2,0,0,ROW()-1,40),ROW()-1,FALSE))</f>
        <v>367279</v>
      </c>
      <c r="AP13">
        <f ca="1">IF(AND(ISNUMBER($AP$123),$B$113=1),$AP$123,HLOOKUP(INDIRECT(ADDRESS(2,COLUMN())),OFFSET($AT$2,0,0,ROW()-1,40),ROW()-1,FALSE))</f>
        <v>355993</v>
      </c>
      <c r="AQ13">
        <f ca="1">IF(AND(ISNUMBER($AQ$123),$B$113=1),$AQ$123,HLOOKUP(INDIRECT(ADDRESS(2,COLUMN())),OFFSET($AT$2,0,0,ROW()-1,40),ROW()-1,FALSE))</f>
        <v>348872</v>
      </c>
      <c r="AR13">
        <f ca="1">IF(AND(ISNUMBER($AR$123),$B$113=1),$AR$123,HLOOKUP(INDIRECT(ADDRESS(2,COLUMN())),OFFSET($AT$2,0,0,ROW()-1,40),ROW()-1,FALSE))</f>
        <v>325603</v>
      </c>
      <c r="AS13">
        <f ca="1">IF(AND(ISNUMBER($AS$123),$B$113=1),$AS$123,HLOOKUP(INDIRECT(ADDRESS(2,COLUMN())),OFFSET($AT$2,0,0,ROW()-1,40),ROW()-1,FALSE))</f>
        <v>299953</v>
      </c>
      <c r="AT13">
        <f>1142057</f>
        <v>1142057</v>
      </c>
      <c r="AU13">
        <f>1472362</f>
        <v>1472362</v>
      </c>
      <c r="AV13">
        <f>1295753</f>
        <v>1295753</v>
      </c>
      <c r="AW13">
        <f>1130370</f>
        <v>1130370</v>
      </c>
      <c r="AX13">
        <f>1046693</f>
        <v>1046693</v>
      </c>
      <c r="AY13">
        <f>1023016</f>
        <v>1023016</v>
      </c>
      <c r="AZ13">
        <f>983304</f>
        <v>983304</v>
      </c>
      <c r="BA13">
        <f>916172</f>
        <v>916172</v>
      </c>
      <c r="BB13">
        <f>838348</f>
        <v>838348</v>
      </c>
      <c r="BC13">
        <f>739164</f>
        <v>739164</v>
      </c>
      <c r="BD13">
        <f>643901</f>
        <v>643901</v>
      </c>
      <c r="BE13">
        <f>575092</f>
        <v>575092</v>
      </c>
      <c r="BF13">
        <f>504830</f>
        <v>504830</v>
      </c>
      <c r="BG13">
        <f>508998</f>
        <v>508998</v>
      </c>
      <c r="BH13">
        <f>596871</f>
        <v>596871</v>
      </c>
      <c r="BI13">
        <f>768613</f>
        <v>768613</v>
      </c>
      <c r="BJ13">
        <f>858878</f>
        <v>858878</v>
      </c>
      <c r="BK13">
        <f>905897</f>
        <v>905897</v>
      </c>
      <c r="BL13">
        <f>882653</f>
        <v>882653</v>
      </c>
      <c r="BM13">
        <f>771175</f>
        <v>771175</v>
      </c>
      <c r="BN13">
        <f>675375</f>
        <v>675375</v>
      </c>
      <c r="BO13">
        <f>634439</f>
        <v>634439</v>
      </c>
      <c r="BP13">
        <f>638336</f>
        <v>638336</v>
      </c>
      <c r="BQ13">
        <f>621432</f>
        <v>621432</v>
      </c>
      <c r="BR13">
        <f>575470</f>
        <v>575470</v>
      </c>
      <c r="BS13">
        <f>533741</f>
        <v>533741</v>
      </c>
      <c r="BT13">
        <f>478412</f>
        <v>478412</v>
      </c>
      <c r="BU13">
        <f>453020</f>
        <v>453020</v>
      </c>
      <c r="BV13">
        <f>408656</f>
        <v>408656</v>
      </c>
      <c r="BW13">
        <f>401469</f>
        <v>401469</v>
      </c>
      <c r="BX13">
        <f>358187</f>
        <v>358187</v>
      </c>
      <c r="BY13">
        <f>347815</f>
        <v>347815</v>
      </c>
      <c r="BZ13">
        <f>322482</f>
        <v>322482</v>
      </c>
      <c r="CA13">
        <f>369300</f>
        <v>369300</v>
      </c>
      <c r="CB13">
        <f>379328</f>
        <v>379328</v>
      </c>
      <c r="CC13">
        <f>367279</f>
        <v>367279</v>
      </c>
      <c r="CD13">
        <f>355993</f>
        <v>355993</v>
      </c>
      <c r="CE13">
        <f>348872</f>
        <v>348872</v>
      </c>
      <c r="CF13">
        <f>325603</f>
        <v>325603</v>
      </c>
      <c r="CG13">
        <f>299953</f>
        <v>299953</v>
      </c>
    </row>
    <row r="14" spans="1:85" x14ac:dyDescent="0.2">
      <c r="A14" t="str">
        <f>"        U.S. Total Private Residential Construction Spending (NSA)"</f>
        <v xml:space="preserve">        U.S. Total Private Residential Construction Spending (NSA)</v>
      </c>
      <c r="B14" t="str">
        <f>"CNNSPRRE Index"</f>
        <v>CNNSPRRE Index</v>
      </c>
      <c r="C14" t="str">
        <f t="shared" si="3"/>
        <v>PX385</v>
      </c>
      <c r="D14" t="str">
        <f t="shared" si="4"/>
        <v>INTERVAL_SUM</v>
      </c>
      <c r="E14" t="str">
        <f t="shared" si="5"/>
        <v>Dynamic</v>
      </c>
      <c r="F14">
        <f ca="1">IF(AND(ISNUMBER($F$124),$B$113=1),$F$124,HLOOKUP(INDIRECT(ADDRESS(2,COLUMN())),OFFSET($AT$2,0,0,ROW()-1,40),ROW()-1,FALSE))</f>
        <v>648244</v>
      </c>
      <c r="G14">
        <f ca="1">IF(AND(ISNUMBER($G$124),$B$113=1),$G$124,HLOOKUP(INDIRECT(ADDRESS(2,COLUMN())),OFFSET($AT$2,0,0,ROW()-1,40),ROW()-1,FALSE))</f>
        <v>917907</v>
      </c>
      <c r="H14">
        <f ca="1">IF(AND(ISNUMBER($H$124),$B$113=1),$H$124,HLOOKUP(INDIRECT(ADDRESS(2,COLUMN())),OFFSET($AT$2,0,0,ROW()-1,40),ROW()-1,FALSE))</f>
        <v>799201</v>
      </c>
      <c r="I14">
        <f ca="1">IF(AND(ISNUMBER($I$124),$B$113=1),$I$124,HLOOKUP(INDIRECT(ADDRESS(2,COLUMN())),OFFSET($AT$2,0,0,ROW()-1,40),ROW()-1,FALSE))</f>
        <v>634726</v>
      </c>
      <c r="J14">
        <f ca="1">IF(AND(ISNUMBER($J$124),$B$113=1),$J$124,HLOOKUP(INDIRECT(ADDRESS(2,COLUMN())),OFFSET($AT$2,0,0,ROW()-1,40),ROW()-1,FALSE))</f>
        <v>546554</v>
      </c>
      <c r="K14">
        <f ca="1">IF(AND(ISNUMBER($K$124),$B$113=1),$K$124,HLOOKUP(INDIRECT(ADDRESS(2,COLUMN())),OFFSET($AT$2,0,0,ROW()-1,40),ROW()-1,FALSE))</f>
        <v>557559</v>
      </c>
      <c r="L14">
        <f ca="1">IF(AND(ISNUMBER($L$124),$B$113=1),$L$124,HLOOKUP(INDIRECT(ADDRESS(2,COLUMN())),OFFSET($AT$2,0,0,ROW()-1,40),ROW()-1,FALSE))</f>
        <v>539014</v>
      </c>
      <c r="M14">
        <f ca="1">IF(AND(ISNUMBER($M$124),$B$113=1),$M$124,HLOOKUP(INDIRECT(ADDRESS(2,COLUMN())),OFFSET($AT$2,0,0,ROW()-1,40),ROW()-1,FALSE))</f>
        <v>479415</v>
      </c>
      <c r="N14">
        <f ca="1">IF(AND(ISNUMBER($N$124),$B$113=1),$N$124,HLOOKUP(INDIRECT(ADDRESS(2,COLUMN())),OFFSET($AT$2,0,0,ROW()-1,40),ROW()-1,FALSE))</f>
        <v>431770</v>
      </c>
      <c r="O14">
        <f ca="1">IF(AND(ISNUMBER($O$124),$B$113=1),$O$124,HLOOKUP(INDIRECT(ADDRESS(2,COLUMN())),OFFSET($AT$2,0,0,ROW()-1,40),ROW()-1,FALSE))</f>
        <v>377461</v>
      </c>
      <c r="P14">
        <f ca="1">IF(AND(ISNUMBER($P$124),$B$113=1),$P$124,HLOOKUP(INDIRECT(ADDRESS(2,COLUMN())),OFFSET($AT$2,0,0,ROW()-1,40),ROW()-1,FALSE))</f>
        <v>329640</v>
      </c>
      <c r="Q14">
        <f ca="1">IF(AND(ISNUMBER($Q$124),$B$113=1),$Q$124,HLOOKUP(INDIRECT(ADDRESS(2,COLUMN())),OFFSET($AT$2,0,0,ROW()-1,40),ROW()-1,FALSE))</f>
        <v>273730</v>
      </c>
      <c r="R14">
        <f ca="1">IF(AND(ISNUMBER($R$124),$B$113=1),$R$124,HLOOKUP(INDIRECT(ADDRESS(2,COLUMN())),OFFSET($AT$2,0,0,ROW()-1,40),ROW()-1,FALSE))</f>
        <v>247028</v>
      </c>
      <c r="S14">
        <f ca="1">IF(AND(ISNUMBER($S$124),$B$113=1),$S$124,HLOOKUP(INDIRECT(ADDRESS(2,COLUMN())),OFFSET($AT$2,0,0,ROW()-1,40),ROW()-1,FALSE))</f>
        <v>245744</v>
      </c>
      <c r="T14">
        <f ca="1">IF(AND(ISNUMBER($T$124),$B$113=1),$T$124,HLOOKUP(INDIRECT(ADDRESS(2,COLUMN())),OFFSET($AT$2,0,0,ROW()-1,40),ROW()-1,FALSE))</f>
        <v>252751</v>
      </c>
      <c r="U14">
        <f ca="1">IF(AND(ISNUMBER($U$124),$B$113=1),$U$124,HLOOKUP(INDIRECT(ADDRESS(2,COLUMN())),OFFSET($AT$2,0,0,ROW()-1,40),ROW()-1,FALSE))</f>
        <v>359172</v>
      </c>
      <c r="V14">
        <f ca="1">IF(AND(ISNUMBER($V$124),$B$113=1),$V$124,HLOOKUP(INDIRECT(ADDRESS(2,COLUMN())),OFFSET($AT$2,0,0,ROW()-1,40),ROW()-1,FALSE))</f>
        <v>488847</v>
      </c>
      <c r="W14">
        <f ca="1">IF(AND(ISNUMBER($W$124),$B$113=1),$W$124,HLOOKUP(INDIRECT(ADDRESS(2,COLUMN())),OFFSET($AT$2,0,0,ROW()-1,40),ROW()-1,FALSE))</f>
        <v>607792</v>
      </c>
      <c r="X14">
        <f ca="1">IF(AND(ISNUMBER($X$124),$B$113=1),$X$124,HLOOKUP(INDIRECT(ADDRESS(2,COLUMN())),OFFSET($AT$2,0,0,ROW()-1,40),ROW()-1,FALSE))</f>
        <v>624574</v>
      </c>
      <c r="Y14">
        <f ca="1">IF(AND(ISNUMBER($Y$124),$B$113=1),$Y$124,HLOOKUP(INDIRECT(ADDRESS(2,COLUMN())),OFFSET($AT$2,0,0,ROW()-1,40),ROW()-1,FALSE))</f>
        <v>532903</v>
      </c>
      <c r="Z14">
        <f ca="1">IF(AND(ISNUMBER($Z$124),$B$113=1),$Z$124,HLOOKUP(INDIRECT(ADDRESS(2,COLUMN())),OFFSET($AT$2,0,0,ROW()-1,40),ROW()-1,FALSE))</f>
        <v>446039</v>
      </c>
      <c r="AA14">
        <f ca="1">IF(AND(ISNUMBER($AA$124),$B$113=1),$AA$124,HLOOKUP(INDIRECT(ADDRESS(2,COLUMN())),OFFSET($AT$2,0,0,ROW()-1,40),ROW()-1,FALSE))</f>
        <v>396698</v>
      </c>
      <c r="AB14">
        <f ca="1">IF(AND(ISNUMBER($AB$124),$B$113=1),$AB$124,HLOOKUP(INDIRECT(ADDRESS(2,COLUMN())),OFFSET($AT$2,0,0,ROW()-1,40),ROW()-1,FALSE))</f>
        <v>364413</v>
      </c>
      <c r="AC14">
        <f ca="1">IF(AND(ISNUMBER($AC$124),$B$113=1),$AC$124,HLOOKUP(INDIRECT(ADDRESS(2,COLUMN())),OFFSET($AT$2,0,0,ROW()-1,40),ROW()-1,FALSE))</f>
        <v>346139</v>
      </c>
      <c r="AD14">
        <f ca="1">IF(AND(ISNUMBER($AD$124),$B$113=1),$AD$124,HLOOKUP(INDIRECT(ADDRESS(2,COLUMN())),OFFSET($AT$2,0,0,ROW()-1,40),ROW()-1,FALSE))</f>
        <v>326301</v>
      </c>
      <c r="AE14">
        <f ca="1">IF(AND(ISNUMBER($AE$124),$B$113=1),$AE$124,HLOOKUP(INDIRECT(ADDRESS(2,COLUMN())),OFFSET($AT$2,0,0,ROW()-1,40),ROW()-1,FALSE))</f>
        <v>296345</v>
      </c>
      <c r="AF14">
        <f ca="1">IF(AND(ISNUMBER($AF$124),$B$113=1),$AF$124,HLOOKUP(INDIRECT(ADDRESS(2,COLUMN())),OFFSET($AT$2,0,0,ROW()-1,40),ROW()-1,FALSE))</f>
        <v>264696</v>
      </c>
      <c r="AG14">
        <f ca="1">IF(AND(ISNUMBER($AG$124),$B$113=1),$AG$124,HLOOKUP(INDIRECT(ADDRESS(2,COLUMN())),OFFSET($AT$2,0,0,ROW()-1,40),ROW()-1,FALSE))</f>
        <v>257496</v>
      </c>
      <c r="AH14">
        <f ca="1">IF(AND(ISNUMBER($AH$124),$B$113=1),$AH$124,HLOOKUP(INDIRECT(ADDRESS(2,COLUMN())),OFFSET($AT$2,0,0,ROW()-1,40),ROW()-1,FALSE))</f>
        <v>228123</v>
      </c>
      <c r="AI14">
        <f ca="1">IF(AND(ISNUMBER($AI$124),$B$113=1),$AI$124,HLOOKUP(INDIRECT(ADDRESS(2,COLUMN())),OFFSET($AT$2,0,0,ROW()-1,40),ROW()-1,FALSE))</f>
        <v>241033</v>
      </c>
      <c r="AJ14">
        <f ca="1">IF(AND(ISNUMBER($AJ$124),$B$113=1),$AJ$124,HLOOKUP(INDIRECT(ADDRESS(2,COLUMN())),OFFSET($AT$2,0,0,ROW()-1,40),ROW()-1,FALSE))</f>
        <v>208181</v>
      </c>
      <c r="AK14" t="str">
        <f ca="1">IF(AND(ISNUMBER($AK$124),$B$113=1),$AK$124,HLOOKUP(INDIRECT(ADDRESS(2,COLUMN())),OFFSET($AT$2,0,0,ROW()-1,40),ROW()-1,FALSE))</f>
        <v/>
      </c>
      <c r="AL14" t="str">
        <f ca="1">IF(AND(ISNUMBER($AL$124),$B$113=1),$AL$124,HLOOKUP(INDIRECT(ADDRESS(2,COLUMN())),OFFSET($AT$2,0,0,ROW()-1,40),ROW()-1,FALSE))</f>
        <v/>
      </c>
      <c r="AM14" t="str">
        <f ca="1">IF(AND(ISNUMBER($AM$124),$B$113=1),$AM$124,HLOOKUP(INDIRECT(ADDRESS(2,COLUMN())),OFFSET($AT$2,0,0,ROW()-1,40),ROW()-1,FALSE))</f>
        <v/>
      </c>
      <c r="AN14" t="str">
        <f ca="1">IF(AND(ISNUMBER($AN$124),$B$113=1),$AN$124,HLOOKUP(INDIRECT(ADDRESS(2,COLUMN())),OFFSET($AT$2,0,0,ROW()-1,40),ROW()-1,FALSE))</f>
        <v/>
      </c>
      <c r="AO14" t="str">
        <f ca="1">IF(AND(ISNUMBER($AO$124),$B$113=1),$AO$124,HLOOKUP(INDIRECT(ADDRESS(2,COLUMN())),OFFSET($AT$2,0,0,ROW()-1,40),ROW()-1,FALSE))</f>
        <v/>
      </c>
      <c r="AP14" t="str">
        <f ca="1">IF(AND(ISNUMBER($AP$124),$B$113=1),$AP$124,HLOOKUP(INDIRECT(ADDRESS(2,COLUMN())),OFFSET($AT$2,0,0,ROW()-1,40),ROW()-1,FALSE))</f>
        <v/>
      </c>
      <c r="AQ14" t="str">
        <f ca="1">IF(AND(ISNUMBER($AQ$124),$B$113=1),$AQ$124,HLOOKUP(INDIRECT(ADDRESS(2,COLUMN())),OFFSET($AT$2,0,0,ROW()-1,40),ROW()-1,FALSE))</f>
        <v/>
      </c>
      <c r="AR14" t="str">
        <f ca="1">IF(AND(ISNUMBER($AR$124),$B$113=1),$AR$124,HLOOKUP(INDIRECT(ADDRESS(2,COLUMN())),OFFSET($AT$2,0,0,ROW()-1,40),ROW()-1,FALSE))</f>
        <v/>
      </c>
      <c r="AS14" t="str">
        <f ca="1">IF(AND(ISNUMBER($AS$124),$B$113=1),$AS$124,HLOOKUP(INDIRECT(ADDRESS(2,COLUMN())),OFFSET($AT$2,0,0,ROW()-1,40),ROW()-1,FALSE))</f>
        <v/>
      </c>
      <c r="AT14">
        <f>648244</f>
        <v>648244</v>
      </c>
      <c r="AU14">
        <f>917907</f>
        <v>917907</v>
      </c>
      <c r="AV14">
        <f>799201</f>
        <v>799201</v>
      </c>
      <c r="AW14">
        <f>634726</f>
        <v>634726</v>
      </c>
      <c r="AX14">
        <f>546554</f>
        <v>546554</v>
      </c>
      <c r="AY14">
        <f>557559</f>
        <v>557559</v>
      </c>
      <c r="AZ14">
        <f>539014</f>
        <v>539014</v>
      </c>
      <c r="BA14">
        <f>479415</f>
        <v>479415</v>
      </c>
      <c r="BB14">
        <f>431770</f>
        <v>431770</v>
      </c>
      <c r="BC14">
        <f>377461</f>
        <v>377461</v>
      </c>
      <c r="BD14">
        <f>329640</f>
        <v>329640</v>
      </c>
      <c r="BE14">
        <f>273730</f>
        <v>273730</v>
      </c>
      <c r="BF14">
        <f>247028</f>
        <v>247028</v>
      </c>
      <c r="BG14">
        <f>245744</f>
        <v>245744</v>
      </c>
      <c r="BH14">
        <f>252751</f>
        <v>252751</v>
      </c>
      <c r="BI14">
        <f>359172</f>
        <v>359172</v>
      </c>
      <c r="BJ14">
        <f>488847</f>
        <v>488847</v>
      </c>
      <c r="BK14">
        <f>607792</f>
        <v>607792</v>
      </c>
      <c r="BL14">
        <f>624574</f>
        <v>624574</v>
      </c>
      <c r="BM14">
        <f>532903</f>
        <v>532903</v>
      </c>
      <c r="BN14">
        <f>446039</f>
        <v>446039</v>
      </c>
      <c r="BO14">
        <f>396698</f>
        <v>396698</v>
      </c>
      <c r="BP14">
        <f>364413</f>
        <v>364413</v>
      </c>
      <c r="BQ14">
        <f>346139</f>
        <v>346139</v>
      </c>
      <c r="BR14">
        <f>326301</f>
        <v>326301</v>
      </c>
      <c r="BS14">
        <f>296345</f>
        <v>296345</v>
      </c>
      <c r="BT14">
        <f>264696</f>
        <v>264696</v>
      </c>
      <c r="BU14">
        <f>257496</f>
        <v>257496</v>
      </c>
      <c r="BV14">
        <f>228123</f>
        <v>228123</v>
      </c>
      <c r="BW14">
        <f>241033</f>
        <v>241033</v>
      </c>
      <c r="BX14">
        <f>208181</f>
        <v>208181</v>
      </c>
      <c r="BY14" t="str">
        <f>""</f>
        <v/>
      </c>
      <c r="BZ14" t="str">
        <f>""</f>
        <v/>
      </c>
      <c r="CA14" t="str">
        <f>""</f>
        <v/>
      </c>
      <c r="CB14" t="str">
        <f>""</f>
        <v/>
      </c>
      <c r="CC14" t="str">
        <f>""</f>
        <v/>
      </c>
      <c r="CD14" t="str">
        <f>""</f>
        <v/>
      </c>
      <c r="CE14" t="str">
        <f>""</f>
        <v/>
      </c>
      <c r="CF14" t="str">
        <f>""</f>
        <v/>
      </c>
      <c r="CG14" t="str">
        <f>""</f>
        <v/>
      </c>
    </row>
    <row r="15" spans="1:85" x14ac:dyDescent="0.2">
      <c r="A15" t="str">
        <f>"        U.S. Total Private Non-Res Construction Spending (NSA)"</f>
        <v xml:space="preserve">        U.S. Total Private Non-Res Construction Spending (NSA)</v>
      </c>
      <c r="B15" t="str">
        <f>"CNNSPRNR Index"</f>
        <v>CNNSPRNR Index</v>
      </c>
      <c r="C15" t="str">
        <f t="shared" si="3"/>
        <v>PX385</v>
      </c>
      <c r="D15" t="str">
        <f t="shared" si="4"/>
        <v>INTERVAL_SUM</v>
      </c>
      <c r="E15" t="str">
        <f t="shared" si="5"/>
        <v>Dynamic</v>
      </c>
      <c r="F15">
        <f ca="1">IF(AND(ISNUMBER($F$125),$B$113=1),$F$125,HLOOKUP(INDIRECT(ADDRESS(2,COLUMN())),OFFSET($AT$2,0,0,ROW()-1,40),ROW()-1,FALSE))</f>
        <v>493813</v>
      </c>
      <c r="G15">
        <f ca="1">IF(AND(ISNUMBER($G$125),$B$113=1),$G$125,HLOOKUP(INDIRECT(ADDRESS(2,COLUMN())),OFFSET($AT$2,0,0,ROW()-1,40),ROW()-1,FALSE))</f>
        <v>554455</v>
      </c>
      <c r="H15">
        <f ca="1">IF(AND(ISNUMBER($H$125),$B$113=1),$H$125,HLOOKUP(INDIRECT(ADDRESS(2,COLUMN())),OFFSET($AT$2,0,0,ROW()-1,40),ROW()-1,FALSE))</f>
        <v>496552</v>
      </c>
      <c r="I15">
        <f ca="1">IF(AND(ISNUMBER($I$125),$B$113=1),$I$125,HLOOKUP(INDIRECT(ADDRESS(2,COLUMN())),OFFSET($AT$2,0,0,ROW()-1,40),ROW()-1,FALSE))</f>
        <v>495644</v>
      </c>
      <c r="J15">
        <f ca="1">IF(AND(ISNUMBER($J$125),$B$113=1),$J$125,HLOOKUP(INDIRECT(ADDRESS(2,COLUMN())),OFFSET($AT$2,0,0,ROW()-1,40),ROW()-1,FALSE))</f>
        <v>500140</v>
      </c>
      <c r="K15">
        <f ca="1">IF(AND(ISNUMBER($K$125),$B$113=1),$K$125,HLOOKUP(INDIRECT(ADDRESS(2,COLUMN())),OFFSET($AT$2,0,0,ROW()-1,40),ROW()-1,FALSE))</f>
        <v>465458</v>
      </c>
      <c r="L15">
        <f ca="1">IF(AND(ISNUMBER($L$125),$B$113=1),$L$125,HLOOKUP(INDIRECT(ADDRESS(2,COLUMN())),OFFSET($AT$2,0,0,ROW()-1,40),ROW()-1,FALSE))</f>
        <v>444288</v>
      </c>
      <c r="M15">
        <f ca="1">IF(AND(ISNUMBER($M$125),$B$113=1),$M$125,HLOOKUP(INDIRECT(ADDRESS(2,COLUMN())),OFFSET($AT$2,0,0,ROW()-1,40),ROW()-1,FALSE))</f>
        <v>436756</v>
      </c>
      <c r="N15">
        <f ca="1">IF(AND(ISNUMBER($N$125),$B$113=1),$N$125,HLOOKUP(INDIRECT(ADDRESS(2,COLUMN())),OFFSET($AT$2,0,0,ROW()-1,40),ROW()-1,FALSE))</f>
        <v>406579</v>
      </c>
      <c r="O15">
        <f ca="1">IF(AND(ISNUMBER($O$125),$B$113=1),$O$125,HLOOKUP(INDIRECT(ADDRESS(2,COLUMN())),OFFSET($AT$2,0,0,ROW()-1,40),ROW()-1,FALSE))</f>
        <v>361706</v>
      </c>
      <c r="P15">
        <f ca="1">IF(AND(ISNUMBER($P$125),$B$113=1),$P$125,HLOOKUP(INDIRECT(ADDRESS(2,COLUMN())),OFFSET($AT$2,0,0,ROW()-1,40),ROW()-1,FALSE))</f>
        <v>314260</v>
      </c>
      <c r="Q15">
        <f ca="1">IF(AND(ISNUMBER($Q$125),$B$113=1),$Q$125,HLOOKUP(INDIRECT(ADDRESS(2,COLUMN())),OFFSET($AT$2,0,0,ROW()-1,40),ROW()-1,FALSE))</f>
        <v>301362</v>
      </c>
      <c r="R15">
        <f ca="1">IF(AND(ISNUMBER($R$125),$B$113=1),$R$125,HLOOKUP(INDIRECT(ADDRESS(2,COLUMN())),OFFSET($AT$2,0,0,ROW()-1,40),ROW()-1,FALSE))</f>
        <v>257805</v>
      </c>
      <c r="S15">
        <f ca="1">IF(AND(ISNUMBER($S$125),$B$113=1),$S$125,HLOOKUP(INDIRECT(ADDRESS(2,COLUMN())),OFFSET($AT$2,0,0,ROW()-1,40),ROW()-1,FALSE))</f>
        <v>263258</v>
      </c>
      <c r="T15">
        <f ca="1">IF(AND(ISNUMBER($T$125),$B$113=1),$T$125,HLOOKUP(INDIRECT(ADDRESS(2,COLUMN())),OFFSET($AT$2,0,0,ROW()-1,40),ROW()-1,FALSE))</f>
        <v>344122</v>
      </c>
      <c r="U15">
        <f ca="1">IF(AND(ISNUMBER($U$125),$B$113=1),$U$125,HLOOKUP(INDIRECT(ADDRESS(2,COLUMN())),OFFSET($AT$2,0,0,ROW()-1,40),ROW()-1,FALSE))</f>
        <v>409439</v>
      </c>
      <c r="V15">
        <f ca="1">IF(AND(ISNUMBER($V$125),$B$113=1),$V$125,HLOOKUP(INDIRECT(ADDRESS(2,COLUMN())),OFFSET($AT$2,0,0,ROW()-1,40),ROW()-1,FALSE))</f>
        <v>370033</v>
      </c>
      <c r="W15">
        <f ca="1">IF(AND(ISNUMBER($W$125),$B$113=1),$W$125,HLOOKUP(INDIRECT(ADDRESS(2,COLUMN())),OFFSET($AT$2,0,0,ROW()-1,40),ROW()-1,FALSE))</f>
        <v>298106</v>
      </c>
      <c r="X15">
        <f ca="1">IF(AND(ISNUMBER($X$125),$B$113=1),$X$125,HLOOKUP(INDIRECT(ADDRESS(2,COLUMN())),OFFSET($AT$2,0,0,ROW()-1,40),ROW()-1,FALSE))</f>
        <v>258078</v>
      </c>
      <c r="Y15">
        <f ca="1">IF(AND(ISNUMBER($Y$125),$B$113=1),$Y$125,HLOOKUP(INDIRECT(ADDRESS(2,COLUMN())),OFFSET($AT$2,0,0,ROW()-1,40),ROW()-1,FALSE))</f>
        <v>238274</v>
      </c>
      <c r="Z15">
        <f ca="1">IF(AND(ISNUMBER($Z$125),$B$113=1),$Z$125,HLOOKUP(INDIRECT(ADDRESS(2,COLUMN())),OFFSET($AT$2,0,0,ROW()-1,40),ROW()-1,FALSE))</f>
        <v>229336</v>
      </c>
      <c r="AA15">
        <f ca="1">IF(AND(ISNUMBER($AA$125),$B$113=1),$AA$125,HLOOKUP(INDIRECT(ADDRESS(2,COLUMN())),OFFSET($AT$2,0,0,ROW()-1,40),ROW()-1,FALSE))</f>
        <v>237741</v>
      </c>
      <c r="AB15">
        <f ca="1">IF(AND(ISNUMBER($AB$125),$B$113=1),$AB$125,HLOOKUP(INDIRECT(ADDRESS(2,COLUMN())),OFFSET($AT$2,0,0,ROW()-1,40),ROW()-1,FALSE))</f>
        <v>273923</v>
      </c>
      <c r="AC15">
        <f ca="1">IF(AND(ISNUMBER($AC$125),$B$113=1),$AC$125,HLOOKUP(INDIRECT(ADDRESS(2,COLUMN())),OFFSET($AT$2,0,0,ROW()-1,40),ROW()-1,FALSE))</f>
        <v>275293</v>
      </c>
      <c r="AD15">
        <f ca="1">IF(AND(ISNUMBER($AD$125),$B$113=1),$AD$125,HLOOKUP(INDIRECT(ADDRESS(2,COLUMN())),OFFSET($AT$2,0,0,ROW()-1,40),ROW()-1,FALSE))</f>
        <v>249169</v>
      </c>
      <c r="AE15">
        <f ca="1">IF(AND(ISNUMBER($AE$125),$B$113=1),$AE$125,HLOOKUP(INDIRECT(ADDRESS(2,COLUMN())),OFFSET($AT$2,0,0,ROW()-1,40),ROW()-1,FALSE))</f>
        <v>237396</v>
      </c>
      <c r="AF15">
        <f ca="1">IF(AND(ISNUMBER($AF$125),$B$113=1),$AF$125,HLOOKUP(INDIRECT(ADDRESS(2,COLUMN())),OFFSET($AT$2,0,0,ROW()-1,40),ROW()-1,FALSE))</f>
        <v>213716</v>
      </c>
      <c r="AG15">
        <f ca="1">IF(AND(ISNUMBER($AG$125),$B$113=1),$AG$125,HLOOKUP(INDIRECT(ADDRESS(2,COLUMN())),OFFSET($AT$2,0,0,ROW()-1,40),ROW()-1,FALSE))</f>
        <v>195524</v>
      </c>
      <c r="AH15">
        <f ca="1">IF(AND(ISNUMBER($AH$125),$B$113=1),$AH$125,HLOOKUP(INDIRECT(ADDRESS(2,COLUMN())),OFFSET($AT$2,0,0,ROW()-1,40),ROW()-1,FALSE))</f>
        <v>180533</v>
      </c>
      <c r="AI15">
        <f ca="1">IF(AND(ISNUMBER($AI$125),$B$113=1),$AI$125,HLOOKUP(INDIRECT(ADDRESS(2,COLUMN())),OFFSET($AT$2,0,0,ROW()-1,40),ROW()-1,FALSE))</f>
        <v>160436</v>
      </c>
      <c r="AJ15">
        <f ca="1">IF(AND(ISNUMBER($AJ$125),$B$113=1),$AJ$125,HLOOKUP(INDIRECT(ADDRESS(2,COLUMN())),OFFSET($AT$2,0,0,ROW()-1,40),ROW()-1,FALSE))</f>
        <v>150006</v>
      </c>
      <c r="AK15" t="str">
        <f ca="1">IF(AND(ISNUMBER($AK$125),$B$113=1),$AK$125,HLOOKUP(INDIRECT(ADDRESS(2,COLUMN())),OFFSET($AT$2,0,0,ROW()-1,40),ROW()-1,FALSE))</f>
        <v/>
      </c>
      <c r="AL15" t="str">
        <f ca="1">IF(AND(ISNUMBER($AL$125),$B$113=1),$AL$125,HLOOKUP(INDIRECT(ADDRESS(2,COLUMN())),OFFSET($AT$2,0,0,ROW()-1,40),ROW()-1,FALSE))</f>
        <v/>
      </c>
      <c r="AM15" t="str">
        <f ca="1">IF(AND(ISNUMBER($AM$125),$B$113=1),$AM$125,HLOOKUP(INDIRECT(ADDRESS(2,COLUMN())),OFFSET($AT$2,0,0,ROW()-1,40),ROW()-1,FALSE))</f>
        <v/>
      </c>
      <c r="AN15" t="str">
        <f ca="1">IF(AND(ISNUMBER($AN$125),$B$113=1),$AN$125,HLOOKUP(INDIRECT(ADDRESS(2,COLUMN())),OFFSET($AT$2,0,0,ROW()-1,40),ROW()-1,FALSE))</f>
        <v/>
      </c>
      <c r="AO15" t="str">
        <f ca="1">IF(AND(ISNUMBER($AO$125),$B$113=1),$AO$125,HLOOKUP(INDIRECT(ADDRESS(2,COLUMN())),OFFSET($AT$2,0,0,ROW()-1,40),ROW()-1,FALSE))</f>
        <v/>
      </c>
      <c r="AP15" t="str">
        <f ca="1">IF(AND(ISNUMBER($AP$125),$B$113=1),$AP$125,HLOOKUP(INDIRECT(ADDRESS(2,COLUMN())),OFFSET($AT$2,0,0,ROW()-1,40),ROW()-1,FALSE))</f>
        <v/>
      </c>
      <c r="AQ15" t="str">
        <f ca="1">IF(AND(ISNUMBER($AQ$125),$B$113=1),$AQ$125,HLOOKUP(INDIRECT(ADDRESS(2,COLUMN())),OFFSET($AT$2,0,0,ROW()-1,40),ROW()-1,FALSE))</f>
        <v/>
      </c>
      <c r="AR15" t="str">
        <f ca="1">IF(AND(ISNUMBER($AR$125),$B$113=1),$AR$125,HLOOKUP(INDIRECT(ADDRESS(2,COLUMN())),OFFSET($AT$2,0,0,ROW()-1,40),ROW()-1,FALSE))</f>
        <v/>
      </c>
      <c r="AS15" t="str">
        <f ca="1">IF(AND(ISNUMBER($AS$125),$B$113=1),$AS$125,HLOOKUP(INDIRECT(ADDRESS(2,COLUMN())),OFFSET($AT$2,0,0,ROW()-1,40),ROW()-1,FALSE))</f>
        <v/>
      </c>
      <c r="AT15">
        <f>493813</f>
        <v>493813</v>
      </c>
      <c r="AU15">
        <f>554455</f>
        <v>554455</v>
      </c>
      <c r="AV15">
        <f>496552</f>
        <v>496552</v>
      </c>
      <c r="AW15">
        <f>495644</f>
        <v>495644</v>
      </c>
      <c r="AX15">
        <f>500140</f>
        <v>500140</v>
      </c>
      <c r="AY15">
        <f>465458</f>
        <v>465458</v>
      </c>
      <c r="AZ15">
        <f>444288</f>
        <v>444288</v>
      </c>
      <c r="BA15">
        <f>436756</f>
        <v>436756</v>
      </c>
      <c r="BB15">
        <f>406579</f>
        <v>406579</v>
      </c>
      <c r="BC15">
        <f>361706</f>
        <v>361706</v>
      </c>
      <c r="BD15">
        <f>314260</f>
        <v>314260</v>
      </c>
      <c r="BE15">
        <f>301362</f>
        <v>301362</v>
      </c>
      <c r="BF15">
        <f>257805</f>
        <v>257805</v>
      </c>
      <c r="BG15">
        <f>263258</f>
        <v>263258</v>
      </c>
      <c r="BH15">
        <f>344122</f>
        <v>344122</v>
      </c>
      <c r="BI15">
        <f>409439</f>
        <v>409439</v>
      </c>
      <c r="BJ15">
        <f>370033</f>
        <v>370033</v>
      </c>
      <c r="BK15">
        <f>298106</f>
        <v>298106</v>
      </c>
      <c r="BL15">
        <f>258078</f>
        <v>258078</v>
      </c>
      <c r="BM15">
        <f>238274</f>
        <v>238274</v>
      </c>
      <c r="BN15">
        <f>229336</f>
        <v>229336</v>
      </c>
      <c r="BO15">
        <f>237741</f>
        <v>237741</v>
      </c>
      <c r="BP15">
        <f>273923</f>
        <v>273923</v>
      </c>
      <c r="BQ15">
        <f>275293</f>
        <v>275293</v>
      </c>
      <c r="BR15">
        <f>249169</f>
        <v>249169</v>
      </c>
      <c r="BS15">
        <f>237396</f>
        <v>237396</v>
      </c>
      <c r="BT15">
        <f>213716</f>
        <v>213716</v>
      </c>
      <c r="BU15">
        <f>195524</f>
        <v>195524</v>
      </c>
      <c r="BV15">
        <f>180533</f>
        <v>180533</v>
      </c>
      <c r="BW15">
        <f>160436</f>
        <v>160436</v>
      </c>
      <c r="BX15">
        <f>150006</f>
        <v>150006</v>
      </c>
      <c r="BY15" t="str">
        <f>""</f>
        <v/>
      </c>
      <c r="BZ15" t="str">
        <f>""</f>
        <v/>
      </c>
      <c r="CA15" t="str">
        <f>""</f>
        <v/>
      </c>
      <c r="CB15" t="str">
        <f>""</f>
        <v/>
      </c>
      <c r="CC15" t="str">
        <f>""</f>
        <v/>
      </c>
      <c r="CD15" t="str">
        <f>""</f>
        <v/>
      </c>
      <c r="CE15" t="str">
        <f>""</f>
        <v/>
      </c>
      <c r="CF15" t="str">
        <f>""</f>
        <v/>
      </c>
      <c r="CG15" t="str">
        <f>""</f>
        <v/>
      </c>
    </row>
    <row r="16" spans="1:85" x14ac:dyDescent="0.2">
      <c r="A16" t="str">
        <f>"    U.S. Total Public Construction Spending (NSA)"</f>
        <v xml:space="preserve">    U.S. Total Public Construction Spending (NSA)</v>
      </c>
      <c r="B16" t="str">
        <f>"CNNSPUTO Index"</f>
        <v>CNNSPUTO Index</v>
      </c>
      <c r="C16" t="str">
        <f t="shared" si="3"/>
        <v>PX385</v>
      </c>
      <c r="D16" t="str">
        <f t="shared" si="4"/>
        <v>INTERVAL_SUM</v>
      </c>
      <c r="E16" t="str">
        <f t="shared" si="5"/>
        <v>Dynamic</v>
      </c>
      <c r="F16">
        <f ca="1">IF(AND(ISNUMBER($F$126),$B$113=1),$F$126,HLOOKUP(INDIRECT(ADDRESS(2,COLUMN())),OFFSET($AT$2,0,0,ROW()-1,40),ROW()-1,FALSE))</f>
        <v>321436</v>
      </c>
      <c r="G16">
        <f ca="1">IF(AND(ISNUMBER($G$126),$B$113=1),$G$126,HLOOKUP(INDIRECT(ADDRESS(2,COLUMN())),OFFSET($AT$2,0,0,ROW()-1,40),ROW()-1,FALSE))</f>
        <v>376315</v>
      </c>
      <c r="H16">
        <f ca="1">IF(AND(ISNUMBER($H$126),$B$113=1),$H$126,HLOOKUP(INDIRECT(ADDRESS(2,COLUMN())),OFFSET($AT$2,0,0,ROW()-1,40),ROW()-1,FALSE))</f>
        <v>357622</v>
      </c>
      <c r="I16">
        <f ca="1">IF(AND(ISNUMBER($I$126),$B$113=1),$I$126,HLOOKUP(INDIRECT(ADDRESS(2,COLUMN())),OFFSET($AT$2,0,0,ROW()-1,40),ROW()-1,FALSE))</f>
        <v>369199</v>
      </c>
      <c r="J16">
        <f ca="1">IF(AND(ISNUMBER($J$126),$B$113=1),$J$126,HLOOKUP(INDIRECT(ADDRESS(2,COLUMN())),OFFSET($AT$2,0,0,ROW()-1,40),ROW()-1,FALSE))</f>
        <v>344348</v>
      </c>
      <c r="K16">
        <f ca="1">IF(AND(ISNUMBER($K$126),$B$113=1),$K$126,HLOOKUP(INDIRECT(ADDRESS(2,COLUMN())),OFFSET($AT$2,0,0,ROW()-1,40),ROW()-1,FALSE))</f>
        <v>310167</v>
      </c>
      <c r="L16">
        <f ca="1">IF(AND(ISNUMBER($L$126),$B$113=1),$L$126,HLOOKUP(INDIRECT(ADDRESS(2,COLUMN())),OFFSET($AT$2,0,0,ROW()-1,40),ROW()-1,FALSE))</f>
        <v>296540</v>
      </c>
      <c r="M16">
        <f ca="1">IF(AND(ISNUMBER($M$126),$B$113=1),$M$126,HLOOKUP(INDIRECT(ADDRESS(2,COLUMN())),OFFSET($AT$2,0,0,ROW()-1,40),ROW()-1,FALSE))</f>
        <v>296973</v>
      </c>
      <c r="N16">
        <f ca="1">IF(AND(ISNUMBER($N$126),$B$113=1),$N$126,HLOOKUP(INDIRECT(ADDRESS(2,COLUMN())),OFFSET($AT$2,0,0,ROW()-1,40),ROW()-1,FALSE))</f>
        <v>293770</v>
      </c>
      <c r="O16">
        <f ca="1">IF(AND(ISNUMBER($O$126),$B$113=1),$O$126,HLOOKUP(INDIRECT(ADDRESS(2,COLUMN())),OFFSET($AT$2,0,0,ROW()-1,40),ROW()-1,FALSE))</f>
        <v>276128</v>
      </c>
      <c r="P16">
        <f ca="1">IF(AND(ISNUMBER($P$126),$B$113=1),$P$126,HLOOKUP(INDIRECT(ADDRESS(2,COLUMN())),OFFSET($AT$2,0,0,ROW()-1,40),ROW()-1,FALSE))</f>
        <v>270683</v>
      </c>
      <c r="Q16">
        <f ca="1">IF(AND(ISNUMBER($Q$126),$B$113=1),$Q$126,HLOOKUP(INDIRECT(ADDRESS(2,COLUMN())),OFFSET($AT$2,0,0,ROW()-1,40),ROW()-1,FALSE))</f>
        <v>279313</v>
      </c>
      <c r="R16">
        <f ca="1">IF(AND(ISNUMBER($R$126),$B$113=1),$R$126,HLOOKUP(INDIRECT(ADDRESS(2,COLUMN())),OFFSET($AT$2,0,0,ROW()-1,40),ROW()-1,FALSE))</f>
        <v>286407</v>
      </c>
      <c r="S16">
        <f ca="1">IF(AND(ISNUMBER($S$126),$B$113=1),$S$126,HLOOKUP(INDIRECT(ADDRESS(2,COLUMN())),OFFSET($AT$2,0,0,ROW()-1,40),ROW()-1,FALSE))</f>
        <v>303968</v>
      </c>
      <c r="T16">
        <f ca="1">IF(AND(ISNUMBER($T$126),$B$113=1),$T$126,HLOOKUP(INDIRECT(ADDRESS(2,COLUMN())),OFFSET($AT$2,0,0,ROW()-1,40),ROW()-1,FALSE))</f>
        <v>314895</v>
      </c>
      <c r="U16">
        <f ca="1">IF(AND(ISNUMBER($U$126),$B$113=1),$U$126,HLOOKUP(INDIRECT(ADDRESS(2,COLUMN())),OFFSET($AT$2,0,0,ROW()-1,40),ROW()-1,FALSE))</f>
        <v>308738</v>
      </c>
      <c r="V16">
        <f ca="1">IF(AND(ISNUMBER($V$126),$B$113=1),$V$126,HLOOKUP(INDIRECT(ADDRESS(2,COLUMN())),OFFSET($AT$2,0,0,ROW()-1,40),ROW()-1,FALSE))</f>
        <v>289074</v>
      </c>
      <c r="W16">
        <f ca="1">IF(AND(ISNUMBER($W$126),$B$113=1),$W$126,HLOOKUP(INDIRECT(ADDRESS(2,COLUMN())),OFFSET($AT$2,0,0,ROW()-1,40),ROW()-1,FALSE))</f>
        <v>255387</v>
      </c>
      <c r="X16">
        <f ca="1">IF(AND(ISNUMBER($X$126),$B$113=1),$X$126,HLOOKUP(INDIRECT(ADDRESS(2,COLUMN())),OFFSET($AT$2,0,0,ROW()-1,40),ROW()-1,FALSE))</f>
        <v>234160</v>
      </c>
      <c r="Y16">
        <f ca="1">IF(AND(ISNUMBER($Y$126),$B$113=1),$Y$126,HLOOKUP(INDIRECT(ADDRESS(2,COLUMN())),OFFSET($AT$2,0,0,ROW()-1,40),ROW()-1,FALSE))</f>
        <v>220184</v>
      </c>
      <c r="Z16">
        <f ca="1">IF(AND(ISNUMBER($Z$126),$B$113=1),$Z$126,HLOOKUP(INDIRECT(ADDRESS(2,COLUMN())),OFFSET($AT$2,0,0,ROW()-1,40),ROW()-1,FALSE))</f>
        <v>216127</v>
      </c>
      <c r="AA16">
        <f ca="1">IF(AND(ISNUMBER($AA$126),$B$113=1),$AA$126,HLOOKUP(INDIRECT(ADDRESS(2,COLUMN())),OFFSET($AT$2,0,0,ROW()-1,40),ROW()-1,FALSE))</f>
        <v>213438</v>
      </c>
      <c r="AB16">
        <f ca="1">IF(AND(ISNUMBER($AB$126),$B$113=1),$AB$126,HLOOKUP(INDIRECT(ADDRESS(2,COLUMN())),OFFSET($AT$2,0,0,ROW()-1,40),ROW()-1,FALSE))</f>
        <v>201911</v>
      </c>
      <c r="AC16">
        <f ca="1">IF(AND(ISNUMBER($AC$126),$B$113=1),$AC$126,HLOOKUP(INDIRECT(ADDRESS(2,COLUMN())),OFFSET($AT$2,0,0,ROW()-1,40),ROW()-1,FALSE))</f>
        <v>181326</v>
      </c>
      <c r="AD16">
        <f ca="1">IF(AND(ISNUMBER($AD$126),$B$113=1),$AD$126,HLOOKUP(INDIRECT(ADDRESS(2,COLUMN())),OFFSET($AT$2,0,0,ROW()-1,40),ROW()-1,FALSE))</f>
        <v>169081</v>
      </c>
      <c r="AE16">
        <f ca="1">IF(AND(ISNUMBER($AE$126),$B$113=1),$AE$126,HLOOKUP(INDIRECT(ADDRESS(2,COLUMN())),OFFSET($AT$2,0,0,ROW()-1,40),ROW()-1,FALSE))</f>
        <v>154779</v>
      </c>
      <c r="AF16">
        <f ca="1">IF(AND(ISNUMBER($AF$126),$B$113=1),$AF$126,HLOOKUP(INDIRECT(ADDRESS(2,COLUMN())),OFFSET($AT$2,0,0,ROW()-1,40),ROW()-1,FALSE))</f>
        <v>153437</v>
      </c>
      <c r="AG16">
        <f ca="1">IF(AND(ISNUMBER($AG$126),$B$113=1),$AG$126,HLOOKUP(INDIRECT(ADDRESS(2,COLUMN())),OFFSET($AT$2,0,0,ROW()-1,40),ROW()-1,FALSE))</f>
        <v>146674</v>
      </c>
      <c r="AH16">
        <f ca="1">IF(AND(ISNUMBER($AH$126),$B$113=1),$AH$126,HLOOKUP(INDIRECT(ADDRESS(2,COLUMN())),OFFSET($AT$2,0,0,ROW()-1,40),ROW()-1,FALSE))</f>
        <v>140011</v>
      </c>
      <c r="AI16">
        <f ca="1">IF(AND(ISNUMBER($AI$126),$B$113=1),$AI$126,HLOOKUP(INDIRECT(ADDRESS(2,COLUMN())),OFFSET($AT$2,0,0,ROW()-1,40),ROW()-1,FALSE))</f>
        <v>130421</v>
      </c>
      <c r="AJ16">
        <f ca="1">IF(AND(ISNUMBER($AJ$126),$B$113=1),$AJ$126,HLOOKUP(INDIRECT(ADDRESS(2,COLUMN())),OFFSET($AT$2,0,0,ROW()-1,40),ROW()-1,FALSE))</f>
        <v>127362</v>
      </c>
      <c r="AK16">
        <f ca="1">IF(AND(ISNUMBER($AK$126),$B$113=1),$AK$126,HLOOKUP(INDIRECT(ADDRESS(2,COLUMN())),OFFSET($AT$2,0,0,ROW()-1,40),ROW()-1,FALSE))</f>
        <v>115846</v>
      </c>
      <c r="AL16">
        <f ca="1">IF(AND(ISNUMBER($AL$126),$B$113=1),$AL$126,HLOOKUP(INDIRECT(ADDRESS(2,COLUMN())),OFFSET($AT$2,0,0,ROW()-1,40),ROW()-1,FALSE))</f>
        <v>110111</v>
      </c>
      <c r="AM16">
        <f ca="1">IF(AND(ISNUMBER($AM$126),$B$113=1),$AM$126,HLOOKUP(INDIRECT(ADDRESS(2,COLUMN())),OFFSET($AT$2,0,0,ROW()-1,40),ROW()-1,FALSE))</f>
        <v>107477</v>
      </c>
      <c r="AN16">
        <f ca="1">IF(AND(ISNUMBER($AN$126),$B$113=1),$AN$126,HLOOKUP(INDIRECT(ADDRESS(2,COLUMN())),OFFSET($AT$2,0,0,ROW()-1,40),ROW()-1,FALSE))</f>
        <v>98173</v>
      </c>
      <c r="AO16">
        <f ca="1">IF(AND(ISNUMBER($AO$126),$B$113=1),$AO$126,HLOOKUP(INDIRECT(ADDRESS(2,COLUMN())),OFFSET($AT$2,0,0,ROW()-1,40),ROW()-1,FALSE))</f>
        <v>94734</v>
      </c>
      <c r="AP16">
        <f ca="1">IF(AND(ISNUMBER($AP$126),$B$113=1),$AP$126,HLOOKUP(INDIRECT(ADDRESS(2,COLUMN())),OFFSET($AT$2,0,0,ROW()-1,40),ROW()-1,FALSE))</f>
        <v>90649</v>
      </c>
      <c r="AQ16">
        <f ca="1">IF(AND(ISNUMBER($AQ$126),$B$113=1),$AQ$126,HLOOKUP(INDIRECT(ADDRESS(2,COLUMN())),OFFSET($AT$2,0,0,ROW()-1,40),ROW()-1,FALSE))</f>
        <v>84581</v>
      </c>
      <c r="AR16">
        <f ca="1">IF(AND(ISNUMBER($AR$126),$B$113=1),$AR$126,HLOOKUP(INDIRECT(ADDRESS(2,COLUMN())),OFFSET($AT$2,0,0,ROW()-1,40),ROW()-1,FALSE))</f>
        <v>77811</v>
      </c>
      <c r="AS16">
        <f ca="1">IF(AND(ISNUMBER($AS$126),$B$113=1),$AS$126,HLOOKUP(INDIRECT(ADDRESS(2,COLUMN())),OFFSET($AT$2,0,0,ROW()-1,40),ROW()-1,FALSE))</f>
        <v>70238</v>
      </c>
      <c r="AT16">
        <f>321436</f>
        <v>321436</v>
      </c>
      <c r="AU16">
        <f>376315</f>
        <v>376315</v>
      </c>
      <c r="AV16">
        <f>357622</f>
        <v>357622</v>
      </c>
      <c r="AW16">
        <f>369199</f>
        <v>369199</v>
      </c>
      <c r="AX16">
        <f>344348</f>
        <v>344348</v>
      </c>
      <c r="AY16">
        <f>310167</f>
        <v>310167</v>
      </c>
      <c r="AZ16">
        <f>296540</f>
        <v>296540</v>
      </c>
      <c r="BA16">
        <f>296973</f>
        <v>296973</v>
      </c>
      <c r="BB16">
        <f>293770</f>
        <v>293770</v>
      </c>
      <c r="BC16">
        <f>276128</f>
        <v>276128</v>
      </c>
      <c r="BD16">
        <f>270683</f>
        <v>270683</v>
      </c>
      <c r="BE16">
        <f>279313</f>
        <v>279313</v>
      </c>
      <c r="BF16">
        <f>286407</f>
        <v>286407</v>
      </c>
      <c r="BG16">
        <f>303968</f>
        <v>303968</v>
      </c>
      <c r="BH16">
        <f>314895</f>
        <v>314895</v>
      </c>
      <c r="BI16">
        <f>308738</f>
        <v>308738</v>
      </c>
      <c r="BJ16">
        <f>289074</f>
        <v>289074</v>
      </c>
      <c r="BK16">
        <f>255387</f>
        <v>255387</v>
      </c>
      <c r="BL16">
        <f>234160</f>
        <v>234160</v>
      </c>
      <c r="BM16">
        <f>220184</f>
        <v>220184</v>
      </c>
      <c r="BN16">
        <f>216127</f>
        <v>216127</v>
      </c>
      <c r="BO16">
        <f>213438</f>
        <v>213438</v>
      </c>
      <c r="BP16">
        <f>201911</f>
        <v>201911</v>
      </c>
      <c r="BQ16">
        <f>181326</f>
        <v>181326</v>
      </c>
      <c r="BR16">
        <f>169081</f>
        <v>169081</v>
      </c>
      <c r="BS16">
        <f>154779</f>
        <v>154779</v>
      </c>
      <c r="BT16">
        <f>153437</f>
        <v>153437</v>
      </c>
      <c r="BU16">
        <f>146674</f>
        <v>146674</v>
      </c>
      <c r="BV16">
        <f>140011</f>
        <v>140011</v>
      </c>
      <c r="BW16">
        <f>130421</f>
        <v>130421</v>
      </c>
      <c r="BX16">
        <f>127362</f>
        <v>127362</v>
      </c>
      <c r="BY16">
        <f>115846</f>
        <v>115846</v>
      </c>
      <c r="BZ16">
        <f>110111</f>
        <v>110111</v>
      </c>
      <c r="CA16">
        <f>107477</f>
        <v>107477</v>
      </c>
      <c r="CB16">
        <f>98173</f>
        <v>98173</v>
      </c>
      <c r="CC16">
        <f>94734</f>
        <v>94734</v>
      </c>
      <c r="CD16">
        <f>90649</f>
        <v>90649</v>
      </c>
      <c r="CE16">
        <f>84581</f>
        <v>84581</v>
      </c>
      <c r="CF16">
        <f>77811</f>
        <v>77811</v>
      </c>
      <c r="CG16">
        <f>70238</f>
        <v>70238</v>
      </c>
    </row>
    <row r="17" spans="1:85" x14ac:dyDescent="0.2">
      <c r="A17" t="str">
        <f>"        U.S. Total Public Residential  Construction Spending (NSA)"</f>
        <v xml:space="preserve">        U.S. Total Public Residential  Construction Spending (NSA)</v>
      </c>
      <c r="B17" t="str">
        <f>"CNNSPURE Index"</f>
        <v>CNNSPURE Index</v>
      </c>
      <c r="C17" t="str">
        <f t="shared" si="3"/>
        <v>PX385</v>
      </c>
      <c r="D17" t="str">
        <f t="shared" si="4"/>
        <v>INTERVAL_SUM</v>
      </c>
      <c r="E17" t="str">
        <f t="shared" si="5"/>
        <v>Dynamic</v>
      </c>
      <c r="F17">
        <f ca="1">IF(AND(ISNUMBER($F$127),$B$113=1),$F$127,HLOOKUP(INDIRECT(ADDRESS(2,COLUMN())),OFFSET($AT$2,0,0,ROW()-1,40),ROW()-1,FALSE))</f>
        <v>7581</v>
      </c>
      <c r="G17">
        <f ca="1">IF(AND(ISNUMBER($G$127),$B$113=1),$G$127,HLOOKUP(INDIRECT(ADDRESS(2,COLUMN())),OFFSET($AT$2,0,0,ROW()-1,40),ROW()-1,FALSE))</f>
        <v>9532</v>
      </c>
      <c r="H17">
        <f ca="1">IF(AND(ISNUMBER($H$127),$B$113=1),$H$127,HLOOKUP(INDIRECT(ADDRESS(2,COLUMN())),OFFSET($AT$2,0,0,ROW()-1,40),ROW()-1,FALSE))</f>
        <v>9768</v>
      </c>
      <c r="I17">
        <f ca="1">IF(AND(ISNUMBER($I$127),$B$113=1),$I$127,HLOOKUP(INDIRECT(ADDRESS(2,COLUMN())),OFFSET($AT$2,0,0,ROW()-1,40),ROW()-1,FALSE))</f>
        <v>9532</v>
      </c>
      <c r="J17">
        <f ca="1">IF(AND(ISNUMBER($J$127),$B$113=1),$J$127,HLOOKUP(INDIRECT(ADDRESS(2,COLUMN())),OFFSET($AT$2,0,0,ROW()-1,40),ROW()-1,FALSE))</f>
        <v>6890</v>
      </c>
      <c r="K17">
        <f ca="1">IF(AND(ISNUMBER($K$127),$B$113=1),$K$127,HLOOKUP(INDIRECT(ADDRESS(2,COLUMN())),OFFSET($AT$2,0,0,ROW()-1,40),ROW()-1,FALSE))</f>
        <v>6318</v>
      </c>
      <c r="L17">
        <f ca="1">IF(AND(ISNUMBER($L$127),$B$113=1),$L$127,HLOOKUP(INDIRECT(ADDRESS(2,COLUMN())),OFFSET($AT$2,0,0,ROW()-1,40),ROW()-1,FALSE))</f>
        <v>6741</v>
      </c>
      <c r="M17">
        <f ca="1">IF(AND(ISNUMBER($M$127),$B$113=1),$M$127,HLOOKUP(INDIRECT(ADDRESS(2,COLUMN())),OFFSET($AT$2,0,0,ROW()-1,40),ROW()-1,FALSE))</f>
        <v>6550</v>
      </c>
      <c r="N17">
        <f ca="1">IF(AND(ISNUMBER($N$127),$B$113=1),$N$127,HLOOKUP(INDIRECT(ADDRESS(2,COLUMN())),OFFSET($AT$2,0,0,ROW()-1,40),ROW()-1,FALSE))</f>
        <v>6928</v>
      </c>
      <c r="O17">
        <f ca="1">IF(AND(ISNUMBER($O$127),$B$113=1),$O$127,HLOOKUP(INDIRECT(ADDRESS(2,COLUMN())),OFFSET($AT$2,0,0,ROW()-1,40),ROW()-1,FALSE))</f>
        <v>5068</v>
      </c>
      <c r="P17">
        <f ca="1">IF(AND(ISNUMBER($P$127),$B$113=1),$P$127,HLOOKUP(INDIRECT(ADDRESS(2,COLUMN())),OFFSET($AT$2,0,0,ROW()-1,40),ROW()-1,FALSE))</f>
        <v>5838</v>
      </c>
      <c r="Q17">
        <f ca="1">IF(AND(ISNUMBER($Q$127),$B$113=1),$Q$127,HLOOKUP(INDIRECT(ADDRESS(2,COLUMN())),OFFSET($AT$2,0,0,ROW()-1,40),ROW()-1,FALSE))</f>
        <v>6274</v>
      </c>
      <c r="R17">
        <f ca="1">IF(AND(ISNUMBER($R$127),$B$113=1),$R$127,HLOOKUP(INDIRECT(ADDRESS(2,COLUMN())),OFFSET($AT$2,0,0,ROW()-1,40),ROW()-1,FALSE))</f>
        <v>8525</v>
      </c>
      <c r="S17">
        <f ca="1">IF(AND(ISNUMBER($S$127),$B$113=1),$S$127,HLOOKUP(INDIRECT(ADDRESS(2,COLUMN())),OFFSET($AT$2,0,0,ROW()-1,40),ROW()-1,FALSE))</f>
        <v>10295</v>
      </c>
      <c r="T17">
        <f ca="1">IF(AND(ISNUMBER($T$127),$B$113=1),$T$127,HLOOKUP(INDIRECT(ADDRESS(2,COLUMN())),OFFSET($AT$2,0,0,ROW()-1,40),ROW()-1,FALSE))</f>
        <v>8015</v>
      </c>
      <c r="U17">
        <f ca="1">IF(AND(ISNUMBER($U$127),$B$113=1),$U$127,HLOOKUP(INDIRECT(ADDRESS(2,COLUMN())),OFFSET($AT$2,0,0,ROW()-1,40),ROW()-1,FALSE))</f>
        <v>7487</v>
      </c>
      <c r="V17">
        <f ca="1">IF(AND(ISNUMBER($V$127),$B$113=1),$V$127,HLOOKUP(INDIRECT(ADDRESS(2,COLUMN())),OFFSET($AT$2,0,0,ROW()-1,40),ROW()-1,FALSE))</f>
        <v>7221</v>
      </c>
      <c r="W17">
        <f ca="1">IF(AND(ISNUMBER($W$127),$B$113=1),$W$127,HLOOKUP(INDIRECT(ADDRESS(2,COLUMN())),OFFSET($AT$2,0,0,ROW()-1,40),ROW()-1,FALSE))</f>
        <v>6084</v>
      </c>
      <c r="X17">
        <f ca="1">IF(AND(ISNUMBER($X$127),$B$113=1),$X$127,HLOOKUP(INDIRECT(ADDRESS(2,COLUMN())),OFFSET($AT$2,0,0,ROW()-1,40),ROW()-1,FALSE))</f>
        <v>5608</v>
      </c>
      <c r="Y17">
        <f ca="1">IF(AND(ISNUMBER($Y$127),$B$113=1),$Y$127,HLOOKUP(INDIRECT(ADDRESS(2,COLUMN())),OFFSET($AT$2,0,0,ROW()-1,40),ROW()-1,FALSE))</f>
        <v>5507</v>
      </c>
      <c r="Z17">
        <f ca="1">IF(AND(ISNUMBER($Z$127),$B$113=1),$Z$127,HLOOKUP(INDIRECT(ADDRESS(2,COLUMN())),OFFSET($AT$2,0,0,ROW()-1,40),ROW()-1,FALSE))</f>
        <v>5216</v>
      </c>
      <c r="AA17">
        <f ca="1">IF(AND(ISNUMBER($AA$127),$B$113=1),$AA$127,HLOOKUP(INDIRECT(ADDRESS(2,COLUMN())),OFFSET($AT$2,0,0,ROW()-1,40),ROW()-1,FALSE))</f>
        <v>5266</v>
      </c>
      <c r="AB17">
        <f ca="1">IF(AND(ISNUMBER($AB$127),$B$113=1),$AB$127,HLOOKUP(INDIRECT(ADDRESS(2,COLUMN())),OFFSET($AT$2,0,0,ROW()-1,40),ROW()-1,FALSE))</f>
        <v>0</v>
      </c>
      <c r="AC17">
        <f ca="1">IF(AND(ISNUMBER($AC$127),$B$113=1),$AC$127,HLOOKUP(INDIRECT(ADDRESS(2,COLUMN())),OFFSET($AT$2,0,0,ROW()-1,40),ROW()-1,FALSE))</f>
        <v>0</v>
      </c>
      <c r="AD17">
        <f ca="1">IF(AND(ISNUMBER($AD$127),$B$113=1),$AD$127,HLOOKUP(INDIRECT(ADDRESS(2,COLUMN())),OFFSET($AT$2,0,0,ROW()-1,40),ROW()-1,FALSE))</f>
        <v>0</v>
      </c>
      <c r="AE17">
        <f ca="1">IF(AND(ISNUMBER($AE$127),$B$113=1),$AE$127,HLOOKUP(INDIRECT(ADDRESS(2,COLUMN())),OFFSET($AT$2,0,0,ROW()-1,40),ROW()-1,FALSE))</f>
        <v>0</v>
      </c>
      <c r="AF17">
        <f ca="1">IF(AND(ISNUMBER($AF$127),$B$113=1),$AF$127,HLOOKUP(INDIRECT(ADDRESS(2,COLUMN())),OFFSET($AT$2,0,0,ROW()-1,40),ROW()-1,FALSE))</f>
        <v>0</v>
      </c>
      <c r="AG17">
        <f ca="1">IF(AND(ISNUMBER($AG$127),$B$113=1),$AG$127,HLOOKUP(INDIRECT(ADDRESS(2,COLUMN())),OFFSET($AT$2,0,0,ROW()-1,40),ROW()-1,FALSE))</f>
        <v>0</v>
      </c>
      <c r="AH17">
        <f ca="1">IF(AND(ISNUMBER($AH$127),$B$113=1),$AH$127,HLOOKUP(INDIRECT(ADDRESS(2,COLUMN())),OFFSET($AT$2,0,0,ROW()-1,40),ROW()-1,FALSE))</f>
        <v>0</v>
      </c>
      <c r="AI17">
        <f ca="1">IF(AND(ISNUMBER($AI$127),$B$113=1),$AI$127,HLOOKUP(INDIRECT(ADDRESS(2,COLUMN())),OFFSET($AT$2,0,0,ROW()-1,40),ROW()-1,FALSE))</f>
        <v>0</v>
      </c>
      <c r="AJ17">
        <f ca="1">IF(AND(ISNUMBER($AJ$127),$B$113=1),$AJ$127,HLOOKUP(INDIRECT(ADDRESS(2,COLUMN())),OFFSET($AT$2,0,0,ROW()-1,40),ROW()-1,FALSE))</f>
        <v>0</v>
      </c>
      <c r="AK17" t="str">
        <f ca="1">IF(AND(ISNUMBER($AK$127),$B$113=1),$AK$127,HLOOKUP(INDIRECT(ADDRESS(2,COLUMN())),OFFSET($AT$2,0,0,ROW()-1,40),ROW()-1,FALSE))</f>
        <v/>
      </c>
      <c r="AL17" t="str">
        <f ca="1">IF(AND(ISNUMBER($AL$127),$B$113=1),$AL$127,HLOOKUP(INDIRECT(ADDRESS(2,COLUMN())),OFFSET($AT$2,0,0,ROW()-1,40),ROW()-1,FALSE))</f>
        <v/>
      </c>
      <c r="AM17" t="str">
        <f ca="1">IF(AND(ISNUMBER($AM$127),$B$113=1),$AM$127,HLOOKUP(INDIRECT(ADDRESS(2,COLUMN())),OFFSET($AT$2,0,0,ROW()-1,40),ROW()-1,FALSE))</f>
        <v/>
      </c>
      <c r="AN17" t="str">
        <f ca="1">IF(AND(ISNUMBER($AN$127),$B$113=1),$AN$127,HLOOKUP(INDIRECT(ADDRESS(2,COLUMN())),OFFSET($AT$2,0,0,ROW()-1,40),ROW()-1,FALSE))</f>
        <v/>
      </c>
      <c r="AO17" t="str">
        <f ca="1">IF(AND(ISNUMBER($AO$127),$B$113=1),$AO$127,HLOOKUP(INDIRECT(ADDRESS(2,COLUMN())),OFFSET($AT$2,0,0,ROW()-1,40),ROW()-1,FALSE))</f>
        <v/>
      </c>
      <c r="AP17" t="str">
        <f ca="1">IF(AND(ISNUMBER($AP$127),$B$113=1),$AP$127,HLOOKUP(INDIRECT(ADDRESS(2,COLUMN())),OFFSET($AT$2,0,0,ROW()-1,40),ROW()-1,FALSE))</f>
        <v/>
      </c>
      <c r="AQ17" t="str">
        <f ca="1">IF(AND(ISNUMBER($AQ$127),$B$113=1),$AQ$127,HLOOKUP(INDIRECT(ADDRESS(2,COLUMN())),OFFSET($AT$2,0,0,ROW()-1,40),ROW()-1,FALSE))</f>
        <v/>
      </c>
      <c r="AR17" t="str">
        <f ca="1">IF(AND(ISNUMBER($AR$127),$B$113=1),$AR$127,HLOOKUP(INDIRECT(ADDRESS(2,COLUMN())),OFFSET($AT$2,0,0,ROW()-1,40),ROW()-1,FALSE))</f>
        <v/>
      </c>
      <c r="AS17" t="str">
        <f ca="1">IF(AND(ISNUMBER($AS$127),$B$113=1),$AS$127,HLOOKUP(INDIRECT(ADDRESS(2,COLUMN())),OFFSET($AT$2,0,0,ROW()-1,40),ROW()-1,FALSE))</f>
        <v/>
      </c>
      <c r="AT17">
        <f>7581</f>
        <v>7581</v>
      </c>
      <c r="AU17">
        <f>9532</f>
        <v>9532</v>
      </c>
      <c r="AV17">
        <f>9768</f>
        <v>9768</v>
      </c>
      <c r="AW17">
        <f>9532</f>
        <v>9532</v>
      </c>
      <c r="AX17">
        <f>6890</f>
        <v>6890</v>
      </c>
      <c r="AY17">
        <f>6318</f>
        <v>6318</v>
      </c>
      <c r="AZ17">
        <f>6741</f>
        <v>6741</v>
      </c>
      <c r="BA17">
        <f>6550</f>
        <v>6550</v>
      </c>
      <c r="BB17">
        <f>6928</f>
        <v>6928</v>
      </c>
      <c r="BC17">
        <f>5068</f>
        <v>5068</v>
      </c>
      <c r="BD17">
        <f>5838</f>
        <v>5838</v>
      </c>
      <c r="BE17">
        <f>6274</f>
        <v>6274</v>
      </c>
      <c r="BF17">
        <f>8525</f>
        <v>8525</v>
      </c>
      <c r="BG17">
        <f>10295</f>
        <v>10295</v>
      </c>
      <c r="BH17">
        <f>8015</f>
        <v>8015</v>
      </c>
      <c r="BI17">
        <f>7487</f>
        <v>7487</v>
      </c>
      <c r="BJ17">
        <f>7221</f>
        <v>7221</v>
      </c>
      <c r="BK17">
        <f>6084</f>
        <v>6084</v>
      </c>
      <c r="BL17">
        <f>5608</f>
        <v>5608</v>
      </c>
      <c r="BM17">
        <f>5507</f>
        <v>5507</v>
      </c>
      <c r="BN17">
        <f>5216</f>
        <v>5216</v>
      </c>
      <c r="BO17">
        <f>5266</f>
        <v>5266</v>
      </c>
      <c r="BP17">
        <f>0</f>
        <v>0</v>
      </c>
      <c r="BQ17">
        <f>0</f>
        <v>0</v>
      </c>
      <c r="BR17">
        <f>0</f>
        <v>0</v>
      </c>
      <c r="BS17">
        <f>0</f>
        <v>0</v>
      </c>
      <c r="BT17">
        <f>0</f>
        <v>0</v>
      </c>
      <c r="BU17">
        <f>0</f>
        <v>0</v>
      </c>
      <c r="BV17">
        <f>0</f>
        <v>0</v>
      </c>
      <c r="BW17">
        <f>0</f>
        <v>0</v>
      </c>
      <c r="BX17">
        <f>0</f>
        <v>0</v>
      </c>
      <c r="BY17" t="str">
        <f>""</f>
        <v/>
      </c>
      <c r="BZ17" t="str">
        <f>""</f>
        <v/>
      </c>
      <c r="CA17" t="str">
        <f>""</f>
        <v/>
      </c>
      <c r="CB17" t="str">
        <f>""</f>
        <v/>
      </c>
      <c r="CC17" t="str">
        <f>""</f>
        <v/>
      </c>
      <c r="CD17" t="str">
        <f>""</f>
        <v/>
      </c>
      <c r="CE17" t="str">
        <f>""</f>
        <v/>
      </c>
      <c r="CF17" t="str">
        <f>""</f>
        <v/>
      </c>
      <c r="CG17" t="str">
        <f>""</f>
        <v/>
      </c>
    </row>
    <row r="18" spans="1:85" x14ac:dyDescent="0.2">
      <c r="A18" t="str">
        <f>"        U.S. Total Public Non-Res  Construction Spending (NSA)"</f>
        <v xml:space="preserve">        U.S. Total Public Non-Res  Construction Spending (NSA)</v>
      </c>
      <c r="B18" t="str">
        <f>"CNNSPUNR Index"</f>
        <v>CNNSPUNR Index</v>
      </c>
      <c r="C18" t="str">
        <f t="shared" si="3"/>
        <v>PX385</v>
      </c>
      <c r="D18" t="str">
        <f t="shared" si="4"/>
        <v>INTERVAL_SUM</v>
      </c>
      <c r="E18" t="str">
        <f t="shared" si="5"/>
        <v>Dynamic</v>
      </c>
      <c r="F18">
        <f ca="1">IF(AND(ISNUMBER($F$128),$B$113=1),$F$128,HLOOKUP(INDIRECT(ADDRESS(2,COLUMN())),OFFSET($AT$2,0,0,ROW()-1,40),ROW()-1,FALSE))</f>
        <v>313858</v>
      </c>
      <c r="G18">
        <f ca="1">IF(AND(ISNUMBER($G$128),$B$113=1),$G$128,HLOOKUP(INDIRECT(ADDRESS(2,COLUMN())),OFFSET($AT$2,0,0,ROW()-1,40),ROW()-1,FALSE))</f>
        <v>366784</v>
      </c>
      <c r="H18">
        <f ca="1">IF(AND(ISNUMBER($H$128),$B$113=1),$H$128,HLOOKUP(INDIRECT(ADDRESS(2,COLUMN())),OFFSET($AT$2,0,0,ROW()-1,40),ROW()-1,FALSE))</f>
        <v>347856</v>
      </c>
      <c r="I18">
        <f ca="1">IF(AND(ISNUMBER($I$128),$B$113=1),$I$128,HLOOKUP(INDIRECT(ADDRESS(2,COLUMN())),OFFSET($AT$2,0,0,ROW()-1,40),ROW()-1,FALSE))</f>
        <v>359669</v>
      </c>
      <c r="J18">
        <f ca="1">IF(AND(ISNUMBER($J$128),$B$113=1),$J$128,HLOOKUP(INDIRECT(ADDRESS(2,COLUMN())),OFFSET($AT$2,0,0,ROW()-1,40),ROW()-1,FALSE))</f>
        <v>337459</v>
      </c>
      <c r="K18">
        <f ca="1">IF(AND(ISNUMBER($K$128),$B$113=1),$K$128,HLOOKUP(INDIRECT(ADDRESS(2,COLUMN())),OFFSET($AT$2,0,0,ROW()-1,40),ROW()-1,FALSE))</f>
        <v>303850</v>
      </c>
      <c r="L18">
        <f ca="1">IF(AND(ISNUMBER($L$128),$B$113=1),$L$128,HLOOKUP(INDIRECT(ADDRESS(2,COLUMN())),OFFSET($AT$2,0,0,ROW()-1,40),ROW()-1,FALSE))</f>
        <v>289800</v>
      </c>
      <c r="M18">
        <f ca="1">IF(AND(ISNUMBER($M$128),$B$113=1),$M$128,HLOOKUP(INDIRECT(ADDRESS(2,COLUMN())),OFFSET($AT$2,0,0,ROW()-1,40),ROW()-1,FALSE))</f>
        <v>290423</v>
      </c>
      <c r="N18">
        <f ca="1">IF(AND(ISNUMBER($N$128),$B$113=1),$N$128,HLOOKUP(INDIRECT(ADDRESS(2,COLUMN())),OFFSET($AT$2,0,0,ROW()-1,40),ROW()-1,FALSE))</f>
        <v>286843</v>
      </c>
      <c r="O18">
        <f ca="1">IF(AND(ISNUMBER($O$128),$B$113=1),$O$128,HLOOKUP(INDIRECT(ADDRESS(2,COLUMN())),OFFSET($AT$2,0,0,ROW()-1,40),ROW()-1,FALSE))</f>
        <v>271062</v>
      </c>
      <c r="P18">
        <f ca="1">IF(AND(ISNUMBER($P$128),$B$113=1),$P$128,HLOOKUP(INDIRECT(ADDRESS(2,COLUMN())),OFFSET($AT$2,0,0,ROW()-1,40),ROW()-1,FALSE))</f>
        <v>264847</v>
      </c>
      <c r="Q18">
        <f ca="1">IF(AND(ISNUMBER($Q$128),$B$113=1),$Q$128,HLOOKUP(INDIRECT(ADDRESS(2,COLUMN())),OFFSET($AT$2,0,0,ROW()-1,40),ROW()-1,FALSE))</f>
        <v>273038</v>
      </c>
      <c r="R18">
        <f ca="1">IF(AND(ISNUMBER($R$128),$B$113=1),$R$128,HLOOKUP(INDIRECT(ADDRESS(2,COLUMN())),OFFSET($AT$2,0,0,ROW()-1,40),ROW()-1,FALSE))</f>
        <v>277885</v>
      </c>
      <c r="S18">
        <f ca="1">IF(AND(ISNUMBER($S$128),$B$113=1),$S$128,HLOOKUP(INDIRECT(ADDRESS(2,COLUMN())),OFFSET($AT$2,0,0,ROW()-1,40),ROW()-1,FALSE))</f>
        <v>293674</v>
      </c>
      <c r="T18">
        <f ca="1">IF(AND(ISNUMBER($T$128),$B$113=1),$T$128,HLOOKUP(INDIRECT(ADDRESS(2,COLUMN())),OFFSET($AT$2,0,0,ROW()-1,40),ROW()-1,FALSE))</f>
        <v>306881</v>
      </c>
      <c r="U18">
        <f ca="1">IF(AND(ISNUMBER($U$128),$B$113=1),$U$128,HLOOKUP(INDIRECT(ADDRESS(2,COLUMN())),OFFSET($AT$2,0,0,ROW()-1,40),ROW()-1,FALSE))</f>
        <v>301250</v>
      </c>
      <c r="V18">
        <f ca="1">IF(AND(ISNUMBER($V$128),$B$113=1),$V$128,HLOOKUP(INDIRECT(ADDRESS(2,COLUMN())),OFFSET($AT$2,0,0,ROW()-1,40),ROW()-1,FALSE))</f>
        <v>281852</v>
      </c>
      <c r="W18">
        <f ca="1">IF(AND(ISNUMBER($W$128),$B$113=1),$W$128,HLOOKUP(INDIRECT(ADDRESS(2,COLUMN())),OFFSET($AT$2,0,0,ROW()-1,40),ROW()-1,FALSE))</f>
        <v>249303</v>
      </c>
      <c r="X18">
        <f ca="1">IF(AND(ISNUMBER($X$128),$B$113=1),$X$128,HLOOKUP(INDIRECT(ADDRESS(2,COLUMN())),OFFSET($AT$2,0,0,ROW()-1,40),ROW()-1,FALSE))</f>
        <v>228553</v>
      </c>
      <c r="Y18">
        <f ca="1">IF(AND(ISNUMBER($Y$128),$B$113=1),$Y$128,HLOOKUP(INDIRECT(ADDRESS(2,COLUMN())),OFFSET($AT$2,0,0,ROW()-1,40),ROW()-1,FALSE))</f>
        <v>214675</v>
      </c>
      <c r="Z18">
        <f ca="1">IF(AND(ISNUMBER($Z$128),$B$113=1),$Z$128,HLOOKUP(INDIRECT(ADDRESS(2,COLUMN())),OFFSET($AT$2,0,0,ROW()-1,40),ROW()-1,FALSE))</f>
        <v>210910</v>
      </c>
      <c r="AA18">
        <f ca="1">IF(AND(ISNUMBER($AA$128),$B$113=1),$AA$128,HLOOKUP(INDIRECT(ADDRESS(2,COLUMN())),OFFSET($AT$2,0,0,ROW()-1,40),ROW()-1,FALSE))</f>
        <v>208176</v>
      </c>
      <c r="AB18">
        <f ca="1">IF(AND(ISNUMBER($AB$128),$B$113=1),$AB$128,HLOOKUP(INDIRECT(ADDRESS(2,COLUMN())),OFFSET($AT$2,0,0,ROW()-1,40),ROW()-1,FALSE))</f>
        <v>0</v>
      </c>
      <c r="AC18">
        <f ca="1">IF(AND(ISNUMBER($AC$128),$B$113=1),$AC$128,HLOOKUP(INDIRECT(ADDRESS(2,COLUMN())),OFFSET($AT$2,0,0,ROW()-1,40),ROW()-1,FALSE))</f>
        <v>0</v>
      </c>
      <c r="AD18">
        <f ca="1">IF(AND(ISNUMBER($AD$128),$B$113=1),$AD$128,HLOOKUP(INDIRECT(ADDRESS(2,COLUMN())),OFFSET($AT$2,0,0,ROW()-1,40),ROW()-1,FALSE))</f>
        <v>0</v>
      </c>
      <c r="AE18">
        <f ca="1">IF(AND(ISNUMBER($AE$128),$B$113=1),$AE$128,HLOOKUP(INDIRECT(ADDRESS(2,COLUMN())),OFFSET($AT$2,0,0,ROW()-1,40),ROW()-1,FALSE))</f>
        <v>0</v>
      </c>
      <c r="AF18">
        <f ca="1">IF(AND(ISNUMBER($AF$128),$B$113=1),$AF$128,HLOOKUP(INDIRECT(ADDRESS(2,COLUMN())),OFFSET($AT$2,0,0,ROW()-1,40),ROW()-1,FALSE))</f>
        <v>0</v>
      </c>
      <c r="AG18">
        <f ca="1">IF(AND(ISNUMBER($AG$128),$B$113=1),$AG$128,HLOOKUP(INDIRECT(ADDRESS(2,COLUMN())),OFFSET($AT$2,0,0,ROW()-1,40),ROW()-1,FALSE))</f>
        <v>0</v>
      </c>
      <c r="AH18">
        <f ca="1">IF(AND(ISNUMBER($AH$128),$B$113=1),$AH$128,HLOOKUP(INDIRECT(ADDRESS(2,COLUMN())),OFFSET($AT$2,0,0,ROW()-1,40),ROW()-1,FALSE))</f>
        <v>0</v>
      </c>
      <c r="AI18">
        <f ca="1">IF(AND(ISNUMBER($AI$128),$B$113=1),$AI$128,HLOOKUP(INDIRECT(ADDRESS(2,COLUMN())),OFFSET($AT$2,0,0,ROW()-1,40),ROW()-1,FALSE))</f>
        <v>0</v>
      </c>
      <c r="AJ18">
        <f ca="1">IF(AND(ISNUMBER($AJ$128),$B$113=1),$AJ$128,HLOOKUP(INDIRECT(ADDRESS(2,COLUMN())),OFFSET($AT$2,0,0,ROW()-1,40),ROW()-1,FALSE))</f>
        <v>0</v>
      </c>
      <c r="AK18" t="str">
        <f ca="1">IF(AND(ISNUMBER($AK$128),$B$113=1),$AK$128,HLOOKUP(INDIRECT(ADDRESS(2,COLUMN())),OFFSET($AT$2,0,0,ROW()-1,40),ROW()-1,FALSE))</f>
        <v/>
      </c>
      <c r="AL18" t="str">
        <f ca="1">IF(AND(ISNUMBER($AL$128),$B$113=1),$AL$128,HLOOKUP(INDIRECT(ADDRESS(2,COLUMN())),OFFSET($AT$2,0,0,ROW()-1,40),ROW()-1,FALSE))</f>
        <v/>
      </c>
      <c r="AM18" t="str">
        <f ca="1">IF(AND(ISNUMBER($AM$128),$B$113=1),$AM$128,HLOOKUP(INDIRECT(ADDRESS(2,COLUMN())),OFFSET($AT$2,0,0,ROW()-1,40),ROW()-1,FALSE))</f>
        <v/>
      </c>
      <c r="AN18" t="str">
        <f ca="1">IF(AND(ISNUMBER($AN$128),$B$113=1),$AN$128,HLOOKUP(INDIRECT(ADDRESS(2,COLUMN())),OFFSET($AT$2,0,0,ROW()-1,40),ROW()-1,FALSE))</f>
        <v/>
      </c>
      <c r="AO18" t="str">
        <f ca="1">IF(AND(ISNUMBER($AO$128),$B$113=1),$AO$128,HLOOKUP(INDIRECT(ADDRESS(2,COLUMN())),OFFSET($AT$2,0,0,ROW()-1,40),ROW()-1,FALSE))</f>
        <v/>
      </c>
      <c r="AP18" t="str">
        <f ca="1">IF(AND(ISNUMBER($AP$128),$B$113=1),$AP$128,HLOOKUP(INDIRECT(ADDRESS(2,COLUMN())),OFFSET($AT$2,0,0,ROW()-1,40),ROW()-1,FALSE))</f>
        <v/>
      </c>
      <c r="AQ18" t="str">
        <f ca="1">IF(AND(ISNUMBER($AQ$128),$B$113=1),$AQ$128,HLOOKUP(INDIRECT(ADDRESS(2,COLUMN())),OFFSET($AT$2,0,0,ROW()-1,40),ROW()-1,FALSE))</f>
        <v/>
      </c>
      <c r="AR18" t="str">
        <f ca="1">IF(AND(ISNUMBER($AR$128),$B$113=1),$AR$128,HLOOKUP(INDIRECT(ADDRESS(2,COLUMN())),OFFSET($AT$2,0,0,ROW()-1,40),ROW()-1,FALSE))</f>
        <v/>
      </c>
      <c r="AS18" t="str">
        <f ca="1">IF(AND(ISNUMBER($AS$128),$B$113=1),$AS$128,HLOOKUP(INDIRECT(ADDRESS(2,COLUMN())),OFFSET($AT$2,0,0,ROW()-1,40),ROW()-1,FALSE))</f>
        <v/>
      </c>
      <c r="AT18">
        <f>313858</f>
        <v>313858</v>
      </c>
      <c r="AU18">
        <f>366784</f>
        <v>366784</v>
      </c>
      <c r="AV18">
        <f>347856</f>
        <v>347856</v>
      </c>
      <c r="AW18">
        <f>359669</f>
        <v>359669</v>
      </c>
      <c r="AX18">
        <f>337459</f>
        <v>337459</v>
      </c>
      <c r="AY18">
        <f>303850</f>
        <v>303850</v>
      </c>
      <c r="AZ18">
        <f>289800</f>
        <v>289800</v>
      </c>
      <c r="BA18">
        <f>290423</f>
        <v>290423</v>
      </c>
      <c r="BB18">
        <f>286843</f>
        <v>286843</v>
      </c>
      <c r="BC18">
        <f>271062</f>
        <v>271062</v>
      </c>
      <c r="BD18">
        <f>264847</f>
        <v>264847</v>
      </c>
      <c r="BE18">
        <f>273038</f>
        <v>273038</v>
      </c>
      <c r="BF18">
        <f>277885</f>
        <v>277885</v>
      </c>
      <c r="BG18">
        <f>293674</f>
        <v>293674</v>
      </c>
      <c r="BH18">
        <f>306881</f>
        <v>306881</v>
      </c>
      <c r="BI18">
        <f>301250</f>
        <v>301250</v>
      </c>
      <c r="BJ18">
        <f>281852</f>
        <v>281852</v>
      </c>
      <c r="BK18">
        <f>249303</f>
        <v>249303</v>
      </c>
      <c r="BL18">
        <f>228553</f>
        <v>228553</v>
      </c>
      <c r="BM18">
        <f>214675</f>
        <v>214675</v>
      </c>
      <c r="BN18">
        <f>210910</f>
        <v>210910</v>
      </c>
      <c r="BO18">
        <f>208176</f>
        <v>208176</v>
      </c>
      <c r="BP18">
        <f>0</f>
        <v>0</v>
      </c>
      <c r="BQ18">
        <f>0</f>
        <v>0</v>
      </c>
      <c r="BR18">
        <f>0</f>
        <v>0</v>
      </c>
      <c r="BS18">
        <f>0</f>
        <v>0</v>
      </c>
      <c r="BT18">
        <f>0</f>
        <v>0</v>
      </c>
      <c r="BU18">
        <f>0</f>
        <v>0</v>
      </c>
      <c r="BV18">
        <f>0</f>
        <v>0</v>
      </c>
      <c r="BW18">
        <f>0</f>
        <v>0</v>
      </c>
      <c r="BX18">
        <f>0</f>
        <v>0</v>
      </c>
      <c r="BY18" t="str">
        <f>""</f>
        <v/>
      </c>
      <c r="BZ18" t="str">
        <f>""</f>
        <v/>
      </c>
      <c r="CA18" t="str">
        <f>""</f>
        <v/>
      </c>
      <c r="CB18" t="str">
        <f>""</f>
        <v/>
      </c>
      <c r="CC18" t="str">
        <f>""</f>
        <v/>
      </c>
      <c r="CD18" t="str">
        <f>""</f>
        <v/>
      </c>
      <c r="CE18" t="str">
        <f>""</f>
        <v/>
      </c>
      <c r="CF18" t="str">
        <f>""</f>
        <v/>
      </c>
      <c r="CG18" t="str">
        <f>""</f>
        <v/>
      </c>
    </row>
    <row r="19" spans="1:85" x14ac:dyDescent="0.2">
      <c r="A19" t="str">
        <f>"    US Construction Spending SAAR ($m)"</f>
        <v xml:space="preserve">    US Construction Spending SAAR ($m)</v>
      </c>
      <c r="B19" t="str">
        <f>""</f>
        <v/>
      </c>
      <c r="E19" t="str">
        <f>"Heading"</f>
        <v>Heading</v>
      </c>
      <c r="AT19" t="str">
        <f>""</f>
        <v/>
      </c>
      <c r="AU19" t="str">
        <f>""</f>
        <v/>
      </c>
      <c r="AV19" t="str">
        <f>""</f>
        <v/>
      </c>
      <c r="AW19" t="str">
        <f>""</f>
        <v/>
      </c>
      <c r="AX19" t="str">
        <f>""</f>
        <v/>
      </c>
      <c r="AY19" t="str">
        <f>""</f>
        <v/>
      </c>
      <c r="AZ19" t="str">
        <f>""</f>
        <v/>
      </c>
      <c r="BA19" t="str">
        <f>""</f>
        <v/>
      </c>
      <c r="BB19" t="str">
        <f>""</f>
        <v/>
      </c>
      <c r="BC19" t="str">
        <f>""</f>
        <v/>
      </c>
      <c r="BD19" t="str">
        <f>""</f>
        <v/>
      </c>
      <c r="BE19" t="str">
        <f>""</f>
        <v/>
      </c>
      <c r="BF19" t="str">
        <f>""</f>
        <v/>
      </c>
      <c r="BG19" t="str">
        <f>""</f>
        <v/>
      </c>
      <c r="BH19" t="str">
        <f>""</f>
        <v/>
      </c>
      <c r="BI19" t="str">
        <f>""</f>
        <v/>
      </c>
      <c r="BJ19" t="str">
        <f>""</f>
        <v/>
      </c>
      <c r="BK19" t="str">
        <f>""</f>
        <v/>
      </c>
      <c r="BL19" t="str">
        <f>""</f>
        <v/>
      </c>
      <c r="BM19" t="str">
        <f>""</f>
        <v/>
      </c>
      <c r="BN19" t="str">
        <f>""</f>
        <v/>
      </c>
      <c r="BO19" t="str">
        <f>""</f>
        <v/>
      </c>
      <c r="BP19" t="str">
        <f>""</f>
        <v/>
      </c>
      <c r="BQ19" t="str">
        <f>""</f>
        <v/>
      </c>
      <c r="BR19" t="str">
        <f>""</f>
        <v/>
      </c>
      <c r="BS19" t="str">
        <f>""</f>
        <v/>
      </c>
      <c r="BT19" t="str">
        <f>""</f>
        <v/>
      </c>
      <c r="BU19" t="str">
        <f>""</f>
        <v/>
      </c>
      <c r="BV19" t="str">
        <f>""</f>
        <v/>
      </c>
      <c r="BW19" t="str">
        <f>""</f>
        <v/>
      </c>
      <c r="BX19" t="str">
        <f>""</f>
        <v/>
      </c>
      <c r="BY19" t="str">
        <f>""</f>
        <v/>
      </c>
      <c r="BZ19" t="str">
        <f>""</f>
        <v/>
      </c>
      <c r="CA19" t="str">
        <f>""</f>
        <v/>
      </c>
      <c r="CB19" t="str">
        <f>""</f>
        <v/>
      </c>
      <c r="CC19" t="str">
        <f>""</f>
        <v/>
      </c>
      <c r="CD19" t="str">
        <f>""</f>
        <v/>
      </c>
      <c r="CE19" t="str">
        <f>""</f>
        <v/>
      </c>
      <c r="CF19" t="str">
        <f>""</f>
        <v/>
      </c>
      <c r="CG19" t="str">
        <f>""</f>
        <v/>
      </c>
    </row>
    <row r="20" spans="1:85" x14ac:dyDescent="0.2">
      <c r="A20" t="str">
        <f>"    U.S. Total Construction Spending (SAAR)"</f>
        <v xml:space="preserve">    U.S. Total Construction Spending (SAAR)</v>
      </c>
      <c r="B20" t="str">
        <f>"CNSTTOTA Index"</f>
        <v>CNSTTOTA Index</v>
      </c>
      <c r="C20" t="str">
        <f t="shared" ref="C20:C28" si="6">"PR005"</f>
        <v>PR005</v>
      </c>
      <c r="D20" t="str">
        <f t="shared" ref="D20:D28" si="7">"PX_LAST"</f>
        <v>PX_LAST</v>
      </c>
      <c r="E20" t="str">
        <f t="shared" ref="E20:E28" si="8">"Dynamic"</f>
        <v>Dynamic</v>
      </c>
      <c r="F20">
        <f ca="1">IF(AND(ISNUMBER($F$129),$B$113=1),$F$129,HLOOKUP(INDIRECT(ADDRESS(2,COLUMN())),OFFSET($AT$2,0,0,ROW()-1,40),ROW()-1,FALSE))</f>
        <v>1996525</v>
      </c>
      <c r="G20">
        <f ca="1">IF(AND(ISNUMBER($G$129),$B$113=1),$G$129,HLOOKUP(INDIRECT(ADDRESS(2,COLUMN())),OFFSET($AT$2,0,0,ROW()-1,40),ROW()-1,FALSE))</f>
        <v>1840896</v>
      </c>
      <c r="H20">
        <f ca="1">IF(AND(ISNUMBER($H$129),$B$113=1),$H$129,HLOOKUP(INDIRECT(ADDRESS(2,COLUMN())),OFFSET($AT$2,0,0,ROW()-1,40),ROW()-1,FALSE))</f>
        <v>1754426</v>
      </c>
      <c r="I20">
        <f ca="1">IF(AND(ISNUMBER($I$129),$B$113=1),$I$129,HLOOKUP(INDIRECT(ADDRESS(2,COLUMN())),OFFSET($AT$2,0,0,ROW()-1,40),ROW()-1,FALSE))</f>
        <v>1572760</v>
      </c>
      <c r="J20">
        <f ca="1">IF(AND(ISNUMBER($J$129),$B$113=1),$J$129,HLOOKUP(INDIRECT(ADDRESS(2,COLUMN())),OFFSET($AT$2,0,0,ROW()-1,40),ROW()-1,FALSE))</f>
        <v>1466415</v>
      </c>
      <c r="K20">
        <f ca="1">IF(AND(ISNUMBER($K$129),$B$113=1),$K$129,HLOOKUP(INDIRECT(ADDRESS(2,COLUMN())),OFFSET($AT$2,0,0,ROW()-1,40),ROW()-1,FALSE))</f>
        <v>1289930</v>
      </c>
      <c r="L20">
        <f ca="1">IF(AND(ISNUMBER($L$129),$B$113=1),$L$129,HLOOKUP(INDIRECT(ADDRESS(2,COLUMN())),OFFSET($AT$2,0,0,ROW()-1,40),ROW()-1,FALSE))</f>
        <v>1313666</v>
      </c>
      <c r="M20">
        <f ca="1">IF(AND(ISNUMBER($M$129),$B$113=1),$M$129,HLOOKUP(INDIRECT(ADDRESS(2,COLUMN())),OFFSET($AT$2,0,0,ROW()-1,40),ROW()-1,FALSE))</f>
        <v>1270443</v>
      </c>
      <c r="N20">
        <f ca="1">IF(AND(ISNUMBER($N$129),$B$113=1),$N$129,HLOOKUP(INDIRECT(ADDRESS(2,COLUMN())),OFFSET($AT$2,0,0,ROW()-1,40),ROW()-1,FALSE))</f>
        <v>1156354</v>
      </c>
      <c r="O20">
        <f ca="1">IF(AND(ISNUMBER($O$129),$B$113=1),$O$129,HLOOKUP(INDIRECT(ADDRESS(2,COLUMN())),OFFSET($AT$2,0,0,ROW()-1,40),ROW()-1,FALSE))</f>
        <v>1056429</v>
      </c>
      <c r="P20">
        <f ca="1">IF(AND(ISNUMBER($P$129),$B$113=1),$P$129,HLOOKUP(INDIRECT(ADDRESS(2,COLUMN())),OFFSET($AT$2,0,0,ROW()-1,40),ROW()-1,FALSE))</f>
        <v>979211</v>
      </c>
      <c r="Q20">
        <f ca="1">IF(AND(ISNUMBER($Q$129),$B$113=1),$Q$129,HLOOKUP(INDIRECT(ADDRESS(2,COLUMN())),OFFSET($AT$2,0,0,ROW()-1,40),ROW()-1,FALSE))</f>
        <v>871809</v>
      </c>
      <c r="R20">
        <f ca="1">IF(AND(ISNUMBER($R$129),$B$113=1),$R$129,HLOOKUP(INDIRECT(ADDRESS(2,COLUMN())),OFFSET($AT$2,0,0,ROW()-1,40),ROW()-1,FALSE))</f>
        <v>821367</v>
      </c>
      <c r="S20">
        <f ca="1">IF(AND(ISNUMBER($S$129),$B$113=1),$S$129,HLOOKUP(INDIRECT(ADDRESS(2,COLUMN())),OFFSET($AT$2,0,0,ROW()-1,40),ROW()-1,FALSE))</f>
        <v>789395</v>
      </c>
      <c r="T20">
        <f ca="1">IF(AND(ISNUMBER($T$129),$B$113=1),$T$129,HLOOKUP(INDIRECT(ADDRESS(2,COLUMN())),OFFSET($AT$2,0,0,ROW()-1,40),ROW()-1,FALSE))</f>
        <v>842609</v>
      </c>
      <c r="U20">
        <f ca="1">IF(AND(ISNUMBER($U$129),$B$113=1),$U$129,HLOOKUP(INDIRECT(ADDRESS(2,COLUMN())),OFFSET($AT$2,0,0,ROW()-1,40),ROW()-1,FALSE))</f>
        <v>999139</v>
      </c>
      <c r="V20">
        <f ca="1">IF(AND(ISNUMBER($V$129),$B$113=1),$V$129,HLOOKUP(INDIRECT(ADDRESS(2,COLUMN())),OFFSET($AT$2,0,0,ROW()-1,40),ROW()-1,FALSE))</f>
        <v>1115141</v>
      </c>
      <c r="W20">
        <f ca="1">IF(AND(ISNUMBER($W$129),$B$113=1),$W$129,HLOOKUP(INDIRECT(ADDRESS(2,COLUMN())),OFFSET($AT$2,0,0,ROW()-1,40),ROW()-1,FALSE))</f>
        <v>1135406</v>
      </c>
      <c r="X20">
        <f ca="1">IF(AND(ISNUMBER($X$129),$B$113=1),$X$129,HLOOKUP(INDIRECT(ADDRESS(2,COLUMN())),OFFSET($AT$2,0,0,ROW()-1,40),ROW()-1,FALSE))</f>
        <v>1184677</v>
      </c>
      <c r="Y20">
        <f ca="1">IF(AND(ISNUMBER($Y$129),$B$113=1),$Y$129,HLOOKUP(INDIRECT(ADDRESS(2,COLUMN())),OFFSET($AT$2,0,0,ROW()-1,40),ROW()-1,FALSE))</f>
        <v>1037480</v>
      </c>
      <c r="Z20">
        <f ca="1">IF(AND(ISNUMBER($Z$129),$B$113=1),$Z$129,HLOOKUP(INDIRECT(ADDRESS(2,COLUMN())),OFFSET($AT$2,0,0,ROW()-1,40),ROW()-1,FALSE))</f>
        <v>948491</v>
      </c>
      <c r="AA20">
        <f ca="1">IF(AND(ISNUMBER($AA$129),$B$113=1),$AA$129,HLOOKUP(INDIRECT(ADDRESS(2,COLUMN())),OFFSET($AT$2,0,0,ROW()-1,40),ROW()-1,FALSE))</f>
        <v>855921</v>
      </c>
      <c r="AB20">
        <f ca="1">IF(AND(ISNUMBER($AB$129),$B$113=1),$AB$129,HLOOKUP(INDIRECT(ADDRESS(2,COLUMN())),OFFSET($AT$2,0,0,ROW()-1,40),ROW()-1,FALSE))</f>
        <v>849689</v>
      </c>
      <c r="AC20">
        <f ca="1">IF(AND(ISNUMBER($AC$129),$B$113=1),$AC$129,HLOOKUP(INDIRECT(ADDRESS(2,COLUMN())),OFFSET($AT$2,0,0,ROW()-1,40),ROW()-1,FALSE))</f>
        <v>811516</v>
      </c>
      <c r="AD20">
        <f ca="1">IF(AND(ISNUMBER($AD$129),$B$113=1),$AD$129,HLOOKUP(INDIRECT(ADDRESS(2,COLUMN())),OFFSET($AT$2,0,0,ROW()-1,40),ROW()-1,FALSE))</f>
        <v>789431</v>
      </c>
      <c r="AE20">
        <f ca="1">IF(AND(ISNUMBER($AE$129),$B$113=1),$AE$129,HLOOKUP(INDIRECT(ADDRESS(2,COLUMN())),OFFSET($AT$2,0,0,ROW()-1,40),ROW()-1,FALSE))</f>
        <v>706989</v>
      </c>
      <c r="AF20">
        <f ca="1">IF(AND(ISNUMBER($AF$129),$B$113=1),$AF$129,HLOOKUP(INDIRECT(ADDRESS(2,COLUMN())),OFFSET($AT$2,0,0,ROW()-1,40),ROW()-1,FALSE))</f>
        <v>642021</v>
      </c>
      <c r="AG20">
        <f ca="1">IF(AND(ISNUMBER($AG$129),$B$113=1),$AG$129,HLOOKUP(INDIRECT(ADDRESS(2,COLUMN())),OFFSET($AT$2,0,0,ROW()-1,40),ROW()-1,FALSE))</f>
        <v>606078</v>
      </c>
      <c r="AH20">
        <f ca="1">IF(AND(ISNUMBER($AH$129),$B$113=1),$AH$129,HLOOKUP(INDIRECT(ADDRESS(2,COLUMN())),OFFSET($AT$2,0,0,ROW()-1,40),ROW()-1,FALSE))</f>
        <v>557953</v>
      </c>
      <c r="AI20">
        <f ca="1">IF(AND(ISNUMBER($AI$129),$B$113=1),$AI$129,HLOOKUP(INDIRECT(ADDRESS(2,COLUMN())),OFFSET($AT$2,0,0,ROW()-1,40),ROW()-1,FALSE))</f>
        <v>541794</v>
      </c>
      <c r="AJ20">
        <f ca="1">IF(AND(ISNUMBER($AJ$129),$B$113=1),$AJ$129,HLOOKUP(INDIRECT(ADDRESS(2,COLUMN())),OFFSET($AT$2,0,0,ROW()-1,40),ROW()-1,FALSE))</f>
        <v>533150</v>
      </c>
      <c r="AK20">
        <f ca="1">IF(AND(ISNUMBER($AK$129),$B$113=1),$AK$129,HLOOKUP(INDIRECT(ADDRESS(2,COLUMN())),OFFSET($AT$2,0,0,ROW()-1,40),ROW()-1,FALSE))</f>
        <v>478324</v>
      </c>
      <c r="AL20">
        <f ca="1">IF(AND(ISNUMBER($AL$129),$B$113=1),$AL$129,HLOOKUP(INDIRECT(ADDRESS(2,COLUMN())),OFFSET($AT$2,0,0,ROW()-1,40),ROW()-1,FALSE))</f>
        <v>433334</v>
      </c>
      <c r="AM20">
        <f ca="1">IF(AND(ISNUMBER($AM$129),$B$113=1),$AM$129,HLOOKUP(INDIRECT(ADDRESS(2,COLUMN())),OFFSET($AT$2,0,0,ROW()-1,40),ROW()-1,FALSE))</f>
        <v>449638</v>
      </c>
      <c r="AN20">
        <f ca="1">IF(AND(ISNUMBER($AN$129),$B$113=1),$AN$129,HLOOKUP(INDIRECT(ADDRESS(2,COLUMN())),OFFSET($AT$2,0,0,ROW()-1,40),ROW()-1,FALSE))</f>
        <v>478202</v>
      </c>
      <c r="AO20">
        <f ca="1">IF(AND(ISNUMBER($AO$129),$B$113=1),$AO$129,HLOOKUP(INDIRECT(ADDRESS(2,COLUMN())),OFFSET($AT$2,0,0,ROW()-1,40),ROW()-1,FALSE))</f>
        <v>479559</v>
      </c>
      <c r="AP20">
        <f ca="1">IF(AND(ISNUMBER($AP$129),$B$113=1),$AP$129,HLOOKUP(INDIRECT(ADDRESS(2,COLUMN())),OFFSET($AT$2,0,0,ROW()-1,40),ROW()-1,FALSE))</f>
        <v>459343</v>
      </c>
      <c r="AQ20">
        <f ca="1">IF(AND(ISNUMBER($AQ$129),$B$113=1),$AQ$129,HLOOKUP(INDIRECT(ADDRESS(2,COLUMN())),OFFSET($AT$2,0,0,ROW()-1,40),ROW()-1,FALSE))</f>
        <v>434464</v>
      </c>
      <c r="AR20">
        <f ca="1">IF(AND(ISNUMBER($AR$129),$B$113=1),$AR$129,HLOOKUP(INDIRECT(ADDRESS(2,COLUMN())),OFFSET($AT$2,0,0,ROW()-1,40),ROW()-1,FALSE))</f>
        <v>420812</v>
      </c>
      <c r="AS20">
        <f ca="1">IF(AND(ISNUMBER($AS$129),$B$113=1),$AS$129,HLOOKUP(INDIRECT(ADDRESS(2,COLUMN())),OFFSET($AT$2,0,0,ROW()-1,40),ROW()-1,FALSE))</f>
        <v>385905</v>
      </c>
      <c r="AT20">
        <f>1996525</f>
        <v>1996525</v>
      </c>
      <c r="AU20">
        <f>1840896</f>
        <v>1840896</v>
      </c>
      <c r="AV20">
        <f>1754426</f>
        <v>1754426</v>
      </c>
      <c r="AW20">
        <f>1572760</f>
        <v>1572760</v>
      </c>
      <c r="AX20">
        <f>1466415</f>
        <v>1466415</v>
      </c>
      <c r="AY20">
        <f>1289930</f>
        <v>1289930</v>
      </c>
      <c r="AZ20">
        <f>1313666</f>
        <v>1313666</v>
      </c>
      <c r="BA20">
        <f>1270443</f>
        <v>1270443</v>
      </c>
      <c r="BB20">
        <f>1156354</f>
        <v>1156354</v>
      </c>
      <c r="BC20">
        <f>1056429</f>
        <v>1056429</v>
      </c>
      <c r="BD20">
        <f>979211</f>
        <v>979211</v>
      </c>
      <c r="BE20">
        <f>871809</f>
        <v>871809</v>
      </c>
      <c r="BF20">
        <f>821367</f>
        <v>821367</v>
      </c>
      <c r="BG20">
        <f>789395</f>
        <v>789395</v>
      </c>
      <c r="BH20">
        <f>842609</f>
        <v>842609</v>
      </c>
      <c r="BI20">
        <f>999139</f>
        <v>999139</v>
      </c>
      <c r="BJ20">
        <f>1115141</f>
        <v>1115141</v>
      </c>
      <c r="BK20">
        <f>1135406</f>
        <v>1135406</v>
      </c>
      <c r="BL20">
        <f>1184677</f>
        <v>1184677</v>
      </c>
      <c r="BM20">
        <f>1037480</f>
        <v>1037480</v>
      </c>
      <c r="BN20">
        <f>948491</f>
        <v>948491</v>
      </c>
      <c r="BO20">
        <f>855921</f>
        <v>855921</v>
      </c>
      <c r="BP20">
        <f>849689</f>
        <v>849689</v>
      </c>
      <c r="BQ20">
        <f>811516</f>
        <v>811516</v>
      </c>
      <c r="BR20">
        <f>789431</f>
        <v>789431</v>
      </c>
      <c r="BS20">
        <f>706989</f>
        <v>706989</v>
      </c>
      <c r="BT20">
        <f>642021</f>
        <v>642021</v>
      </c>
      <c r="BU20">
        <f>606078</f>
        <v>606078</v>
      </c>
      <c r="BV20">
        <f>557953</f>
        <v>557953</v>
      </c>
      <c r="BW20">
        <f>541794</f>
        <v>541794</v>
      </c>
      <c r="BX20">
        <f>533150</f>
        <v>533150</v>
      </c>
      <c r="BY20">
        <f>478324</f>
        <v>478324</v>
      </c>
      <c r="BZ20">
        <f>433334</f>
        <v>433334</v>
      </c>
      <c r="CA20">
        <f>449638</f>
        <v>449638</v>
      </c>
      <c r="CB20">
        <f>478202</f>
        <v>478202</v>
      </c>
      <c r="CC20">
        <f>479559</f>
        <v>479559</v>
      </c>
      <c r="CD20">
        <f>459343</f>
        <v>459343</v>
      </c>
      <c r="CE20">
        <f>434464</f>
        <v>434464</v>
      </c>
      <c r="CF20">
        <f>420812</f>
        <v>420812</v>
      </c>
      <c r="CG20">
        <f>385905</f>
        <v>385905</v>
      </c>
    </row>
    <row r="21" spans="1:85" x14ac:dyDescent="0.2">
      <c r="A21" t="str">
        <f>"        U.S. Total Residential Construction Spending"</f>
        <v xml:space="preserve">        U.S. Total Residential Construction Spending</v>
      </c>
      <c r="B21" t="str">
        <f>"CNSTRESI Index"</f>
        <v>CNSTRESI Index</v>
      </c>
      <c r="C21" t="str">
        <f t="shared" si="6"/>
        <v>PR005</v>
      </c>
      <c r="D21" t="str">
        <f t="shared" si="7"/>
        <v>PX_LAST</v>
      </c>
      <c r="E21" t="str">
        <f t="shared" si="8"/>
        <v>Dynamic</v>
      </c>
      <c r="F21">
        <f ca="1">IF(AND(ISNUMBER($F$130),$B$113=1),$F$130,HLOOKUP(INDIRECT(ADDRESS(2,COLUMN())),OFFSET($AT$2,0,0,ROW()-1,40),ROW()-1,FALSE))</f>
        <v>882325</v>
      </c>
      <c r="G21">
        <f ca="1">IF(AND(ISNUMBER($G$130),$B$113=1),$G$130,HLOOKUP(INDIRECT(ADDRESS(2,COLUMN())),OFFSET($AT$2,0,0,ROW()-1,40),ROW()-1,FALSE))</f>
        <v>863102</v>
      </c>
      <c r="H21">
        <f ca="1">IF(AND(ISNUMBER($H$130),$B$113=1),$H$130,HLOOKUP(INDIRECT(ADDRESS(2,COLUMN())),OFFSET($AT$2,0,0,ROW()-1,40),ROW()-1,FALSE))</f>
        <v>891046</v>
      </c>
      <c r="I21">
        <f ca="1">IF(AND(ISNUMBER($I$130),$B$113=1),$I$130,HLOOKUP(INDIRECT(ADDRESS(2,COLUMN())),OFFSET($AT$2,0,0,ROW()-1,40),ROW()-1,FALSE))</f>
        <v>734722</v>
      </c>
      <c r="J21">
        <f ca="1">IF(AND(ISNUMBER($J$130),$B$113=1),$J$130,HLOOKUP(INDIRECT(ADDRESS(2,COLUMN())),OFFSET($AT$2,0,0,ROW()-1,40),ROW()-1,FALSE))</f>
        <v>594372</v>
      </c>
      <c r="K21">
        <f ca="1">IF(AND(ISNUMBER($K$130),$B$113=1),$K$130,HLOOKUP(INDIRECT(ADDRESS(2,COLUMN())),OFFSET($AT$2,0,0,ROW()-1,40),ROW()-1,FALSE))</f>
        <v>524626</v>
      </c>
      <c r="L21">
        <f ca="1">IF(AND(ISNUMBER($L$130),$B$113=1),$L$130,HLOOKUP(INDIRECT(ADDRESS(2,COLUMN())),OFFSET($AT$2,0,0,ROW()-1,40),ROW()-1,FALSE))</f>
        <v>571985</v>
      </c>
      <c r="M21">
        <f ca="1">IF(AND(ISNUMBER($M$130),$B$113=1),$M$130,HLOOKUP(INDIRECT(ADDRESS(2,COLUMN())),OFFSET($AT$2,0,0,ROW()-1,40),ROW()-1,FALSE))</f>
        <v>519253</v>
      </c>
      <c r="N21">
        <f ca="1">IF(AND(ISNUMBER($N$130),$B$113=1),$N$130,HLOOKUP(INDIRECT(ADDRESS(2,COLUMN())),OFFSET($AT$2,0,0,ROW()-1,40),ROW()-1,FALSE))</f>
        <v>459296</v>
      </c>
      <c r="O21">
        <f ca="1">IF(AND(ISNUMBER($O$130),$B$113=1),$O$130,HLOOKUP(INDIRECT(ADDRESS(2,COLUMN())),OFFSET($AT$2,0,0,ROW()-1,40),ROW()-1,FALSE))</f>
        <v>406913</v>
      </c>
      <c r="P21">
        <f ca="1">IF(AND(ISNUMBER($P$130),$B$113=1),$P$130,HLOOKUP(INDIRECT(ADDRESS(2,COLUMN())),OFFSET($AT$2,0,0,ROW()-1,40),ROW()-1,FALSE))</f>
        <v>366094</v>
      </c>
      <c r="Q21">
        <f ca="1">IF(AND(ISNUMBER($Q$130),$B$113=1),$Q$130,HLOOKUP(INDIRECT(ADDRESS(2,COLUMN())),OFFSET($AT$2,0,0,ROW()-1,40),ROW()-1,FALSE))</f>
        <v>305105</v>
      </c>
      <c r="R21">
        <f ca="1">IF(AND(ISNUMBER($R$130),$B$113=1),$R$130,HLOOKUP(INDIRECT(ADDRESS(2,COLUMN())),OFFSET($AT$2,0,0,ROW()-1,40),ROW()-1,FALSE))</f>
        <v>255090</v>
      </c>
      <c r="S21">
        <f ca="1">IF(AND(ISNUMBER($S$130),$B$113=1),$S$130,HLOOKUP(INDIRECT(ADDRESS(2,COLUMN())),OFFSET($AT$2,0,0,ROW()-1,40),ROW()-1,FALSE))</f>
        <v>248929</v>
      </c>
      <c r="T21">
        <f ca="1">IF(AND(ISNUMBER($T$130),$B$113=1),$T$130,HLOOKUP(INDIRECT(ADDRESS(2,COLUMN())),OFFSET($AT$2,0,0,ROW()-1,40),ROW()-1,FALSE))</f>
        <v>264592</v>
      </c>
      <c r="U21">
        <f ca="1">IF(AND(ISNUMBER($U$130),$B$113=1),$U$130,HLOOKUP(INDIRECT(ADDRESS(2,COLUMN())),OFFSET($AT$2,0,0,ROW()-1,40),ROW()-1,FALSE))</f>
        <v>301332</v>
      </c>
      <c r="V21">
        <f ca="1">IF(AND(ISNUMBER($V$130),$B$113=1),$V$130,HLOOKUP(INDIRECT(ADDRESS(2,COLUMN())),OFFSET($AT$2,0,0,ROW()-1,40),ROW()-1,FALSE))</f>
        <v>423699</v>
      </c>
      <c r="W21">
        <f ca="1">IF(AND(ISNUMBER($W$130),$B$113=1),$W$130,HLOOKUP(INDIRECT(ADDRESS(2,COLUMN())),OFFSET($AT$2,0,0,ROW()-1,40),ROW()-1,FALSE))</f>
        <v>551740</v>
      </c>
      <c r="X21">
        <f ca="1">IF(AND(ISNUMBER($X$130),$B$113=1),$X$130,HLOOKUP(INDIRECT(ADDRESS(2,COLUMN())),OFFSET($AT$2,0,0,ROW()-1,40),ROW()-1,FALSE))</f>
        <v>676135</v>
      </c>
      <c r="Y21">
        <f ca="1">IF(AND(ISNUMBER($Y$130),$B$113=1),$Y$130,HLOOKUP(INDIRECT(ADDRESS(2,COLUMN())),OFFSET($AT$2,0,0,ROW()-1,40),ROW()-1,FALSE))</f>
        <v>571871</v>
      </c>
      <c r="Z21">
        <f ca="1">IF(AND(ISNUMBER($Z$130),$B$113=1),$Z$130,HLOOKUP(INDIRECT(ADDRESS(2,COLUMN())),OFFSET($AT$2,0,0,ROW()-1,40),ROW()-1,FALSE))</f>
        <v>508637</v>
      </c>
      <c r="AA21">
        <f ca="1">IF(AND(ISNUMBER($AA$130),$B$113=1),$AA$130,HLOOKUP(INDIRECT(ADDRESS(2,COLUMN())),OFFSET($AT$2,0,0,ROW()-1,40),ROW()-1,FALSE))</f>
        <v>416844</v>
      </c>
      <c r="AB21" t="str">
        <f ca="1">IF(AND(ISNUMBER($AB$130),$B$113=1),$AB$130,HLOOKUP(INDIRECT(ADDRESS(2,COLUMN())),OFFSET($AT$2,0,0,ROW()-1,40),ROW()-1,FALSE))</f>
        <v/>
      </c>
      <c r="AC21" t="str">
        <f ca="1">IF(AND(ISNUMBER($AC$130),$B$113=1),$AC$130,HLOOKUP(INDIRECT(ADDRESS(2,COLUMN())),OFFSET($AT$2,0,0,ROW()-1,40),ROW()-1,FALSE))</f>
        <v/>
      </c>
      <c r="AD21" t="str">
        <f ca="1">IF(AND(ISNUMBER($AD$130),$B$113=1),$AD$130,HLOOKUP(INDIRECT(ADDRESS(2,COLUMN())),OFFSET($AT$2,0,0,ROW()-1,40),ROW()-1,FALSE))</f>
        <v/>
      </c>
      <c r="AE21" t="str">
        <f ca="1">IF(AND(ISNUMBER($AE$130),$B$113=1),$AE$130,HLOOKUP(INDIRECT(ADDRESS(2,COLUMN())),OFFSET($AT$2,0,0,ROW()-1,40),ROW()-1,FALSE))</f>
        <v/>
      </c>
      <c r="AF21" t="str">
        <f ca="1">IF(AND(ISNUMBER($AF$130),$B$113=1),$AF$130,HLOOKUP(INDIRECT(ADDRESS(2,COLUMN())),OFFSET($AT$2,0,0,ROW()-1,40),ROW()-1,FALSE))</f>
        <v/>
      </c>
      <c r="AG21" t="str">
        <f ca="1">IF(AND(ISNUMBER($AG$130),$B$113=1),$AG$130,HLOOKUP(INDIRECT(ADDRESS(2,COLUMN())),OFFSET($AT$2,0,0,ROW()-1,40),ROW()-1,FALSE))</f>
        <v/>
      </c>
      <c r="AH21" t="str">
        <f ca="1">IF(AND(ISNUMBER($AH$130),$B$113=1),$AH$130,HLOOKUP(INDIRECT(ADDRESS(2,COLUMN())),OFFSET($AT$2,0,0,ROW()-1,40),ROW()-1,FALSE))</f>
        <v/>
      </c>
      <c r="AI21" t="str">
        <f ca="1">IF(AND(ISNUMBER($AI$130),$B$113=1),$AI$130,HLOOKUP(INDIRECT(ADDRESS(2,COLUMN())),OFFSET($AT$2,0,0,ROW()-1,40),ROW()-1,FALSE))</f>
        <v/>
      </c>
      <c r="AJ21" t="str">
        <f ca="1">IF(AND(ISNUMBER($AJ$130),$B$113=1),$AJ$130,HLOOKUP(INDIRECT(ADDRESS(2,COLUMN())),OFFSET($AT$2,0,0,ROW()-1,40),ROW()-1,FALSE))</f>
        <v/>
      </c>
      <c r="AK21" t="str">
        <f ca="1">IF(AND(ISNUMBER($AK$130),$B$113=1),$AK$130,HLOOKUP(INDIRECT(ADDRESS(2,COLUMN())),OFFSET($AT$2,0,0,ROW()-1,40),ROW()-1,FALSE))</f>
        <v/>
      </c>
      <c r="AL21" t="str">
        <f ca="1">IF(AND(ISNUMBER($AL$130),$B$113=1),$AL$130,HLOOKUP(INDIRECT(ADDRESS(2,COLUMN())),OFFSET($AT$2,0,0,ROW()-1,40),ROW()-1,FALSE))</f>
        <v/>
      </c>
      <c r="AM21" t="str">
        <f ca="1">IF(AND(ISNUMBER($AM$130),$B$113=1),$AM$130,HLOOKUP(INDIRECT(ADDRESS(2,COLUMN())),OFFSET($AT$2,0,0,ROW()-1,40),ROW()-1,FALSE))</f>
        <v/>
      </c>
      <c r="AN21" t="str">
        <f ca="1">IF(AND(ISNUMBER($AN$130),$B$113=1),$AN$130,HLOOKUP(INDIRECT(ADDRESS(2,COLUMN())),OFFSET($AT$2,0,0,ROW()-1,40),ROW()-1,FALSE))</f>
        <v/>
      </c>
      <c r="AO21" t="str">
        <f ca="1">IF(AND(ISNUMBER($AO$130),$B$113=1),$AO$130,HLOOKUP(INDIRECT(ADDRESS(2,COLUMN())),OFFSET($AT$2,0,0,ROW()-1,40),ROW()-1,FALSE))</f>
        <v/>
      </c>
      <c r="AP21" t="str">
        <f ca="1">IF(AND(ISNUMBER($AP$130),$B$113=1),$AP$130,HLOOKUP(INDIRECT(ADDRESS(2,COLUMN())),OFFSET($AT$2,0,0,ROW()-1,40),ROW()-1,FALSE))</f>
        <v/>
      </c>
      <c r="AQ21" t="str">
        <f ca="1">IF(AND(ISNUMBER($AQ$130),$B$113=1),$AQ$130,HLOOKUP(INDIRECT(ADDRESS(2,COLUMN())),OFFSET($AT$2,0,0,ROW()-1,40),ROW()-1,FALSE))</f>
        <v/>
      </c>
      <c r="AR21" t="str">
        <f ca="1">IF(AND(ISNUMBER($AR$130),$B$113=1),$AR$130,HLOOKUP(INDIRECT(ADDRESS(2,COLUMN())),OFFSET($AT$2,0,0,ROW()-1,40),ROW()-1,FALSE))</f>
        <v/>
      </c>
      <c r="AS21" t="str">
        <f ca="1">IF(AND(ISNUMBER($AS$130),$B$113=1),$AS$130,HLOOKUP(INDIRECT(ADDRESS(2,COLUMN())),OFFSET($AT$2,0,0,ROW()-1,40),ROW()-1,FALSE))</f>
        <v/>
      </c>
      <c r="AT21">
        <f>882325</f>
        <v>882325</v>
      </c>
      <c r="AU21">
        <f>863102</f>
        <v>863102</v>
      </c>
      <c r="AV21">
        <f>891046</f>
        <v>891046</v>
      </c>
      <c r="AW21">
        <f>734722</f>
        <v>734722</v>
      </c>
      <c r="AX21">
        <f>594372</f>
        <v>594372</v>
      </c>
      <c r="AY21">
        <f>524626</f>
        <v>524626</v>
      </c>
      <c r="AZ21">
        <f>571985</f>
        <v>571985</v>
      </c>
      <c r="BA21">
        <f>519253</f>
        <v>519253</v>
      </c>
      <c r="BB21">
        <f>459296</f>
        <v>459296</v>
      </c>
      <c r="BC21">
        <f>406913</f>
        <v>406913</v>
      </c>
      <c r="BD21">
        <f>366094</f>
        <v>366094</v>
      </c>
      <c r="BE21">
        <f>305105</f>
        <v>305105</v>
      </c>
      <c r="BF21">
        <f>255090</f>
        <v>255090</v>
      </c>
      <c r="BG21">
        <f>248929</f>
        <v>248929</v>
      </c>
      <c r="BH21">
        <f>264592</f>
        <v>264592</v>
      </c>
      <c r="BI21">
        <f>301332</f>
        <v>301332</v>
      </c>
      <c r="BJ21">
        <f>423699</f>
        <v>423699</v>
      </c>
      <c r="BK21">
        <f>551740</f>
        <v>551740</v>
      </c>
      <c r="BL21">
        <f>676135</f>
        <v>676135</v>
      </c>
      <c r="BM21">
        <f>571871</f>
        <v>571871</v>
      </c>
      <c r="BN21">
        <f>508637</f>
        <v>508637</v>
      </c>
      <c r="BO21">
        <f>416844</f>
        <v>416844</v>
      </c>
      <c r="BP21" t="str">
        <f>""</f>
        <v/>
      </c>
      <c r="BQ21" t="str">
        <f>""</f>
        <v/>
      </c>
      <c r="BR21" t="str">
        <f>""</f>
        <v/>
      </c>
      <c r="BS21" t="str">
        <f>""</f>
        <v/>
      </c>
      <c r="BT21" t="str">
        <f>""</f>
        <v/>
      </c>
      <c r="BU21" t="str">
        <f>""</f>
        <v/>
      </c>
      <c r="BV21" t="str">
        <f>""</f>
        <v/>
      </c>
      <c r="BW21" t="str">
        <f>""</f>
        <v/>
      </c>
      <c r="BX21" t="str">
        <f>""</f>
        <v/>
      </c>
      <c r="BY21" t="str">
        <f>""</f>
        <v/>
      </c>
      <c r="BZ21" t="str">
        <f>""</f>
        <v/>
      </c>
      <c r="CA21" t="str">
        <f>""</f>
        <v/>
      </c>
      <c r="CB21" t="str">
        <f>""</f>
        <v/>
      </c>
      <c r="CC21" t="str">
        <f>""</f>
        <v/>
      </c>
      <c r="CD21" t="str">
        <f>""</f>
        <v/>
      </c>
      <c r="CE21" t="str">
        <f>""</f>
        <v/>
      </c>
      <c r="CF21" t="str">
        <f>""</f>
        <v/>
      </c>
      <c r="CG21" t="str">
        <f>""</f>
        <v/>
      </c>
    </row>
    <row r="22" spans="1:85" x14ac:dyDescent="0.2">
      <c r="A22" t="str">
        <f>"        U.S. Total Non-Residential Construction Spending"</f>
        <v xml:space="preserve">        U.S. Total Non-Residential Construction Spending</v>
      </c>
      <c r="B22" t="str">
        <f>"CNSTNRES Index"</f>
        <v>CNSTNRES Index</v>
      </c>
      <c r="C22" t="str">
        <f t="shared" si="6"/>
        <v>PR005</v>
      </c>
      <c r="D22" t="str">
        <f t="shared" si="7"/>
        <v>PX_LAST</v>
      </c>
      <c r="E22" t="str">
        <f t="shared" si="8"/>
        <v>Dynamic</v>
      </c>
      <c r="F22">
        <f ca="1">IF(AND(ISNUMBER($F$131),$B$113=1),$F$131,HLOOKUP(INDIRECT(ADDRESS(2,COLUMN())),OFFSET($AT$2,0,0,ROW()-1,40),ROW()-1,FALSE))</f>
        <v>1114201</v>
      </c>
      <c r="G22">
        <f ca="1">IF(AND(ISNUMBER($G$131),$B$113=1),$G$131,HLOOKUP(INDIRECT(ADDRESS(2,COLUMN())),OFFSET($AT$2,0,0,ROW()-1,40),ROW()-1,FALSE))</f>
        <v>977794</v>
      </c>
      <c r="H22">
        <f ca="1">IF(AND(ISNUMBER($H$131),$B$113=1),$H$131,HLOOKUP(INDIRECT(ADDRESS(2,COLUMN())),OFFSET($AT$2,0,0,ROW()-1,40),ROW()-1,FALSE))</f>
        <v>863380</v>
      </c>
      <c r="I22">
        <f ca="1">IF(AND(ISNUMBER($I$131),$B$113=1),$I$131,HLOOKUP(INDIRECT(ADDRESS(2,COLUMN())),OFFSET($AT$2,0,0,ROW()-1,40),ROW()-1,FALSE))</f>
        <v>838038</v>
      </c>
      <c r="J22">
        <f ca="1">IF(AND(ISNUMBER($J$131),$B$113=1),$J$131,HLOOKUP(INDIRECT(ADDRESS(2,COLUMN())),OFFSET($AT$2,0,0,ROW()-1,40),ROW()-1,FALSE))</f>
        <v>872044</v>
      </c>
      <c r="K22">
        <f ca="1">IF(AND(ISNUMBER($K$131),$B$113=1),$K$131,HLOOKUP(INDIRECT(ADDRESS(2,COLUMN())),OFFSET($AT$2,0,0,ROW()-1,40),ROW()-1,FALSE))</f>
        <v>765304</v>
      </c>
      <c r="L22">
        <f ca="1">IF(AND(ISNUMBER($L$131),$B$113=1),$L$131,HLOOKUP(INDIRECT(ADDRESS(2,COLUMN())),OFFSET($AT$2,0,0,ROW()-1,40),ROW()-1,FALSE))</f>
        <v>741681</v>
      </c>
      <c r="M22">
        <f ca="1">IF(AND(ISNUMBER($M$131),$B$113=1),$M$131,HLOOKUP(INDIRECT(ADDRESS(2,COLUMN())),OFFSET($AT$2,0,0,ROW()-1,40),ROW()-1,FALSE))</f>
        <v>751190</v>
      </c>
      <c r="N22">
        <f ca="1">IF(AND(ISNUMBER($N$131),$B$113=1),$N$131,HLOOKUP(INDIRECT(ADDRESS(2,COLUMN())),OFFSET($AT$2,0,0,ROW()-1,40),ROW()-1,FALSE))</f>
        <v>697058</v>
      </c>
      <c r="O22">
        <f ca="1">IF(AND(ISNUMBER($O$131),$B$113=1),$O$131,HLOOKUP(INDIRECT(ADDRESS(2,COLUMN())),OFFSET($AT$2,0,0,ROW()-1,40),ROW()-1,FALSE))</f>
        <v>649515</v>
      </c>
      <c r="P22">
        <f ca="1">IF(AND(ISNUMBER($P$131),$B$113=1),$P$131,HLOOKUP(INDIRECT(ADDRESS(2,COLUMN())),OFFSET($AT$2,0,0,ROW()-1,40),ROW()-1,FALSE))</f>
        <v>613117</v>
      </c>
      <c r="Q22">
        <f ca="1">IF(AND(ISNUMBER($Q$131),$B$113=1),$Q$131,HLOOKUP(INDIRECT(ADDRESS(2,COLUMN())),OFFSET($AT$2,0,0,ROW()-1,40),ROW()-1,FALSE))</f>
        <v>566705</v>
      </c>
      <c r="R22">
        <f ca="1">IF(AND(ISNUMBER($R$131),$B$113=1),$R$131,HLOOKUP(INDIRECT(ADDRESS(2,COLUMN())),OFFSET($AT$2,0,0,ROW()-1,40),ROW()-1,FALSE))</f>
        <v>566277</v>
      </c>
      <c r="S22">
        <f ca="1">IF(AND(ISNUMBER($S$131),$B$113=1),$S$131,HLOOKUP(INDIRECT(ADDRESS(2,COLUMN())),OFFSET($AT$2,0,0,ROW()-1,40),ROW()-1,FALSE))</f>
        <v>540465</v>
      </c>
      <c r="T22">
        <f ca="1">IF(AND(ISNUMBER($T$131),$B$113=1),$T$131,HLOOKUP(INDIRECT(ADDRESS(2,COLUMN())),OFFSET($AT$2,0,0,ROW()-1,40),ROW()-1,FALSE))</f>
        <v>578017</v>
      </c>
      <c r="U22">
        <f ca="1">IF(AND(ISNUMBER($U$131),$B$113=1),$U$131,HLOOKUP(INDIRECT(ADDRESS(2,COLUMN())),OFFSET($AT$2,0,0,ROW()-1,40),ROW()-1,FALSE))</f>
        <v>697808</v>
      </c>
      <c r="V22">
        <f ca="1">IF(AND(ISNUMBER($V$131),$B$113=1),$V$131,HLOOKUP(INDIRECT(ADDRESS(2,COLUMN())),OFFSET($AT$2,0,0,ROW()-1,40),ROW()-1,FALSE))</f>
        <v>691443</v>
      </c>
      <c r="W22">
        <f ca="1">IF(AND(ISNUMBER($W$131),$B$113=1),$W$131,HLOOKUP(INDIRECT(ADDRESS(2,COLUMN())),OFFSET($AT$2,0,0,ROW()-1,40),ROW()-1,FALSE))</f>
        <v>583666</v>
      </c>
      <c r="X22">
        <f ca="1">IF(AND(ISNUMBER($X$131),$B$113=1),$X$131,HLOOKUP(INDIRECT(ADDRESS(2,COLUMN())),OFFSET($AT$2,0,0,ROW()-1,40),ROW()-1,FALSE))</f>
        <v>508540</v>
      </c>
      <c r="Y22">
        <f ca="1">IF(AND(ISNUMBER($Y$131),$B$113=1),$Y$131,HLOOKUP(INDIRECT(ADDRESS(2,COLUMN())),OFFSET($AT$2,0,0,ROW()-1,40),ROW()-1,FALSE))</f>
        <v>465609</v>
      </c>
      <c r="Z22">
        <f ca="1">IF(AND(ISNUMBER($Z$131),$B$113=1),$Z$131,HLOOKUP(INDIRECT(ADDRESS(2,COLUMN())),OFFSET($AT$2,0,0,ROW()-1,40),ROW()-1,FALSE))</f>
        <v>439815</v>
      </c>
      <c r="AA22">
        <f ca="1">IF(AND(ISNUMBER($AA$131),$B$113=1),$AA$131,HLOOKUP(INDIRECT(ADDRESS(2,COLUMN())),OFFSET($AT$2,0,0,ROW()-1,40),ROW()-1,FALSE))</f>
        <v>439165</v>
      </c>
      <c r="AB22" t="str">
        <f ca="1">IF(AND(ISNUMBER($AB$131),$B$113=1),$AB$131,HLOOKUP(INDIRECT(ADDRESS(2,COLUMN())),OFFSET($AT$2,0,0,ROW()-1,40),ROW()-1,FALSE))</f>
        <v/>
      </c>
      <c r="AC22" t="str">
        <f ca="1">IF(AND(ISNUMBER($AC$131),$B$113=1),$AC$131,HLOOKUP(INDIRECT(ADDRESS(2,COLUMN())),OFFSET($AT$2,0,0,ROW()-1,40),ROW()-1,FALSE))</f>
        <v/>
      </c>
      <c r="AD22" t="str">
        <f ca="1">IF(AND(ISNUMBER($AD$131),$B$113=1),$AD$131,HLOOKUP(INDIRECT(ADDRESS(2,COLUMN())),OFFSET($AT$2,0,0,ROW()-1,40),ROW()-1,FALSE))</f>
        <v/>
      </c>
      <c r="AE22" t="str">
        <f ca="1">IF(AND(ISNUMBER($AE$131),$B$113=1),$AE$131,HLOOKUP(INDIRECT(ADDRESS(2,COLUMN())),OFFSET($AT$2,0,0,ROW()-1,40),ROW()-1,FALSE))</f>
        <v/>
      </c>
      <c r="AF22" t="str">
        <f ca="1">IF(AND(ISNUMBER($AF$131),$B$113=1),$AF$131,HLOOKUP(INDIRECT(ADDRESS(2,COLUMN())),OFFSET($AT$2,0,0,ROW()-1,40),ROW()-1,FALSE))</f>
        <v/>
      </c>
      <c r="AG22" t="str">
        <f ca="1">IF(AND(ISNUMBER($AG$131),$B$113=1),$AG$131,HLOOKUP(INDIRECT(ADDRESS(2,COLUMN())),OFFSET($AT$2,0,0,ROW()-1,40),ROW()-1,FALSE))</f>
        <v/>
      </c>
      <c r="AH22" t="str">
        <f ca="1">IF(AND(ISNUMBER($AH$131),$B$113=1),$AH$131,HLOOKUP(INDIRECT(ADDRESS(2,COLUMN())),OFFSET($AT$2,0,0,ROW()-1,40),ROW()-1,FALSE))</f>
        <v/>
      </c>
      <c r="AI22" t="str">
        <f ca="1">IF(AND(ISNUMBER($AI$131),$B$113=1),$AI$131,HLOOKUP(INDIRECT(ADDRESS(2,COLUMN())),OFFSET($AT$2,0,0,ROW()-1,40),ROW()-1,FALSE))</f>
        <v/>
      </c>
      <c r="AJ22" t="str">
        <f ca="1">IF(AND(ISNUMBER($AJ$131),$B$113=1),$AJ$131,HLOOKUP(INDIRECT(ADDRESS(2,COLUMN())),OFFSET($AT$2,0,0,ROW()-1,40),ROW()-1,FALSE))</f>
        <v/>
      </c>
      <c r="AK22" t="str">
        <f ca="1">IF(AND(ISNUMBER($AK$131),$B$113=1),$AK$131,HLOOKUP(INDIRECT(ADDRESS(2,COLUMN())),OFFSET($AT$2,0,0,ROW()-1,40),ROW()-1,FALSE))</f>
        <v/>
      </c>
      <c r="AL22" t="str">
        <f ca="1">IF(AND(ISNUMBER($AL$131),$B$113=1),$AL$131,HLOOKUP(INDIRECT(ADDRESS(2,COLUMN())),OFFSET($AT$2,0,0,ROW()-1,40),ROW()-1,FALSE))</f>
        <v/>
      </c>
      <c r="AM22" t="str">
        <f ca="1">IF(AND(ISNUMBER($AM$131),$B$113=1),$AM$131,HLOOKUP(INDIRECT(ADDRESS(2,COLUMN())),OFFSET($AT$2,0,0,ROW()-1,40),ROW()-1,FALSE))</f>
        <v/>
      </c>
      <c r="AN22" t="str">
        <f ca="1">IF(AND(ISNUMBER($AN$131),$B$113=1),$AN$131,HLOOKUP(INDIRECT(ADDRESS(2,COLUMN())),OFFSET($AT$2,0,0,ROW()-1,40),ROW()-1,FALSE))</f>
        <v/>
      </c>
      <c r="AO22" t="str">
        <f ca="1">IF(AND(ISNUMBER($AO$131),$B$113=1),$AO$131,HLOOKUP(INDIRECT(ADDRESS(2,COLUMN())),OFFSET($AT$2,0,0,ROW()-1,40),ROW()-1,FALSE))</f>
        <v/>
      </c>
      <c r="AP22" t="str">
        <f ca="1">IF(AND(ISNUMBER($AP$131),$B$113=1),$AP$131,HLOOKUP(INDIRECT(ADDRESS(2,COLUMN())),OFFSET($AT$2,0,0,ROW()-1,40),ROW()-1,FALSE))</f>
        <v/>
      </c>
      <c r="AQ22" t="str">
        <f ca="1">IF(AND(ISNUMBER($AQ$131),$B$113=1),$AQ$131,HLOOKUP(INDIRECT(ADDRESS(2,COLUMN())),OFFSET($AT$2,0,0,ROW()-1,40),ROW()-1,FALSE))</f>
        <v/>
      </c>
      <c r="AR22" t="str">
        <f ca="1">IF(AND(ISNUMBER($AR$131),$B$113=1),$AR$131,HLOOKUP(INDIRECT(ADDRESS(2,COLUMN())),OFFSET($AT$2,0,0,ROW()-1,40),ROW()-1,FALSE))</f>
        <v/>
      </c>
      <c r="AS22" t="str">
        <f ca="1">IF(AND(ISNUMBER($AS$131),$B$113=1),$AS$131,HLOOKUP(INDIRECT(ADDRESS(2,COLUMN())),OFFSET($AT$2,0,0,ROW()-1,40),ROW()-1,FALSE))</f>
        <v/>
      </c>
      <c r="AT22">
        <f>1114201</f>
        <v>1114201</v>
      </c>
      <c r="AU22">
        <f>977794</f>
        <v>977794</v>
      </c>
      <c r="AV22">
        <f>863380</f>
        <v>863380</v>
      </c>
      <c r="AW22">
        <f>838038</f>
        <v>838038</v>
      </c>
      <c r="AX22">
        <f>872044</f>
        <v>872044</v>
      </c>
      <c r="AY22">
        <f>765304</f>
        <v>765304</v>
      </c>
      <c r="AZ22">
        <f>741681</f>
        <v>741681</v>
      </c>
      <c r="BA22">
        <f>751190</f>
        <v>751190</v>
      </c>
      <c r="BB22">
        <f>697058</f>
        <v>697058</v>
      </c>
      <c r="BC22">
        <f>649515</f>
        <v>649515</v>
      </c>
      <c r="BD22">
        <f>613117</f>
        <v>613117</v>
      </c>
      <c r="BE22">
        <f>566705</f>
        <v>566705</v>
      </c>
      <c r="BF22">
        <f>566277</f>
        <v>566277</v>
      </c>
      <c r="BG22">
        <f>540465</f>
        <v>540465</v>
      </c>
      <c r="BH22">
        <f>578017</f>
        <v>578017</v>
      </c>
      <c r="BI22">
        <f>697808</f>
        <v>697808</v>
      </c>
      <c r="BJ22">
        <f>691443</f>
        <v>691443</v>
      </c>
      <c r="BK22">
        <f>583666</f>
        <v>583666</v>
      </c>
      <c r="BL22">
        <f>508540</f>
        <v>508540</v>
      </c>
      <c r="BM22">
        <f>465609</f>
        <v>465609</v>
      </c>
      <c r="BN22">
        <f>439815</f>
        <v>439815</v>
      </c>
      <c r="BO22">
        <f>439165</f>
        <v>439165</v>
      </c>
      <c r="BP22" t="str">
        <f>""</f>
        <v/>
      </c>
      <c r="BQ22" t="str">
        <f>""</f>
        <v/>
      </c>
      <c r="BR22" t="str">
        <f>""</f>
        <v/>
      </c>
      <c r="BS22" t="str">
        <f>""</f>
        <v/>
      </c>
      <c r="BT22" t="str">
        <f>""</f>
        <v/>
      </c>
      <c r="BU22" t="str">
        <f>""</f>
        <v/>
      </c>
      <c r="BV22" t="str">
        <f>""</f>
        <v/>
      </c>
      <c r="BW22" t="str">
        <f>""</f>
        <v/>
      </c>
      <c r="BX22" t="str">
        <f>""</f>
        <v/>
      </c>
      <c r="BY22" t="str">
        <f>""</f>
        <v/>
      </c>
      <c r="BZ22" t="str">
        <f>""</f>
        <v/>
      </c>
      <c r="CA22" t="str">
        <f>""</f>
        <v/>
      </c>
      <c r="CB22" t="str">
        <f>""</f>
        <v/>
      </c>
      <c r="CC22" t="str">
        <f>""</f>
        <v/>
      </c>
      <c r="CD22" t="str">
        <f>""</f>
        <v/>
      </c>
      <c r="CE22" t="str">
        <f>""</f>
        <v/>
      </c>
      <c r="CF22" t="str">
        <f>""</f>
        <v/>
      </c>
      <c r="CG22" t="str">
        <f>""</f>
        <v/>
      </c>
    </row>
    <row r="23" spans="1:85" x14ac:dyDescent="0.2">
      <c r="A23" t="str">
        <f>"    U.S. Total Private Construction Spending (SAAR)"</f>
        <v xml:space="preserve">    U.S. Total Private Construction Spending (SAAR)</v>
      </c>
      <c r="B23" t="str">
        <f>"CNSTPRTO Index"</f>
        <v>CNSTPRTO Index</v>
      </c>
      <c r="C23" t="str">
        <f t="shared" si="6"/>
        <v>PR005</v>
      </c>
      <c r="D23" t="str">
        <f t="shared" si="7"/>
        <v>PX_LAST</v>
      </c>
      <c r="E23" t="str">
        <f t="shared" si="8"/>
        <v>Dynamic</v>
      </c>
      <c r="F23">
        <f ca="1">IF(AND(ISNUMBER($F$132),$B$113=1),$F$132,HLOOKUP(INDIRECT(ADDRESS(2,COLUMN())),OFFSET($AT$2,0,0,ROW()-1,40),ROW()-1,FALSE))</f>
        <v>1555904</v>
      </c>
      <c r="G23">
        <f ca="1">IF(AND(ISNUMBER($G$132),$B$113=1),$G$132,HLOOKUP(INDIRECT(ADDRESS(2,COLUMN())),OFFSET($AT$2,0,0,ROW()-1,40),ROW()-1,FALSE))</f>
        <v>1448326</v>
      </c>
      <c r="H23">
        <f ca="1">IF(AND(ISNUMBER($H$132),$B$113=1),$H$132,HLOOKUP(INDIRECT(ADDRESS(2,COLUMN())),OFFSET($AT$2,0,0,ROW()-1,40),ROW()-1,FALSE))</f>
        <v>1396313</v>
      </c>
      <c r="I23">
        <f ca="1">IF(AND(ISNUMBER($I$132),$B$113=1),$I$132,HLOOKUP(INDIRECT(ADDRESS(2,COLUMN())),OFFSET($AT$2,0,0,ROW()-1,40),ROW()-1,FALSE))</f>
        <v>1204239</v>
      </c>
      <c r="J23">
        <f ca="1">IF(AND(ISNUMBER($J$132),$B$113=1),$J$132,HLOOKUP(INDIRECT(ADDRESS(2,COLUMN())),OFFSET($AT$2,0,0,ROW()-1,40),ROW()-1,FALSE))</f>
        <v>1111197</v>
      </c>
      <c r="K23">
        <f ca="1">IF(AND(ISNUMBER($K$132),$B$113=1),$K$132,HLOOKUP(INDIRECT(ADDRESS(2,COLUMN())),OFFSET($AT$2,0,0,ROW()-1,40),ROW()-1,FALSE))</f>
        <v>981096</v>
      </c>
      <c r="L23">
        <f ca="1">IF(AND(ISNUMBER($L$132),$B$113=1),$L$132,HLOOKUP(INDIRECT(ADDRESS(2,COLUMN())),OFFSET($AT$2,0,0,ROW()-1,40),ROW()-1,FALSE))</f>
        <v>1012391</v>
      </c>
      <c r="M23">
        <f ca="1">IF(AND(ISNUMBER($M$132),$B$113=1),$M$132,HLOOKUP(INDIRECT(ADDRESS(2,COLUMN())),OFFSET($AT$2,0,0,ROW()-1,40),ROW()-1,FALSE))</f>
        <v>973669</v>
      </c>
      <c r="N23">
        <f ca="1">IF(AND(ISNUMBER($N$132),$B$113=1),$N$132,HLOOKUP(INDIRECT(ADDRESS(2,COLUMN())),OFFSET($AT$2,0,0,ROW()-1,40),ROW()-1,FALSE))</f>
        <v>858325</v>
      </c>
      <c r="O23">
        <f ca="1">IF(AND(ISNUMBER($O$132),$B$113=1),$O$132,HLOOKUP(INDIRECT(ADDRESS(2,COLUMN())),OFFSET($AT$2,0,0,ROW()-1,40),ROW()-1,FALSE))</f>
        <v>772232</v>
      </c>
      <c r="P23">
        <f ca="1">IF(AND(ISNUMBER($P$132),$B$113=1),$P$132,HLOOKUP(INDIRECT(ADDRESS(2,COLUMN())),OFFSET($AT$2,0,0,ROW()-1,40),ROW()-1,FALSE))</f>
        <v>709465</v>
      </c>
      <c r="Q23">
        <f ca="1">IF(AND(ISNUMBER($Q$132),$B$113=1),$Q$132,HLOOKUP(INDIRECT(ADDRESS(2,COLUMN())),OFFSET($AT$2,0,0,ROW()-1,40),ROW()-1,FALSE))</f>
        <v>603681</v>
      </c>
      <c r="R23">
        <f ca="1">IF(AND(ISNUMBER($R$132),$B$113=1),$R$132,HLOOKUP(INDIRECT(ADDRESS(2,COLUMN())),OFFSET($AT$2,0,0,ROW()-1,40),ROW()-1,FALSE))</f>
        <v>531994</v>
      </c>
      <c r="S23">
        <f ca="1">IF(AND(ISNUMBER($S$132),$B$113=1),$S$132,HLOOKUP(INDIRECT(ADDRESS(2,COLUMN())),OFFSET($AT$2,0,0,ROW()-1,40),ROW()-1,FALSE))</f>
        <v>496427</v>
      </c>
      <c r="T23">
        <f ca="1">IF(AND(ISNUMBER($T$132),$B$113=1),$T$132,HLOOKUP(INDIRECT(ADDRESS(2,COLUMN())),OFFSET($AT$2,0,0,ROW()-1,40),ROW()-1,FALSE))</f>
        <v>542280</v>
      </c>
      <c r="U23">
        <f ca="1">IF(AND(ISNUMBER($U$132),$B$113=1),$U$132,HLOOKUP(INDIRECT(ADDRESS(2,COLUMN())),OFFSET($AT$2,0,0,ROW()-1,40),ROW()-1,FALSE))</f>
        <v>687183</v>
      </c>
      <c r="V23">
        <f ca="1">IF(AND(ISNUMBER($V$132),$B$113=1),$V$132,HLOOKUP(INDIRECT(ADDRESS(2,COLUMN())),OFFSET($AT$2,0,0,ROW()-1,40),ROW()-1,FALSE))</f>
        <v>818447</v>
      </c>
      <c r="W23">
        <f ca="1">IF(AND(ISNUMBER($W$132),$B$113=1),$W$132,HLOOKUP(INDIRECT(ADDRESS(2,COLUMN())),OFFSET($AT$2,0,0,ROW()-1,40),ROW()-1,FALSE))</f>
        <v>865173</v>
      </c>
      <c r="X23">
        <f ca="1">IF(AND(ISNUMBER($X$132),$B$113=1),$X$132,HLOOKUP(INDIRECT(ADDRESS(2,COLUMN())),OFFSET($AT$2,0,0,ROW()-1,40),ROW()-1,FALSE))</f>
        <v>942916</v>
      </c>
      <c r="Y23">
        <f ca="1">IF(AND(ISNUMBER($Y$132),$B$113=1),$Y$132,HLOOKUP(INDIRECT(ADDRESS(2,COLUMN())),OFFSET($AT$2,0,0,ROW()-1,40),ROW()-1,FALSE))</f>
        <v>813006</v>
      </c>
      <c r="Z23">
        <f ca="1">IF(AND(ISNUMBER($Z$132),$B$113=1),$Z$132,HLOOKUP(INDIRECT(ADDRESS(2,COLUMN())),OFFSET($AT$2,0,0,ROW()-1,40),ROW()-1,FALSE))</f>
        <v>735545</v>
      </c>
      <c r="AA23">
        <f ca="1">IF(AND(ISNUMBER($AA$132),$B$113=1),$AA$132,HLOOKUP(INDIRECT(ADDRESS(2,COLUMN())),OFFSET($AT$2,0,0,ROW()-1,40),ROW()-1,FALSE))</f>
        <v>634179</v>
      </c>
      <c r="AB23">
        <f ca="1">IF(AND(ISNUMBER($AB$132),$B$113=1),$AB$132,HLOOKUP(INDIRECT(ADDRESS(2,COLUMN())),OFFSET($AT$2,0,0,ROW()-1,40),ROW()-1,FALSE))</f>
        <v>640399</v>
      </c>
      <c r="AC23">
        <f ca="1">IF(AND(ISNUMBER($AC$132),$B$113=1),$AC$132,HLOOKUP(INDIRECT(ADDRESS(2,COLUMN())),OFFSET($AT$2,0,0,ROW()-1,40),ROW()-1,FALSE))</f>
        <v>626222</v>
      </c>
      <c r="AD23">
        <f ca="1">IF(AND(ISNUMBER($AD$132),$B$113=1),$AD$132,HLOOKUP(INDIRECT(ADDRESS(2,COLUMN())),OFFSET($AT$2,0,0,ROW()-1,40),ROW()-1,FALSE))</f>
        <v>604386</v>
      </c>
      <c r="AE23">
        <f ca="1">IF(AND(ISNUMBER($AE$132),$B$113=1),$AE$132,HLOOKUP(INDIRECT(ADDRESS(2,COLUMN())),OFFSET($AT$2,0,0,ROW()-1,40),ROW()-1,FALSE))</f>
        <v>546196</v>
      </c>
      <c r="AF23">
        <f ca="1">IF(AND(ISNUMBER($AF$132),$B$113=1),$AF$132,HLOOKUP(INDIRECT(ADDRESS(2,COLUMN())),OFFSET($AT$2,0,0,ROW()-1,40),ROW()-1,FALSE))</f>
        <v>487580</v>
      </c>
      <c r="AG23">
        <f ca="1">IF(AND(ISNUMBER($AG$132),$B$113=1),$AG$132,HLOOKUP(INDIRECT(ADDRESS(2,COLUMN())),OFFSET($AT$2,0,0,ROW()-1,40),ROW()-1,FALSE))</f>
        <v>461233</v>
      </c>
      <c r="AH23">
        <f ca="1">IF(AND(ISNUMBER($AH$132),$B$113=1),$AH$132,HLOOKUP(INDIRECT(ADDRESS(2,COLUMN())),OFFSET($AT$2,0,0,ROW()-1,40),ROW()-1,FALSE))</f>
        <v>417717</v>
      </c>
      <c r="AI23">
        <f ca="1">IF(AND(ISNUMBER($AI$132),$B$113=1),$AI$132,HLOOKUP(INDIRECT(ADDRESS(2,COLUMN())),OFFSET($AT$2,0,0,ROW()-1,40),ROW()-1,FALSE))</f>
        <v>406665</v>
      </c>
      <c r="AJ23">
        <f ca="1">IF(AND(ISNUMBER($AJ$132),$B$113=1),$AJ$132,HLOOKUP(INDIRECT(ADDRESS(2,COLUMN())),OFFSET($AT$2,0,0,ROW()-1,40),ROW()-1,FALSE))</f>
        <v>395253</v>
      </c>
      <c r="AK23">
        <f ca="1">IF(AND(ISNUMBER($AK$132),$B$113=1),$AK$132,HLOOKUP(INDIRECT(ADDRESS(2,COLUMN())),OFFSET($AT$2,0,0,ROW()-1,40),ROW()-1,FALSE))</f>
        <v>362867</v>
      </c>
      <c r="AL23">
        <f ca="1">IF(AND(ISNUMBER($AL$132),$B$113=1),$AL$132,HLOOKUP(INDIRECT(ADDRESS(2,COLUMN())),OFFSET($AT$2,0,0,ROW()-1,40),ROW()-1,FALSE))</f>
        <v>320222</v>
      </c>
      <c r="AM23">
        <f ca="1">IF(AND(ISNUMBER($AM$132),$B$113=1),$AM$132,HLOOKUP(INDIRECT(ADDRESS(2,COLUMN())),OFFSET($AT$2,0,0,ROW()-1,40),ROW()-1,FALSE))</f>
        <v>340511</v>
      </c>
      <c r="AN23">
        <f ca="1">IF(AND(ISNUMBER($AN$132),$B$113=1),$AN$132,HLOOKUP(INDIRECT(ADDRESS(2,COLUMN())),OFFSET($AT$2,0,0,ROW()-1,40),ROW()-1,FALSE))</f>
        <v>373941</v>
      </c>
      <c r="AO23">
        <f ca="1">IF(AND(ISNUMBER($AO$132),$B$113=1),$AO$132,HLOOKUP(INDIRECT(ADDRESS(2,COLUMN())),OFFSET($AT$2,0,0,ROW()-1,40),ROW()-1,FALSE))</f>
        <v>380121</v>
      </c>
      <c r="AP23">
        <f ca="1">IF(AND(ISNUMBER($AP$132),$B$113=1),$AP$132,HLOOKUP(INDIRECT(ADDRESS(2,COLUMN())),OFFSET($AT$2,0,0,ROW()-1,40),ROW()-1,FALSE))</f>
        <v>366051</v>
      </c>
      <c r="AQ23">
        <f ca="1">IF(AND(ISNUMBER($AQ$132),$B$113=1),$AQ$132,HLOOKUP(INDIRECT(ADDRESS(2,COLUMN())),OFFSET($AT$2,0,0,ROW()-1,40),ROW()-1,FALSE))</f>
        <v>351441</v>
      </c>
      <c r="AR23">
        <f ca="1">IF(AND(ISNUMBER($AR$132),$B$113=1),$AR$132,HLOOKUP(INDIRECT(ADDRESS(2,COLUMN())),OFFSET($AT$2,0,0,ROW()-1,40),ROW()-1,FALSE))</f>
        <v>340896</v>
      </c>
      <c r="AS23">
        <f ca="1">IF(AND(ISNUMBER($AS$132),$B$113=1),$AS$132,HLOOKUP(INDIRECT(ADDRESS(2,COLUMN())),OFFSET($AT$2,0,0,ROW()-1,40),ROW()-1,FALSE))</f>
        <v>313416</v>
      </c>
      <c r="AT23">
        <f>1555904</f>
        <v>1555904</v>
      </c>
      <c r="AU23">
        <f>1448326</f>
        <v>1448326</v>
      </c>
      <c r="AV23">
        <f>1396313</f>
        <v>1396313</v>
      </c>
      <c r="AW23">
        <f>1204239</f>
        <v>1204239</v>
      </c>
      <c r="AX23">
        <f>1111197</f>
        <v>1111197</v>
      </c>
      <c r="AY23">
        <f>981096</f>
        <v>981096</v>
      </c>
      <c r="AZ23">
        <f>1012391</f>
        <v>1012391</v>
      </c>
      <c r="BA23">
        <f>973669</f>
        <v>973669</v>
      </c>
      <c r="BB23">
        <f>858325</f>
        <v>858325</v>
      </c>
      <c r="BC23">
        <f>772232</f>
        <v>772232</v>
      </c>
      <c r="BD23">
        <f>709465</f>
        <v>709465</v>
      </c>
      <c r="BE23">
        <f>603681</f>
        <v>603681</v>
      </c>
      <c r="BF23">
        <f>531994</f>
        <v>531994</v>
      </c>
      <c r="BG23">
        <f>496427</f>
        <v>496427</v>
      </c>
      <c r="BH23">
        <f>542280</f>
        <v>542280</v>
      </c>
      <c r="BI23">
        <f>687183</f>
        <v>687183</v>
      </c>
      <c r="BJ23">
        <f>818447</f>
        <v>818447</v>
      </c>
      <c r="BK23">
        <f>865173</f>
        <v>865173</v>
      </c>
      <c r="BL23">
        <f>942916</f>
        <v>942916</v>
      </c>
      <c r="BM23">
        <f>813006</f>
        <v>813006</v>
      </c>
      <c r="BN23">
        <f>735545</f>
        <v>735545</v>
      </c>
      <c r="BO23">
        <f>634179</f>
        <v>634179</v>
      </c>
      <c r="BP23">
        <f>640399</f>
        <v>640399</v>
      </c>
      <c r="BQ23">
        <f>626222</f>
        <v>626222</v>
      </c>
      <c r="BR23">
        <f>604386</f>
        <v>604386</v>
      </c>
      <c r="BS23">
        <f>546196</f>
        <v>546196</v>
      </c>
      <c r="BT23">
        <f>487580</f>
        <v>487580</v>
      </c>
      <c r="BU23">
        <f>461233</f>
        <v>461233</v>
      </c>
      <c r="BV23">
        <f>417717</f>
        <v>417717</v>
      </c>
      <c r="BW23">
        <f>406665</f>
        <v>406665</v>
      </c>
      <c r="BX23">
        <f>395253</f>
        <v>395253</v>
      </c>
      <c r="BY23">
        <f>362867</f>
        <v>362867</v>
      </c>
      <c r="BZ23">
        <f>320222</f>
        <v>320222</v>
      </c>
      <c r="CA23">
        <f>340511</f>
        <v>340511</v>
      </c>
      <c r="CB23">
        <f>373941</f>
        <v>373941</v>
      </c>
      <c r="CC23">
        <f>380121</f>
        <v>380121</v>
      </c>
      <c r="CD23">
        <f>366051</f>
        <v>366051</v>
      </c>
      <c r="CE23">
        <f>351441</f>
        <v>351441</v>
      </c>
      <c r="CF23">
        <f>340896</f>
        <v>340896</v>
      </c>
      <c r="CG23">
        <f>313416</f>
        <v>313416</v>
      </c>
    </row>
    <row r="24" spans="1:85" x14ac:dyDescent="0.2">
      <c r="A24" t="str">
        <f>"        U.S. Total Private Residential Construction Spending (NSA)"</f>
        <v xml:space="preserve">        U.S. Total Private Residential Construction Spending (NSA)</v>
      </c>
      <c r="B24" t="str">
        <f>"CNSTPRRE Index"</f>
        <v>CNSTPRRE Index</v>
      </c>
      <c r="C24" t="str">
        <f t="shared" si="6"/>
        <v>PR005</v>
      </c>
      <c r="D24" t="str">
        <f t="shared" si="7"/>
        <v>PX_LAST</v>
      </c>
      <c r="E24" t="str">
        <f t="shared" si="8"/>
        <v>Dynamic</v>
      </c>
      <c r="F24">
        <f ca="1">IF(AND(ISNUMBER($F$133),$B$113=1),$F$133,HLOOKUP(INDIRECT(ADDRESS(2,COLUMN())),OFFSET($AT$2,0,0,ROW()-1,40),ROW()-1,FALSE))</f>
        <v>872038</v>
      </c>
      <c r="G24">
        <f ca="1">IF(AND(ISNUMBER($G$133),$B$113=1),$G$133,HLOOKUP(INDIRECT(ADDRESS(2,COLUMN())),OFFSET($AT$2,0,0,ROW()-1,40),ROW()-1,FALSE))</f>
        <v>853718</v>
      </c>
      <c r="H24">
        <f ca="1">IF(AND(ISNUMBER($H$133),$B$113=1),$H$133,HLOOKUP(INDIRECT(ADDRESS(2,COLUMN())),OFFSET($AT$2,0,0,ROW()-1,40),ROW()-1,FALSE))</f>
        <v>881281</v>
      </c>
      <c r="I24">
        <f ca="1">IF(AND(ISNUMBER($I$133),$B$113=1),$I$133,HLOOKUP(INDIRECT(ADDRESS(2,COLUMN())),OFFSET($AT$2,0,0,ROW()-1,40),ROW()-1,FALSE))</f>
        <v>725025</v>
      </c>
      <c r="J24">
        <f ca="1">IF(AND(ISNUMBER($J$133),$B$113=1),$J$133,HLOOKUP(INDIRECT(ADDRESS(2,COLUMN())),OFFSET($AT$2,0,0,ROW()-1,40),ROW()-1,FALSE))</f>
        <v>586250</v>
      </c>
      <c r="K24">
        <f ca="1">IF(AND(ISNUMBER($K$133),$B$113=1),$K$133,HLOOKUP(INDIRECT(ADDRESS(2,COLUMN())),OFFSET($AT$2,0,0,ROW()-1,40),ROW()-1,FALSE))</f>
        <v>519036</v>
      </c>
      <c r="L24">
        <f ca="1">IF(AND(ISNUMBER($L$133),$B$113=1),$L$133,HLOOKUP(INDIRECT(ADDRESS(2,COLUMN())),OFFSET($AT$2,0,0,ROW()-1,40),ROW()-1,FALSE))</f>
        <v>565020</v>
      </c>
      <c r="M24">
        <f ca="1">IF(AND(ISNUMBER($M$133),$B$113=1),$M$133,HLOOKUP(INDIRECT(ADDRESS(2,COLUMN())),OFFSET($AT$2,0,0,ROW()-1,40),ROW()-1,FALSE))</f>
        <v>512328</v>
      </c>
      <c r="N24">
        <f ca="1">IF(AND(ISNUMBER($N$133),$B$113=1),$N$133,HLOOKUP(INDIRECT(ADDRESS(2,COLUMN())),OFFSET($AT$2,0,0,ROW()-1,40),ROW()-1,FALSE))</f>
        <v>452947</v>
      </c>
      <c r="O24">
        <f ca="1">IF(AND(ISNUMBER($O$133),$B$113=1),$O$133,HLOOKUP(INDIRECT(ADDRESS(2,COLUMN())),OFFSET($AT$2,0,0,ROW()-1,40),ROW()-1,FALSE))</f>
        <v>401584</v>
      </c>
      <c r="P24">
        <f ca="1">IF(AND(ISNUMBER($P$133),$B$113=1),$P$133,HLOOKUP(INDIRECT(ADDRESS(2,COLUMN())),OFFSET($AT$2,0,0,ROW()-1,40),ROW()-1,FALSE))</f>
        <v>360754</v>
      </c>
      <c r="Q24">
        <f ca="1">IF(AND(ISNUMBER($Q$133),$B$113=1),$Q$133,HLOOKUP(INDIRECT(ADDRESS(2,COLUMN())),OFFSET($AT$2,0,0,ROW()-1,40),ROW()-1,FALSE))</f>
        <v>299101</v>
      </c>
      <c r="R24">
        <f ca="1">IF(AND(ISNUMBER($R$133),$B$113=1),$R$133,HLOOKUP(INDIRECT(ADDRESS(2,COLUMN())),OFFSET($AT$2,0,0,ROW()-1,40),ROW()-1,FALSE))</f>
        <v>247983</v>
      </c>
      <c r="S24">
        <f ca="1">IF(AND(ISNUMBER($S$133),$B$113=1),$S$133,HLOOKUP(INDIRECT(ADDRESS(2,COLUMN())),OFFSET($AT$2,0,0,ROW()-1,40),ROW()-1,FALSE))</f>
        <v>239030</v>
      </c>
      <c r="T24">
        <f ca="1">IF(AND(ISNUMBER($T$133),$B$113=1),$T$133,HLOOKUP(INDIRECT(ADDRESS(2,COLUMN())),OFFSET($AT$2,0,0,ROW()-1,40),ROW()-1,FALSE))</f>
        <v>255801</v>
      </c>
      <c r="U24">
        <f ca="1">IF(AND(ISNUMBER($U$133),$B$113=1),$U$133,HLOOKUP(INDIRECT(ADDRESS(2,COLUMN())),OFFSET($AT$2,0,0,ROW()-1,40),ROW()-1,FALSE))</f>
        <v>293997</v>
      </c>
      <c r="V24">
        <f ca="1">IF(AND(ISNUMBER($V$133),$B$113=1),$V$133,HLOOKUP(INDIRECT(ADDRESS(2,COLUMN())),OFFSET($AT$2,0,0,ROW()-1,40),ROW()-1,FALSE))</f>
        <v>416486</v>
      </c>
      <c r="W24">
        <f ca="1">IF(AND(ISNUMBER($W$133),$B$113=1),$W$133,HLOOKUP(INDIRECT(ADDRESS(2,COLUMN())),OFFSET($AT$2,0,0,ROW()-1,40),ROW()-1,FALSE))</f>
        <v>545011</v>
      </c>
      <c r="X24">
        <f ca="1">IF(AND(ISNUMBER($X$133),$B$113=1),$X$133,HLOOKUP(INDIRECT(ADDRESS(2,COLUMN())),OFFSET($AT$2,0,0,ROW()-1,40),ROW()-1,FALSE))</f>
        <v>670522</v>
      </c>
      <c r="Y24">
        <f ca="1">IF(AND(ISNUMBER($Y$133),$B$113=1),$Y$133,HLOOKUP(INDIRECT(ADDRESS(2,COLUMN())),OFFSET($AT$2,0,0,ROW()-1,40),ROW()-1,FALSE))</f>
        <v>566284</v>
      </c>
      <c r="Z24">
        <f ca="1">IF(AND(ISNUMBER($Z$133),$B$113=1),$Z$133,HLOOKUP(INDIRECT(ADDRESS(2,COLUMN())),OFFSET($AT$2,0,0,ROW()-1,40),ROW()-1,FALSE))</f>
        <v>503356</v>
      </c>
      <c r="AA24">
        <f ca="1">IF(AND(ISNUMBER($AA$133),$B$113=1),$AA$133,HLOOKUP(INDIRECT(ADDRESS(2,COLUMN())),OFFSET($AT$2,0,0,ROW()-1,40),ROW()-1,FALSE))</f>
        <v>411758</v>
      </c>
      <c r="AB24">
        <f ca="1">IF(AND(ISNUMBER($AB$133),$B$113=1),$AB$133,HLOOKUP(INDIRECT(ADDRESS(2,COLUMN())),OFFSET($AT$2,0,0,ROW()-1,40),ROW()-1,FALSE))</f>
        <v>376279</v>
      </c>
      <c r="AC24">
        <f ca="1">IF(AND(ISNUMBER($AC$133),$B$113=1),$AC$133,HLOOKUP(INDIRECT(ADDRESS(2,COLUMN())),OFFSET($AT$2,0,0,ROW()-1,40),ROW()-1,FALSE))</f>
        <v>344139</v>
      </c>
      <c r="AD24">
        <f ca="1">IF(AND(ISNUMBER($AD$133),$B$113=1),$AD$133,HLOOKUP(INDIRECT(ADDRESS(2,COLUMN())),OFFSET($AT$2,0,0,ROW()-1,40),ROW()-1,FALSE))</f>
        <v>346989</v>
      </c>
      <c r="AE24">
        <f ca="1">IF(AND(ISNUMBER($AE$133),$B$113=1),$AE$133,HLOOKUP(INDIRECT(ADDRESS(2,COLUMN())),OFFSET($AT$2,0,0,ROW()-1,40),ROW()-1,FALSE))</f>
        <v>302650</v>
      </c>
      <c r="AF24">
        <f ca="1">IF(AND(ISNUMBER($AF$133),$B$113=1),$AF$133,HLOOKUP(INDIRECT(ADDRESS(2,COLUMN())),OFFSET($AT$2,0,0,ROW()-1,40),ROW()-1,FALSE))</f>
        <v>269192</v>
      </c>
      <c r="AG24">
        <f ca="1">IF(AND(ISNUMBER($AG$133),$B$113=1),$AG$133,HLOOKUP(INDIRECT(ADDRESS(2,COLUMN())),OFFSET($AT$2,0,0,ROW()-1,40),ROW()-1,FALSE))</f>
        <v>253234</v>
      </c>
      <c r="AH24">
        <f ca="1">IF(AND(ISNUMBER($AH$133),$B$113=1),$AH$133,HLOOKUP(INDIRECT(ADDRESS(2,COLUMN())),OFFSET($AT$2,0,0,ROW()-1,40),ROW()-1,FALSE))</f>
        <v>235572</v>
      </c>
      <c r="AI24">
        <f ca="1">IF(AND(ISNUMBER($AI$133),$B$113=1),$AI$133,HLOOKUP(INDIRECT(ADDRESS(2,COLUMN())),OFFSET($AT$2,0,0,ROW()-1,40),ROW()-1,FALSE))</f>
        <v>241395</v>
      </c>
      <c r="AJ24">
        <f ca="1">IF(AND(ISNUMBER($AJ$133),$B$113=1),$AJ$133,HLOOKUP(INDIRECT(ADDRESS(2,COLUMN())),OFFSET($AT$2,0,0,ROW()-1,40),ROW()-1,FALSE))</f>
        <v>235648</v>
      </c>
      <c r="AK24" t="str">
        <f ca="1">IF(AND(ISNUMBER($AK$133),$B$113=1),$AK$133,HLOOKUP(INDIRECT(ADDRESS(2,COLUMN())),OFFSET($AT$2,0,0,ROW()-1,40),ROW()-1,FALSE))</f>
        <v/>
      </c>
      <c r="AL24" t="str">
        <f ca="1">IF(AND(ISNUMBER($AL$133),$B$113=1),$AL$133,HLOOKUP(INDIRECT(ADDRESS(2,COLUMN())),OFFSET($AT$2,0,0,ROW()-1,40),ROW()-1,FALSE))</f>
        <v/>
      </c>
      <c r="AM24" t="str">
        <f ca="1">IF(AND(ISNUMBER($AM$133),$B$113=1),$AM$133,HLOOKUP(INDIRECT(ADDRESS(2,COLUMN())),OFFSET($AT$2,0,0,ROW()-1,40),ROW()-1,FALSE))</f>
        <v/>
      </c>
      <c r="AN24" t="str">
        <f ca="1">IF(AND(ISNUMBER($AN$133),$B$113=1),$AN$133,HLOOKUP(INDIRECT(ADDRESS(2,COLUMN())),OFFSET($AT$2,0,0,ROW()-1,40),ROW()-1,FALSE))</f>
        <v/>
      </c>
      <c r="AO24" t="str">
        <f ca="1">IF(AND(ISNUMBER($AO$133),$B$113=1),$AO$133,HLOOKUP(INDIRECT(ADDRESS(2,COLUMN())),OFFSET($AT$2,0,0,ROW()-1,40),ROW()-1,FALSE))</f>
        <v/>
      </c>
      <c r="AP24" t="str">
        <f ca="1">IF(AND(ISNUMBER($AP$133),$B$113=1),$AP$133,HLOOKUP(INDIRECT(ADDRESS(2,COLUMN())),OFFSET($AT$2,0,0,ROW()-1,40),ROW()-1,FALSE))</f>
        <v/>
      </c>
      <c r="AQ24" t="str">
        <f ca="1">IF(AND(ISNUMBER($AQ$133),$B$113=1),$AQ$133,HLOOKUP(INDIRECT(ADDRESS(2,COLUMN())),OFFSET($AT$2,0,0,ROW()-1,40),ROW()-1,FALSE))</f>
        <v/>
      </c>
      <c r="AR24" t="str">
        <f ca="1">IF(AND(ISNUMBER($AR$133),$B$113=1),$AR$133,HLOOKUP(INDIRECT(ADDRESS(2,COLUMN())),OFFSET($AT$2,0,0,ROW()-1,40),ROW()-1,FALSE))</f>
        <v/>
      </c>
      <c r="AS24" t="str">
        <f ca="1">IF(AND(ISNUMBER($AS$133),$B$113=1),$AS$133,HLOOKUP(INDIRECT(ADDRESS(2,COLUMN())),OFFSET($AT$2,0,0,ROW()-1,40),ROW()-1,FALSE))</f>
        <v/>
      </c>
      <c r="AT24">
        <f>872038</f>
        <v>872038</v>
      </c>
      <c r="AU24">
        <f>853718</f>
        <v>853718</v>
      </c>
      <c r="AV24">
        <f>881281</f>
        <v>881281</v>
      </c>
      <c r="AW24">
        <f>725025</f>
        <v>725025</v>
      </c>
      <c r="AX24">
        <f>586250</f>
        <v>586250</v>
      </c>
      <c r="AY24">
        <f>519036</f>
        <v>519036</v>
      </c>
      <c r="AZ24">
        <f>565020</f>
        <v>565020</v>
      </c>
      <c r="BA24">
        <f>512328</f>
        <v>512328</v>
      </c>
      <c r="BB24">
        <f>452947</f>
        <v>452947</v>
      </c>
      <c r="BC24">
        <f>401584</f>
        <v>401584</v>
      </c>
      <c r="BD24">
        <f>360754</f>
        <v>360754</v>
      </c>
      <c r="BE24">
        <f>299101</f>
        <v>299101</v>
      </c>
      <c r="BF24">
        <f>247983</f>
        <v>247983</v>
      </c>
      <c r="BG24">
        <f>239030</f>
        <v>239030</v>
      </c>
      <c r="BH24">
        <f>255801</f>
        <v>255801</v>
      </c>
      <c r="BI24">
        <f>293997</f>
        <v>293997</v>
      </c>
      <c r="BJ24">
        <f>416486</f>
        <v>416486</v>
      </c>
      <c r="BK24">
        <f>545011</f>
        <v>545011</v>
      </c>
      <c r="BL24">
        <f>670522</f>
        <v>670522</v>
      </c>
      <c r="BM24">
        <f>566284</f>
        <v>566284</v>
      </c>
      <c r="BN24">
        <f>503356</f>
        <v>503356</v>
      </c>
      <c r="BO24">
        <f>411758</f>
        <v>411758</v>
      </c>
      <c r="BP24">
        <f>376279</f>
        <v>376279</v>
      </c>
      <c r="BQ24">
        <f>344139</f>
        <v>344139</v>
      </c>
      <c r="BR24">
        <f>346989</f>
        <v>346989</v>
      </c>
      <c r="BS24">
        <f>302650</f>
        <v>302650</v>
      </c>
      <c r="BT24">
        <f>269192</f>
        <v>269192</v>
      </c>
      <c r="BU24">
        <f>253234</f>
        <v>253234</v>
      </c>
      <c r="BV24">
        <f>235572</f>
        <v>235572</v>
      </c>
      <c r="BW24">
        <f>241395</f>
        <v>241395</v>
      </c>
      <c r="BX24">
        <f>235648</f>
        <v>235648</v>
      </c>
      <c r="BY24" t="str">
        <f>""</f>
        <v/>
      </c>
      <c r="BZ24" t="str">
        <f>""</f>
        <v/>
      </c>
      <c r="CA24" t="str">
        <f>""</f>
        <v/>
      </c>
      <c r="CB24" t="str">
        <f>""</f>
        <v/>
      </c>
      <c r="CC24" t="str">
        <f>""</f>
        <v/>
      </c>
      <c r="CD24" t="str">
        <f>""</f>
        <v/>
      </c>
      <c r="CE24" t="str">
        <f>""</f>
        <v/>
      </c>
      <c r="CF24" t="str">
        <f>""</f>
        <v/>
      </c>
      <c r="CG24" t="str">
        <f>""</f>
        <v/>
      </c>
    </row>
    <row r="25" spans="1:85" x14ac:dyDescent="0.2">
      <c r="A25" t="str">
        <f>"        U.S. Total Private Non-Res Construction Spending (NSA)"</f>
        <v xml:space="preserve">        U.S. Total Private Non-Res Construction Spending (NSA)</v>
      </c>
      <c r="B25" t="str">
        <f>"CNSTPRNR Index"</f>
        <v>CNSTPRNR Index</v>
      </c>
      <c r="C25" t="str">
        <f t="shared" si="6"/>
        <v>PR005</v>
      </c>
      <c r="D25" t="str">
        <f t="shared" si="7"/>
        <v>PX_LAST</v>
      </c>
      <c r="E25" t="str">
        <f t="shared" si="8"/>
        <v>Dynamic</v>
      </c>
      <c r="F25">
        <f ca="1">IF(AND(ISNUMBER($F$134),$B$113=1),$F$134,HLOOKUP(INDIRECT(ADDRESS(2,COLUMN())),OFFSET($AT$2,0,0,ROW()-1,40),ROW()-1,FALSE))</f>
        <v>683866</v>
      </c>
      <c r="G25">
        <f ca="1">IF(AND(ISNUMBER($G$134),$B$113=1),$G$134,HLOOKUP(INDIRECT(ADDRESS(2,COLUMN())),OFFSET($AT$2,0,0,ROW()-1,40),ROW()-1,FALSE))</f>
        <v>594609</v>
      </c>
      <c r="H25">
        <f ca="1">IF(AND(ISNUMBER($H$134),$B$113=1),$H$134,HLOOKUP(INDIRECT(ADDRESS(2,COLUMN())),OFFSET($AT$2,0,0,ROW()-1,40),ROW()-1,FALSE))</f>
        <v>515033</v>
      </c>
      <c r="I25">
        <f ca="1">IF(AND(ISNUMBER($I$134),$B$113=1),$I$134,HLOOKUP(INDIRECT(ADDRESS(2,COLUMN())),OFFSET($AT$2,0,0,ROW()-1,40),ROW()-1,FALSE))</f>
        <v>479213</v>
      </c>
      <c r="J25">
        <f ca="1">IF(AND(ISNUMBER($J$134),$B$113=1),$J$134,HLOOKUP(INDIRECT(ADDRESS(2,COLUMN())),OFFSET($AT$2,0,0,ROW()-1,40),ROW()-1,FALSE))</f>
        <v>524947</v>
      </c>
      <c r="K25">
        <f ca="1">IF(AND(ISNUMBER($K$134),$B$113=1),$K$134,HLOOKUP(INDIRECT(ADDRESS(2,COLUMN())),OFFSET($AT$2,0,0,ROW()-1,40),ROW()-1,FALSE))</f>
        <v>462060</v>
      </c>
      <c r="L25">
        <f ca="1">IF(AND(ISNUMBER($L$134),$B$113=1),$L$134,HLOOKUP(INDIRECT(ADDRESS(2,COLUMN())),OFFSET($AT$2,0,0,ROW()-1,40),ROW()-1,FALSE))</f>
        <v>447371</v>
      </c>
      <c r="M25">
        <f ca="1">IF(AND(ISNUMBER($M$134),$B$113=1),$M$134,HLOOKUP(INDIRECT(ADDRESS(2,COLUMN())),OFFSET($AT$2,0,0,ROW()-1,40),ROW()-1,FALSE))</f>
        <v>461342</v>
      </c>
      <c r="N25">
        <f ca="1">IF(AND(ISNUMBER($N$134),$B$113=1),$N$134,HLOOKUP(INDIRECT(ADDRESS(2,COLUMN())),OFFSET($AT$2,0,0,ROW()-1,40),ROW()-1,FALSE))</f>
        <v>405378</v>
      </c>
      <c r="O25">
        <f ca="1">IF(AND(ISNUMBER($O$134),$B$113=1),$O$134,HLOOKUP(INDIRECT(ADDRESS(2,COLUMN())),OFFSET($AT$2,0,0,ROW()-1,40),ROW()-1,FALSE))</f>
        <v>370648</v>
      </c>
      <c r="P25">
        <f ca="1">IF(AND(ISNUMBER($P$134),$B$113=1),$P$134,HLOOKUP(INDIRECT(ADDRESS(2,COLUMN())),OFFSET($AT$2,0,0,ROW()-1,40),ROW()-1,FALSE))</f>
        <v>348710</v>
      </c>
      <c r="Q25">
        <f ca="1">IF(AND(ISNUMBER($Q$134),$B$113=1),$Q$134,HLOOKUP(INDIRECT(ADDRESS(2,COLUMN())),OFFSET($AT$2,0,0,ROW()-1,40),ROW()-1,FALSE))</f>
        <v>304580</v>
      </c>
      <c r="R25">
        <f ca="1">IF(AND(ISNUMBER($R$134),$B$113=1),$R$134,HLOOKUP(INDIRECT(ADDRESS(2,COLUMN())),OFFSET($AT$2,0,0,ROW()-1,40),ROW()-1,FALSE))</f>
        <v>284011</v>
      </c>
      <c r="S25">
        <f ca="1">IF(AND(ISNUMBER($S$134),$B$113=1),$S$134,HLOOKUP(INDIRECT(ADDRESS(2,COLUMN())),OFFSET($AT$2,0,0,ROW()-1,40),ROW()-1,FALSE))</f>
        <v>257397</v>
      </c>
      <c r="T25">
        <f ca="1">IF(AND(ISNUMBER($T$134),$B$113=1),$T$134,HLOOKUP(INDIRECT(ADDRESS(2,COLUMN())),OFFSET($AT$2,0,0,ROW()-1,40),ROW()-1,FALSE))</f>
        <v>286479</v>
      </c>
      <c r="U25">
        <f ca="1">IF(AND(ISNUMBER($U$134),$B$113=1),$U$134,HLOOKUP(INDIRECT(ADDRESS(2,COLUMN())),OFFSET($AT$2,0,0,ROW()-1,40),ROW()-1,FALSE))</f>
        <v>393186</v>
      </c>
      <c r="V25">
        <f ca="1">IF(AND(ISNUMBER($V$134),$B$113=1),$V$134,HLOOKUP(INDIRECT(ADDRESS(2,COLUMN())),OFFSET($AT$2,0,0,ROW()-1,40),ROW()-1,FALSE))</f>
        <v>401961</v>
      </c>
      <c r="W25">
        <f ca="1">IF(AND(ISNUMBER($W$134),$B$113=1),$W$134,HLOOKUP(INDIRECT(ADDRESS(2,COLUMN())),OFFSET($AT$2,0,0,ROW()-1,40),ROW()-1,FALSE))</f>
        <v>320162</v>
      </c>
      <c r="X25">
        <f ca="1">IF(AND(ISNUMBER($X$134),$B$113=1),$X$134,HLOOKUP(INDIRECT(ADDRESS(2,COLUMN())),OFFSET($AT$2,0,0,ROW()-1,40),ROW()-1,FALSE))</f>
        <v>272395</v>
      </c>
      <c r="Y25">
        <f ca="1">IF(AND(ISNUMBER($Y$134),$B$113=1),$Y$134,HLOOKUP(INDIRECT(ADDRESS(2,COLUMN())),OFFSET($AT$2,0,0,ROW()-1,40),ROW()-1,FALSE))</f>
        <v>246725</v>
      </c>
      <c r="Z25">
        <f ca="1">IF(AND(ISNUMBER($Z$134),$B$113=1),$Z$134,HLOOKUP(INDIRECT(ADDRESS(2,COLUMN())),OFFSET($AT$2,0,0,ROW()-1,40),ROW()-1,FALSE))</f>
        <v>232151</v>
      </c>
      <c r="AA25">
        <f ca="1">IF(AND(ISNUMBER($AA$134),$B$113=1),$AA$134,HLOOKUP(INDIRECT(ADDRESS(2,COLUMN())),OFFSET($AT$2,0,0,ROW()-1,40),ROW()-1,FALSE))</f>
        <v>222509</v>
      </c>
      <c r="AB25">
        <f ca="1">IF(AND(ISNUMBER($AB$134),$B$113=1),$AB$134,HLOOKUP(INDIRECT(ADDRESS(2,COLUMN())),OFFSET($AT$2,0,0,ROW()-1,40),ROW()-1,FALSE))</f>
        <v>264194</v>
      </c>
      <c r="AC25">
        <f ca="1">IF(AND(ISNUMBER($AC$134),$B$113=1),$AC$134,HLOOKUP(INDIRECT(ADDRESS(2,COLUMN())),OFFSET($AT$2,0,0,ROW()-1,40),ROW()-1,FALSE))</f>
        <v>281975</v>
      </c>
      <c r="AD25">
        <f ca="1">IF(AND(ISNUMBER($AD$134),$B$113=1),$AD$134,HLOOKUP(INDIRECT(ADDRESS(2,COLUMN())),OFFSET($AT$2,0,0,ROW()-1,40),ROW()-1,FALSE))</f>
        <v>257380</v>
      </c>
      <c r="AE25">
        <f ca="1">IF(AND(ISNUMBER($AE$134),$B$113=1),$AE$134,HLOOKUP(INDIRECT(ADDRESS(2,COLUMN())),OFFSET($AT$2,0,0,ROW()-1,40),ROW()-1,FALSE))</f>
        <v>243689</v>
      </c>
      <c r="AF25">
        <f ca="1">IF(AND(ISNUMBER($AF$134),$B$113=1),$AF$134,HLOOKUP(INDIRECT(ADDRESS(2,COLUMN())),OFFSET($AT$2,0,0,ROW()-1,40),ROW()-1,FALSE))</f>
        <v>218388</v>
      </c>
      <c r="AG25">
        <f ca="1">IF(AND(ISNUMBER($AG$134),$B$113=1),$AG$134,HLOOKUP(INDIRECT(ADDRESS(2,COLUMN())),OFFSET($AT$2,0,0,ROW()-1,40),ROW()-1,FALSE))</f>
        <v>208000</v>
      </c>
      <c r="AH25">
        <f ca="1">IF(AND(ISNUMBER($AH$134),$B$113=1),$AH$134,HLOOKUP(INDIRECT(ADDRESS(2,COLUMN())),OFFSET($AT$2,0,0,ROW()-1,40),ROW()-1,FALSE))</f>
        <v>182144</v>
      </c>
      <c r="AI25">
        <f ca="1">IF(AND(ISNUMBER($AI$134),$B$113=1),$AI$134,HLOOKUP(INDIRECT(ADDRESS(2,COLUMN())),OFFSET($AT$2,0,0,ROW()-1,40),ROW()-1,FALSE))</f>
        <v>165270</v>
      </c>
      <c r="AJ25">
        <f ca="1">IF(AND(ISNUMBER($AJ$134),$B$113=1),$AJ$134,HLOOKUP(INDIRECT(ADDRESS(2,COLUMN())),OFFSET($AT$2,0,0,ROW()-1,40),ROW()-1,FALSE))</f>
        <v>159605</v>
      </c>
      <c r="AK25" t="str">
        <f ca="1">IF(AND(ISNUMBER($AK$134),$B$113=1),$AK$134,HLOOKUP(INDIRECT(ADDRESS(2,COLUMN())),OFFSET($AT$2,0,0,ROW()-1,40),ROW()-1,FALSE))</f>
        <v/>
      </c>
      <c r="AL25" t="str">
        <f ca="1">IF(AND(ISNUMBER($AL$134),$B$113=1),$AL$134,HLOOKUP(INDIRECT(ADDRESS(2,COLUMN())),OFFSET($AT$2,0,0,ROW()-1,40),ROW()-1,FALSE))</f>
        <v/>
      </c>
      <c r="AM25" t="str">
        <f ca="1">IF(AND(ISNUMBER($AM$134),$B$113=1),$AM$134,HLOOKUP(INDIRECT(ADDRESS(2,COLUMN())),OFFSET($AT$2,0,0,ROW()-1,40),ROW()-1,FALSE))</f>
        <v/>
      </c>
      <c r="AN25" t="str">
        <f ca="1">IF(AND(ISNUMBER($AN$134),$B$113=1),$AN$134,HLOOKUP(INDIRECT(ADDRESS(2,COLUMN())),OFFSET($AT$2,0,0,ROW()-1,40),ROW()-1,FALSE))</f>
        <v/>
      </c>
      <c r="AO25" t="str">
        <f ca="1">IF(AND(ISNUMBER($AO$134),$B$113=1),$AO$134,HLOOKUP(INDIRECT(ADDRESS(2,COLUMN())),OFFSET($AT$2,0,0,ROW()-1,40),ROW()-1,FALSE))</f>
        <v/>
      </c>
      <c r="AP25" t="str">
        <f ca="1">IF(AND(ISNUMBER($AP$134),$B$113=1),$AP$134,HLOOKUP(INDIRECT(ADDRESS(2,COLUMN())),OFFSET($AT$2,0,0,ROW()-1,40),ROW()-1,FALSE))</f>
        <v/>
      </c>
      <c r="AQ25" t="str">
        <f ca="1">IF(AND(ISNUMBER($AQ$134),$B$113=1),$AQ$134,HLOOKUP(INDIRECT(ADDRESS(2,COLUMN())),OFFSET($AT$2,0,0,ROW()-1,40),ROW()-1,FALSE))</f>
        <v/>
      </c>
      <c r="AR25" t="str">
        <f ca="1">IF(AND(ISNUMBER($AR$134),$B$113=1),$AR$134,HLOOKUP(INDIRECT(ADDRESS(2,COLUMN())),OFFSET($AT$2,0,0,ROW()-1,40),ROW()-1,FALSE))</f>
        <v/>
      </c>
      <c r="AS25" t="str">
        <f ca="1">IF(AND(ISNUMBER($AS$134),$B$113=1),$AS$134,HLOOKUP(INDIRECT(ADDRESS(2,COLUMN())),OFFSET($AT$2,0,0,ROW()-1,40),ROW()-1,FALSE))</f>
        <v/>
      </c>
      <c r="AT25">
        <f>683866</f>
        <v>683866</v>
      </c>
      <c r="AU25">
        <f>594609</f>
        <v>594609</v>
      </c>
      <c r="AV25">
        <f>515033</f>
        <v>515033</v>
      </c>
      <c r="AW25">
        <f>479213</f>
        <v>479213</v>
      </c>
      <c r="AX25">
        <f>524947</f>
        <v>524947</v>
      </c>
      <c r="AY25">
        <f>462060</f>
        <v>462060</v>
      </c>
      <c r="AZ25">
        <f>447371</f>
        <v>447371</v>
      </c>
      <c r="BA25">
        <f>461342</f>
        <v>461342</v>
      </c>
      <c r="BB25">
        <f>405378</f>
        <v>405378</v>
      </c>
      <c r="BC25">
        <f>370648</f>
        <v>370648</v>
      </c>
      <c r="BD25">
        <f>348710</f>
        <v>348710</v>
      </c>
      <c r="BE25">
        <f>304580</f>
        <v>304580</v>
      </c>
      <c r="BF25">
        <f>284011</f>
        <v>284011</v>
      </c>
      <c r="BG25">
        <f>257397</f>
        <v>257397</v>
      </c>
      <c r="BH25">
        <f>286479</f>
        <v>286479</v>
      </c>
      <c r="BI25">
        <f>393186</f>
        <v>393186</v>
      </c>
      <c r="BJ25">
        <f>401961</f>
        <v>401961</v>
      </c>
      <c r="BK25">
        <f>320162</f>
        <v>320162</v>
      </c>
      <c r="BL25">
        <f>272395</f>
        <v>272395</v>
      </c>
      <c r="BM25">
        <f>246725</f>
        <v>246725</v>
      </c>
      <c r="BN25">
        <f>232151</f>
        <v>232151</v>
      </c>
      <c r="BO25">
        <f>222509</f>
        <v>222509</v>
      </c>
      <c r="BP25">
        <f>264194</f>
        <v>264194</v>
      </c>
      <c r="BQ25">
        <f>281975</f>
        <v>281975</v>
      </c>
      <c r="BR25">
        <f>257380</f>
        <v>257380</v>
      </c>
      <c r="BS25">
        <f>243689</f>
        <v>243689</v>
      </c>
      <c r="BT25">
        <f>218388</f>
        <v>218388</v>
      </c>
      <c r="BU25">
        <f>208000</f>
        <v>208000</v>
      </c>
      <c r="BV25">
        <f>182144</f>
        <v>182144</v>
      </c>
      <c r="BW25">
        <f>165270</f>
        <v>165270</v>
      </c>
      <c r="BX25">
        <f>159605</f>
        <v>159605</v>
      </c>
      <c r="BY25" t="str">
        <f>""</f>
        <v/>
      </c>
      <c r="BZ25" t="str">
        <f>""</f>
        <v/>
      </c>
      <c r="CA25" t="str">
        <f>""</f>
        <v/>
      </c>
      <c r="CB25" t="str">
        <f>""</f>
        <v/>
      </c>
      <c r="CC25" t="str">
        <f>""</f>
        <v/>
      </c>
      <c r="CD25" t="str">
        <f>""</f>
        <v/>
      </c>
      <c r="CE25" t="str">
        <f>""</f>
        <v/>
      </c>
      <c r="CF25" t="str">
        <f>""</f>
        <v/>
      </c>
      <c r="CG25" t="str">
        <f>""</f>
        <v/>
      </c>
    </row>
    <row r="26" spans="1:85" x14ac:dyDescent="0.2">
      <c r="A26" t="str">
        <f>"    U.S. Total Public Construction Spending (SAAR)"</f>
        <v xml:space="preserve">    U.S. Total Public Construction Spending (SAAR)</v>
      </c>
      <c r="B26" t="str">
        <f>"CNSTPUTO Index"</f>
        <v>CNSTPUTO Index</v>
      </c>
      <c r="C26" t="str">
        <f t="shared" si="6"/>
        <v>PR005</v>
      </c>
      <c r="D26" t="str">
        <f t="shared" si="7"/>
        <v>PX_LAST</v>
      </c>
      <c r="E26" t="str">
        <f t="shared" si="8"/>
        <v>Dynamic</v>
      </c>
      <c r="F26">
        <f ca="1">IF(AND(ISNUMBER($F$135),$B$113=1),$F$135,HLOOKUP(INDIRECT(ADDRESS(2,COLUMN())),OFFSET($AT$2,0,0,ROW()-1,40),ROW()-1,FALSE))</f>
        <v>440622</v>
      </c>
      <c r="G26">
        <f ca="1">IF(AND(ISNUMBER($G$135),$B$113=1),$G$135,HLOOKUP(INDIRECT(ADDRESS(2,COLUMN())),OFFSET($AT$2,0,0,ROW()-1,40),ROW()-1,FALSE))</f>
        <v>392570</v>
      </c>
      <c r="H26">
        <f ca="1">IF(AND(ISNUMBER($H$135),$B$113=1),$H$135,HLOOKUP(INDIRECT(ADDRESS(2,COLUMN())),OFFSET($AT$2,0,0,ROW()-1,40),ROW()-1,FALSE))</f>
        <v>358113</v>
      </c>
      <c r="I26">
        <f ca="1">IF(AND(ISNUMBER($I$135),$B$113=1),$I$135,HLOOKUP(INDIRECT(ADDRESS(2,COLUMN())),OFFSET($AT$2,0,0,ROW()-1,40),ROW()-1,FALSE))</f>
        <v>368521</v>
      </c>
      <c r="J26">
        <f ca="1">IF(AND(ISNUMBER($J$135),$B$113=1),$J$135,HLOOKUP(INDIRECT(ADDRESS(2,COLUMN())),OFFSET($AT$2,0,0,ROW()-1,40),ROW()-1,FALSE))</f>
        <v>355218</v>
      </c>
      <c r="K26">
        <f ca="1">IF(AND(ISNUMBER($K$135),$B$113=1),$K$135,HLOOKUP(INDIRECT(ADDRESS(2,COLUMN())),OFFSET($AT$2,0,0,ROW()-1,40),ROW()-1,FALSE))</f>
        <v>308835</v>
      </c>
      <c r="L26">
        <f ca="1">IF(AND(ISNUMBER($L$135),$B$113=1),$L$135,HLOOKUP(INDIRECT(ADDRESS(2,COLUMN())),OFFSET($AT$2,0,0,ROW()-1,40),ROW()-1,FALSE))</f>
        <v>301276</v>
      </c>
      <c r="M26">
        <f ca="1">IF(AND(ISNUMBER($M$135),$B$113=1),$M$135,HLOOKUP(INDIRECT(ADDRESS(2,COLUMN())),OFFSET($AT$2,0,0,ROW()-1,40),ROW()-1,FALSE))</f>
        <v>296774</v>
      </c>
      <c r="N26">
        <f ca="1">IF(AND(ISNUMBER($N$135),$B$113=1),$N$135,HLOOKUP(INDIRECT(ADDRESS(2,COLUMN())),OFFSET($AT$2,0,0,ROW()-1,40),ROW()-1,FALSE))</f>
        <v>298029</v>
      </c>
      <c r="O26">
        <f ca="1">IF(AND(ISNUMBER($O$135),$B$113=1),$O$135,HLOOKUP(INDIRECT(ADDRESS(2,COLUMN())),OFFSET($AT$2,0,0,ROW()-1,40),ROW()-1,FALSE))</f>
        <v>284197</v>
      </c>
      <c r="P26">
        <f ca="1">IF(AND(ISNUMBER($P$135),$B$113=1),$P$135,HLOOKUP(INDIRECT(ADDRESS(2,COLUMN())),OFFSET($AT$2,0,0,ROW()-1,40),ROW()-1,FALSE))</f>
        <v>269747</v>
      </c>
      <c r="Q26">
        <f ca="1">IF(AND(ISNUMBER($Q$135),$B$113=1),$Q$135,HLOOKUP(INDIRECT(ADDRESS(2,COLUMN())),OFFSET($AT$2,0,0,ROW()-1,40),ROW()-1,FALSE))</f>
        <v>268128</v>
      </c>
      <c r="R26">
        <f ca="1">IF(AND(ISNUMBER($R$135),$B$113=1),$R$135,HLOOKUP(INDIRECT(ADDRESS(2,COLUMN())),OFFSET($AT$2,0,0,ROW()-1,40),ROW()-1,FALSE))</f>
        <v>289373</v>
      </c>
      <c r="S26">
        <f ca="1">IF(AND(ISNUMBER($S$135),$B$113=1),$S$135,HLOOKUP(INDIRECT(ADDRESS(2,COLUMN())),OFFSET($AT$2,0,0,ROW()-1,40),ROW()-1,FALSE))</f>
        <v>292968</v>
      </c>
      <c r="T26">
        <f ca="1">IF(AND(ISNUMBER($T$135),$B$113=1),$T$135,HLOOKUP(INDIRECT(ADDRESS(2,COLUMN())),OFFSET($AT$2,0,0,ROW()-1,40),ROW()-1,FALSE))</f>
        <v>300330</v>
      </c>
      <c r="U26">
        <f ca="1">IF(AND(ISNUMBER($U$135),$B$113=1),$U$135,HLOOKUP(INDIRECT(ADDRESS(2,COLUMN())),OFFSET($AT$2,0,0,ROW()-1,40),ROW()-1,FALSE))</f>
        <v>311957</v>
      </c>
      <c r="V26">
        <f ca="1">IF(AND(ISNUMBER($V$135),$B$113=1),$V$135,HLOOKUP(INDIRECT(ADDRESS(2,COLUMN())),OFFSET($AT$2,0,0,ROW()-1,40),ROW()-1,FALSE))</f>
        <v>296694</v>
      </c>
      <c r="W26">
        <f ca="1">IF(AND(ISNUMBER($W$135),$B$113=1),$W$135,HLOOKUP(INDIRECT(ADDRESS(2,COLUMN())),OFFSET($AT$2,0,0,ROW()-1,40),ROW()-1,FALSE))</f>
        <v>270232</v>
      </c>
      <c r="X26">
        <f ca="1">IF(AND(ISNUMBER($X$135),$B$113=1),$X$135,HLOOKUP(INDIRECT(ADDRESS(2,COLUMN())),OFFSET($AT$2,0,0,ROW()-1,40),ROW()-1,FALSE))</f>
        <v>241758</v>
      </c>
      <c r="Y26">
        <f ca="1">IF(AND(ISNUMBER($Y$135),$B$113=1),$Y$135,HLOOKUP(INDIRECT(ADDRESS(2,COLUMN())),OFFSET($AT$2,0,0,ROW()-1,40),ROW()-1,FALSE))</f>
        <v>224471</v>
      </c>
      <c r="Z26">
        <f ca="1">IF(AND(ISNUMBER($Z$135),$B$113=1),$Z$135,HLOOKUP(INDIRECT(ADDRESS(2,COLUMN())),OFFSET($AT$2,0,0,ROW()-1,40),ROW()-1,FALSE))</f>
        <v>212946</v>
      </c>
      <c r="AA26">
        <f ca="1">IF(AND(ISNUMBER($AA$135),$B$113=1),$AA$135,HLOOKUP(INDIRECT(ADDRESS(2,COLUMN())),OFFSET($AT$2,0,0,ROW()-1,40),ROW()-1,FALSE))</f>
        <v>221742</v>
      </c>
      <c r="AB26">
        <f ca="1">IF(AND(ISNUMBER($AB$135),$B$113=1),$AB$135,HLOOKUP(INDIRECT(ADDRESS(2,COLUMN())),OFFSET($AT$2,0,0,ROW()-1,40),ROW()-1,FALSE))</f>
        <v>209290</v>
      </c>
      <c r="AC26">
        <f ca="1">IF(AND(ISNUMBER($AC$135),$B$113=1),$AC$135,HLOOKUP(INDIRECT(ADDRESS(2,COLUMN())),OFFSET($AT$2,0,0,ROW()-1,40),ROW()-1,FALSE))</f>
        <v>185294</v>
      </c>
      <c r="AD26">
        <f ca="1">IF(AND(ISNUMBER($AD$135),$B$113=1),$AD$135,HLOOKUP(INDIRECT(ADDRESS(2,COLUMN())),OFFSET($AT$2,0,0,ROW()-1,40),ROW()-1,FALSE))</f>
        <v>185045</v>
      </c>
      <c r="AE26">
        <f ca="1">IF(AND(ISNUMBER($AE$135),$B$113=1),$AE$135,HLOOKUP(INDIRECT(ADDRESS(2,COLUMN())),OFFSET($AT$2,0,0,ROW()-1,40),ROW()-1,FALSE))</f>
        <v>160793</v>
      </c>
      <c r="AF26">
        <f ca="1">IF(AND(ISNUMBER($AF$135),$B$113=1),$AF$135,HLOOKUP(INDIRECT(ADDRESS(2,COLUMN())),OFFSET($AT$2,0,0,ROW()-1,40),ROW()-1,FALSE))</f>
        <v>154442</v>
      </c>
      <c r="AG26">
        <f ca="1">IF(AND(ISNUMBER($AG$135),$B$113=1),$AG$135,HLOOKUP(INDIRECT(ADDRESS(2,COLUMN())),OFFSET($AT$2,0,0,ROW()-1,40),ROW()-1,FALSE))</f>
        <v>144846</v>
      </c>
      <c r="AH26">
        <f ca="1">IF(AND(ISNUMBER($AH$135),$B$113=1),$AH$135,HLOOKUP(INDIRECT(ADDRESS(2,COLUMN())),OFFSET($AT$2,0,0,ROW()-1,40),ROW()-1,FALSE))</f>
        <v>140236</v>
      </c>
      <c r="AI26">
        <f ca="1">IF(AND(ISNUMBER($AI$135),$B$113=1),$AI$135,HLOOKUP(INDIRECT(ADDRESS(2,COLUMN())),OFFSET($AT$2,0,0,ROW()-1,40),ROW()-1,FALSE))</f>
        <v>135129</v>
      </c>
      <c r="AJ26">
        <f ca="1">IF(AND(ISNUMBER($AJ$135),$B$113=1),$AJ$135,HLOOKUP(INDIRECT(ADDRESS(2,COLUMN())),OFFSET($AT$2,0,0,ROW()-1,40),ROW()-1,FALSE))</f>
        <v>137897</v>
      </c>
      <c r="AK26">
        <f ca="1">IF(AND(ISNUMBER($AK$135),$B$113=1),$AK$135,HLOOKUP(INDIRECT(ADDRESS(2,COLUMN())),OFFSET($AT$2,0,0,ROW()-1,40),ROW()-1,FALSE))</f>
        <v>115457</v>
      </c>
      <c r="AL26">
        <f ca="1">IF(AND(ISNUMBER($AL$135),$B$113=1),$AL$135,HLOOKUP(INDIRECT(ADDRESS(2,COLUMN())),OFFSET($AT$2,0,0,ROW()-1,40),ROW()-1,FALSE))</f>
        <v>113112</v>
      </c>
      <c r="AM26">
        <f ca="1">IF(AND(ISNUMBER($AM$135),$B$113=1),$AM$135,HLOOKUP(INDIRECT(ADDRESS(2,COLUMN())),OFFSET($AT$2,0,0,ROW()-1,40),ROW()-1,FALSE))</f>
        <v>109127</v>
      </c>
      <c r="AN26">
        <f ca="1">IF(AND(ISNUMBER($AN$135),$B$113=1),$AN$135,HLOOKUP(INDIRECT(ADDRESS(2,COLUMN())),OFFSET($AT$2,0,0,ROW()-1,40),ROW()-1,FALSE))</f>
        <v>104261</v>
      </c>
      <c r="AO26">
        <f ca="1">IF(AND(ISNUMBER($AO$135),$B$113=1),$AO$135,HLOOKUP(INDIRECT(ADDRESS(2,COLUMN())),OFFSET($AT$2,0,0,ROW()-1,40),ROW()-1,FALSE))</f>
        <v>99438</v>
      </c>
      <c r="AP26">
        <f ca="1">IF(AND(ISNUMBER($AP$135),$B$113=1),$AP$135,HLOOKUP(INDIRECT(ADDRESS(2,COLUMN())),OFFSET($AT$2,0,0,ROW()-1,40),ROW()-1,FALSE))</f>
        <v>93292</v>
      </c>
      <c r="AQ26">
        <f ca="1">IF(AND(ISNUMBER($AQ$135),$B$113=1),$AQ$135,HLOOKUP(INDIRECT(ADDRESS(2,COLUMN())),OFFSET($AT$2,0,0,ROW()-1,40),ROW()-1,FALSE))</f>
        <v>83023</v>
      </c>
      <c r="AR26">
        <f ca="1">IF(AND(ISNUMBER($AR$135),$B$113=1),$AR$135,HLOOKUP(INDIRECT(ADDRESS(2,COLUMN())),OFFSET($AT$2,0,0,ROW()-1,40),ROW()-1,FALSE))</f>
        <v>79916</v>
      </c>
      <c r="AS26">
        <f ca="1">IF(AND(ISNUMBER($AS$135),$B$113=1),$AS$135,HLOOKUP(INDIRECT(ADDRESS(2,COLUMN())),OFFSET($AT$2,0,0,ROW()-1,40),ROW()-1,FALSE))</f>
        <v>72489</v>
      </c>
      <c r="AT26">
        <f>440622</f>
        <v>440622</v>
      </c>
      <c r="AU26">
        <f>392570</f>
        <v>392570</v>
      </c>
      <c r="AV26">
        <f>358113</f>
        <v>358113</v>
      </c>
      <c r="AW26">
        <f>368521</f>
        <v>368521</v>
      </c>
      <c r="AX26">
        <f>355218</f>
        <v>355218</v>
      </c>
      <c r="AY26">
        <f>308835</f>
        <v>308835</v>
      </c>
      <c r="AZ26">
        <f>301276</f>
        <v>301276</v>
      </c>
      <c r="BA26">
        <f>296774</f>
        <v>296774</v>
      </c>
      <c r="BB26">
        <f>298029</f>
        <v>298029</v>
      </c>
      <c r="BC26">
        <f>284197</f>
        <v>284197</v>
      </c>
      <c r="BD26">
        <f>269747</f>
        <v>269747</v>
      </c>
      <c r="BE26">
        <f>268128</f>
        <v>268128</v>
      </c>
      <c r="BF26">
        <f>289373</f>
        <v>289373</v>
      </c>
      <c r="BG26">
        <f>292968</f>
        <v>292968</v>
      </c>
      <c r="BH26">
        <f>300330</f>
        <v>300330</v>
      </c>
      <c r="BI26">
        <f>311957</f>
        <v>311957</v>
      </c>
      <c r="BJ26">
        <f>296694</f>
        <v>296694</v>
      </c>
      <c r="BK26">
        <f>270232</f>
        <v>270232</v>
      </c>
      <c r="BL26">
        <f>241758</f>
        <v>241758</v>
      </c>
      <c r="BM26">
        <f>224471</f>
        <v>224471</v>
      </c>
      <c r="BN26">
        <f>212946</f>
        <v>212946</v>
      </c>
      <c r="BO26">
        <f>221742</f>
        <v>221742</v>
      </c>
      <c r="BP26">
        <f>209290</f>
        <v>209290</v>
      </c>
      <c r="BQ26">
        <f>185294</f>
        <v>185294</v>
      </c>
      <c r="BR26">
        <f>185045</f>
        <v>185045</v>
      </c>
      <c r="BS26">
        <f>160793</f>
        <v>160793</v>
      </c>
      <c r="BT26">
        <f>154442</f>
        <v>154442</v>
      </c>
      <c r="BU26">
        <f>144846</f>
        <v>144846</v>
      </c>
      <c r="BV26">
        <f>140236</f>
        <v>140236</v>
      </c>
      <c r="BW26">
        <f>135129</f>
        <v>135129</v>
      </c>
      <c r="BX26">
        <f>137897</f>
        <v>137897</v>
      </c>
      <c r="BY26">
        <f>115457</f>
        <v>115457</v>
      </c>
      <c r="BZ26">
        <f>113112</f>
        <v>113112</v>
      </c>
      <c r="CA26">
        <f>109127</f>
        <v>109127</v>
      </c>
      <c r="CB26">
        <f>104261</f>
        <v>104261</v>
      </c>
      <c r="CC26">
        <f>99438</f>
        <v>99438</v>
      </c>
      <c r="CD26">
        <f>93292</f>
        <v>93292</v>
      </c>
      <c r="CE26">
        <f>83023</f>
        <v>83023</v>
      </c>
      <c r="CF26">
        <f>79916</f>
        <v>79916</v>
      </c>
      <c r="CG26">
        <f>72489</f>
        <v>72489</v>
      </c>
    </row>
    <row r="27" spans="1:85" x14ac:dyDescent="0.2">
      <c r="A27" t="str">
        <f>"        U.S. Total Public Residential  Construction Spending (NSA)"</f>
        <v xml:space="preserve">        U.S. Total Public Residential  Construction Spending (NSA)</v>
      </c>
      <c r="B27" t="str">
        <f>"CNSTPURE Index"</f>
        <v>CNSTPURE Index</v>
      </c>
      <c r="C27" t="str">
        <f t="shared" si="6"/>
        <v>PR005</v>
      </c>
      <c r="D27" t="str">
        <f t="shared" si="7"/>
        <v>PX_LAST</v>
      </c>
      <c r="E27" t="str">
        <f t="shared" si="8"/>
        <v>Dynamic</v>
      </c>
      <c r="F27">
        <f ca="1">IF(AND(ISNUMBER($F$136),$B$113=1),$F$136,HLOOKUP(INDIRECT(ADDRESS(2,COLUMN())),OFFSET($AT$2,0,0,ROW()-1,40),ROW()-1,FALSE))</f>
        <v>10286</v>
      </c>
      <c r="G27">
        <f ca="1">IF(AND(ISNUMBER($G$136),$B$113=1),$G$136,HLOOKUP(INDIRECT(ADDRESS(2,COLUMN())),OFFSET($AT$2,0,0,ROW()-1,40),ROW()-1,FALSE))</f>
        <v>9385</v>
      </c>
      <c r="H27">
        <f ca="1">IF(AND(ISNUMBER($H$136),$B$113=1),$H$136,HLOOKUP(INDIRECT(ADDRESS(2,COLUMN())),OFFSET($AT$2,0,0,ROW()-1,40),ROW()-1,FALSE))</f>
        <v>9765</v>
      </c>
      <c r="I27">
        <f ca="1">IF(AND(ISNUMBER($I$136),$B$113=1),$I$136,HLOOKUP(INDIRECT(ADDRESS(2,COLUMN())),OFFSET($AT$2,0,0,ROW()-1,40),ROW()-1,FALSE))</f>
        <v>9696</v>
      </c>
      <c r="J27">
        <f ca="1">IF(AND(ISNUMBER($J$136),$B$113=1),$J$136,HLOOKUP(INDIRECT(ADDRESS(2,COLUMN())),OFFSET($AT$2,0,0,ROW()-1,40),ROW()-1,FALSE))</f>
        <v>8122</v>
      </c>
      <c r="K27">
        <f ca="1">IF(AND(ISNUMBER($K$136),$B$113=1),$K$136,HLOOKUP(INDIRECT(ADDRESS(2,COLUMN())),OFFSET($AT$2,0,0,ROW()-1,40),ROW()-1,FALSE))</f>
        <v>5591</v>
      </c>
      <c r="L27">
        <f ca="1">IF(AND(ISNUMBER($L$136),$B$113=1),$L$136,HLOOKUP(INDIRECT(ADDRESS(2,COLUMN())),OFFSET($AT$2,0,0,ROW()-1,40),ROW()-1,FALSE))</f>
        <v>6965</v>
      </c>
      <c r="M27">
        <f ca="1">IF(AND(ISNUMBER($M$136),$B$113=1),$M$136,HLOOKUP(INDIRECT(ADDRESS(2,COLUMN())),OFFSET($AT$2,0,0,ROW()-1,40),ROW()-1,FALSE))</f>
        <v>6925</v>
      </c>
      <c r="N27">
        <f ca="1">IF(AND(ISNUMBER($N$136),$B$113=1),$N$136,HLOOKUP(INDIRECT(ADDRESS(2,COLUMN())),OFFSET($AT$2,0,0,ROW()-1,40),ROW()-1,FALSE))</f>
        <v>6349</v>
      </c>
      <c r="O27">
        <f ca="1">IF(AND(ISNUMBER($O$136),$B$113=1),$O$136,HLOOKUP(INDIRECT(ADDRESS(2,COLUMN())),OFFSET($AT$2,0,0,ROW()-1,40),ROW()-1,FALSE))</f>
        <v>5329</v>
      </c>
      <c r="P27">
        <f ca="1">IF(AND(ISNUMBER($P$136),$B$113=1),$P$136,HLOOKUP(INDIRECT(ADDRESS(2,COLUMN())),OFFSET($AT$2,0,0,ROW()-1,40),ROW()-1,FALSE))</f>
        <v>5340</v>
      </c>
      <c r="Q27">
        <f ca="1">IF(AND(ISNUMBER($Q$136),$B$113=1),$Q$136,HLOOKUP(INDIRECT(ADDRESS(2,COLUMN())),OFFSET($AT$2,0,0,ROW()-1,40),ROW()-1,FALSE))</f>
        <v>6004</v>
      </c>
      <c r="R27">
        <f ca="1">IF(AND(ISNUMBER($R$136),$B$113=1),$R$136,HLOOKUP(INDIRECT(ADDRESS(2,COLUMN())),OFFSET($AT$2,0,0,ROW()-1,40),ROW()-1,FALSE))</f>
        <v>7107</v>
      </c>
      <c r="S27">
        <f ca="1">IF(AND(ISNUMBER($S$136),$B$113=1),$S$136,HLOOKUP(INDIRECT(ADDRESS(2,COLUMN())),OFFSET($AT$2,0,0,ROW()-1,40),ROW()-1,FALSE))</f>
        <v>9899</v>
      </c>
      <c r="T27">
        <f ca="1">IF(AND(ISNUMBER($T$136),$B$113=1),$T$136,HLOOKUP(INDIRECT(ADDRESS(2,COLUMN())),OFFSET($AT$2,0,0,ROW()-1,40),ROW()-1,FALSE))</f>
        <v>8792</v>
      </c>
      <c r="U27">
        <f ca="1">IF(AND(ISNUMBER($U$136),$B$113=1),$U$136,HLOOKUP(INDIRECT(ADDRESS(2,COLUMN())),OFFSET($AT$2,0,0,ROW()-1,40),ROW()-1,FALSE))</f>
        <v>7334</v>
      </c>
      <c r="V27">
        <f ca="1">IF(AND(ISNUMBER($V$136),$B$113=1),$V$136,HLOOKUP(INDIRECT(ADDRESS(2,COLUMN())),OFFSET($AT$2,0,0,ROW()-1,40),ROW()-1,FALSE))</f>
        <v>7212</v>
      </c>
      <c r="W27">
        <f ca="1">IF(AND(ISNUMBER($W$136),$B$113=1),$W$136,HLOOKUP(INDIRECT(ADDRESS(2,COLUMN())),OFFSET($AT$2,0,0,ROW()-1,40),ROW()-1,FALSE))</f>
        <v>6729</v>
      </c>
      <c r="X27">
        <f ca="1">IF(AND(ISNUMBER($X$136),$B$113=1),$X$136,HLOOKUP(INDIRECT(ADDRESS(2,COLUMN())),OFFSET($AT$2,0,0,ROW()-1,40),ROW()-1,FALSE))</f>
        <v>5613</v>
      </c>
      <c r="Y27">
        <f ca="1">IF(AND(ISNUMBER($Y$136),$B$113=1),$Y$136,HLOOKUP(INDIRECT(ADDRESS(2,COLUMN())),OFFSET($AT$2,0,0,ROW()-1,40),ROW()-1,FALSE))</f>
        <v>5587</v>
      </c>
      <c r="Z27">
        <f ca="1">IF(AND(ISNUMBER($Z$136),$B$113=1),$Z$136,HLOOKUP(INDIRECT(ADDRESS(2,COLUMN())),OFFSET($AT$2,0,0,ROW()-1,40),ROW()-1,FALSE))</f>
        <v>5281</v>
      </c>
      <c r="AA27">
        <f ca="1">IF(AND(ISNUMBER($AA$136),$B$113=1),$AA$136,HLOOKUP(INDIRECT(ADDRESS(2,COLUMN())),OFFSET($AT$2,0,0,ROW()-1,40),ROW()-1,FALSE))</f>
        <v>5086</v>
      </c>
      <c r="AB27" t="str">
        <f ca="1">IF(AND(ISNUMBER($AB$136),$B$113=1),$AB$136,HLOOKUP(INDIRECT(ADDRESS(2,COLUMN())),OFFSET($AT$2,0,0,ROW()-1,40),ROW()-1,FALSE))</f>
        <v/>
      </c>
      <c r="AC27" t="str">
        <f ca="1">IF(AND(ISNUMBER($AC$136),$B$113=1),$AC$136,HLOOKUP(INDIRECT(ADDRESS(2,COLUMN())),OFFSET($AT$2,0,0,ROW()-1,40),ROW()-1,FALSE))</f>
        <v/>
      </c>
      <c r="AD27" t="str">
        <f ca="1">IF(AND(ISNUMBER($AD$136),$B$113=1),$AD$136,HLOOKUP(INDIRECT(ADDRESS(2,COLUMN())),OFFSET($AT$2,0,0,ROW()-1,40),ROW()-1,FALSE))</f>
        <v/>
      </c>
      <c r="AE27" t="str">
        <f ca="1">IF(AND(ISNUMBER($AE$136),$B$113=1),$AE$136,HLOOKUP(INDIRECT(ADDRESS(2,COLUMN())),OFFSET($AT$2,0,0,ROW()-1,40),ROW()-1,FALSE))</f>
        <v/>
      </c>
      <c r="AF27" t="str">
        <f ca="1">IF(AND(ISNUMBER($AF$136),$B$113=1),$AF$136,HLOOKUP(INDIRECT(ADDRESS(2,COLUMN())),OFFSET($AT$2,0,0,ROW()-1,40),ROW()-1,FALSE))</f>
        <v/>
      </c>
      <c r="AG27" t="str">
        <f ca="1">IF(AND(ISNUMBER($AG$136),$B$113=1),$AG$136,HLOOKUP(INDIRECT(ADDRESS(2,COLUMN())),OFFSET($AT$2,0,0,ROW()-1,40),ROW()-1,FALSE))</f>
        <v/>
      </c>
      <c r="AH27" t="str">
        <f ca="1">IF(AND(ISNUMBER($AH$136),$B$113=1),$AH$136,HLOOKUP(INDIRECT(ADDRESS(2,COLUMN())),OFFSET($AT$2,0,0,ROW()-1,40),ROW()-1,FALSE))</f>
        <v/>
      </c>
      <c r="AI27" t="str">
        <f ca="1">IF(AND(ISNUMBER($AI$136),$B$113=1),$AI$136,HLOOKUP(INDIRECT(ADDRESS(2,COLUMN())),OFFSET($AT$2,0,0,ROW()-1,40),ROW()-1,FALSE))</f>
        <v/>
      </c>
      <c r="AJ27" t="str">
        <f ca="1">IF(AND(ISNUMBER($AJ$136),$B$113=1),$AJ$136,HLOOKUP(INDIRECT(ADDRESS(2,COLUMN())),OFFSET($AT$2,0,0,ROW()-1,40),ROW()-1,FALSE))</f>
        <v/>
      </c>
      <c r="AK27" t="str">
        <f ca="1">IF(AND(ISNUMBER($AK$136),$B$113=1),$AK$136,HLOOKUP(INDIRECT(ADDRESS(2,COLUMN())),OFFSET($AT$2,0,0,ROW()-1,40),ROW()-1,FALSE))</f>
        <v/>
      </c>
      <c r="AL27" t="str">
        <f ca="1">IF(AND(ISNUMBER($AL$136),$B$113=1),$AL$136,HLOOKUP(INDIRECT(ADDRESS(2,COLUMN())),OFFSET($AT$2,0,0,ROW()-1,40),ROW()-1,FALSE))</f>
        <v/>
      </c>
      <c r="AM27" t="str">
        <f ca="1">IF(AND(ISNUMBER($AM$136),$B$113=1),$AM$136,HLOOKUP(INDIRECT(ADDRESS(2,COLUMN())),OFFSET($AT$2,0,0,ROW()-1,40),ROW()-1,FALSE))</f>
        <v/>
      </c>
      <c r="AN27" t="str">
        <f ca="1">IF(AND(ISNUMBER($AN$136),$B$113=1),$AN$136,HLOOKUP(INDIRECT(ADDRESS(2,COLUMN())),OFFSET($AT$2,0,0,ROW()-1,40),ROW()-1,FALSE))</f>
        <v/>
      </c>
      <c r="AO27" t="str">
        <f ca="1">IF(AND(ISNUMBER($AO$136),$B$113=1),$AO$136,HLOOKUP(INDIRECT(ADDRESS(2,COLUMN())),OFFSET($AT$2,0,0,ROW()-1,40),ROW()-1,FALSE))</f>
        <v/>
      </c>
      <c r="AP27" t="str">
        <f ca="1">IF(AND(ISNUMBER($AP$136),$B$113=1),$AP$136,HLOOKUP(INDIRECT(ADDRESS(2,COLUMN())),OFFSET($AT$2,0,0,ROW()-1,40),ROW()-1,FALSE))</f>
        <v/>
      </c>
      <c r="AQ27" t="str">
        <f ca="1">IF(AND(ISNUMBER($AQ$136),$B$113=1),$AQ$136,HLOOKUP(INDIRECT(ADDRESS(2,COLUMN())),OFFSET($AT$2,0,0,ROW()-1,40),ROW()-1,FALSE))</f>
        <v/>
      </c>
      <c r="AR27" t="str">
        <f ca="1">IF(AND(ISNUMBER($AR$136),$B$113=1),$AR$136,HLOOKUP(INDIRECT(ADDRESS(2,COLUMN())),OFFSET($AT$2,0,0,ROW()-1,40),ROW()-1,FALSE))</f>
        <v/>
      </c>
      <c r="AS27" t="str">
        <f ca="1">IF(AND(ISNUMBER($AS$136),$B$113=1),$AS$136,HLOOKUP(INDIRECT(ADDRESS(2,COLUMN())),OFFSET($AT$2,0,0,ROW()-1,40),ROW()-1,FALSE))</f>
        <v/>
      </c>
      <c r="AT27">
        <f>10286</f>
        <v>10286</v>
      </c>
      <c r="AU27">
        <f>9385</f>
        <v>9385</v>
      </c>
      <c r="AV27">
        <f>9765</f>
        <v>9765</v>
      </c>
      <c r="AW27">
        <f>9696</f>
        <v>9696</v>
      </c>
      <c r="AX27">
        <f>8122</f>
        <v>8122</v>
      </c>
      <c r="AY27">
        <f>5591</f>
        <v>5591</v>
      </c>
      <c r="AZ27">
        <f>6965</f>
        <v>6965</v>
      </c>
      <c r="BA27">
        <f>6925</f>
        <v>6925</v>
      </c>
      <c r="BB27">
        <f>6349</f>
        <v>6349</v>
      </c>
      <c r="BC27">
        <f>5329</f>
        <v>5329</v>
      </c>
      <c r="BD27">
        <f>5340</f>
        <v>5340</v>
      </c>
      <c r="BE27">
        <f>6004</f>
        <v>6004</v>
      </c>
      <c r="BF27">
        <f>7107</f>
        <v>7107</v>
      </c>
      <c r="BG27">
        <f>9899</f>
        <v>9899</v>
      </c>
      <c r="BH27">
        <f>8792</f>
        <v>8792</v>
      </c>
      <c r="BI27">
        <f>7334</f>
        <v>7334</v>
      </c>
      <c r="BJ27">
        <f>7212</f>
        <v>7212</v>
      </c>
      <c r="BK27">
        <f>6729</f>
        <v>6729</v>
      </c>
      <c r="BL27">
        <f>5613</f>
        <v>5613</v>
      </c>
      <c r="BM27">
        <f>5587</f>
        <v>5587</v>
      </c>
      <c r="BN27">
        <f>5281</f>
        <v>5281</v>
      </c>
      <c r="BO27">
        <f>5086</f>
        <v>5086</v>
      </c>
      <c r="BP27" t="str">
        <f>""</f>
        <v/>
      </c>
      <c r="BQ27" t="str">
        <f>""</f>
        <v/>
      </c>
      <c r="BR27" t="str">
        <f>""</f>
        <v/>
      </c>
      <c r="BS27" t="str">
        <f>""</f>
        <v/>
      </c>
      <c r="BT27" t="str">
        <f>""</f>
        <v/>
      </c>
      <c r="BU27" t="str">
        <f>""</f>
        <v/>
      </c>
      <c r="BV27" t="str">
        <f>""</f>
        <v/>
      </c>
      <c r="BW27" t="str">
        <f>""</f>
        <v/>
      </c>
      <c r="BX27" t="str">
        <f>""</f>
        <v/>
      </c>
      <c r="BY27" t="str">
        <f>""</f>
        <v/>
      </c>
      <c r="BZ27" t="str">
        <f>""</f>
        <v/>
      </c>
      <c r="CA27" t="str">
        <f>""</f>
        <v/>
      </c>
      <c r="CB27" t="str">
        <f>""</f>
        <v/>
      </c>
      <c r="CC27" t="str">
        <f>""</f>
        <v/>
      </c>
      <c r="CD27" t="str">
        <f>""</f>
        <v/>
      </c>
      <c r="CE27" t="str">
        <f>""</f>
        <v/>
      </c>
      <c r="CF27" t="str">
        <f>""</f>
        <v/>
      </c>
      <c r="CG27" t="str">
        <f>""</f>
        <v/>
      </c>
    </row>
    <row r="28" spans="1:85" x14ac:dyDescent="0.2">
      <c r="A28" t="str">
        <f>"        U.S. Total Public Non-Res  Construction Spending (NSA)"</f>
        <v xml:space="preserve">        U.S. Total Public Non-Res  Construction Spending (NSA)</v>
      </c>
      <c r="B28" t="str">
        <f>"CNSTPUNR Index"</f>
        <v>CNSTPUNR Index</v>
      </c>
      <c r="C28" t="str">
        <f t="shared" si="6"/>
        <v>PR005</v>
      </c>
      <c r="D28" t="str">
        <f t="shared" si="7"/>
        <v>PX_LAST</v>
      </c>
      <c r="E28" t="str">
        <f t="shared" si="8"/>
        <v>Dynamic</v>
      </c>
      <c r="F28">
        <f ca="1">IF(AND(ISNUMBER($F$137),$B$113=1),$F$137,HLOOKUP(INDIRECT(ADDRESS(2,COLUMN())),OFFSET($AT$2,0,0,ROW()-1,40),ROW()-1,FALSE))</f>
        <v>430335</v>
      </c>
      <c r="G28">
        <f ca="1">IF(AND(ISNUMBER($G$137),$B$113=1),$G$137,HLOOKUP(INDIRECT(ADDRESS(2,COLUMN())),OFFSET($AT$2,0,0,ROW()-1,40),ROW()-1,FALSE))</f>
        <v>383185</v>
      </c>
      <c r="H28">
        <f ca="1">IF(AND(ISNUMBER($H$137),$B$113=1),$H$137,HLOOKUP(INDIRECT(ADDRESS(2,COLUMN())),OFFSET($AT$2,0,0,ROW()-1,40),ROW()-1,FALSE))</f>
        <v>348348</v>
      </c>
      <c r="I28">
        <f ca="1">IF(AND(ISNUMBER($I$137),$B$113=1),$I$137,HLOOKUP(INDIRECT(ADDRESS(2,COLUMN())),OFFSET($AT$2,0,0,ROW()-1,40),ROW()-1,FALSE))</f>
        <v>358825</v>
      </c>
      <c r="J28">
        <f ca="1">IF(AND(ISNUMBER($J$137),$B$113=1),$J$137,HLOOKUP(INDIRECT(ADDRESS(2,COLUMN())),OFFSET($AT$2,0,0,ROW()-1,40),ROW()-1,FALSE))</f>
        <v>347096</v>
      </c>
      <c r="K28">
        <f ca="1">IF(AND(ISNUMBER($K$137),$B$113=1),$K$137,HLOOKUP(INDIRECT(ADDRESS(2,COLUMN())),OFFSET($AT$2,0,0,ROW()-1,40),ROW()-1,FALSE))</f>
        <v>303244</v>
      </c>
      <c r="L28">
        <f ca="1">IF(AND(ISNUMBER($L$137),$B$113=1),$L$137,HLOOKUP(INDIRECT(ADDRESS(2,COLUMN())),OFFSET($AT$2,0,0,ROW()-1,40),ROW()-1,FALSE))</f>
        <v>294311</v>
      </c>
      <c r="M28">
        <f ca="1">IF(AND(ISNUMBER($M$137),$B$113=1),$M$137,HLOOKUP(INDIRECT(ADDRESS(2,COLUMN())),OFFSET($AT$2,0,0,ROW()-1,40),ROW()-1,FALSE))</f>
        <v>289848</v>
      </c>
      <c r="N28">
        <f ca="1">IF(AND(ISNUMBER($N$137),$B$113=1),$N$137,HLOOKUP(INDIRECT(ADDRESS(2,COLUMN())),OFFSET($AT$2,0,0,ROW()-1,40),ROW()-1,FALSE))</f>
        <v>291679</v>
      </c>
      <c r="O28">
        <f ca="1">IF(AND(ISNUMBER($O$137),$B$113=1),$O$137,HLOOKUP(INDIRECT(ADDRESS(2,COLUMN())),OFFSET($AT$2,0,0,ROW()-1,40),ROW()-1,FALSE))</f>
        <v>278868</v>
      </c>
      <c r="P28">
        <f ca="1">IF(AND(ISNUMBER($P$137),$B$113=1),$P$137,HLOOKUP(INDIRECT(ADDRESS(2,COLUMN())),OFFSET($AT$2,0,0,ROW()-1,40),ROW()-1,FALSE))</f>
        <v>264407</v>
      </c>
      <c r="Q28">
        <f ca="1">IF(AND(ISNUMBER($Q$137),$B$113=1),$Q$137,HLOOKUP(INDIRECT(ADDRESS(2,COLUMN())),OFFSET($AT$2,0,0,ROW()-1,40),ROW()-1,FALSE))</f>
        <v>262124</v>
      </c>
      <c r="R28">
        <f ca="1">IF(AND(ISNUMBER($R$137),$B$113=1),$R$137,HLOOKUP(INDIRECT(ADDRESS(2,COLUMN())),OFFSET($AT$2,0,0,ROW()-1,40),ROW()-1,FALSE))</f>
        <v>282266</v>
      </c>
      <c r="S28">
        <f ca="1">IF(AND(ISNUMBER($S$137),$B$113=1),$S$137,HLOOKUP(INDIRECT(ADDRESS(2,COLUMN())),OFFSET($AT$2,0,0,ROW()-1,40),ROW()-1,FALSE))</f>
        <v>283069</v>
      </c>
      <c r="T28">
        <f ca="1">IF(AND(ISNUMBER($T$137),$B$113=1),$T$137,HLOOKUP(INDIRECT(ADDRESS(2,COLUMN())),OFFSET($AT$2,0,0,ROW()-1,40),ROW()-1,FALSE))</f>
        <v>291538</v>
      </c>
      <c r="U28">
        <f ca="1">IF(AND(ISNUMBER($U$137),$B$113=1),$U$137,HLOOKUP(INDIRECT(ADDRESS(2,COLUMN())),OFFSET($AT$2,0,0,ROW()-1,40),ROW()-1,FALSE))</f>
        <v>304622</v>
      </c>
      <c r="V28">
        <f ca="1">IF(AND(ISNUMBER($V$137),$B$113=1),$V$137,HLOOKUP(INDIRECT(ADDRESS(2,COLUMN())),OFFSET($AT$2,0,0,ROW()-1,40),ROW()-1,FALSE))</f>
        <v>289482</v>
      </c>
      <c r="W28">
        <f ca="1">IF(AND(ISNUMBER($W$137),$B$113=1),$W$137,HLOOKUP(INDIRECT(ADDRESS(2,COLUMN())),OFFSET($AT$2,0,0,ROW()-1,40),ROW()-1,FALSE))</f>
        <v>263503</v>
      </c>
      <c r="X28">
        <f ca="1">IF(AND(ISNUMBER($X$137),$B$113=1),$X$137,HLOOKUP(INDIRECT(ADDRESS(2,COLUMN())),OFFSET($AT$2,0,0,ROW()-1,40),ROW()-1,FALSE))</f>
        <v>236145</v>
      </c>
      <c r="Y28">
        <f ca="1">IF(AND(ISNUMBER($Y$137),$B$113=1),$Y$137,HLOOKUP(INDIRECT(ADDRESS(2,COLUMN())),OFFSET($AT$2,0,0,ROW()-1,40),ROW()-1,FALSE))</f>
        <v>218884</v>
      </c>
      <c r="Z28">
        <f ca="1">IF(AND(ISNUMBER($Z$137),$B$113=1),$Z$137,HLOOKUP(INDIRECT(ADDRESS(2,COLUMN())),OFFSET($AT$2,0,0,ROW()-1,40),ROW()-1,FALSE))</f>
        <v>207664</v>
      </c>
      <c r="AA28">
        <f ca="1">IF(AND(ISNUMBER($AA$137),$B$113=1),$AA$137,HLOOKUP(INDIRECT(ADDRESS(2,COLUMN())),OFFSET($AT$2,0,0,ROW()-1,40),ROW()-1,FALSE))</f>
        <v>216656</v>
      </c>
      <c r="AB28" t="str">
        <f ca="1">IF(AND(ISNUMBER($AB$137),$B$113=1),$AB$137,HLOOKUP(INDIRECT(ADDRESS(2,COLUMN())),OFFSET($AT$2,0,0,ROW()-1,40),ROW()-1,FALSE))</f>
        <v/>
      </c>
      <c r="AC28" t="str">
        <f ca="1">IF(AND(ISNUMBER($AC$137),$B$113=1),$AC$137,HLOOKUP(INDIRECT(ADDRESS(2,COLUMN())),OFFSET($AT$2,0,0,ROW()-1,40),ROW()-1,FALSE))</f>
        <v/>
      </c>
      <c r="AD28" t="str">
        <f ca="1">IF(AND(ISNUMBER($AD$137),$B$113=1),$AD$137,HLOOKUP(INDIRECT(ADDRESS(2,COLUMN())),OFFSET($AT$2,0,0,ROW()-1,40),ROW()-1,FALSE))</f>
        <v/>
      </c>
      <c r="AE28" t="str">
        <f ca="1">IF(AND(ISNUMBER($AE$137),$B$113=1),$AE$137,HLOOKUP(INDIRECT(ADDRESS(2,COLUMN())),OFFSET($AT$2,0,0,ROW()-1,40),ROW()-1,FALSE))</f>
        <v/>
      </c>
      <c r="AF28" t="str">
        <f ca="1">IF(AND(ISNUMBER($AF$137),$B$113=1),$AF$137,HLOOKUP(INDIRECT(ADDRESS(2,COLUMN())),OFFSET($AT$2,0,0,ROW()-1,40),ROW()-1,FALSE))</f>
        <v/>
      </c>
      <c r="AG28" t="str">
        <f ca="1">IF(AND(ISNUMBER($AG$137),$B$113=1),$AG$137,HLOOKUP(INDIRECT(ADDRESS(2,COLUMN())),OFFSET($AT$2,0,0,ROW()-1,40),ROW()-1,FALSE))</f>
        <v/>
      </c>
      <c r="AH28" t="str">
        <f ca="1">IF(AND(ISNUMBER($AH$137),$B$113=1),$AH$137,HLOOKUP(INDIRECT(ADDRESS(2,COLUMN())),OFFSET($AT$2,0,0,ROW()-1,40),ROW()-1,FALSE))</f>
        <v/>
      </c>
      <c r="AI28" t="str">
        <f ca="1">IF(AND(ISNUMBER($AI$137),$B$113=1),$AI$137,HLOOKUP(INDIRECT(ADDRESS(2,COLUMN())),OFFSET($AT$2,0,0,ROW()-1,40),ROW()-1,FALSE))</f>
        <v/>
      </c>
      <c r="AJ28" t="str">
        <f ca="1">IF(AND(ISNUMBER($AJ$137),$B$113=1),$AJ$137,HLOOKUP(INDIRECT(ADDRESS(2,COLUMN())),OFFSET($AT$2,0,0,ROW()-1,40),ROW()-1,FALSE))</f>
        <v/>
      </c>
      <c r="AK28" t="str">
        <f ca="1">IF(AND(ISNUMBER($AK$137),$B$113=1),$AK$137,HLOOKUP(INDIRECT(ADDRESS(2,COLUMN())),OFFSET($AT$2,0,0,ROW()-1,40),ROW()-1,FALSE))</f>
        <v/>
      </c>
      <c r="AL28" t="str">
        <f ca="1">IF(AND(ISNUMBER($AL$137),$B$113=1),$AL$137,HLOOKUP(INDIRECT(ADDRESS(2,COLUMN())),OFFSET($AT$2,0,0,ROW()-1,40),ROW()-1,FALSE))</f>
        <v/>
      </c>
      <c r="AM28" t="str">
        <f ca="1">IF(AND(ISNUMBER($AM$137),$B$113=1),$AM$137,HLOOKUP(INDIRECT(ADDRESS(2,COLUMN())),OFFSET($AT$2,0,0,ROW()-1,40),ROW()-1,FALSE))</f>
        <v/>
      </c>
      <c r="AN28" t="str">
        <f ca="1">IF(AND(ISNUMBER($AN$137),$B$113=1),$AN$137,HLOOKUP(INDIRECT(ADDRESS(2,COLUMN())),OFFSET($AT$2,0,0,ROW()-1,40),ROW()-1,FALSE))</f>
        <v/>
      </c>
      <c r="AO28" t="str">
        <f ca="1">IF(AND(ISNUMBER($AO$137),$B$113=1),$AO$137,HLOOKUP(INDIRECT(ADDRESS(2,COLUMN())),OFFSET($AT$2,0,0,ROW()-1,40),ROW()-1,FALSE))</f>
        <v/>
      </c>
      <c r="AP28" t="str">
        <f ca="1">IF(AND(ISNUMBER($AP$137),$B$113=1),$AP$137,HLOOKUP(INDIRECT(ADDRESS(2,COLUMN())),OFFSET($AT$2,0,0,ROW()-1,40),ROW()-1,FALSE))</f>
        <v/>
      </c>
      <c r="AQ28" t="str">
        <f ca="1">IF(AND(ISNUMBER($AQ$137),$B$113=1),$AQ$137,HLOOKUP(INDIRECT(ADDRESS(2,COLUMN())),OFFSET($AT$2,0,0,ROW()-1,40),ROW()-1,FALSE))</f>
        <v/>
      </c>
      <c r="AR28" t="str">
        <f ca="1">IF(AND(ISNUMBER($AR$137),$B$113=1),$AR$137,HLOOKUP(INDIRECT(ADDRESS(2,COLUMN())),OFFSET($AT$2,0,0,ROW()-1,40),ROW()-1,FALSE))</f>
        <v/>
      </c>
      <c r="AS28" t="str">
        <f ca="1">IF(AND(ISNUMBER($AS$137),$B$113=1),$AS$137,HLOOKUP(INDIRECT(ADDRESS(2,COLUMN())),OFFSET($AT$2,0,0,ROW()-1,40),ROW()-1,FALSE))</f>
        <v/>
      </c>
      <c r="AT28">
        <f>430335</f>
        <v>430335</v>
      </c>
      <c r="AU28">
        <f>383185</f>
        <v>383185</v>
      </c>
      <c r="AV28">
        <f>348348</f>
        <v>348348</v>
      </c>
      <c r="AW28">
        <f>358825</f>
        <v>358825</v>
      </c>
      <c r="AX28">
        <f>347096</f>
        <v>347096</v>
      </c>
      <c r="AY28">
        <f>303244</f>
        <v>303244</v>
      </c>
      <c r="AZ28">
        <f>294311</f>
        <v>294311</v>
      </c>
      <c r="BA28">
        <f>289848</f>
        <v>289848</v>
      </c>
      <c r="BB28">
        <f>291679</f>
        <v>291679</v>
      </c>
      <c r="BC28">
        <f>278868</f>
        <v>278868</v>
      </c>
      <c r="BD28">
        <f>264407</f>
        <v>264407</v>
      </c>
      <c r="BE28">
        <f>262124</f>
        <v>262124</v>
      </c>
      <c r="BF28">
        <f>282266</f>
        <v>282266</v>
      </c>
      <c r="BG28">
        <f>283069</f>
        <v>283069</v>
      </c>
      <c r="BH28">
        <f>291538</f>
        <v>291538</v>
      </c>
      <c r="BI28">
        <f>304622</f>
        <v>304622</v>
      </c>
      <c r="BJ28">
        <f>289482</f>
        <v>289482</v>
      </c>
      <c r="BK28">
        <f>263503</f>
        <v>263503</v>
      </c>
      <c r="BL28">
        <f>236145</f>
        <v>236145</v>
      </c>
      <c r="BM28">
        <f>218884</f>
        <v>218884</v>
      </c>
      <c r="BN28">
        <f>207664</f>
        <v>207664</v>
      </c>
      <c r="BO28">
        <f>216656</f>
        <v>216656</v>
      </c>
      <c r="BP28" t="str">
        <f>""</f>
        <v/>
      </c>
      <c r="BQ28" t="str">
        <f>""</f>
        <v/>
      </c>
      <c r="BR28" t="str">
        <f>""</f>
        <v/>
      </c>
      <c r="BS28" t="str">
        <f>""</f>
        <v/>
      </c>
      <c r="BT28" t="str">
        <f>""</f>
        <v/>
      </c>
      <c r="BU28" t="str">
        <f>""</f>
        <v/>
      </c>
      <c r="BV28" t="str">
        <f>""</f>
        <v/>
      </c>
      <c r="BW28" t="str">
        <f>""</f>
        <v/>
      </c>
      <c r="BX28" t="str">
        <f>""</f>
        <v/>
      </c>
      <c r="BY28" t="str">
        <f>""</f>
        <v/>
      </c>
      <c r="BZ28" t="str">
        <f>""</f>
        <v/>
      </c>
      <c r="CA28" t="str">
        <f>""</f>
        <v/>
      </c>
      <c r="CB28" t="str">
        <f>""</f>
        <v/>
      </c>
      <c r="CC28" t="str">
        <f>""</f>
        <v/>
      </c>
      <c r="CD28" t="str">
        <f>""</f>
        <v/>
      </c>
      <c r="CE28" t="str">
        <f>""</f>
        <v/>
      </c>
      <c r="CF28" t="str">
        <f>""</f>
        <v/>
      </c>
      <c r="CG28" t="str">
        <f>""</f>
        <v/>
      </c>
    </row>
    <row r="29" spans="1:85" x14ac:dyDescent="0.2">
      <c r="A29" t="str">
        <f>"    Source: U.S. Census Bureau"</f>
        <v xml:space="preserve">    Source: U.S. Census Bureau</v>
      </c>
      <c r="B29" t="str">
        <f>""</f>
        <v/>
      </c>
      <c r="E29" t="str">
        <f>"Heading"</f>
        <v>Heading</v>
      </c>
      <c r="AT29" t="str">
        <f>""</f>
        <v/>
      </c>
      <c r="AU29" t="str">
        <f>""</f>
        <v/>
      </c>
      <c r="AV29" t="str">
        <f>""</f>
        <v/>
      </c>
      <c r="AW29" t="str">
        <f>""</f>
        <v/>
      </c>
      <c r="AX29" t="str">
        <f>""</f>
        <v/>
      </c>
      <c r="AY29" t="str">
        <f>""</f>
        <v/>
      </c>
      <c r="AZ29" t="str">
        <f>""</f>
        <v/>
      </c>
      <c r="BA29" t="str">
        <f>""</f>
        <v/>
      </c>
      <c r="BB29" t="str">
        <f>""</f>
        <v/>
      </c>
      <c r="BC29" t="str">
        <f>""</f>
        <v/>
      </c>
      <c r="BD29" t="str">
        <f>""</f>
        <v/>
      </c>
      <c r="BE29" t="str">
        <f>""</f>
        <v/>
      </c>
      <c r="BF29" t="str">
        <f>""</f>
        <v/>
      </c>
      <c r="BG29" t="str">
        <f>""</f>
        <v/>
      </c>
      <c r="BH29" t="str">
        <f>""</f>
        <v/>
      </c>
      <c r="BI29" t="str">
        <f>""</f>
        <v/>
      </c>
      <c r="BJ29" t="str">
        <f>""</f>
        <v/>
      </c>
      <c r="BK29" t="str">
        <f>""</f>
        <v/>
      </c>
      <c r="BL29" t="str">
        <f>""</f>
        <v/>
      </c>
      <c r="BM29" t="str">
        <f>""</f>
        <v/>
      </c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</row>
    <row r="30" spans="1:85" x14ac:dyDescent="0.2">
      <c r="A30" t="str">
        <f>"    "</f>
        <v xml:space="preserve">    </v>
      </c>
      <c r="B30" t="str">
        <f>""</f>
        <v/>
      </c>
      <c r="E30" t="str">
        <f>"Static"</f>
        <v>Static</v>
      </c>
      <c r="F30" t="str">
        <f t="shared" ref="F30:AS30" ca="1" si="9">HLOOKUP(INDIRECT(ADDRESS(2,COLUMN())),OFFSET($AT$2,0,0,ROW()-1,40),ROW()-1,FALSE)</f>
        <v/>
      </c>
      <c r="G30" t="str">
        <f t="shared" ca="1" si="9"/>
        <v/>
      </c>
      <c r="H30" t="str">
        <f t="shared" ca="1" si="9"/>
        <v/>
      </c>
      <c r="I30" t="str">
        <f t="shared" ca="1" si="9"/>
        <v/>
      </c>
      <c r="J30" t="str">
        <f t="shared" ca="1" si="9"/>
        <v/>
      </c>
      <c r="K30" t="str">
        <f t="shared" ca="1" si="9"/>
        <v/>
      </c>
      <c r="L30" t="str">
        <f t="shared" ca="1" si="9"/>
        <v/>
      </c>
      <c r="M30" t="str">
        <f t="shared" ca="1" si="9"/>
        <v/>
      </c>
      <c r="N30" t="str">
        <f t="shared" ca="1" si="9"/>
        <v/>
      </c>
      <c r="O30" t="str">
        <f t="shared" ca="1" si="9"/>
        <v/>
      </c>
      <c r="P30" t="str">
        <f t="shared" ca="1" si="9"/>
        <v/>
      </c>
      <c r="Q30" t="str">
        <f t="shared" ca="1" si="9"/>
        <v/>
      </c>
      <c r="R30" t="str">
        <f t="shared" ca="1" si="9"/>
        <v/>
      </c>
      <c r="S30" t="str">
        <f t="shared" ca="1" si="9"/>
        <v/>
      </c>
      <c r="T30" t="str">
        <f t="shared" ca="1" si="9"/>
        <v/>
      </c>
      <c r="U30" t="str">
        <f t="shared" ca="1" si="9"/>
        <v/>
      </c>
      <c r="V30" t="str">
        <f t="shared" ca="1" si="9"/>
        <v/>
      </c>
      <c r="W30" t="str">
        <f t="shared" ca="1" si="9"/>
        <v/>
      </c>
      <c r="X30" t="str">
        <f t="shared" ca="1" si="9"/>
        <v/>
      </c>
      <c r="Y30" t="str">
        <f t="shared" ca="1" si="9"/>
        <v/>
      </c>
      <c r="Z30" t="str">
        <f t="shared" ca="1" si="9"/>
        <v/>
      </c>
      <c r="AA30" t="str">
        <f t="shared" ca="1" si="9"/>
        <v/>
      </c>
      <c r="AB30" t="str">
        <f t="shared" ca="1" si="9"/>
        <v/>
      </c>
      <c r="AC30" t="str">
        <f t="shared" ca="1" si="9"/>
        <v/>
      </c>
      <c r="AD30" t="str">
        <f t="shared" ca="1" si="9"/>
        <v/>
      </c>
      <c r="AE30" t="str">
        <f t="shared" ca="1" si="9"/>
        <v/>
      </c>
      <c r="AF30" t="str">
        <f t="shared" ca="1" si="9"/>
        <v/>
      </c>
      <c r="AG30" t="str">
        <f t="shared" ca="1" si="9"/>
        <v/>
      </c>
      <c r="AH30" t="str">
        <f t="shared" ca="1" si="9"/>
        <v/>
      </c>
      <c r="AI30" t="str">
        <f t="shared" ca="1" si="9"/>
        <v/>
      </c>
      <c r="AJ30" t="str">
        <f t="shared" ca="1" si="9"/>
        <v/>
      </c>
      <c r="AK30" t="str">
        <f t="shared" ca="1" si="9"/>
        <v/>
      </c>
      <c r="AL30" t="str">
        <f t="shared" ca="1" si="9"/>
        <v/>
      </c>
      <c r="AM30" t="str">
        <f t="shared" ca="1" si="9"/>
        <v/>
      </c>
      <c r="AN30" t="str">
        <f t="shared" ca="1" si="9"/>
        <v/>
      </c>
      <c r="AO30" t="str">
        <f t="shared" ca="1" si="9"/>
        <v/>
      </c>
      <c r="AP30" t="str">
        <f t="shared" ca="1" si="9"/>
        <v/>
      </c>
      <c r="AQ30" t="str">
        <f t="shared" ca="1" si="9"/>
        <v/>
      </c>
      <c r="AR30" t="str">
        <f t="shared" ca="1" si="9"/>
        <v/>
      </c>
      <c r="AS30" t="str">
        <f t="shared" ca="1" si="9"/>
        <v/>
      </c>
      <c r="AT30" t="str">
        <f>""</f>
        <v/>
      </c>
      <c r="AU30" t="str">
        <f>""</f>
        <v/>
      </c>
      <c r="AV30" t="str">
        <f>""</f>
        <v/>
      </c>
      <c r="AW30" t="str">
        <f>""</f>
        <v/>
      </c>
      <c r="AX30" t="str">
        <f>""</f>
        <v/>
      </c>
      <c r="AY30" t="str">
        <f>""</f>
        <v/>
      </c>
      <c r="AZ30" t="str">
        <f>""</f>
        <v/>
      </c>
      <c r="BA30" t="str">
        <f>""</f>
        <v/>
      </c>
      <c r="BB30" t="str">
        <f>""</f>
        <v/>
      </c>
      <c r="BC30" t="str">
        <f>""</f>
        <v/>
      </c>
      <c r="BD30" t="str">
        <f>""</f>
        <v/>
      </c>
      <c r="BE30" t="str">
        <f>""</f>
        <v/>
      </c>
      <c r="BF30" t="str">
        <f>""</f>
        <v/>
      </c>
      <c r="BG30" t="str">
        <f>""</f>
        <v/>
      </c>
      <c r="BH30" t="str">
        <f>""</f>
        <v/>
      </c>
      <c r="BI30" t="str">
        <f>""</f>
        <v/>
      </c>
      <c r="BJ30" t="str">
        <f>""</f>
        <v/>
      </c>
      <c r="BK30" t="str">
        <f>""</f>
        <v/>
      </c>
      <c r="BL30" t="str">
        <f>""</f>
        <v/>
      </c>
      <c r="BM30" t="str">
        <f>""</f>
        <v/>
      </c>
      <c r="BN30" t="str">
        <f>""</f>
        <v/>
      </c>
      <c r="BO30" t="str">
        <f>""</f>
        <v/>
      </c>
      <c r="BP30" t="str">
        <f>""</f>
        <v/>
      </c>
      <c r="BQ30" t="str">
        <f>""</f>
        <v/>
      </c>
      <c r="BR30" t="str">
        <f>""</f>
        <v/>
      </c>
      <c r="BS30" t="str">
        <f>""</f>
        <v/>
      </c>
      <c r="BT30" t="str">
        <f>""</f>
        <v/>
      </c>
      <c r="BU30" t="str">
        <f>""</f>
        <v/>
      </c>
      <c r="BV30" t="str">
        <f>""</f>
        <v/>
      </c>
      <c r="BW30" t="str">
        <f>""</f>
        <v/>
      </c>
      <c r="BX30" t="str">
        <f>""</f>
        <v/>
      </c>
      <c r="BY30" t="str">
        <f>""</f>
        <v/>
      </c>
      <c r="BZ30" t="str">
        <f>""</f>
        <v/>
      </c>
      <c r="CA30" t="str">
        <f>""</f>
        <v/>
      </c>
      <c r="CB30" t="str">
        <f>""</f>
        <v/>
      </c>
      <c r="CC30" t="str">
        <f>""</f>
        <v/>
      </c>
      <c r="CD30" t="str">
        <f>""</f>
        <v/>
      </c>
      <c r="CE30" t="str">
        <f>""</f>
        <v/>
      </c>
      <c r="CF30" t="str">
        <f>""</f>
        <v/>
      </c>
      <c r="CG30" t="str">
        <f>""</f>
        <v/>
      </c>
    </row>
    <row r="31" spans="1:85" x14ac:dyDescent="0.2">
      <c r="A31" t="str">
        <f>"    U.S. Construction Spending Total YoY%"</f>
        <v xml:space="preserve">    U.S. Construction Spending Total YoY%</v>
      </c>
      <c r="B31" t="str">
        <f>"CNSTTYOY Index"</f>
        <v>CNSTTYOY Index</v>
      </c>
      <c r="C31" t="str">
        <f>"PR005"</f>
        <v>PR005</v>
      </c>
      <c r="D31" t="str">
        <f>"PX_LAST"</f>
        <v>PX_LAST</v>
      </c>
      <c r="E31" t="str">
        <f>"Dynamic"</f>
        <v>Dynamic</v>
      </c>
      <c r="F31">
        <f ca="1">IF(AND(ISNUMBER($F$138),$B$113=1),$F$138,HLOOKUP(INDIRECT(ADDRESS(2,COLUMN())),OFFSET($AT$2,0,0,ROW()-1,40),ROW()-1,FALSE))</f>
        <v>8.6881400000000006</v>
      </c>
      <c r="G31">
        <f ca="1">IF(AND(ISNUMBER($G$138),$B$113=1),$G$138,HLOOKUP(INDIRECT(ADDRESS(2,COLUMN())),OFFSET($AT$2,0,0,ROW()-1,40),ROW()-1,FALSE))</f>
        <v>4.9286799999999999</v>
      </c>
      <c r="H31">
        <f ca="1">IF(AND(ISNUMBER($H$138),$B$113=1),$H$138,HLOOKUP(INDIRECT(ADDRESS(2,COLUMN())),OFFSET($AT$2,0,0,ROW()-1,40),ROW()-1,FALSE))</f>
        <v>11.55078</v>
      </c>
      <c r="I31">
        <f ca="1">IF(AND(ISNUMBER($I$138),$B$113=1),$I$138,HLOOKUP(INDIRECT(ADDRESS(2,COLUMN())),OFFSET($AT$2,0,0,ROW()-1,40),ROW()-1,FALSE))</f>
        <v>2.4559899999999999</v>
      </c>
      <c r="J31">
        <f ca="1">IF(AND(ISNUMBER($J$138),$B$113=1),$J$138,HLOOKUP(INDIRECT(ADDRESS(2,COLUMN())),OFFSET($AT$2,0,0,ROW()-1,40),ROW()-1,FALSE))</f>
        <v>9.3565900000000006</v>
      </c>
      <c r="K31">
        <f ca="1">IF(AND(ISNUMBER($K$138),$B$113=1),$K$138,HLOOKUP(INDIRECT(ADDRESS(2,COLUMN())),OFFSET($AT$2,0,0,ROW()-1,40),ROW()-1,FALSE))</f>
        <v>-1.84026</v>
      </c>
      <c r="L31">
        <f ca="1">IF(AND(ISNUMBER($L$138),$B$113=1),$L$138,HLOOKUP(INDIRECT(ADDRESS(2,COLUMN())),OFFSET($AT$2,0,0,ROW()-1,40),ROW()-1,FALSE))</f>
        <v>2.7051799999999999</v>
      </c>
      <c r="M31">
        <f ca="1">IF(AND(ISNUMBER($M$138),$B$113=1),$M$138,HLOOKUP(INDIRECT(ADDRESS(2,COLUMN())),OFFSET($AT$2,0,0,ROW()-1,40),ROW()-1,FALSE))</f>
        <v>9.8662700000000001</v>
      </c>
      <c r="N31">
        <f ca="1">IF(AND(ISNUMBER($N$138),$B$113=1),$N$138,HLOOKUP(INDIRECT(ADDRESS(2,COLUMN())),OFFSET($AT$2,0,0,ROW()-1,40),ROW()-1,FALSE))</f>
        <v>10.12406</v>
      </c>
      <c r="O31">
        <f ca="1">IF(AND(ISNUMBER($O$138),$B$113=1),$O$138,HLOOKUP(INDIRECT(ADDRESS(2,COLUMN())),OFFSET($AT$2,0,0,ROW()-1,40),ROW()-1,FALSE))</f>
        <v>7.9396599999999999</v>
      </c>
      <c r="P31">
        <f ca="1">IF(AND(ISNUMBER($P$138),$B$113=1),$P$138,HLOOKUP(INDIRECT(ADDRESS(2,COLUMN())),OFFSET($AT$2,0,0,ROW()-1,40),ROW()-1,FALSE))</f>
        <v>12.31944</v>
      </c>
      <c r="Q31">
        <f ca="1">IF(AND(ISNUMBER($Q$138),$B$113=1),$Q$138,HLOOKUP(INDIRECT(ADDRESS(2,COLUMN())),OFFSET($AT$2,0,0,ROW()-1,40),ROW()-1,FALSE))</f>
        <v>6.1412300000000002</v>
      </c>
      <c r="R31">
        <f ca="1">IF(AND(ISNUMBER($R$138),$B$113=1),$R$138,HLOOKUP(INDIRECT(ADDRESS(2,COLUMN())),OFFSET($AT$2,0,0,ROW()-1,40),ROW()-1,FALSE))</f>
        <v>4.0501899999999997</v>
      </c>
      <c r="S31">
        <f ca="1">IF(AND(ISNUMBER($S$138),$B$113=1),$S$138,HLOOKUP(INDIRECT(ADDRESS(2,COLUMN())),OFFSET($AT$2,0,0,ROW()-1,40),ROW()-1,FALSE))</f>
        <v>-6.3153800000000002</v>
      </c>
      <c r="T31">
        <f ca="1">IF(AND(ISNUMBER($T$138),$B$113=1),$T$138,HLOOKUP(INDIRECT(ADDRESS(2,COLUMN())),OFFSET($AT$2,0,0,ROW()-1,40),ROW()-1,FALSE))</f>
        <v>-15.66649</v>
      </c>
      <c r="U31">
        <f ca="1">IF(AND(ISNUMBER($U$138),$B$113=1),$U$138,HLOOKUP(INDIRECT(ADDRESS(2,COLUMN())),OFFSET($AT$2,0,0,ROW()-1,40),ROW()-1,FALSE))</f>
        <v>-10.40245</v>
      </c>
      <c r="V31">
        <f ca="1">IF(AND(ISNUMBER($V$138),$B$113=1),$V$138,HLOOKUP(INDIRECT(ADDRESS(2,COLUMN())),OFFSET($AT$2,0,0,ROW()-1,40),ROW()-1,FALSE))</f>
        <v>-1.7848200000000001</v>
      </c>
      <c r="W31">
        <f ca="1">IF(AND(ISNUMBER($W$138),$B$113=1),$W$138,HLOOKUP(INDIRECT(ADDRESS(2,COLUMN())),OFFSET($AT$2,0,0,ROW()-1,40),ROW()-1,FALSE))</f>
        <v>-4.1590199999999999</v>
      </c>
      <c r="X31">
        <f ca="1">IF(AND(ISNUMBER($X$138),$B$113=1),$X$138,HLOOKUP(INDIRECT(ADDRESS(2,COLUMN())),OFFSET($AT$2,0,0,ROW()-1,40),ROW()-1,FALSE))</f>
        <v>14.187939999999999</v>
      </c>
      <c r="Y31">
        <f ca="1">IF(AND(ISNUMBER($Y$138),$B$113=1),$Y$138,HLOOKUP(INDIRECT(ADDRESS(2,COLUMN())),OFFSET($AT$2,0,0,ROW()-1,40),ROW()-1,FALSE))</f>
        <v>9.3821700000000003</v>
      </c>
      <c r="Z31">
        <f ca="1">IF(AND(ISNUMBER($Z$138),$B$113=1),$Z$138,HLOOKUP(INDIRECT(ADDRESS(2,COLUMN())),OFFSET($AT$2,0,0,ROW()-1,40),ROW()-1,FALSE))</f>
        <v>10.8152504</v>
      </c>
      <c r="AA31">
        <f ca="1">IF(AND(ISNUMBER($AA$138),$B$113=1),$AA$138,HLOOKUP(INDIRECT(ADDRESS(2,COLUMN())),OFFSET($AT$2,0,0,ROW()-1,40),ROW()-1,FALSE))</f>
        <v>0.73343999999999998</v>
      </c>
      <c r="AB31">
        <f ca="1">IF(AND(ISNUMBER($AB$138),$B$113=1),$AB$138,HLOOKUP(INDIRECT(ADDRESS(2,COLUMN())),OFFSET($AT$2,0,0,ROW()-1,40),ROW()-1,FALSE))</f>
        <v>4.7039099999999996</v>
      </c>
      <c r="AC31">
        <f ca="1">IF(AND(ISNUMBER($AC$138),$B$113=1),$AC$138,HLOOKUP(INDIRECT(ADDRESS(2,COLUMN())),OFFSET($AT$2,0,0,ROW()-1,40),ROW()-1,FALSE))</f>
        <v>2.79758</v>
      </c>
      <c r="AD31">
        <f ca="1">IF(AND(ISNUMBER($AD$138),$B$113=1),$AD$138,HLOOKUP(INDIRECT(ADDRESS(2,COLUMN())),OFFSET($AT$2,0,0,ROW()-1,40),ROW()-1,FALSE))</f>
        <v>11.661</v>
      </c>
      <c r="AE31">
        <f ca="1">IF(AND(ISNUMBER($AE$138),$B$113=1),$AE$138,HLOOKUP(INDIRECT(ADDRESS(2,COLUMN())),OFFSET($AT$2,0,0,ROW()-1,40),ROW()-1,FALSE))</f>
        <v>10.119300000000001</v>
      </c>
      <c r="AF31">
        <f ca="1">IF(AND(ISNUMBER($AF$138),$B$113=1),$AF$138,HLOOKUP(INDIRECT(ADDRESS(2,COLUMN())),OFFSET($AT$2,0,0,ROW()-1,40),ROW()-1,FALSE))</f>
        <v>5.9304199999999998</v>
      </c>
      <c r="AG31">
        <f ca="1">IF(AND(ISNUMBER($AG$138),$B$113=1),$AG$138,HLOOKUP(INDIRECT(ADDRESS(2,COLUMN())),OFFSET($AT$2,0,0,ROW()-1,40),ROW()-1,FALSE))</f>
        <v>8.6252800000000001</v>
      </c>
      <c r="AH31">
        <f ca="1">IF(AND(ISNUMBER($AH$138),$B$113=1),$AH$138,HLOOKUP(INDIRECT(ADDRESS(2,COLUMN())),OFFSET($AT$2,0,0,ROW()-1,40),ROW()-1,FALSE))</f>
        <v>2.9824999999999999</v>
      </c>
      <c r="AI31">
        <f ca="1">IF(AND(ISNUMBER($AI$138),$B$113=1),$AI$138,HLOOKUP(INDIRECT(ADDRESS(2,COLUMN())),OFFSET($AT$2,0,0,ROW()-1,40),ROW()-1,FALSE))</f>
        <v>1.62131</v>
      </c>
      <c r="AJ31">
        <f ca="1">IF(AND(ISNUMBER($AJ$138),$B$113=1),$AJ$138,HLOOKUP(INDIRECT(ADDRESS(2,COLUMN())),OFFSET($AT$2,0,0,ROW()-1,40),ROW()-1,FALSE))</f>
        <v>11.4621</v>
      </c>
      <c r="AK31" t="str">
        <f ca="1">IF(AND(ISNUMBER($AK$138),$B$113=1),$AK$138,HLOOKUP(INDIRECT(ADDRESS(2,COLUMN())),OFFSET($AT$2,0,0,ROW()-1,40),ROW()-1,FALSE))</f>
        <v/>
      </c>
      <c r="AL31" t="str">
        <f ca="1">IF(AND(ISNUMBER($AL$138),$B$113=1),$AL$138,HLOOKUP(INDIRECT(ADDRESS(2,COLUMN())),OFFSET($AT$2,0,0,ROW()-1,40),ROW()-1,FALSE))</f>
        <v/>
      </c>
      <c r="AM31" t="str">
        <f ca="1">IF(AND(ISNUMBER($AM$138),$B$113=1),$AM$138,HLOOKUP(INDIRECT(ADDRESS(2,COLUMN())),OFFSET($AT$2,0,0,ROW()-1,40),ROW()-1,FALSE))</f>
        <v/>
      </c>
      <c r="AN31" t="str">
        <f ca="1">IF(AND(ISNUMBER($AN$138),$B$113=1),$AN$138,HLOOKUP(INDIRECT(ADDRESS(2,COLUMN())),OFFSET($AT$2,0,0,ROW()-1,40),ROW()-1,FALSE))</f>
        <v/>
      </c>
      <c r="AO31" t="str">
        <f ca="1">IF(AND(ISNUMBER($AO$138),$B$113=1),$AO$138,HLOOKUP(INDIRECT(ADDRESS(2,COLUMN())),OFFSET($AT$2,0,0,ROW()-1,40),ROW()-1,FALSE))</f>
        <v/>
      </c>
      <c r="AP31" t="str">
        <f ca="1">IF(AND(ISNUMBER($AP$138),$B$113=1),$AP$138,HLOOKUP(INDIRECT(ADDRESS(2,COLUMN())),OFFSET($AT$2,0,0,ROW()-1,40),ROW()-1,FALSE))</f>
        <v/>
      </c>
      <c r="AQ31" t="str">
        <f ca="1">IF(AND(ISNUMBER($AQ$138),$B$113=1),$AQ$138,HLOOKUP(INDIRECT(ADDRESS(2,COLUMN())),OFFSET($AT$2,0,0,ROW()-1,40),ROW()-1,FALSE))</f>
        <v/>
      </c>
      <c r="AR31" t="str">
        <f ca="1">IF(AND(ISNUMBER($AR$138),$B$113=1),$AR$138,HLOOKUP(INDIRECT(ADDRESS(2,COLUMN())),OFFSET($AT$2,0,0,ROW()-1,40),ROW()-1,FALSE))</f>
        <v/>
      </c>
      <c r="AS31" t="str">
        <f ca="1">IF(AND(ISNUMBER($AS$138),$B$113=1),$AS$138,HLOOKUP(INDIRECT(ADDRESS(2,COLUMN())),OFFSET($AT$2,0,0,ROW()-1,40),ROW()-1,FALSE))</f>
        <v/>
      </c>
      <c r="AT31">
        <f>8.68814</f>
        <v>8.6881400000000006</v>
      </c>
      <c r="AU31">
        <f>4.92868</f>
        <v>4.9286799999999999</v>
      </c>
      <c r="AV31">
        <f>11.55078</f>
        <v>11.55078</v>
      </c>
      <c r="AW31">
        <f>2.45599</f>
        <v>2.4559899999999999</v>
      </c>
      <c r="AX31">
        <f>9.35659</f>
        <v>9.3565900000000006</v>
      </c>
      <c r="AY31">
        <f>-1.84026</f>
        <v>-1.84026</v>
      </c>
      <c r="AZ31">
        <f>2.70518</f>
        <v>2.7051799999999999</v>
      </c>
      <c r="BA31">
        <f>9.86627</f>
        <v>9.8662700000000001</v>
      </c>
      <c r="BB31">
        <f>10.12406</f>
        <v>10.12406</v>
      </c>
      <c r="BC31">
        <f>7.93966</f>
        <v>7.9396599999999999</v>
      </c>
      <c r="BD31">
        <f>12.31944</f>
        <v>12.31944</v>
      </c>
      <c r="BE31">
        <f>6.14123</f>
        <v>6.1412300000000002</v>
      </c>
      <c r="BF31">
        <f>4.05019</f>
        <v>4.0501899999999997</v>
      </c>
      <c r="BG31">
        <f>-6.31538</f>
        <v>-6.3153800000000002</v>
      </c>
      <c r="BH31">
        <f>-15.66649</f>
        <v>-15.66649</v>
      </c>
      <c r="BI31">
        <f>-10.40245</f>
        <v>-10.40245</v>
      </c>
      <c r="BJ31">
        <f>-1.78482</f>
        <v>-1.7848200000000001</v>
      </c>
      <c r="BK31">
        <f>-4.15902</f>
        <v>-4.1590199999999999</v>
      </c>
      <c r="BL31">
        <f>14.18794</f>
        <v>14.187939999999999</v>
      </c>
      <c r="BM31">
        <f>9.38217</f>
        <v>9.3821700000000003</v>
      </c>
      <c r="BN31">
        <f>10.8152504</f>
        <v>10.8152504</v>
      </c>
      <c r="BO31">
        <f>0.73344</f>
        <v>0.73343999999999998</v>
      </c>
      <c r="BP31">
        <f>4.70391</f>
        <v>4.7039099999999996</v>
      </c>
      <c r="BQ31">
        <f>2.79758</f>
        <v>2.79758</v>
      </c>
      <c r="BR31">
        <f>11.661</f>
        <v>11.661</v>
      </c>
      <c r="BS31">
        <f>10.1193</f>
        <v>10.119300000000001</v>
      </c>
      <c r="BT31">
        <f>5.93042</f>
        <v>5.9304199999999998</v>
      </c>
      <c r="BU31">
        <f>8.62528</f>
        <v>8.6252800000000001</v>
      </c>
      <c r="BV31">
        <f>2.9825</f>
        <v>2.9824999999999999</v>
      </c>
      <c r="BW31">
        <f>1.62131</f>
        <v>1.62131</v>
      </c>
      <c r="BX31">
        <f>11.4621</f>
        <v>11.4621</v>
      </c>
      <c r="BY31" t="str">
        <f>""</f>
        <v/>
      </c>
      <c r="BZ31" t="str">
        <f>""</f>
        <v/>
      </c>
      <c r="CA31" t="str">
        <f>""</f>
        <v/>
      </c>
      <c r="CB31" t="str">
        <f>""</f>
        <v/>
      </c>
      <c r="CC31" t="str">
        <f>""</f>
        <v/>
      </c>
      <c r="CD31" t="str">
        <f>""</f>
        <v/>
      </c>
      <c r="CE31" t="str">
        <f>""</f>
        <v/>
      </c>
      <c r="CF31" t="str">
        <f>""</f>
        <v/>
      </c>
      <c r="CG31" t="str">
        <f>""</f>
        <v/>
      </c>
    </row>
    <row r="32" spans="1:85" x14ac:dyDescent="0.2">
      <c r="A32" t="str">
        <f>"    U.S. Construction Spending Total MoM%"</f>
        <v xml:space="preserve">    U.S. Construction Spending Total MoM%</v>
      </c>
      <c r="B32" t="str">
        <f>"CNSTTMOM Index"</f>
        <v>CNSTTMOM Index</v>
      </c>
      <c r="C32" t="str">
        <f>"PR005"</f>
        <v>PR005</v>
      </c>
      <c r="D32" t="str">
        <f>"PX_LAST"</f>
        <v>PX_LAST</v>
      </c>
      <c r="E32" t="str">
        <f>"Dynamic"</f>
        <v>Dynamic</v>
      </c>
      <c r="F32">
        <f ca="1">IF(AND(ISNUMBER($F$139),$B$113=1),$F$139,HLOOKUP(INDIRECT(ADDRESS(2,COLUMN())),OFFSET($AT$2,0,0,ROW()-1,40),ROW()-1,FALSE))</f>
        <v>0.41305999999999998</v>
      </c>
      <c r="G32">
        <f ca="1">IF(AND(ISNUMBER($G$139),$B$113=1),$G$139,HLOOKUP(INDIRECT(ADDRESS(2,COLUMN())),OFFSET($AT$2,0,0,ROW()-1,40),ROW()-1,FALSE))</f>
        <v>-7.1110000000000007E-2</v>
      </c>
      <c r="H32">
        <f ca="1">IF(AND(ISNUMBER($H$139),$B$113=1),$H$139,HLOOKUP(INDIRECT(ADDRESS(2,COLUMN())),OFFSET($AT$2,0,0,ROW()-1,40),ROW()-1,FALSE))</f>
        <v>1.61243</v>
      </c>
      <c r="I32">
        <f ca="1">IF(AND(ISNUMBER($I$139),$B$113=1),$I$139,HLOOKUP(INDIRECT(ADDRESS(2,COLUMN())),OFFSET($AT$2,0,0,ROW()-1,40),ROW()-1,FALSE))</f>
        <v>1.4045300000000001</v>
      </c>
      <c r="J32">
        <f ca="1">IF(AND(ISNUMBER($J$139),$B$113=1),$J$139,HLOOKUP(INDIRECT(ADDRESS(2,COLUMN())),OFFSET($AT$2,0,0,ROW()-1,40),ROW()-1,FALSE))</f>
        <v>0.23089000000000001</v>
      </c>
      <c r="K32">
        <f ca="1">IF(AND(ISNUMBER($K$139),$B$113=1),$K$139,HLOOKUP(INDIRECT(ADDRESS(2,COLUMN())),OFFSET($AT$2,0,0,ROW()-1,40),ROW()-1,FALSE))</f>
        <v>-0.82755999999999996</v>
      </c>
      <c r="L32">
        <f ca="1">IF(AND(ISNUMBER($L$139),$B$113=1),$L$139,HLOOKUP(INDIRECT(ADDRESS(2,COLUMN())),OFFSET($AT$2,0,0,ROW()-1,40),ROW()-1,FALSE))</f>
        <v>0.36442999999999998</v>
      </c>
      <c r="M32">
        <f ca="1">IF(AND(ISNUMBER($M$139),$B$113=1),$M$139,HLOOKUP(INDIRECT(ADDRESS(2,COLUMN())),OFFSET($AT$2,0,0,ROW()-1,40),ROW()-1,FALSE))</f>
        <v>0.43973000000000001</v>
      </c>
      <c r="N32">
        <f ca="1">IF(AND(ISNUMBER($N$139),$B$113=1),$N$139,HLOOKUP(INDIRECT(ADDRESS(2,COLUMN())),OFFSET($AT$2,0,0,ROW()-1,40),ROW()-1,FALSE))</f>
        <v>0.94664999999999999</v>
      </c>
      <c r="O32">
        <f ca="1">IF(AND(ISNUMBER($O$139),$B$113=1),$O$139,HLOOKUP(INDIRECT(ADDRESS(2,COLUMN())),OFFSET($AT$2,0,0,ROW()-1,40),ROW()-1,FALSE))</f>
        <v>1.1040399999999999</v>
      </c>
      <c r="P32">
        <f ca="1">IF(AND(ISNUMBER($P$139),$B$113=1),$P$139,HLOOKUP(INDIRECT(ADDRESS(2,COLUMN())),OFFSET($AT$2,0,0,ROW()-1,40),ROW()-1,FALSE))</f>
        <v>1.5650500000000001</v>
      </c>
      <c r="Q32">
        <f ca="1">IF(AND(ISNUMBER($Q$139),$B$113=1),$Q$139,HLOOKUP(INDIRECT(ADDRESS(2,COLUMN())),OFFSET($AT$2,0,0,ROW()-1,40),ROW()-1,FALSE))</f>
        <v>-2.7869999999999999E-2</v>
      </c>
      <c r="R32">
        <f ca="1">IF(AND(ISNUMBER($R$139),$B$113=1),$R$139,HLOOKUP(INDIRECT(ADDRESS(2,COLUMN())),OFFSET($AT$2,0,0,ROW()-1,40),ROW()-1,FALSE))</f>
        <v>1.14734</v>
      </c>
      <c r="S32">
        <f ca="1">IF(AND(ISNUMBER($S$139),$B$113=1),$S$139,HLOOKUP(INDIRECT(ADDRESS(2,COLUMN())),OFFSET($AT$2,0,0,ROW()-1,40),ROW()-1,FALSE))</f>
        <v>-1.8349800000000001</v>
      </c>
      <c r="T32">
        <f ca="1">IF(AND(ISNUMBER($T$139),$B$113=1),$T$139,HLOOKUP(INDIRECT(ADDRESS(2,COLUMN())),OFFSET($AT$2,0,0,ROW()-1,40),ROW()-1,FALSE))</f>
        <v>-1.85022</v>
      </c>
      <c r="U32">
        <f ca="1">IF(AND(ISNUMBER($U$139),$B$113=1),$U$139,HLOOKUP(INDIRECT(ADDRESS(2,COLUMN())),OFFSET($AT$2,0,0,ROW()-1,40),ROW()-1,FALSE))</f>
        <v>-3.4679099999999998</v>
      </c>
      <c r="V32">
        <f ca="1">IF(AND(ISNUMBER($V$139),$B$113=1),$V$139,HLOOKUP(INDIRECT(ADDRESS(2,COLUMN())),OFFSET($AT$2,0,0,ROW()-1,40),ROW()-1,FALSE))</f>
        <v>-1.5682700000000001</v>
      </c>
      <c r="W32">
        <f ca="1">IF(AND(ISNUMBER($W$139),$B$113=1),$W$139,HLOOKUP(INDIRECT(ADDRESS(2,COLUMN())),OFFSET($AT$2,0,0,ROW()-1,40),ROW()-1,FALSE))</f>
        <v>1.2174700000000001</v>
      </c>
      <c r="X32">
        <f ca="1">IF(AND(ISNUMBER($X$139),$B$113=1),$X$139,HLOOKUP(INDIRECT(ADDRESS(2,COLUMN())),OFFSET($AT$2,0,0,ROW()-1,40),ROW()-1,FALSE))</f>
        <v>1.07389</v>
      </c>
      <c r="Y32">
        <f ca="1">IF(AND(ISNUMBER($Y$139),$B$113=1),$Y$139,HLOOKUP(INDIRECT(ADDRESS(2,COLUMN())),OFFSET($AT$2,0,0,ROW()-1,40),ROW()-1,FALSE))</f>
        <v>1.41604</v>
      </c>
      <c r="Z32">
        <f ca="1">IF(AND(ISNUMBER($Z$139),$B$113=1),$Z$139,HLOOKUP(INDIRECT(ADDRESS(2,COLUMN())),OFFSET($AT$2,0,0,ROW()-1,40),ROW()-1,FALSE))</f>
        <v>2.4304899999999998</v>
      </c>
      <c r="AA32">
        <f ca="1">IF(AND(ISNUMBER($AA$139),$B$113=1),$AA$139,HLOOKUP(INDIRECT(ADDRESS(2,COLUMN())),OFFSET($AT$2,0,0,ROW()-1,40),ROW()-1,FALSE))</f>
        <v>1.3287599999999999</v>
      </c>
      <c r="AB32">
        <f ca="1">IF(AND(ISNUMBER($AB$139),$B$113=1),$AB$139,HLOOKUP(INDIRECT(ADDRESS(2,COLUMN())),OFFSET($AT$2,0,0,ROW()-1,40),ROW()-1,FALSE))</f>
        <v>0.68467</v>
      </c>
      <c r="AC32">
        <f ca="1">IF(AND(ISNUMBER($AC$139),$B$113=1),$AC$139,HLOOKUP(INDIRECT(ADDRESS(2,COLUMN())),OFFSET($AT$2,0,0,ROW()-1,40),ROW()-1,FALSE))</f>
        <v>-1.04115</v>
      </c>
      <c r="AD32">
        <f ca="1">IF(AND(ISNUMBER($AD$139),$B$113=1),$AD$139,HLOOKUP(INDIRECT(ADDRESS(2,COLUMN())),OFFSET($AT$2,0,0,ROW()-1,40),ROW()-1,FALSE))</f>
        <v>1.05376</v>
      </c>
      <c r="AE32">
        <f ca="1">IF(AND(ISNUMBER($AE$139),$B$113=1),$AE$139,HLOOKUP(INDIRECT(ADDRESS(2,COLUMN())),OFFSET($AT$2,0,0,ROW()-1,40),ROW()-1,FALSE))</f>
        <v>-0.12093</v>
      </c>
      <c r="AF32">
        <f ca="1">IF(AND(ISNUMBER($AF$139),$B$113=1),$AF$139,HLOOKUP(INDIRECT(ADDRESS(2,COLUMN())),OFFSET($AT$2,0,0,ROW()-1,40),ROW()-1,FALSE))</f>
        <v>-0.26239000000000001</v>
      </c>
      <c r="AG32">
        <f ca="1">IF(AND(ISNUMBER($AG$139),$B$113=1),$AG$139,HLOOKUP(INDIRECT(ADDRESS(2,COLUMN())),OFFSET($AT$2,0,0,ROW()-1,40),ROW()-1,FALSE))</f>
        <v>-2.3733399999999998</v>
      </c>
      <c r="AH32">
        <f ca="1">IF(AND(ISNUMBER($AH$139),$B$113=1),$AH$139,HLOOKUP(INDIRECT(ADDRESS(2,COLUMN())),OFFSET($AT$2,0,0,ROW()-1,40),ROW()-1,FALSE))</f>
        <v>9.1130000000000003E-2</v>
      </c>
      <c r="AI32">
        <f ca="1">IF(AND(ISNUMBER($AI$139),$B$113=1),$AI$139,HLOOKUP(INDIRECT(ADDRESS(2,COLUMN())),OFFSET($AT$2,0,0,ROW()-1,40),ROW()-1,FALSE))</f>
        <v>0.4904</v>
      </c>
      <c r="AJ32">
        <f ca="1">IF(AND(ISNUMBER($AJ$139),$B$113=1),$AJ$139,HLOOKUP(INDIRECT(ADDRESS(2,COLUMN())),OFFSET($AT$2,0,0,ROW()-1,40),ROW()-1,FALSE))</f>
        <v>3.3368600000000002</v>
      </c>
      <c r="AK32" t="str">
        <f ca="1">IF(AND(ISNUMBER($AK$139),$B$113=1),$AK$139,HLOOKUP(INDIRECT(ADDRESS(2,COLUMN())),OFFSET($AT$2,0,0,ROW()-1,40),ROW()-1,FALSE))</f>
        <v/>
      </c>
      <c r="AL32" t="str">
        <f ca="1">IF(AND(ISNUMBER($AL$139),$B$113=1),$AL$139,HLOOKUP(INDIRECT(ADDRESS(2,COLUMN())),OFFSET($AT$2,0,0,ROW()-1,40),ROW()-1,FALSE))</f>
        <v/>
      </c>
      <c r="AM32" t="str">
        <f ca="1">IF(AND(ISNUMBER($AM$139),$B$113=1),$AM$139,HLOOKUP(INDIRECT(ADDRESS(2,COLUMN())),OFFSET($AT$2,0,0,ROW()-1,40),ROW()-1,FALSE))</f>
        <v/>
      </c>
      <c r="AN32" t="str">
        <f ca="1">IF(AND(ISNUMBER($AN$139),$B$113=1),$AN$139,HLOOKUP(INDIRECT(ADDRESS(2,COLUMN())),OFFSET($AT$2,0,0,ROW()-1,40),ROW()-1,FALSE))</f>
        <v/>
      </c>
      <c r="AO32" t="str">
        <f ca="1">IF(AND(ISNUMBER($AO$139),$B$113=1),$AO$139,HLOOKUP(INDIRECT(ADDRESS(2,COLUMN())),OFFSET($AT$2,0,0,ROW()-1,40),ROW()-1,FALSE))</f>
        <v/>
      </c>
      <c r="AP32" t="str">
        <f ca="1">IF(AND(ISNUMBER($AP$139),$B$113=1),$AP$139,HLOOKUP(INDIRECT(ADDRESS(2,COLUMN())),OFFSET($AT$2,0,0,ROW()-1,40),ROW()-1,FALSE))</f>
        <v/>
      </c>
      <c r="AQ32" t="str">
        <f ca="1">IF(AND(ISNUMBER($AQ$139),$B$113=1),$AQ$139,HLOOKUP(INDIRECT(ADDRESS(2,COLUMN())),OFFSET($AT$2,0,0,ROW()-1,40),ROW()-1,FALSE))</f>
        <v/>
      </c>
      <c r="AR32" t="str">
        <f ca="1">IF(AND(ISNUMBER($AR$139),$B$113=1),$AR$139,HLOOKUP(INDIRECT(ADDRESS(2,COLUMN())),OFFSET($AT$2,0,0,ROW()-1,40),ROW()-1,FALSE))</f>
        <v/>
      </c>
      <c r="AS32" t="str">
        <f ca="1">IF(AND(ISNUMBER($AS$139),$B$113=1),$AS$139,HLOOKUP(INDIRECT(ADDRESS(2,COLUMN())),OFFSET($AT$2,0,0,ROW()-1,40),ROW()-1,FALSE))</f>
        <v/>
      </c>
      <c r="AT32">
        <f>0.41306</f>
        <v>0.41305999999999998</v>
      </c>
      <c r="AU32">
        <f>-0.07111</f>
        <v>-7.1110000000000007E-2</v>
      </c>
      <c r="AV32">
        <f>1.61243</f>
        <v>1.61243</v>
      </c>
      <c r="AW32">
        <f>1.40453</f>
        <v>1.4045300000000001</v>
      </c>
      <c r="AX32">
        <f>0.23089</f>
        <v>0.23089000000000001</v>
      </c>
      <c r="AY32">
        <f>-0.82756</f>
        <v>-0.82755999999999996</v>
      </c>
      <c r="AZ32">
        <f>0.36443</f>
        <v>0.36442999999999998</v>
      </c>
      <c r="BA32">
        <f>0.43973</f>
        <v>0.43973000000000001</v>
      </c>
      <c r="BB32">
        <f>0.94665</f>
        <v>0.94664999999999999</v>
      </c>
      <c r="BC32">
        <f>1.10404</f>
        <v>1.1040399999999999</v>
      </c>
      <c r="BD32">
        <f>1.56505</f>
        <v>1.5650500000000001</v>
      </c>
      <c r="BE32">
        <f>-0.02787</f>
        <v>-2.7869999999999999E-2</v>
      </c>
      <c r="BF32">
        <f>1.14734</f>
        <v>1.14734</v>
      </c>
      <c r="BG32">
        <f>-1.83498</f>
        <v>-1.8349800000000001</v>
      </c>
      <c r="BH32">
        <f>-1.85022</f>
        <v>-1.85022</v>
      </c>
      <c r="BI32">
        <f>-3.46791</f>
        <v>-3.4679099999999998</v>
      </c>
      <c r="BJ32">
        <f>-1.56827</f>
        <v>-1.5682700000000001</v>
      </c>
      <c r="BK32">
        <f>1.21747</f>
        <v>1.2174700000000001</v>
      </c>
      <c r="BL32">
        <f>1.07389</f>
        <v>1.07389</v>
      </c>
      <c r="BM32">
        <f>1.41604</f>
        <v>1.41604</v>
      </c>
      <c r="BN32">
        <f>2.43049</f>
        <v>2.4304899999999998</v>
      </c>
      <c r="BO32">
        <f>1.32876</f>
        <v>1.3287599999999999</v>
      </c>
      <c r="BP32">
        <f>0.68467</f>
        <v>0.68467</v>
      </c>
      <c r="BQ32">
        <f>-1.04115</f>
        <v>-1.04115</v>
      </c>
      <c r="BR32">
        <f>1.05376</f>
        <v>1.05376</v>
      </c>
      <c r="BS32">
        <f>-0.12093</f>
        <v>-0.12093</v>
      </c>
      <c r="BT32">
        <f>-0.26239</f>
        <v>-0.26239000000000001</v>
      </c>
      <c r="BU32">
        <f>-2.37334</f>
        <v>-2.3733399999999998</v>
      </c>
      <c r="BV32">
        <f>0.09113</f>
        <v>9.1130000000000003E-2</v>
      </c>
      <c r="BW32">
        <f>0.4904</f>
        <v>0.4904</v>
      </c>
      <c r="BX32">
        <f>3.33686</f>
        <v>3.3368600000000002</v>
      </c>
      <c r="BY32" t="str">
        <f>""</f>
        <v/>
      </c>
      <c r="BZ32" t="str">
        <f>""</f>
        <v/>
      </c>
      <c r="CA32" t="str">
        <f>""</f>
        <v/>
      </c>
      <c r="CB32" t="str">
        <f>""</f>
        <v/>
      </c>
      <c r="CC32" t="str">
        <f>""</f>
        <v/>
      </c>
      <c r="CD32" t="str">
        <f>""</f>
        <v/>
      </c>
      <c r="CE32" t="str">
        <f>""</f>
        <v/>
      </c>
      <c r="CF32" t="str">
        <f>""</f>
        <v/>
      </c>
      <c r="CG32" t="str">
        <f>""</f>
        <v/>
      </c>
    </row>
    <row r="33" spans="1:85" x14ac:dyDescent="0.2">
      <c r="A33" t="str">
        <f>"    "</f>
        <v xml:space="preserve">    </v>
      </c>
      <c r="B33" t="str">
        <f>""</f>
        <v/>
      </c>
      <c r="E33" t="str">
        <f>"Static"</f>
        <v>Static</v>
      </c>
      <c r="F33" t="str">
        <f t="shared" ref="F33:AS33" ca="1" si="10">HLOOKUP(INDIRECT(ADDRESS(2,COLUMN())),OFFSET($AT$2,0,0,ROW()-1,40),ROW()-1,FALSE)</f>
        <v/>
      </c>
      <c r="G33" t="str">
        <f t="shared" ca="1" si="10"/>
        <v/>
      </c>
      <c r="H33" t="str">
        <f t="shared" ca="1" si="10"/>
        <v/>
      </c>
      <c r="I33" t="str">
        <f t="shared" ca="1" si="10"/>
        <v/>
      </c>
      <c r="J33" t="str">
        <f t="shared" ca="1" si="10"/>
        <v/>
      </c>
      <c r="K33" t="str">
        <f t="shared" ca="1" si="10"/>
        <v/>
      </c>
      <c r="L33" t="str">
        <f t="shared" ca="1" si="10"/>
        <v/>
      </c>
      <c r="M33" t="str">
        <f t="shared" ca="1" si="10"/>
        <v/>
      </c>
      <c r="N33" t="str">
        <f t="shared" ca="1" si="10"/>
        <v/>
      </c>
      <c r="O33" t="str">
        <f t="shared" ca="1" si="10"/>
        <v/>
      </c>
      <c r="P33" t="str">
        <f t="shared" ca="1" si="10"/>
        <v/>
      </c>
      <c r="Q33" t="str">
        <f t="shared" ca="1" si="10"/>
        <v/>
      </c>
      <c r="R33" t="str">
        <f t="shared" ca="1" si="10"/>
        <v/>
      </c>
      <c r="S33" t="str">
        <f t="shared" ca="1" si="10"/>
        <v/>
      </c>
      <c r="T33" t="str">
        <f t="shared" ca="1" si="10"/>
        <v/>
      </c>
      <c r="U33" t="str">
        <f t="shared" ca="1" si="10"/>
        <v/>
      </c>
      <c r="V33" t="str">
        <f t="shared" ca="1" si="10"/>
        <v/>
      </c>
      <c r="W33" t="str">
        <f t="shared" ca="1" si="10"/>
        <v/>
      </c>
      <c r="X33" t="str">
        <f t="shared" ca="1" si="10"/>
        <v/>
      </c>
      <c r="Y33" t="str">
        <f t="shared" ca="1" si="10"/>
        <v/>
      </c>
      <c r="Z33" t="str">
        <f t="shared" ca="1" si="10"/>
        <v/>
      </c>
      <c r="AA33" t="str">
        <f t="shared" ca="1" si="10"/>
        <v/>
      </c>
      <c r="AB33" t="str">
        <f t="shared" ca="1" si="10"/>
        <v/>
      </c>
      <c r="AC33" t="str">
        <f t="shared" ca="1" si="10"/>
        <v/>
      </c>
      <c r="AD33" t="str">
        <f t="shared" ca="1" si="10"/>
        <v/>
      </c>
      <c r="AE33" t="str">
        <f t="shared" ca="1" si="10"/>
        <v/>
      </c>
      <c r="AF33" t="str">
        <f t="shared" ca="1" si="10"/>
        <v/>
      </c>
      <c r="AG33" t="str">
        <f t="shared" ca="1" si="10"/>
        <v/>
      </c>
      <c r="AH33" t="str">
        <f t="shared" ca="1" si="10"/>
        <v/>
      </c>
      <c r="AI33" t="str">
        <f t="shared" ca="1" si="10"/>
        <v/>
      </c>
      <c r="AJ33" t="str">
        <f t="shared" ca="1" si="10"/>
        <v/>
      </c>
      <c r="AK33" t="str">
        <f t="shared" ca="1" si="10"/>
        <v/>
      </c>
      <c r="AL33" t="str">
        <f t="shared" ca="1" si="10"/>
        <v/>
      </c>
      <c r="AM33" t="str">
        <f t="shared" ca="1" si="10"/>
        <v/>
      </c>
      <c r="AN33" t="str">
        <f t="shared" ca="1" si="10"/>
        <v/>
      </c>
      <c r="AO33" t="str">
        <f t="shared" ca="1" si="10"/>
        <v/>
      </c>
      <c r="AP33" t="str">
        <f t="shared" ca="1" si="10"/>
        <v/>
      </c>
      <c r="AQ33" t="str">
        <f t="shared" ca="1" si="10"/>
        <v/>
      </c>
      <c r="AR33" t="str">
        <f t="shared" ca="1" si="10"/>
        <v/>
      </c>
      <c r="AS33" t="str">
        <f t="shared" ca="1" si="10"/>
        <v/>
      </c>
      <c r="AT33" t="str">
        <f>""</f>
        <v/>
      </c>
      <c r="AU33" t="str">
        <f>""</f>
        <v/>
      </c>
      <c r="AV33" t="str">
        <f>""</f>
        <v/>
      </c>
      <c r="AW33" t="str">
        <f>""</f>
        <v/>
      </c>
      <c r="AX33" t="str">
        <f>""</f>
        <v/>
      </c>
      <c r="AY33" t="str">
        <f>""</f>
        <v/>
      </c>
      <c r="AZ33" t="str">
        <f>""</f>
        <v/>
      </c>
      <c r="BA33" t="str">
        <f>""</f>
        <v/>
      </c>
      <c r="BB33" t="str">
        <f>""</f>
        <v/>
      </c>
      <c r="BC33" t="str">
        <f>""</f>
        <v/>
      </c>
      <c r="BD33" t="str">
        <f>""</f>
        <v/>
      </c>
      <c r="BE33" t="str">
        <f>""</f>
        <v/>
      </c>
      <c r="BF33" t="str">
        <f>""</f>
        <v/>
      </c>
      <c r="BG33" t="str">
        <f>""</f>
        <v/>
      </c>
      <c r="BH33" t="str">
        <f>""</f>
        <v/>
      </c>
      <c r="BI33" t="str">
        <f>""</f>
        <v/>
      </c>
      <c r="BJ33" t="str">
        <f>""</f>
        <v/>
      </c>
      <c r="BK33" t="str">
        <f>""</f>
        <v/>
      </c>
      <c r="BL33" t="str">
        <f>""</f>
        <v/>
      </c>
      <c r="BM33" t="str">
        <f>""</f>
        <v/>
      </c>
      <c r="BN33" t="str">
        <f>""</f>
        <v/>
      </c>
      <c r="BO33" t="str">
        <f>""</f>
        <v/>
      </c>
      <c r="BP33" t="str">
        <f>""</f>
        <v/>
      </c>
      <c r="BQ33" t="str">
        <f>""</f>
        <v/>
      </c>
      <c r="BR33" t="str">
        <f>""</f>
        <v/>
      </c>
      <c r="BS33" t="str">
        <f>""</f>
        <v/>
      </c>
      <c r="BT33" t="str">
        <f>""</f>
        <v/>
      </c>
      <c r="BU33" t="str">
        <f>""</f>
        <v/>
      </c>
      <c r="BV33" t="str">
        <f>""</f>
        <v/>
      </c>
      <c r="BW33" t="str">
        <f>""</f>
        <v/>
      </c>
      <c r="BX33" t="str">
        <f>""</f>
        <v/>
      </c>
      <c r="BY33" t="str">
        <f>""</f>
        <v/>
      </c>
      <c r="BZ33" t="str">
        <f>""</f>
        <v/>
      </c>
      <c r="CA33" t="str">
        <f>""</f>
        <v/>
      </c>
      <c r="CB33" t="str">
        <f>""</f>
        <v/>
      </c>
      <c r="CC33" t="str">
        <f>""</f>
        <v/>
      </c>
      <c r="CD33" t="str">
        <f>""</f>
        <v/>
      </c>
      <c r="CE33" t="str">
        <f>""</f>
        <v/>
      </c>
      <c r="CF33" t="str">
        <f>""</f>
        <v/>
      </c>
      <c r="CG33" t="str">
        <f>""</f>
        <v/>
      </c>
    </row>
    <row r="34" spans="1:85" x14ac:dyDescent="0.2">
      <c r="A34" t="str">
        <f>"    Total Fed. Constr. Put in Place (Mn USD)"</f>
        <v xml:space="preserve">    Total Fed. Constr. Put in Place (Mn USD)</v>
      </c>
      <c r="B34" t="str">
        <f>"FED1TOFC Index"</f>
        <v>FED1TOFC Index</v>
      </c>
      <c r="C34" t="str">
        <f t="shared" ref="C34:C45" si="11">"PX385"</f>
        <v>PX385</v>
      </c>
      <c r="D34" t="str">
        <f t="shared" ref="D34:D45" si="12">"INTERVAL_SUM"</f>
        <v>INTERVAL_SUM</v>
      </c>
      <c r="E34" t="str">
        <f t="shared" ref="E34:E45" si="13">"Dynamic"</f>
        <v>Dynamic</v>
      </c>
      <c r="F34">
        <f ca="1">IF(AND(ISNUMBER($F$140),$B$113=1),$F$140,HLOOKUP(INDIRECT(ADDRESS(2,COLUMN())),OFFSET($AT$2,0,0,ROW()-1,40),ROW()-1,FALSE))</f>
        <v>302897</v>
      </c>
      <c r="G34">
        <f ca="1">IF(AND(ISNUMBER($G$140),$B$113=1),$G$140,HLOOKUP(INDIRECT(ADDRESS(2,COLUMN())),OFFSET($AT$2,0,0,ROW()-1,40),ROW()-1,FALSE))</f>
        <v>345457</v>
      </c>
      <c r="H34">
        <f ca="1">IF(AND(ISNUMBER($H$140),$B$113=1),$H$140,HLOOKUP(INDIRECT(ADDRESS(2,COLUMN())),OFFSET($AT$2,0,0,ROW()-1,40),ROW()-1,FALSE))</f>
        <v>300216</v>
      </c>
      <c r="I34">
        <f ca="1">IF(AND(ISNUMBER($I$140),$B$113=1),$I$140,HLOOKUP(INDIRECT(ADDRESS(2,COLUMN())),OFFSET($AT$2,0,0,ROW()-1,40),ROW()-1,FALSE))</f>
        <v>345837</v>
      </c>
      <c r="J34">
        <f ca="1">IF(AND(ISNUMBER($J$140),$B$113=1),$J$140,HLOOKUP(INDIRECT(ADDRESS(2,COLUMN())),OFFSET($AT$2,0,0,ROW()-1,40),ROW()-1,FALSE))</f>
        <v>315557</v>
      </c>
      <c r="K34">
        <f ca="1">IF(AND(ISNUMBER($K$140),$B$113=1),$K$140,HLOOKUP(INDIRECT(ADDRESS(2,COLUMN())),OFFSET($AT$2,0,0,ROW()-1,40),ROW()-1,FALSE))</f>
        <v>263137</v>
      </c>
      <c r="L34">
        <f ca="1">IF(AND(ISNUMBER($L$140),$B$113=1),$L$140,HLOOKUP(INDIRECT(ADDRESS(2,COLUMN())),OFFSET($AT$2,0,0,ROW()-1,40),ROW()-1,FALSE))</f>
        <v>255837</v>
      </c>
      <c r="M34">
        <f ca="1">IF(AND(ISNUMBER($M$140),$B$113=1),$M$140,HLOOKUP(INDIRECT(ADDRESS(2,COLUMN())),OFFSET($AT$2,0,0,ROW()-1,40),ROW()-1,FALSE))</f>
        <v>266725</v>
      </c>
      <c r="N34">
        <f ca="1">IF(AND(ISNUMBER($N$140),$B$113=1),$N$140,HLOOKUP(INDIRECT(ADDRESS(2,COLUMN())),OFFSET($AT$2,0,0,ROW()-1,40),ROW()-1,FALSE))</f>
        <v>270141</v>
      </c>
      <c r="O34">
        <f ca="1">IF(AND(ISNUMBER($O$140),$B$113=1),$O$140,HLOOKUP(INDIRECT(ADDRESS(2,COLUMN())),OFFSET($AT$2,0,0,ROW()-1,40),ROW()-1,FALSE))</f>
        <v>268873</v>
      </c>
      <c r="P34">
        <f ca="1">IF(AND(ISNUMBER($P$140),$B$113=1),$P$140,HLOOKUP(INDIRECT(ADDRESS(2,COLUMN())),OFFSET($AT$2,0,0,ROW()-1,40),ROW()-1,FALSE))</f>
        <v>284834</v>
      </c>
      <c r="Q34">
        <f ca="1">IF(AND(ISNUMBER($Q$140),$B$113=1),$Q$140,HLOOKUP(INDIRECT(ADDRESS(2,COLUMN())),OFFSET($AT$2,0,0,ROW()-1,40),ROW()-1,FALSE))</f>
        <v>323719</v>
      </c>
      <c r="R34">
        <f ca="1">IF(AND(ISNUMBER($R$140),$B$113=1),$R$140,HLOOKUP(INDIRECT(ADDRESS(2,COLUMN())),OFFSET($AT$2,0,0,ROW()-1,40),ROW()-1,FALSE))</f>
        <v>379750</v>
      </c>
      <c r="S34">
        <f ca="1">IF(AND(ISNUMBER($S$140),$B$113=1),$S$140,HLOOKUP(INDIRECT(ADDRESS(2,COLUMN())),OFFSET($AT$2,0,0,ROW()-1,40),ROW()-1,FALSE))</f>
        <v>371470</v>
      </c>
      <c r="T34">
        <f ca="1">IF(AND(ISNUMBER($T$140),$B$113=1),$T$140,HLOOKUP(INDIRECT(ADDRESS(2,COLUMN())),OFFSET($AT$2,0,0,ROW()-1,40),ROW()-1,FALSE))</f>
        <v>341630</v>
      </c>
      <c r="U34">
        <f ca="1">IF(AND(ISNUMBER($U$140),$B$113=1),$U$140,HLOOKUP(INDIRECT(ADDRESS(2,COLUMN())),OFFSET($AT$2,0,0,ROW()-1,40),ROW()-1,FALSE))</f>
        <v>283921</v>
      </c>
      <c r="V34">
        <f ca="1">IF(AND(ISNUMBER($V$140),$B$113=1),$V$140,HLOOKUP(INDIRECT(ADDRESS(2,COLUMN())),OFFSET($AT$2,0,0,ROW()-1,40),ROW()-1,FALSE))</f>
        <v>246265</v>
      </c>
      <c r="W34">
        <f ca="1">IF(AND(ISNUMBER($W$140),$B$113=1),$W$140,HLOOKUP(INDIRECT(ADDRESS(2,COLUMN())),OFFSET($AT$2,0,0,ROW()-1,40),ROW()-1,FALSE))</f>
        <v>211770</v>
      </c>
      <c r="X34">
        <f ca="1">IF(AND(ISNUMBER($X$140),$B$113=1),$X$140,HLOOKUP(INDIRECT(ADDRESS(2,COLUMN())),OFFSET($AT$2,0,0,ROW()-1,40),ROW()-1,FALSE))</f>
        <v>206829</v>
      </c>
      <c r="Y34">
        <f ca="1">IF(AND(ISNUMBER($Y$140),$B$113=1),$Y$140,HLOOKUP(INDIRECT(ADDRESS(2,COLUMN())),OFFSET($AT$2,0,0,ROW()-1,40),ROW()-1,FALSE))</f>
        <v>218505</v>
      </c>
      <c r="Z34">
        <f ca="1">IF(AND(ISNUMBER($Z$140),$B$113=1),$Z$140,HLOOKUP(INDIRECT(ADDRESS(2,COLUMN())),OFFSET($AT$2,0,0,ROW()-1,40),ROW()-1,FALSE))</f>
        <v>214480</v>
      </c>
      <c r="AA34">
        <f ca="1">IF(AND(ISNUMBER($AA$140),$B$113=1),$AA$140,HLOOKUP(INDIRECT(ADDRESS(2,COLUMN())),OFFSET($AT$2,0,0,ROW()-1,40),ROW()-1,FALSE))</f>
        <v>199158</v>
      </c>
      <c r="AB34">
        <f ca="1">IF(AND(ISNUMBER($AB$140),$B$113=1),$AB$140,HLOOKUP(INDIRECT(ADDRESS(2,COLUMN())),OFFSET($AT$2,0,0,ROW()-1,40),ROW()-1,FALSE))</f>
        <v>181345</v>
      </c>
      <c r="AC34">
        <f ca="1">IF(AND(ISNUMBER($AC$140),$B$113=1),$AC$140,HLOOKUP(INDIRECT(ADDRESS(2,COLUMN())),OFFSET($AT$2,0,0,ROW()-1,40),ROW()-1,FALSE))</f>
        <v>170331</v>
      </c>
      <c r="AD34">
        <f ca="1">IF(AND(ISNUMBER($AD$140),$B$113=1),$AD$140,HLOOKUP(INDIRECT(ADDRESS(2,COLUMN())),OFFSET($AT$2,0,0,ROW()-1,40),ROW()-1,FALSE))</f>
        <v>168636</v>
      </c>
      <c r="AE34">
        <f ca="1">IF(AND(ISNUMBER($AE$140),$B$113=1),$AE$140,HLOOKUP(INDIRECT(ADDRESS(2,COLUMN())),OFFSET($AT$2,0,0,ROW()-1,40),ROW()-1,FALSE))</f>
        <v>171459</v>
      </c>
      <c r="AF34">
        <f ca="1">IF(AND(ISNUMBER($AF$140),$B$113=1),$AF$140,HLOOKUP(INDIRECT(ADDRESS(2,COLUMN())),OFFSET($AT$2,0,0,ROW()-1,40),ROW()-1,FALSE))</f>
        <v>169176</v>
      </c>
      <c r="AG34">
        <f ca="1">IF(AND(ISNUMBER($AG$140),$B$113=1),$AG$140,HLOOKUP(INDIRECT(ADDRESS(2,COLUMN())),OFFSET($AT$2,0,0,ROW()-1,40),ROW()-1,FALSE))</f>
        <v>183838</v>
      </c>
      <c r="AH34">
        <f ca="1">IF(AND(ISNUMBER($AH$140),$B$113=1),$AH$140,HLOOKUP(INDIRECT(ADDRESS(2,COLUMN())),OFFSET($AT$2,0,0,ROW()-1,40),ROW()-1,FALSE))</f>
        <v>188404</v>
      </c>
      <c r="AI34">
        <f ca="1">IF(AND(ISNUMBER($AI$140),$B$113=1),$AI$140,HLOOKUP(INDIRECT(ADDRESS(2,COLUMN())),OFFSET($AT$2,0,0,ROW()-1,40),ROW()-1,FALSE))</f>
        <v>173969</v>
      </c>
      <c r="AJ34">
        <f ca="1">IF(AND(ISNUMBER($AJ$140),$B$113=1),$AJ$140,HLOOKUP(INDIRECT(ADDRESS(2,COLUMN())),OFFSET($AT$2,0,0,ROW()-1,40),ROW()-1,FALSE))</f>
        <v>173091</v>
      </c>
      <c r="AK34" t="str">
        <f ca="1">IF(AND(ISNUMBER($AK$140),$B$113=1),$AK$140,HLOOKUP(INDIRECT(ADDRESS(2,COLUMN())),OFFSET($AT$2,0,0,ROW()-1,40),ROW()-1,FALSE))</f>
        <v/>
      </c>
      <c r="AL34" t="str">
        <f ca="1">IF(AND(ISNUMBER($AL$140),$B$113=1),$AL$140,HLOOKUP(INDIRECT(ADDRESS(2,COLUMN())),OFFSET($AT$2,0,0,ROW()-1,40),ROW()-1,FALSE))</f>
        <v/>
      </c>
      <c r="AM34" t="str">
        <f ca="1">IF(AND(ISNUMBER($AM$140),$B$113=1),$AM$140,HLOOKUP(INDIRECT(ADDRESS(2,COLUMN())),OFFSET($AT$2,0,0,ROW()-1,40),ROW()-1,FALSE))</f>
        <v/>
      </c>
      <c r="AN34" t="str">
        <f ca="1">IF(AND(ISNUMBER($AN$140),$B$113=1),$AN$140,HLOOKUP(INDIRECT(ADDRESS(2,COLUMN())),OFFSET($AT$2,0,0,ROW()-1,40),ROW()-1,FALSE))</f>
        <v/>
      </c>
      <c r="AO34" t="str">
        <f ca="1">IF(AND(ISNUMBER($AO$140),$B$113=1),$AO$140,HLOOKUP(INDIRECT(ADDRESS(2,COLUMN())),OFFSET($AT$2,0,0,ROW()-1,40),ROW()-1,FALSE))</f>
        <v/>
      </c>
      <c r="AP34" t="str">
        <f ca="1">IF(AND(ISNUMBER($AP$140),$B$113=1),$AP$140,HLOOKUP(INDIRECT(ADDRESS(2,COLUMN())),OFFSET($AT$2,0,0,ROW()-1,40),ROW()-1,FALSE))</f>
        <v/>
      </c>
      <c r="AQ34" t="str">
        <f ca="1">IF(AND(ISNUMBER($AQ$140),$B$113=1),$AQ$140,HLOOKUP(INDIRECT(ADDRESS(2,COLUMN())),OFFSET($AT$2,0,0,ROW()-1,40),ROW()-1,FALSE))</f>
        <v/>
      </c>
      <c r="AR34" t="str">
        <f ca="1">IF(AND(ISNUMBER($AR$140),$B$113=1),$AR$140,HLOOKUP(INDIRECT(ADDRESS(2,COLUMN())),OFFSET($AT$2,0,0,ROW()-1,40),ROW()-1,FALSE))</f>
        <v/>
      </c>
      <c r="AS34" t="str">
        <f ca="1">IF(AND(ISNUMBER($AS$140),$B$113=1),$AS$140,HLOOKUP(INDIRECT(ADDRESS(2,COLUMN())),OFFSET($AT$2,0,0,ROW()-1,40),ROW()-1,FALSE))</f>
        <v/>
      </c>
      <c r="AT34">
        <f>302897</f>
        <v>302897</v>
      </c>
      <c r="AU34">
        <f>345457</f>
        <v>345457</v>
      </c>
      <c r="AV34">
        <f>300216</f>
        <v>300216</v>
      </c>
      <c r="AW34">
        <f>345837</f>
        <v>345837</v>
      </c>
      <c r="AX34">
        <f>315557</f>
        <v>315557</v>
      </c>
      <c r="AY34">
        <f>263137</f>
        <v>263137</v>
      </c>
      <c r="AZ34">
        <f>255837</f>
        <v>255837</v>
      </c>
      <c r="BA34">
        <f>266725</f>
        <v>266725</v>
      </c>
      <c r="BB34">
        <f>270141</f>
        <v>270141</v>
      </c>
      <c r="BC34">
        <f>268873</f>
        <v>268873</v>
      </c>
      <c r="BD34">
        <f>284834</f>
        <v>284834</v>
      </c>
      <c r="BE34">
        <f>323719</f>
        <v>323719</v>
      </c>
      <c r="BF34">
        <f>379750</f>
        <v>379750</v>
      </c>
      <c r="BG34">
        <f>371470</f>
        <v>371470</v>
      </c>
      <c r="BH34">
        <f>341630</f>
        <v>341630</v>
      </c>
      <c r="BI34">
        <f>283921</f>
        <v>283921</v>
      </c>
      <c r="BJ34">
        <f>246265</f>
        <v>246265</v>
      </c>
      <c r="BK34">
        <f>211770</f>
        <v>211770</v>
      </c>
      <c r="BL34">
        <f>206829</f>
        <v>206829</v>
      </c>
      <c r="BM34">
        <f>218505</f>
        <v>218505</v>
      </c>
      <c r="BN34">
        <f>214480</f>
        <v>214480</v>
      </c>
      <c r="BO34">
        <f>199158</f>
        <v>199158</v>
      </c>
      <c r="BP34">
        <f>181345</f>
        <v>181345</v>
      </c>
      <c r="BQ34">
        <f>170331</f>
        <v>170331</v>
      </c>
      <c r="BR34">
        <f>168636</f>
        <v>168636</v>
      </c>
      <c r="BS34">
        <f>171459</f>
        <v>171459</v>
      </c>
      <c r="BT34">
        <f>169176</f>
        <v>169176</v>
      </c>
      <c r="BU34">
        <f>183838</f>
        <v>183838</v>
      </c>
      <c r="BV34">
        <f>188404</f>
        <v>188404</v>
      </c>
      <c r="BW34">
        <f>173969</f>
        <v>173969</v>
      </c>
      <c r="BX34">
        <f>173091</f>
        <v>173091</v>
      </c>
      <c r="BY34" t="str">
        <f>""</f>
        <v/>
      </c>
      <c r="BZ34" t="str">
        <f>""</f>
        <v/>
      </c>
      <c r="CA34" t="str">
        <f>""</f>
        <v/>
      </c>
      <c r="CB34" t="str">
        <f>""</f>
        <v/>
      </c>
      <c r="CC34" t="str">
        <f>""</f>
        <v/>
      </c>
      <c r="CD34" t="str">
        <f>""</f>
        <v/>
      </c>
      <c r="CE34" t="str">
        <f>""</f>
        <v/>
      </c>
      <c r="CF34" t="str">
        <f>""</f>
        <v/>
      </c>
      <c r="CG34" t="str">
        <f>""</f>
        <v/>
      </c>
    </row>
    <row r="35" spans="1:85" x14ac:dyDescent="0.2">
      <c r="A35" t="str">
        <f>"        Fed. Highway Construction (Mn USD)"</f>
        <v xml:space="preserve">        Fed. Highway Construction (Mn USD)</v>
      </c>
      <c r="B35" t="str">
        <f>"FED1HWAY Index"</f>
        <v>FED1HWAY Index</v>
      </c>
      <c r="C35" t="str">
        <f t="shared" si="11"/>
        <v>PX385</v>
      </c>
      <c r="D35" t="str">
        <f t="shared" si="12"/>
        <v>INTERVAL_SUM</v>
      </c>
      <c r="E35" t="str">
        <f t="shared" si="13"/>
        <v>Dynamic</v>
      </c>
      <c r="F35">
        <f ca="1">IF(AND(ISNUMBER($F$141),$B$113=1),$F$141,HLOOKUP(INDIRECT(ADDRESS(2,COLUMN())),OFFSET($AT$2,0,0,ROW()-1,40),ROW()-1,FALSE))</f>
        <v>16021</v>
      </c>
      <c r="G35">
        <f ca="1">IF(AND(ISNUMBER($G$141),$B$113=1),$G$141,HLOOKUP(INDIRECT(ADDRESS(2,COLUMN())),OFFSET($AT$2,0,0,ROW()-1,40),ROW()-1,FALSE))</f>
        <v>23496</v>
      </c>
      <c r="H35">
        <f ca="1">IF(AND(ISNUMBER($H$141),$B$113=1),$H$141,HLOOKUP(INDIRECT(ADDRESS(2,COLUMN())),OFFSET($AT$2,0,0,ROW()-1,40),ROW()-1,FALSE))</f>
        <v>14942</v>
      </c>
      <c r="I35">
        <f ca="1">IF(AND(ISNUMBER($I$141),$B$113=1),$I$141,HLOOKUP(INDIRECT(ADDRESS(2,COLUMN())),OFFSET($AT$2,0,0,ROW()-1,40),ROW()-1,FALSE))</f>
        <v>13698</v>
      </c>
      <c r="J35">
        <f ca="1">IF(AND(ISNUMBER($J$141),$B$113=1),$J$141,HLOOKUP(INDIRECT(ADDRESS(2,COLUMN())),OFFSET($AT$2,0,0,ROW()-1,40),ROW()-1,FALSE))</f>
        <v>17260</v>
      </c>
      <c r="K35">
        <f ca="1">IF(AND(ISNUMBER($K$141),$B$113=1),$K$141,HLOOKUP(INDIRECT(ADDRESS(2,COLUMN())),OFFSET($AT$2,0,0,ROW()-1,40),ROW()-1,FALSE))</f>
        <v>12345</v>
      </c>
      <c r="L35">
        <f ca="1">IF(AND(ISNUMBER($L$141),$B$113=1),$L$141,HLOOKUP(INDIRECT(ADDRESS(2,COLUMN())),OFFSET($AT$2,0,0,ROW()-1,40),ROW()-1,FALSE))</f>
        <v>13586</v>
      </c>
      <c r="M35">
        <f ca="1">IF(AND(ISNUMBER($M$141),$B$113=1),$M$141,HLOOKUP(INDIRECT(ADDRESS(2,COLUMN())),OFFSET($AT$2,0,0,ROW()-1,40),ROW()-1,FALSE))</f>
        <v>10178</v>
      </c>
      <c r="N35">
        <f ca="1">IF(AND(ISNUMBER($N$141),$B$113=1),$N$141,HLOOKUP(INDIRECT(ADDRESS(2,COLUMN())),OFFSET($AT$2,0,0,ROW()-1,40),ROW()-1,FALSE))</f>
        <v>6319</v>
      </c>
      <c r="O35">
        <f ca="1">IF(AND(ISNUMBER($O$141),$B$113=1),$O$141,HLOOKUP(INDIRECT(ADDRESS(2,COLUMN())),OFFSET($AT$2,0,0,ROW()-1,40),ROW()-1,FALSE))</f>
        <v>5315</v>
      </c>
      <c r="P35">
        <f ca="1">IF(AND(ISNUMBER($P$141),$B$113=1),$P$141,HLOOKUP(INDIRECT(ADDRESS(2,COLUMN())),OFFSET($AT$2,0,0,ROW()-1,40),ROW()-1,FALSE))</f>
        <v>7665</v>
      </c>
      <c r="Q35">
        <f ca="1">IF(AND(ISNUMBER($Q$141),$B$113=1),$Q$141,HLOOKUP(INDIRECT(ADDRESS(2,COLUMN())),OFFSET($AT$2,0,0,ROW()-1,40),ROW()-1,FALSE))</f>
        <v>8539</v>
      </c>
      <c r="R35">
        <f ca="1">IF(AND(ISNUMBER($R$141),$B$113=1),$R$141,HLOOKUP(INDIRECT(ADDRESS(2,COLUMN())),OFFSET($AT$2,0,0,ROW()-1,40),ROW()-1,FALSE))</f>
        <v>10808</v>
      </c>
      <c r="S35">
        <f ca="1">IF(AND(ISNUMBER($S$141),$B$113=1),$S$141,HLOOKUP(INDIRECT(ADDRESS(2,COLUMN())),OFFSET($AT$2,0,0,ROW()-1,40),ROW()-1,FALSE))</f>
        <v>12722</v>
      </c>
      <c r="T35">
        <f ca="1">IF(AND(ISNUMBER($T$141),$B$113=1),$T$141,HLOOKUP(INDIRECT(ADDRESS(2,COLUMN())),OFFSET($AT$2,0,0,ROW()-1,40),ROW()-1,FALSE))</f>
        <v>9714</v>
      </c>
      <c r="U35">
        <f ca="1">IF(AND(ISNUMBER($U$141),$B$113=1),$U$141,HLOOKUP(INDIRECT(ADDRESS(2,COLUMN())),OFFSET($AT$2,0,0,ROW()-1,40),ROW()-1,FALSE))</f>
        <v>8948</v>
      </c>
      <c r="V35">
        <f ca="1">IF(AND(ISNUMBER($V$141),$B$113=1),$V$141,HLOOKUP(INDIRECT(ADDRESS(2,COLUMN())),OFFSET($AT$2,0,0,ROW()-1,40),ROW()-1,FALSE))</f>
        <v>9166</v>
      </c>
      <c r="W35">
        <f ca="1">IF(AND(ISNUMBER($W$141),$B$113=1),$W$141,HLOOKUP(INDIRECT(ADDRESS(2,COLUMN())),OFFSET($AT$2,0,0,ROW()-1,40),ROW()-1,FALSE))</f>
        <v>6963</v>
      </c>
      <c r="X35">
        <f ca="1">IF(AND(ISNUMBER($X$141),$B$113=1),$X$141,HLOOKUP(INDIRECT(ADDRESS(2,COLUMN())),OFFSET($AT$2,0,0,ROW()-1,40),ROW()-1,FALSE))</f>
        <v>7181</v>
      </c>
      <c r="Y35">
        <f ca="1">IF(AND(ISNUMBER($Y$141),$B$113=1),$Y$141,HLOOKUP(INDIRECT(ADDRESS(2,COLUMN())),OFFSET($AT$2,0,0,ROW()-1,40),ROW()-1,FALSE))</f>
        <v>11187</v>
      </c>
      <c r="Z35">
        <f ca="1">IF(AND(ISNUMBER($Z$141),$B$113=1),$Z$141,HLOOKUP(INDIRECT(ADDRESS(2,COLUMN())),OFFSET($AT$2,0,0,ROW()-1,40),ROW()-1,FALSE))</f>
        <v>8368</v>
      </c>
      <c r="AA35">
        <f ca="1">IF(AND(ISNUMBER($AA$141),$B$113=1),$AA$141,HLOOKUP(INDIRECT(ADDRESS(2,COLUMN())),OFFSET($AT$2,0,0,ROW()-1,40),ROW()-1,FALSE))</f>
        <v>8152</v>
      </c>
      <c r="AB35">
        <f ca="1">IF(AND(ISNUMBER($AB$141),$B$113=1),$AB$141,HLOOKUP(INDIRECT(ADDRESS(2,COLUMN())),OFFSET($AT$2,0,0,ROW()-1,40),ROW()-1,FALSE))</f>
        <v>0</v>
      </c>
      <c r="AC35">
        <f ca="1">IF(AND(ISNUMBER($AC$141),$B$113=1),$AC$141,HLOOKUP(INDIRECT(ADDRESS(2,COLUMN())),OFFSET($AT$2,0,0,ROW()-1,40),ROW()-1,FALSE))</f>
        <v>0</v>
      </c>
      <c r="AD35">
        <f ca="1">IF(AND(ISNUMBER($AD$141),$B$113=1),$AD$141,HLOOKUP(INDIRECT(ADDRESS(2,COLUMN())),OFFSET($AT$2,0,0,ROW()-1,40),ROW()-1,FALSE))</f>
        <v>0</v>
      </c>
      <c r="AE35">
        <f ca="1">IF(AND(ISNUMBER($AE$141),$B$113=1),$AE$141,HLOOKUP(INDIRECT(ADDRESS(2,COLUMN())),OFFSET($AT$2,0,0,ROW()-1,40),ROW()-1,FALSE))</f>
        <v>0</v>
      </c>
      <c r="AF35">
        <f ca="1">IF(AND(ISNUMBER($AF$141),$B$113=1),$AF$141,HLOOKUP(INDIRECT(ADDRESS(2,COLUMN())),OFFSET($AT$2,0,0,ROW()-1,40),ROW()-1,FALSE))</f>
        <v>0</v>
      </c>
      <c r="AG35">
        <f ca="1">IF(AND(ISNUMBER($AG$141),$B$113=1),$AG$141,HLOOKUP(INDIRECT(ADDRESS(2,COLUMN())),OFFSET($AT$2,0,0,ROW()-1,40),ROW()-1,FALSE))</f>
        <v>0</v>
      </c>
      <c r="AH35">
        <f ca="1">IF(AND(ISNUMBER($AH$141),$B$113=1),$AH$141,HLOOKUP(INDIRECT(ADDRESS(2,COLUMN())),OFFSET($AT$2,0,0,ROW()-1,40),ROW()-1,FALSE))</f>
        <v>0</v>
      </c>
      <c r="AI35">
        <f ca="1">IF(AND(ISNUMBER($AI$141),$B$113=1),$AI$141,HLOOKUP(INDIRECT(ADDRESS(2,COLUMN())),OFFSET($AT$2,0,0,ROW()-1,40),ROW()-1,FALSE))</f>
        <v>0</v>
      </c>
      <c r="AJ35">
        <f ca="1">IF(AND(ISNUMBER($AJ$141),$B$113=1),$AJ$141,HLOOKUP(INDIRECT(ADDRESS(2,COLUMN())),OFFSET($AT$2,0,0,ROW()-1,40),ROW()-1,FALSE))</f>
        <v>0</v>
      </c>
      <c r="AK35" t="str">
        <f ca="1">IF(AND(ISNUMBER($AK$141),$B$113=1),$AK$141,HLOOKUP(INDIRECT(ADDRESS(2,COLUMN())),OFFSET($AT$2,0,0,ROW()-1,40),ROW()-1,FALSE))</f>
        <v/>
      </c>
      <c r="AL35" t="str">
        <f ca="1">IF(AND(ISNUMBER($AL$141),$B$113=1),$AL$141,HLOOKUP(INDIRECT(ADDRESS(2,COLUMN())),OFFSET($AT$2,0,0,ROW()-1,40),ROW()-1,FALSE))</f>
        <v/>
      </c>
      <c r="AM35" t="str">
        <f ca="1">IF(AND(ISNUMBER($AM$141),$B$113=1),$AM$141,HLOOKUP(INDIRECT(ADDRESS(2,COLUMN())),OFFSET($AT$2,0,0,ROW()-1,40),ROW()-1,FALSE))</f>
        <v/>
      </c>
      <c r="AN35" t="str">
        <f ca="1">IF(AND(ISNUMBER($AN$141),$B$113=1),$AN$141,HLOOKUP(INDIRECT(ADDRESS(2,COLUMN())),OFFSET($AT$2,0,0,ROW()-1,40),ROW()-1,FALSE))</f>
        <v/>
      </c>
      <c r="AO35" t="str">
        <f ca="1">IF(AND(ISNUMBER($AO$141),$B$113=1),$AO$141,HLOOKUP(INDIRECT(ADDRESS(2,COLUMN())),OFFSET($AT$2,0,0,ROW()-1,40),ROW()-1,FALSE))</f>
        <v/>
      </c>
      <c r="AP35" t="str">
        <f ca="1">IF(AND(ISNUMBER($AP$141),$B$113=1),$AP$141,HLOOKUP(INDIRECT(ADDRESS(2,COLUMN())),OFFSET($AT$2,0,0,ROW()-1,40),ROW()-1,FALSE))</f>
        <v/>
      </c>
      <c r="AQ35" t="str">
        <f ca="1">IF(AND(ISNUMBER($AQ$141),$B$113=1),$AQ$141,HLOOKUP(INDIRECT(ADDRESS(2,COLUMN())),OFFSET($AT$2,0,0,ROW()-1,40),ROW()-1,FALSE))</f>
        <v/>
      </c>
      <c r="AR35" t="str">
        <f ca="1">IF(AND(ISNUMBER($AR$141),$B$113=1),$AR$141,HLOOKUP(INDIRECT(ADDRESS(2,COLUMN())),OFFSET($AT$2,0,0,ROW()-1,40),ROW()-1,FALSE))</f>
        <v/>
      </c>
      <c r="AS35" t="str">
        <f ca="1">IF(AND(ISNUMBER($AS$141),$B$113=1),$AS$141,HLOOKUP(INDIRECT(ADDRESS(2,COLUMN())),OFFSET($AT$2,0,0,ROW()-1,40),ROW()-1,FALSE))</f>
        <v/>
      </c>
      <c r="AT35">
        <f>16021</f>
        <v>16021</v>
      </c>
      <c r="AU35">
        <f>23496</f>
        <v>23496</v>
      </c>
      <c r="AV35">
        <f>14942</f>
        <v>14942</v>
      </c>
      <c r="AW35">
        <f>13698</f>
        <v>13698</v>
      </c>
      <c r="AX35">
        <f>17260</f>
        <v>17260</v>
      </c>
      <c r="AY35">
        <f>12345</f>
        <v>12345</v>
      </c>
      <c r="AZ35">
        <f>13586</f>
        <v>13586</v>
      </c>
      <c r="BA35">
        <f>10178</f>
        <v>10178</v>
      </c>
      <c r="BB35">
        <f>6319</f>
        <v>6319</v>
      </c>
      <c r="BC35">
        <f>5315</f>
        <v>5315</v>
      </c>
      <c r="BD35">
        <f>7665</f>
        <v>7665</v>
      </c>
      <c r="BE35">
        <f>8539</f>
        <v>8539</v>
      </c>
      <c r="BF35">
        <f>10808</f>
        <v>10808</v>
      </c>
      <c r="BG35">
        <f>12722</f>
        <v>12722</v>
      </c>
      <c r="BH35">
        <f>9714</f>
        <v>9714</v>
      </c>
      <c r="BI35">
        <f>8948</f>
        <v>8948</v>
      </c>
      <c r="BJ35">
        <f>9166</f>
        <v>9166</v>
      </c>
      <c r="BK35">
        <f>6963</f>
        <v>6963</v>
      </c>
      <c r="BL35">
        <f>7181</f>
        <v>7181</v>
      </c>
      <c r="BM35">
        <f>11187</f>
        <v>11187</v>
      </c>
      <c r="BN35">
        <f>8368</f>
        <v>8368</v>
      </c>
      <c r="BO35">
        <f>8152</f>
        <v>8152</v>
      </c>
      <c r="BP35">
        <f>0</f>
        <v>0</v>
      </c>
      <c r="BQ35">
        <f>0</f>
        <v>0</v>
      </c>
      <c r="BR35">
        <f>0</f>
        <v>0</v>
      </c>
      <c r="BS35">
        <f>0</f>
        <v>0</v>
      </c>
      <c r="BT35">
        <f>0</f>
        <v>0</v>
      </c>
      <c r="BU35">
        <f>0</f>
        <v>0</v>
      </c>
      <c r="BV35">
        <f>0</f>
        <v>0</v>
      </c>
      <c r="BW35">
        <f>0</f>
        <v>0</v>
      </c>
      <c r="BX35">
        <f>0</f>
        <v>0</v>
      </c>
      <c r="BY35" t="str">
        <f>""</f>
        <v/>
      </c>
      <c r="BZ35" t="str">
        <f>""</f>
        <v/>
      </c>
      <c r="CA35" t="str">
        <f>""</f>
        <v/>
      </c>
      <c r="CB35" t="str">
        <f>""</f>
        <v/>
      </c>
      <c r="CC35" t="str">
        <f>""</f>
        <v/>
      </c>
      <c r="CD35" t="str">
        <f>""</f>
        <v/>
      </c>
      <c r="CE35" t="str">
        <f>""</f>
        <v/>
      </c>
      <c r="CF35" t="str">
        <f>""</f>
        <v/>
      </c>
      <c r="CG35" t="str">
        <f>""</f>
        <v/>
      </c>
    </row>
    <row r="36" spans="1:85" x14ac:dyDescent="0.2">
      <c r="A36" t="str">
        <f>"        Fed. Power Construction (Mn USD)"</f>
        <v xml:space="preserve">        Fed. Power Construction (Mn USD)</v>
      </c>
      <c r="B36" t="str">
        <f>"FED1POWR Index"</f>
        <v>FED1POWR Index</v>
      </c>
      <c r="C36" t="str">
        <f t="shared" si="11"/>
        <v>PX385</v>
      </c>
      <c r="D36" t="str">
        <f t="shared" si="12"/>
        <v>INTERVAL_SUM</v>
      </c>
      <c r="E36" t="str">
        <f t="shared" si="13"/>
        <v>Dynamic</v>
      </c>
      <c r="F36">
        <f ca="1">IF(AND(ISNUMBER($F$142),$B$113=1),$F$142,HLOOKUP(INDIRECT(ADDRESS(2,COLUMN())),OFFSET($AT$2,0,0,ROW()-1,40),ROW()-1,FALSE))</f>
        <v>7549</v>
      </c>
      <c r="G36">
        <f ca="1">IF(AND(ISNUMBER($G$142),$B$113=1),$G$142,HLOOKUP(INDIRECT(ADDRESS(2,COLUMN())),OFFSET($AT$2,0,0,ROW()-1,40),ROW()-1,FALSE))</f>
        <v>8483</v>
      </c>
      <c r="H36">
        <f ca="1">IF(AND(ISNUMBER($H$142),$B$113=1),$H$142,HLOOKUP(INDIRECT(ADDRESS(2,COLUMN())),OFFSET($AT$2,0,0,ROW()-1,40),ROW()-1,FALSE))</f>
        <v>5469</v>
      </c>
      <c r="I36">
        <f ca="1">IF(AND(ISNUMBER($I$142),$B$113=1),$I$142,HLOOKUP(INDIRECT(ADDRESS(2,COLUMN())),OFFSET($AT$2,0,0,ROW()-1,40),ROW()-1,FALSE))</f>
        <v>5537</v>
      </c>
      <c r="J36">
        <f ca="1">IF(AND(ISNUMBER($J$142),$B$113=1),$J$142,HLOOKUP(INDIRECT(ADDRESS(2,COLUMN())),OFFSET($AT$2,0,0,ROW()-1,40),ROW()-1,FALSE))</f>
        <v>4977</v>
      </c>
      <c r="K36">
        <f ca="1">IF(AND(ISNUMBER($K$142),$B$113=1),$K$142,HLOOKUP(INDIRECT(ADDRESS(2,COLUMN())),OFFSET($AT$2,0,0,ROW()-1,40),ROW()-1,FALSE))</f>
        <v>6851</v>
      </c>
      <c r="L36">
        <f ca="1">IF(AND(ISNUMBER($L$142),$B$113=1),$L$142,HLOOKUP(INDIRECT(ADDRESS(2,COLUMN())),OFFSET($AT$2,0,0,ROW()-1,40),ROW()-1,FALSE))</f>
        <v>9285</v>
      </c>
      <c r="M36">
        <f ca="1">IF(AND(ISNUMBER($M$142),$B$113=1),$M$142,HLOOKUP(INDIRECT(ADDRESS(2,COLUMN())),OFFSET($AT$2,0,0,ROW()-1,40),ROW()-1,FALSE))</f>
        <v>15726</v>
      </c>
      <c r="N36">
        <f ca="1">IF(AND(ISNUMBER($N$142),$B$113=1),$N$142,HLOOKUP(INDIRECT(ADDRESS(2,COLUMN())),OFFSET($AT$2,0,0,ROW()-1,40),ROW()-1,FALSE))</f>
        <v>19710</v>
      </c>
      <c r="O36">
        <f ca="1">IF(AND(ISNUMBER($O$142),$B$113=1),$O$142,HLOOKUP(INDIRECT(ADDRESS(2,COLUMN())),OFFSET($AT$2,0,0,ROW()-1,40),ROW()-1,FALSE))</f>
        <v>13868</v>
      </c>
      <c r="P36">
        <f ca="1">IF(AND(ISNUMBER($P$142),$B$113=1),$P$142,HLOOKUP(INDIRECT(ADDRESS(2,COLUMN())),OFFSET($AT$2,0,0,ROW()-1,40),ROW()-1,FALSE))</f>
        <v>13071</v>
      </c>
      <c r="Q36">
        <f ca="1">IF(AND(ISNUMBER($Q$142),$B$113=1),$Q$142,HLOOKUP(INDIRECT(ADDRESS(2,COLUMN())),OFFSET($AT$2,0,0,ROW()-1,40),ROW()-1,FALSE))</f>
        <v>14814</v>
      </c>
      <c r="R36">
        <f ca="1">IF(AND(ISNUMBER($R$142),$B$113=1),$R$142,HLOOKUP(INDIRECT(ADDRESS(2,COLUMN())),OFFSET($AT$2,0,0,ROW()-1,40),ROW()-1,FALSE))</f>
        <v>17145</v>
      </c>
      <c r="S36">
        <f ca="1">IF(AND(ISNUMBER($S$142),$B$113=1),$S$142,HLOOKUP(INDIRECT(ADDRESS(2,COLUMN())),OFFSET($AT$2,0,0,ROW()-1,40),ROW()-1,FALSE))</f>
        <v>12587</v>
      </c>
      <c r="T36">
        <f ca="1">IF(AND(ISNUMBER($T$142),$B$113=1),$T$142,HLOOKUP(INDIRECT(ADDRESS(2,COLUMN())),OFFSET($AT$2,0,0,ROW()-1,40),ROW()-1,FALSE))</f>
        <v>12512</v>
      </c>
      <c r="U36">
        <f ca="1">IF(AND(ISNUMBER($U$142),$B$113=1),$U$142,HLOOKUP(INDIRECT(ADDRESS(2,COLUMN())),OFFSET($AT$2,0,0,ROW()-1,40),ROW()-1,FALSE))</f>
        <v>9727</v>
      </c>
      <c r="V36">
        <f ca="1">IF(AND(ISNUMBER($V$142),$B$113=1),$V$142,HLOOKUP(INDIRECT(ADDRESS(2,COLUMN())),OFFSET($AT$2,0,0,ROW()-1,40),ROW()-1,FALSE))</f>
        <v>5974</v>
      </c>
      <c r="W36">
        <f ca="1">IF(AND(ISNUMBER($W$142),$B$113=1),$W$142,HLOOKUP(INDIRECT(ADDRESS(2,COLUMN())),OFFSET($AT$2,0,0,ROW()-1,40),ROW()-1,FALSE))</f>
        <v>10011</v>
      </c>
      <c r="X36">
        <f ca="1">IF(AND(ISNUMBER($X$142),$B$113=1),$X$142,HLOOKUP(INDIRECT(ADDRESS(2,COLUMN())),OFFSET($AT$2,0,0,ROW()-1,40),ROW()-1,FALSE))</f>
        <v>9899</v>
      </c>
      <c r="Y36">
        <f ca="1">IF(AND(ISNUMBER($Y$142),$B$113=1),$Y$142,HLOOKUP(INDIRECT(ADDRESS(2,COLUMN())),OFFSET($AT$2,0,0,ROW()-1,40),ROW()-1,FALSE))</f>
        <v>11801</v>
      </c>
      <c r="Z36">
        <f ca="1">IF(AND(ISNUMBER($Z$142),$B$113=1),$Z$142,HLOOKUP(INDIRECT(ADDRESS(2,COLUMN())),OFFSET($AT$2,0,0,ROW()-1,40),ROW()-1,FALSE))</f>
        <v>12465</v>
      </c>
      <c r="AA36">
        <f ca="1">IF(AND(ISNUMBER($AA$142),$B$113=1),$AA$142,HLOOKUP(INDIRECT(ADDRESS(2,COLUMN())),OFFSET($AT$2,0,0,ROW()-1,40),ROW()-1,FALSE))</f>
        <v>5084</v>
      </c>
      <c r="AB36">
        <f ca="1">IF(AND(ISNUMBER($AB$142),$B$113=1),$AB$142,HLOOKUP(INDIRECT(ADDRESS(2,COLUMN())),OFFSET($AT$2,0,0,ROW()-1,40),ROW()-1,FALSE))</f>
        <v>0</v>
      </c>
      <c r="AC36">
        <f ca="1">IF(AND(ISNUMBER($AC$142),$B$113=1),$AC$142,HLOOKUP(INDIRECT(ADDRESS(2,COLUMN())),OFFSET($AT$2,0,0,ROW()-1,40),ROW()-1,FALSE))</f>
        <v>0</v>
      </c>
      <c r="AD36">
        <f ca="1">IF(AND(ISNUMBER($AD$142),$B$113=1),$AD$142,HLOOKUP(INDIRECT(ADDRESS(2,COLUMN())),OFFSET($AT$2,0,0,ROW()-1,40),ROW()-1,FALSE))</f>
        <v>0</v>
      </c>
      <c r="AE36">
        <f ca="1">IF(AND(ISNUMBER($AE$142),$B$113=1),$AE$142,HLOOKUP(INDIRECT(ADDRESS(2,COLUMN())),OFFSET($AT$2,0,0,ROW()-1,40),ROW()-1,FALSE))</f>
        <v>0</v>
      </c>
      <c r="AF36">
        <f ca="1">IF(AND(ISNUMBER($AF$142),$B$113=1),$AF$142,HLOOKUP(INDIRECT(ADDRESS(2,COLUMN())),OFFSET($AT$2,0,0,ROW()-1,40),ROW()-1,FALSE))</f>
        <v>0</v>
      </c>
      <c r="AG36">
        <f ca="1">IF(AND(ISNUMBER($AG$142),$B$113=1),$AG$142,HLOOKUP(INDIRECT(ADDRESS(2,COLUMN())),OFFSET($AT$2,0,0,ROW()-1,40),ROW()-1,FALSE))</f>
        <v>0</v>
      </c>
      <c r="AH36">
        <f ca="1">IF(AND(ISNUMBER($AH$142),$B$113=1),$AH$142,HLOOKUP(INDIRECT(ADDRESS(2,COLUMN())),OFFSET($AT$2,0,0,ROW()-1,40),ROW()-1,FALSE))</f>
        <v>0</v>
      </c>
      <c r="AI36">
        <f ca="1">IF(AND(ISNUMBER($AI$142),$B$113=1),$AI$142,HLOOKUP(INDIRECT(ADDRESS(2,COLUMN())),OFFSET($AT$2,0,0,ROW()-1,40),ROW()-1,FALSE))</f>
        <v>0</v>
      </c>
      <c r="AJ36">
        <f ca="1">IF(AND(ISNUMBER($AJ$142),$B$113=1),$AJ$142,HLOOKUP(INDIRECT(ADDRESS(2,COLUMN())),OFFSET($AT$2,0,0,ROW()-1,40),ROW()-1,FALSE))</f>
        <v>0</v>
      </c>
      <c r="AK36" t="str">
        <f ca="1">IF(AND(ISNUMBER($AK$142),$B$113=1),$AK$142,HLOOKUP(INDIRECT(ADDRESS(2,COLUMN())),OFFSET($AT$2,0,0,ROW()-1,40),ROW()-1,FALSE))</f>
        <v/>
      </c>
      <c r="AL36" t="str">
        <f ca="1">IF(AND(ISNUMBER($AL$142),$B$113=1),$AL$142,HLOOKUP(INDIRECT(ADDRESS(2,COLUMN())),OFFSET($AT$2,0,0,ROW()-1,40),ROW()-1,FALSE))</f>
        <v/>
      </c>
      <c r="AM36" t="str">
        <f ca="1">IF(AND(ISNUMBER($AM$142),$B$113=1),$AM$142,HLOOKUP(INDIRECT(ADDRESS(2,COLUMN())),OFFSET($AT$2,0,0,ROW()-1,40),ROW()-1,FALSE))</f>
        <v/>
      </c>
      <c r="AN36" t="str">
        <f ca="1">IF(AND(ISNUMBER($AN$142),$B$113=1),$AN$142,HLOOKUP(INDIRECT(ADDRESS(2,COLUMN())),OFFSET($AT$2,0,0,ROW()-1,40),ROW()-1,FALSE))</f>
        <v/>
      </c>
      <c r="AO36" t="str">
        <f ca="1">IF(AND(ISNUMBER($AO$142),$B$113=1),$AO$142,HLOOKUP(INDIRECT(ADDRESS(2,COLUMN())),OFFSET($AT$2,0,0,ROW()-1,40),ROW()-1,FALSE))</f>
        <v/>
      </c>
      <c r="AP36" t="str">
        <f ca="1">IF(AND(ISNUMBER($AP$142),$B$113=1),$AP$142,HLOOKUP(INDIRECT(ADDRESS(2,COLUMN())),OFFSET($AT$2,0,0,ROW()-1,40),ROW()-1,FALSE))</f>
        <v/>
      </c>
      <c r="AQ36" t="str">
        <f ca="1">IF(AND(ISNUMBER($AQ$142),$B$113=1),$AQ$142,HLOOKUP(INDIRECT(ADDRESS(2,COLUMN())),OFFSET($AT$2,0,0,ROW()-1,40),ROW()-1,FALSE))</f>
        <v/>
      </c>
      <c r="AR36" t="str">
        <f ca="1">IF(AND(ISNUMBER($AR$142),$B$113=1),$AR$142,HLOOKUP(INDIRECT(ADDRESS(2,COLUMN())),OFFSET($AT$2,0,0,ROW()-1,40),ROW()-1,FALSE))</f>
        <v/>
      </c>
      <c r="AS36" t="str">
        <f ca="1">IF(AND(ISNUMBER($AS$142),$B$113=1),$AS$142,HLOOKUP(INDIRECT(ADDRESS(2,COLUMN())),OFFSET($AT$2,0,0,ROW()-1,40),ROW()-1,FALSE))</f>
        <v/>
      </c>
      <c r="AT36">
        <f>7549</f>
        <v>7549</v>
      </c>
      <c r="AU36">
        <f>8483</f>
        <v>8483</v>
      </c>
      <c r="AV36">
        <f>5469</f>
        <v>5469</v>
      </c>
      <c r="AW36">
        <f>5537</f>
        <v>5537</v>
      </c>
      <c r="AX36">
        <f>4977</f>
        <v>4977</v>
      </c>
      <c r="AY36">
        <f>6851</f>
        <v>6851</v>
      </c>
      <c r="AZ36">
        <f>9285</f>
        <v>9285</v>
      </c>
      <c r="BA36">
        <f>15726</f>
        <v>15726</v>
      </c>
      <c r="BB36">
        <f>19710</f>
        <v>19710</v>
      </c>
      <c r="BC36">
        <f>13868</f>
        <v>13868</v>
      </c>
      <c r="BD36">
        <f>13071</f>
        <v>13071</v>
      </c>
      <c r="BE36">
        <f>14814</f>
        <v>14814</v>
      </c>
      <c r="BF36">
        <f>17145</f>
        <v>17145</v>
      </c>
      <c r="BG36">
        <f>12587</f>
        <v>12587</v>
      </c>
      <c r="BH36">
        <f>12512</f>
        <v>12512</v>
      </c>
      <c r="BI36">
        <f>9727</f>
        <v>9727</v>
      </c>
      <c r="BJ36">
        <f>5974</f>
        <v>5974</v>
      </c>
      <c r="BK36">
        <f>10011</f>
        <v>10011</v>
      </c>
      <c r="BL36">
        <f>9899</f>
        <v>9899</v>
      </c>
      <c r="BM36">
        <f>11801</f>
        <v>11801</v>
      </c>
      <c r="BN36">
        <f>12465</f>
        <v>12465</v>
      </c>
      <c r="BO36">
        <f>5084</f>
        <v>5084</v>
      </c>
      <c r="BP36">
        <f>0</f>
        <v>0</v>
      </c>
      <c r="BQ36">
        <f>0</f>
        <v>0</v>
      </c>
      <c r="BR36">
        <f>0</f>
        <v>0</v>
      </c>
      <c r="BS36">
        <f>0</f>
        <v>0</v>
      </c>
      <c r="BT36">
        <f>0</f>
        <v>0</v>
      </c>
      <c r="BU36">
        <f>0</f>
        <v>0</v>
      </c>
      <c r="BV36">
        <f>0</f>
        <v>0</v>
      </c>
      <c r="BW36">
        <f>0</f>
        <v>0</v>
      </c>
      <c r="BX36">
        <f>0</f>
        <v>0</v>
      </c>
      <c r="BY36" t="str">
        <f>""</f>
        <v/>
      </c>
      <c r="BZ36" t="str">
        <f>""</f>
        <v/>
      </c>
      <c r="CA36" t="str">
        <f>""</f>
        <v/>
      </c>
      <c r="CB36" t="str">
        <f>""</f>
        <v/>
      </c>
      <c r="CC36" t="str">
        <f>""</f>
        <v/>
      </c>
      <c r="CD36" t="str">
        <f>""</f>
        <v/>
      </c>
      <c r="CE36" t="str">
        <f>""</f>
        <v/>
      </c>
      <c r="CF36" t="str">
        <f>""</f>
        <v/>
      </c>
      <c r="CG36" t="str">
        <f>""</f>
        <v/>
      </c>
    </row>
    <row r="37" spans="1:85" x14ac:dyDescent="0.2">
      <c r="A37" t="str">
        <f>"        Fed. Transport Construction (Mn USD)"</f>
        <v xml:space="preserve">        Fed. Transport Construction (Mn USD)</v>
      </c>
      <c r="B37" t="str">
        <f>"FED1TRAN Index"</f>
        <v>FED1TRAN Index</v>
      </c>
      <c r="C37" t="str">
        <f t="shared" si="11"/>
        <v>PX385</v>
      </c>
      <c r="D37" t="str">
        <f t="shared" si="12"/>
        <v>INTERVAL_SUM</v>
      </c>
      <c r="E37" t="str">
        <f t="shared" si="13"/>
        <v>Dynamic</v>
      </c>
      <c r="F37">
        <f ca="1">IF(AND(ISNUMBER($F$143),$B$113=1),$F$143,HLOOKUP(INDIRECT(ADDRESS(2,COLUMN())),OFFSET($AT$2,0,0,ROW()-1,40),ROW()-1,FALSE))</f>
        <v>48970</v>
      </c>
      <c r="G37">
        <f ca="1">IF(AND(ISNUMBER($G$143),$B$113=1),$G$143,HLOOKUP(INDIRECT(ADDRESS(2,COLUMN())),OFFSET($AT$2,0,0,ROW()-1,40),ROW()-1,FALSE))</f>
        <v>52899</v>
      </c>
      <c r="H37">
        <f ca="1">IF(AND(ISNUMBER($H$143),$B$113=1),$H$143,HLOOKUP(INDIRECT(ADDRESS(2,COLUMN())),OFFSET($AT$2,0,0,ROW()-1,40),ROW()-1,FALSE))</f>
        <v>41062</v>
      </c>
      <c r="I37">
        <f ca="1">IF(AND(ISNUMBER($I$143),$B$113=1),$I$143,HLOOKUP(INDIRECT(ADDRESS(2,COLUMN())),OFFSET($AT$2,0,0,ROW()-1,40),ROW()-1,FALSE))</f>
        <v>36024</v>
      </c>
      <c r="J37">
        <f ca="1">IF(AND(ISNUMBER($J$143),$B$113=1),$J$143,HLOOKUP(INDIRECT(ADDRESS(2,COLUMN())),OFFSET($AT$2,0,0,ROW()-1,40),ROW()-1,FALSE))</f>
        <v>32050</v>
      </c>
      <c r="K37">
        <f ca="1">IF(AND(ISNUMBER($K$143),$B$113=1),$K$143,HLOOKUP(INDIRECT(ADDRESS(2,COLUMN())),OFFSET($AT$2,0,0,ROW()-1,40),ROW()-1,FALSE))</f>
        <v>30043</v>
      </c>
      <c r="L37">
        <f ca="1">IF(AND(ISNUMBER($L$143),$B$113=1),$L$143,HLOOKUP(INDIRECT(ADDRESS(2,COLUMN())),OFFSET($AT$2,0,0,ROW()-1,40),ROW()-1,FALSE))</f>
        <v>24755</v>
      </c>
      <c r="M37">
        <f ca="1">IF(AND(ISNUMBER($M$143),$B$113=1),$M$143,HLOOKUP(INDIRECT(ADDRESS(2,COLUMN())),OFFSET($AT$2,0,0,ROW()-1,40),ROW()-1,FALSE))</f>
        <v>28802</v>
      </c>
      <c r="N37">
        <f ca="1">IF(AND(ISNUMBER($N$143),$B$113=1),$N$143,HLOOKUP(INDIRECT(ADDRESS(2,COLUMN())),OFFSET($AT$2,0,0,ROW()-1,40),ROW()-1,FALSE))</f>
        <v>25932</v>
      </c>
      <c r="O37">
        <f ca="1">IF(AND(ISNUMBER($O$143),$B$113=1),$O$143,HLOOKUP(INDIRECT(ADDRESS(2,COLUMN())),OFFSET($AT$2,0,0,ROW()-1,40),ROW()-1,FALSE))</f>
        <v>25589</v>
      </c>
      <c r="P37">
        <f ca="1">IF(AND(ISNUMBER($P$143),$B$113=1),$P$143,HLOOKUP(INDIRECT(ADDRESS(2,COLUMN())),OFFSET($AT$2,0,0,ROW()-1,40),ROW()-1,FALSE))</f>
        <v>30664</v>
      </c>
      <c r="Q37">
        <f ca="1">IF(AND(ISNUMBER($Q$143),$B$113=1),$Q$143,HLOOKUP(INDIRECT(ADDRESS(2,COLUMN())),OFFSET($AT$2,0,0,ROW()-1,40),ROW()-1,FALSE))</f>
        <v>26006</v>
      </c>
      <c r="R37">
        <f ca="1">IF(AND(ISNUMBER($R$143),$B$113=1),$R$143,HLOOKUP(INDIRECT(ADDRESS(2,COLUMN())),OFFSET($AT$2,0,0,ROW()-1,40),ROW()-1,FALSE))</f>
        <v>22194</v>
      </c>
      <c r="S37">
        <f ca="1">IF(AND(ISNUMBER($S$143),$B$113=1),$S$143,HLOOKUP(INDIRECT(ADDRESS(2,COLUMN())),OFFSET($AT$2,0,0,ROW()-1,40),ROW()-1,FALSE))</f>
        <v>23400</v>
      </c>
      <c r="T37">
        <f ca="1">IF(AND(ISNUMBER($T$143),$B$113=1),$T$143,HLOOKUP(INDIRECT(ADDRESS(2,COLUMN())),OFFSET($AT$2,0,0,ROW()-1,40),ROW()-1,FALSE))</f>
        <v>26410</v>
      </c>
      <c r="U37">
        <f ca="1">IF(AND(ISNUMBER($U$143),$B$113=1),$U$143,HLOOKUP(INDIRECT(ADDRESS(2,COLUMN())),OFFSET($AT$2,0,0,ROW()-1,40),ROW()-1,FALSE))</f>
        <v>27734</v>
      </c>
      <c r="V37">
        <f ca="1">IF(AND(ISNUMBER($V$143),$B$113=1),$V$143,HLOOKUP(INDIRECT(ADDRESS(2,COLUMN())),OFFSET($AT$2,0,0,ROW()-1,40),ROW()-1,FALSE))</f>
        <v>20765</v>
      </c>
      <c r="W37">
        <f ca="1">IF(AND(ISNUMBER($W$143),$B$113=1),$W$143,HLOOKUP(INDIRECT(ADDRESS(2,COLUMN())),OFFSET($AT$2,0,0,ROW()-1,40),ROW()-1,FALSE))</f>
        <v>19378</v>
      </c>
      <c r="X37">
        <f ca="1">IF(AND(ISNUMBER($X$143),$B$113=1),$X$143,HLOOKUP(INDIRECT(ADDRESS(2,COLUMN())),OFFSET($AT$2,0,0,ROW()-1,40),ROW()-1,FALSE))</f>
        <v>20163</v>
      </c>
      <c r="Y37">
        <f ca="1">IF(AND(ISNUMBER($Y$143),$B$113=1),$Y$143,HLOOKUP(INDIRECT(ADDRESS(2,COLUMN())),OFFSET($AT$2,0,0,ROW()-1,40),ROW()-1,FALSE))</f>
        <v>21207</v>
      </c>
      <c r="Z37">
        <f ca="1">IF(AND(ISNUMBER($Z$143),$B$113=1),$Z$143,HLOOKUP(INDIRECT(ADDRESS(2,COLUMN())),OFFSET($AT$2,0,0,ROW()-1,40),ROW()-1,FALSE))</f>
        <v>19910</v>
      </c>
      <c r="AA37">
        <f ca="1">IF(AND(ISNUMBER($AA$143),$B$113=1),$AA$143,HLOOKUP(INDIRECT(ADDRESS(2,COLUMN())),OFFSET($AT$2,0,0,ROW()-1,40),ROW()-1,FALSE))</f>
        <v>20260</v>
      </c>
      <c r="AB37">
        <f ca="1">IF(AND(ISNUMBER($AB$143),$B$113=1),$AB$143,HLOOKUP(INDIRECT(ADDRESS(2,COLUMN())),OFFSET($AT$2,0,0,ROW()-1,40),ROW()-1,FALSE))</f>
        <v>0</v>
      </c>
      <c r="AC37">
        <f ca="1">IF(AND(ISNUMBER($AC$143),$B$113=1),$AC$143,HLOOKUP(INDIRECT(ADDRESS(2,COLUMN())),OFFSET($AT$2,0,0,ROW()-1,40),ROW()-1,FALSE))</f>
        <v>0</v>
      </c>
      <c r="AD37">
        <f ca="1">IF(AND(ISNUMBER($AD$143),$B$113=1),$AD$143,HLOOKUP(INDIRECT(ADDRESS(2,COLUMN())),OFFSET($AT$2,0,0,ROW()-1,40),ROW()-1,FALSE))</f>
        <v>0</v>
      </c>
      <c r="AE37">
        <f ca="1">IF(AND(ISNUMBER($AE$143),$B$113=1),$AE$143,HLOOKUP(INDIRECT(ADDRESS(2,COLUMN())),OFFSET($AT$2,0,0,ROW()-1,40),ROW()-1,FALSE))</f>
        <v>0</v>
      </c>
      <c r="AF37">
        <f ca="1">IF(AND(ISNUMBER($AF$143),$B$113=1),$AF$143,HLOOKUP(INDIRECT(ADDRESS(2,COLUMN())),OFFSET($AT$2,0,0,ROW()-1,40),ROW()-1,FALSE))</f>
        <v>0</v>
      </c>
      <c r="AG37">
        <f ca="1">IF(AND(ISNUMBER($AG$143),$B$113=1),$AG$143,HLOOKUP(INDIRECT(ADDRESS(2,COLUMN())),OFFSET($AT$2,0,0,ROW()-1,40),ROW()-1,FALSE))</f>
        <v>0</v>
      </c>
      <c r="AH37">
        <f ca="1">IF(AND(ISNUMBER($AH$143),$B$113=1),$AH$143,HLOOKUP(INDIRECT(ADDRESS(2,COLUMN())),OFFSET($AT$2,0,0,ROW()-1,40),ROW()-1,FALSE))</f>
        <v>0</v>
      </c>
      <c r="AI37">
        <f ca="1">IF(AND(ISNUMBER($AI$143),$B$113=1),$AI$143,HLOOKUP(INDIRECT(ADDRESS(2,COLUMN())),OFFSET($AT$2,0,0,ROW()-1,40),ROW()-1,FALSE))</f>
        <v>0</v>
      </c>
      <c r="AJ37">
        <f ca="1">IF(AND(ISNUMBER($AJ$143),$B$113=1),$AJ$143,HLOOKUP(INDIRECT(ADDRESS(2,COLUMN())),OFFSET($AT$2,0,0,ROW()-1,40),ROW()-1,FALSE))</f>
        <v>0</v>
      </c>
      <c r="AK37" t="str">
        <f ca="1">IF(AND(ISNUMBER($AK$143),$B$113=1),$AK$143,HLOOKUP(INDIRECT(ADDRESS(2,COLUMN())),OFFSET($AT$2,0,0,ROW()-1,40),ROW()-1,FALSE))</f>
        <v/>
      </c>
      <c r="AL37" t="str">
        <f ca="1">IF(AND(ISNUMBER($AL$143),$B$113=1),$AL$143,HLOOKUP(INDIRECT(ADDRESS(2,COLUMN())),OFFSET($AT$2,0,0,ROW()-1,40),ROW()-1,FALSE))</f>
        <v/>
      </c>
      <c r="AM37" t="str">
        <f ca="1">IF(AND(ISNUMBER($AM$143),$B$113=1),$AM$143,HLOOKUP(INDIRECT(ADDRESS(2,COLUMN())),OFFSET($AT$2,0,0,ROW()-1,40),ROW()-1,FALSE))</f>
        <v/>
      </c>
      <c r="AN37" t="str">
        <f ca="1">IF(AND(ISNUMBER($AN$143),$B$113=1),$AN$143,HLOOKUP(INDIRECT(ADDRESS(2,COLUMN())),OFFSET($AT$2,0,0,ROW()-1,40),ROW()-1,FALSE))</f>
        <v/>
      </c>
      <c r="AO37" t="str">
        <f ca="1">IF(AND(ISNUMBER($AO$143),$B$113=1),$AO$143,HLOOKUP(INDIRECT(ADDRESS(2,COLUMN())),OFFSET($AT$2,0,0,ROW()-1,40),ROW()-1,FALSE))</f>
        <v/>
      </c>
      <c r="AP37" t="str">
        <f ca="1">IF(AND(ISNUMBER($AP$143),$B$113=1),$AP$143,HLOOKUP(INDIRECT(ADDRESS(2,COLUMN())),OFFSET($AT$2,0,0,ROW()-1,40),ROW()-1,FALSE))</f>
        <v/>
      </c>
      <c r="AQ37" t="str">
        <f ca="1">IF(AND(ISNUMBER($AQ$143),$B$113=1),$AQ$143,HLOOKUP(INDIRECT(ADDRESS(2,COLUMN())),OFFSET($AT$2,0,0,ROW()-1,40),ROW()-1,FALSE))</f>
        <v/>
      </c>
      <c r="AR37" t="str">
        <f ca="1">IF(AND(ISNUMBER($AR$143),$B$113=1),$AR$143,HLOOKUP(INDIRECT(ADDRESS(2,COLUMN())),OFFSET($AT$2,0,0,ROW()-1,40),ROW()-1,FALSE))</f>
        <v/>
      </c>
      <c r="AS37" t="str">
        <f ca="1">IF(AND(ISNUMBER($AS$143),$B$113=1),$AS$143,HLOOKUP(INDIRECT(ADDRESS(2,COLUMN())),OFFSET($AT$2,0,0,ROW()-1,40),ROW()-1,FALSE))</f>
        <v/>
      </c>
      <c r="AT37">
        <f>48970</f>
        <v>48970</v>
      </c>
      <c r="AU37">
        <f>52899</f>
        <v>52899</v>
      </c>
      <c r="AV37">
        <f>41062</f>
        <v>41062</v>
      </c>
      <c r="AW37">
        <f>36024</f>
        <v>36024</v>
      </c>
      <c r="AX37">
        <f>32050</f>
        <v>32050</v>
      </c>
      <c r="AY37">
        <f>30043</f>
        <v>30043</v>
      </c>
      <c r="AZ37">
        <f>24755</f>
        <v>24755</v>
      </c>
      <c r="BA37">
        <f>28802</f>
        <v>28802</v>
      </c>
      <c r="BB37">
        <f>25932</f>
        <v>25932</v>
      </c>
      <c r="BC37">
        <f>25589</f>
        <v>25589</v>
      </c>
      <c r="BD37">
        <f>30664</f>
        <v>30664</v>
      </c>
      <c r="BE37">
        <f>26006</f>
        <v>26006</v>
      </c>
      <c r="BF37">
        <f>22194</f>
        <v>22194</v>
      </c>
      <c r="BG37">
        <f>23400</f>
        <v>23400</v>
      </c>
      <c r="BH37">
        <f>26410</f>
        <v>26410</v>
      </c>
      <c r="BI37">
        <f>27734</f>
        <v>27734</v>
      </c>
      <c r="BJ37">
        <f>20765</f>
        <v>20765</v>
      </c>
      <c r="BK37">
        <f>19378</f>
        <v>19378</v>
      </c>
      <c r="BL37">
        <f>20163</f>
        <v>20163</v>
      </c>
      <c r="BM37">
        <f>21207</f>
        <v>21207</v>
      </c>
      <c r="BN37">
        <f>19910</f>
        <v>19910</v>
      </c>
      <c r="BO37">
        <f>20260</f>
        <v>20260</v>
      </c>
      <c r="BP37">
        <f>0</f>
        <v>0</v>
      </c>
      <c r="BQ37">
        <f>0</f>
        <v>0</v>
      </c>
      <c r="BR37">
        <f>0</f>
        <v>0</v>
      </c>
      <c r="BS37">
        <f>0</f>
        <v>0</v>
      </c>
      <c r="BT37">
        <f>0</f>
        <v>0</v>
      </c>
      <c r="BU37">
        <f>0</f>
        <v>0</v>
      </c>
      <c r="BV37">
        <f>0</f>
        <v>0</v>
      </c>
      <c r="BW37">
        <f>0</f>
        <v>0</v>
      </c>
      <c r="BX37">
        <f>0</f>
        <v>0</v>
      </c>
      <c r="BY37" t="str">
        <f>""</f>
        <v/>
      </c>
      <c r="BZ37" t="str">
        <f>""</f>
        <v/>
      </c>
      <c r="CA37" t="str">
        <f>""</f>
        <v/>
      </c>
      <c r="CB37" t="str">
        <f>""</f>
        <v/>
      </c>
      <c r="CC37" t="str">
        <f>""</f>
        <v/>
      </c>
      <c r="CD37" t="str">
        <f>""</f>
        <v/>
      </c>
      <c r="CE37" t="str">
        <f>""</f>
        <v/>
      </c>
      <c r="CF37" t="str">
        <f>""</f>
        <v/>
      </c>
      <c r="CG37" t="str">
        <f>""</f>
        <v/>
      </c>
    </row>
    <row r="38" spans="1:85" x14ac:dyDescent="0.2">
      <c r="A38" t="str">
        <f>"        Fed. Commercial Facilit. Construction (Mn USD)"</f>
        <v xml:space="preserve">        Fed. Commercial Facilit. Construction (Mn USD)</v>
      </c>
      <c r="B38" t="str">
        <f>"FED1COMM Index"</f>
        <v>FED1COMM Index</v>
      </c>
      <c r="C38" t="str">
        <f t="shared" si="11"/>
        <v>PX385</v>
      </c>
      <c r="D38" t="str">
        <f t="shared" si="12"/>
        <v>INTERVAL_SUM</v>
      </c>
      <c r="E38" t="str">
        <f t="shared" si="13"/>
        <v>Dynamic</v>
      </c>
      <c r="F38">
        <f ca="1">IF(AND(ISNUMBER($F$144),$B$113=1),$F$144,HLOOKUP(INDIRECT(ADDRESS(2,COLUMN())),OFFSET($AT$2,0,0,ROW()-1,40),ROW()-1,FALSE))</f>
        <v>19883</v>
      </c>
      <c r="G38">
        <f ca="1">IF(AND(ISNUMBER($G$144),$B$113=1),$G$144,HLOOKUP(INDIRECT(ADDRESS(2,COLUMN())),OFFSET($AT$2,0,0,ROW()-1,40),ROW()-1,FALSE))</f>
        <v>24565</v>
      </c>
      <c r="H38">
        <f ca="1">IF(AND(ISNUMBER($H$144),$B$113=1),$H$144,HLOOKUP(INDIRECT(ADDRESS(2,COLUMN())),OFFSET($AT$2,0,0,ROW()-1,40),ROW()-1,FALSE))</f>
        <v>19307</v>
      </c>
      <c r="I38">
        <f ca="1">IF(AND(ISNUMBER($I$144),$B$113=1),$I$144,HLOOKUP(INDIRECT(ADDRESS(2,COLUMN())),OFFSET($AT$2,0,0,ROW()-1,40),ROW()-1,FALSE))</f>
        <v>16772</v>
      </c>
      <c r="J38">
        <f ca="1">IF(AND(ISNUMBER($J$144),$B$113=1),$J$144,HLOOKUP(INDIRECT(ADDRESS(2,COLUMN())),OFFSET($AT$2,0,0,ROW()-1,40),ROW()-1,FALSE))</f>
        <v>20978</v>
      </c>
      <c r="K38">
        <f ca="1">IF(AND(ISNUMBER($K$144),$B$113=1),$K$144,HLOOKUP(INDIRECT(ADDRESS(2,COLUMN())),OFFSET($AT$2,0,0,ROW()-1,40),ROW()-1,FALSE))</f>
        <v>20078</v>
      </c>
      <c r="L38">
        <f ca="1">IF(AND(ISNUMBER($L$144),$B$113=1),$L$144,HLOOKUP(INDIRECT(ADDRESS(2,COLUMN())),OFFSET($AT$2,0,0,ROW()-1,40),ROW()-1,FALSE))</f>
        <v>19698</v>
      </c>
      <c r="M38">
        <f ca="1">IF(AND(ISNUMBER($M$144),$B$113=1),$M$144,HLOOKUP(INDIRECT(ADDRESS(2,COLUMN())),OFFSET($AT$2,0,0,ROW()-1,40),ROW()-1,FALSE))</f>
        <v>17572</v>
      </c>
      <c r="N38">
        <f ca="1">IF(AND(ISNUMBER($N$144),$B$113=1),$N$144,HLOOKUP(INDIRECT(ADDRESS(2,COLUMN())),OFFSET($AT$2,0,0,ROW()-1,40),ROW()-1,FALSE))</f>
        <v>12978</v>
      </c>
      <c r="O38">
        <f ca="1">IF(AND(ISNUMBER($O$144),$B$113=1),$O$144,HLOOKUP(INDIRECT(ADDRESS(2,COLUMN())),OFFSET($AT$2,0,0,ROW()-1,40),ROW()-1,FALSE))</f>
        <v>12642</v>
      </c>
      <c r="P38">
        <f ca="1">IF(AND(ISNUMBER($P$144),$B$113=1),$P$144,HLOOKUP(INDIRECT(ADDRESS(2,COLUMN())),OFFSET($AT$2,0,0,ROW()-1,40),ROW()-1,FALSE))</f>
        <v>13196</v>
      </c>
      <c r="Q38">
        <f ca="1">IF(AND(ISNUMBER($Q$144),$B$113=1),$Q$144,HLOOKUP(INDIRECT(ADDRESS(2,COLUMN())),OFFSET($AT$2,0,0,ROW()-1,40),ROW()-1,FALSE))</f>
        <v>19463</v>
      </c>
      <c r="R38">
        <f ca="1">IF(AND(ISNUMBER($R$144),$B$113=1),$R$144,HLOOKUP(INDIRECT(ADDRESS(2,COLUMN())),OFFSET($AT$2,0,0,ROW()-1,40),ROW()-1,FALSE))</f>
        <v>23627</v>
      </c>
      <c r="S38">
        <f ca="1">IF(AND(ISNUMBER($S$144),$B$113=1),$S$144,HLOOKUP(INDIRECT(ADDRESS(2,COLUMN())),OFFSET($AT$2,0,0,ROW()-1,40),ROW()-1,FALSE))</f>
        <v>17792</v>
      </c>
      <c r="T38">
        <f ca="1">IF(AND(ISNUMBER($T$144),$B$113=1),$T$144,HLOOKUP(INDIRECT(ADDRESS(2,COLUMN())),OFFSET($AT$2,0,0,ROW()-1,40),ROW()-1,FALSE))</f>
        <v>19209</v>
      </c>
      <c r="U38">
        <f ca="1">IF(AND(ISNUMBER($U$144),$B$113=1),$U$144,HLOOKUP(INDIRECT(ADDRESS(2,COLUMN())),OFFSET($AT$2,0,0,ROW()-1,40),ROW()-1,FALSE))</f>
        <v>19179</v>
      </c>
      <c r="V38">
        <f ca="1">IF(AND(ISNUMBER($V$144),$B$113=1),$V$144,HLOOKUP(INDIRECT(ADDRESS(2,COLUMN())),OFFSET($AT$2,0,0,ROW()-1,40),ROW()-1,FALSE))</f>
        <v>24603</v>
      </c>
      <c r="W38">
        <f ca="1">IF(AND(ISNUMBER($W$144),$B$113=1),$W$144,HLOOKUP(INDIRECT(ADDRESS(2,COLUMN())),OFFSET($AT$2,0,0,ROW()-1,40),ROW()-1,FALSE))</f>
        <v>21354</v>
      </c>
      <c r="X38">
        <f ca="1">IF(AND(ISNUMBER($X$144),$B$113=1),$X$144,HLOOKUP(INDIRECT(ADDRESS(2,COLUMN())),OFFSET($AT$2,0,0,ROW()-1,40),ROW()-1,FALSE))</f>
        <v>21450</v>
      </c>
      <c r="Y38">
        <f ca="1">IF(AND(ISNUMBER($Y$144),$B$113=1),$Y$144,HLOOKUP(INDIRECT(ADDRESS(2,COLUMN())),OFFSET($AT$2,0,0,ROW()-1,40),ROW()-1,FALSE))</f>
        <v>22480</v>
      </c>
      <c r="Z38">
        <f ca="1">IF(AND(ISNUMBER($Z$144),$B$113=1),$Z$144,HLOOKUP(INDIRECT(ADDRESS(2,COLUMN())),OFFSET($AT$2,0,0,ROW()-1,40),ROW()-1,FALSE))</f>
        <v>21713</v>
      </c>
      <c r="AA38">
        <f ca="1">IF(AND(ISNUMBER($AA$144),$B$113=1),$AA$144,HLOOKUP(INDIRECT(ADDRESS(2,COLUMN())),OFFSET($AT$2,0,0,ROW()-1,40),ROW()-1,FALSE))</f>
        <v>13049</v>
      </c>
      <c r="AB38">
        <f ca="1">IF(AND(ISNUMBER($AB$144),$B$113=1),$AB$144,HLOOKUP(INDIRECT(ADDRESS(2,COLUMN())),OFFSET($AT$2,0,0,ROW()-1,40),ROW()-1,FALSE))</f>
        <v>0</v>
      </c>
      <c r="AC38">
        <f ca="1">IF(AND(ISNUMBER($AC$144),$B$113=1),$AC$144,HLOOKUP(INDIRECT(ADDRESS(2,COLUMN())),OFFSET($AT$2,0,0,ROW()-1,40),ROW()-1,FALSE))</f>
        <v>0</v>
      </c>
      <c r="AD38">
        <f ca="1">IF(AND(ISNUMBER($AD$144),$B$113=1),$AD$144,HLOOKUP(INDIRECT(ADDRESS(2,COLUMN())),OFFSET($AT$2,0,0,ROW()-1,40),ROW()-1,FALSE))</f>
        <v>0</v>
      </c>
      <c r="AE38">
        <f ca="1">IF(AND(ISNUMBER($AE$144),$B$113=1),$AE$144,HLOOKUP(INDIRECT(ADDRESS(2,COLUMN())),OFFSET($AT$2,0,0,ROW()-1,40),ROW()-1,FALSE))</f>
        <v>0</v>
      </c>
      <c r="AF38">
        <f ca="1">IF(AND(ISNUMBER($AF$144),$B$113=1),$AF$144,HLOOKUP(INDIRECT(ADDRESS(2,COLUMN())),OFFSET($AT$2,0,0,ROW()-1,40),ROW()-1,FALSE))</f>
        <v>0</v>
      </c>
      <c r="AG38">
        <f ca="1">IF(AND(ISNUMBER($AG$144),$B$113=1),$AG$144,HLOOKUP(INDIRECT(ADDRESS(2,COLUMN())),OFFSET($AT$2,0,0,ROW()-1,40),ROW()-1,FALSE))</f>
        <v>0</v>
      </c>
      <c r="AH38">
        <f ca="1">IF(AND(ISNUMBER($AH$144),$B$113=1),$AH$144,HLOOKUP(INDIRECT(ADDRESS(2,COLUMN())),OFFSET($AT$2,0,0,ROW()-1,40),ROW()-1,FALSE))</f>
        <v>0</v>
      </c>
      <c r="AI38">
        <f ca="1">IF(AND(ISNUMBER($AI$144),$B$113=1),$AI$144,HLOOKUP(INDIRECT(ADDRESS(2,COLUMN())),OFFSET($AT$2,0,0,ROW()-1,40),ROW()-1,FALSE))</f>
        <v>0</v>
      </c>
      <c r="AJ38">
        <f ca="1">IF(AND(ISNUMBER($AJ$144),$B$113=1),$AJ$144,HLOOKUP(INDIRECT(ADDRESS(2,COLUMN())),OFFSET($AT$2,0,0,ROW()-1,40),ROW()-1,FALSE))</f>
        <v>0</v>
      </c>
      <c r="AK38" t="str">
        <f ca="1">IF(AND(ISNUMBER($AK$144),$B$113=1),$AK$144,HLOOKUP(INDIRECT(ADDRESS(2,COLUMN())),OFFSET($AT$2,0,0,ROW()-1,40),ROW()-1,FALSE))</f>
        <v/>
      </c>
      <c r="AL38" t="str">
        <f ca="1">IF(AND(ISNUMBER($AL$144),$B$113=1),$AL$144,HLOOKUP(INDIRECT(ADDRESS(2,COLUMN())),OFFSET($AT$2,0,0,ROW()-1,40),ROW()-1,FALSE))</f>
        <v/>
      </c>
      <c r="AM38" t="str">
        <f ca="1">IF(AND(ISNUMBER($AM$144),$B$113=1),$AM$144,HLOOKUP(INDIRECT(ADDRESS(2,COLUMN())),OFFSET($AT$2,0,0,ROW()-1,40),ROW()-1,FALSE))</f>
        <v/>
      </c>
      <c r="AN38" t="str">
        <f ca="1">IF(AND(ISNUMBER($AN$144),$B$113=1),$AN$144,HLOOKUP(INDIRECT(ADDRESS(2,COLUMN())),OFFSET($AT$2,0,0,ROW()-1,40),ROW()-1,FALSE))</f>
        <v/>
      </c>
      <c r="AO38" t="str">
        <f ca="1">IF(AND(ISNUMBER($AO$144),$B$113=1),$AO$144,HLOOKUP(INDIRECT(ADDRESS(2,COLUMN())),OFFSET($AT$2,0,0,ROW()-1,40),ROW()-1,FALSE))</f>
        <v/>
      </c>
      <c r="AP38" t="str">
        <f ca="1">IF(AND(ISNUMBER($AP$144),$B$113=1),$AP$144,HLOOKUP(INDIRECT(ADDRESS(2,COLUMN())),OFFSET($AT$2,0,0,ROW()-1,40),ROW()-1,FALSE))</f>
        <v/>
      </c>
      <c r="AQ38" t="str">
        <f ca="1">IF(AND(ISNUMBER($AQ$144),$B$113=1),$AQ$144,HLOOKUP(INDIRECT(ADDRESS(2,COLUMN())),OFFSET($AT$2,0,0,ROW()-1,40),ROW()-1,FALSE))</f>
        <v/>
      </c>
      <c r="AR38" t="str">
        <f ca="1">IF(AND(ISNUMBER($AR$144),$B$113=1),$AR$144,HLOOKUP(INDIRECT(ADDRESS(2,COLUMN())),OFFSET($AT$2,0,0,ROW()-1,40),ROW()-1,FALSE))</f>
        <v/>
      </c>
      <c r="AS38" t="str">
        <f ca="1">IF(AND(ISNUMBER($AS$144),$B$113=1),$AS$144,HLOOKUP(INDIRECT(ADDRESS(2,COLUMN())),OFFSET($AT$2,0,0,ROW()-1,40),ROW()-1,FALSE))</f>
        <v/>
      </c>
      <c r="AT38">
        <f>19883</f>
        <v>19883</v>
      </c>
      <c r="AU38">
        <f>24565</f>
        <v>24565</v>
      </c>
      <c r="AV38">
        <f>19307</f>
        <v>19307</v>
      </c>
      <c r="AW38">
        <f>16772</f>
        <v>16772</v>
      </c>
      <c r="AX38">
        <f>20978</f>
        <v>20978</v>
      </c>
      <c r="AY38">
        <f>20078</f>
        <v>20078</v>
      </c>
      <c r="AZ38">
        <f>19698</f>
        <v>19698</v>
      </c>
      <c r="BA38">
        <f>17572</f>
        <v>17572</v>
      </c>
      <c r="BB38">
        <f>12978</f>
        <v>12978</v>
      </c>
      <c r="BC38">
        <f>12642</f>
        <v>12642</v>
      </c>
      <c r="BD38">
        <f>13196</f>
        <v>13196</v>
      </c>
      <c r="BE38">
        <f>19463</f>
        <v>19463</v>
      </c>
      <c r="BF38">
        <f>23627</f>
        <v>23627</v>
      </c>
      <c r="BG38">
        <f>17792</f>
        <v>17792</v>
      </c>
      <c r="BH38">
        <f>19209</f>
        <v>19209</v>
      </c>
      <c r="BI38">
        <f>19179</f>
        <v>19179</v>
      </c>
      <c r="BJ38">
        <f>24603</f>
        <v>24603</v>
      </c>
      <c r="BK38">
        <f>21354</f>
        <v>21354</v>
      </c>
      <c r="BL38">
        <f>21450</f>
        <v>21450</v>
      </c>
      <c r="BM38">
        <f>22480</f>
        <v>22480</v>
      </c>
      <c r="BN38">
        <f>21713</f>
        <v>21713</v>
      </c>
      <c r="BO38">
        <f>13049</f>
        <v>13049</v>
      </c>
      <c r="BP38">
        <f>0</f>
        <v>0</v>
      </c>
      <c r="BQ38">
        <f>0</f>
        <v>0</v>
      </c>
      <c r="BR38">
        <f>0</f>
        <v>0</v>
      </c>
      <c r="BS38">
        <f>0</f>
        <v>0</v>
      </c>
      <c r="BT38">
        <f>0</f>
        <v>0</v>
      </c>
      <c r="BU38">
        <f>0</f>
        <v>0</v>
      </c>
      <c r="BV38">
        <f>0</f>
        <v>0</v>
      </c>
      <c r="BW38">
        <f>0</f>
        <v>0</v>
      </c>
      <c r="BX38">
        <f>0</f>
        <v>0</v>
      </c>
      <c r="BY38" t="str">
        <f>""</f>
        <v/>
      </c>
      <c r="BZ38" t="str">
        <f>""</f>
        <v/>
      </c>
      <c r="CA38" t="str">
        <f>""</f>
        <v/>
      </c>
      <c r="CB38" t="str">
        <f>""</f>
        <v/>
      </c>
      <c r="CC38" t="str">
        <f>""</f>
        <v/>
      </c>
      <c r="CD38" t="str">
        <f>""</f>
        <v/>
      </c>
      <c r="CE38" t="str">
        <f>""</f>
        <v/>
      </c>
      <c r="CF38" t="str">
        <f>""</f>
        <v/>
      </c>
      <c r="CG38" t="str">
        <f>""</f>
        <v/>
      </c>
    </row>
    <row r="39" spans="1:85" x14ac:dyDescent="0.2">
      <c r="A39" t="str">
        <f>"        Fed. Residential Construction (Mn USD)"</f>
        <v xml:space="preserve">        Fed. Residential Construction (Mn USD)</v>
      </c>
      <c r="B39" t="str">
        <f>"FED1RESI Index"</f>
        <v>FED1RESI Index</v>
      </c>
      <c r="C39" t="str">
        <f t="shared" si="11"/>
        <v>PX385</v>
      </c>
      <c r="D39" t="str">
        <f t="shared" si="12"/>
        <v>INTERVAL_SUM</v>
      </c>
      <c r="E39" t="str">
        <f t="shared" si="13"/>
        <v>Dynamic</v>
      </c>
      <c r="F39">
        <f ca="1">IF(AND(ISNUMBER($F$145),$B$113=1),$F$145,HLOOKUP(INDIRECT(ADDRESS(2,COLUMN())),OFFSET($AT$2,0,0,ROW()-1,40),ROW()-1,FALSE))</f>
        <v>12480</v>
      </c>
      <c r="G39">
        <f ca="1">IF(AND(ISNUMBER($G$145),$B$113=1),$G$145,HLOOKUP(INDIRECT(ADDRESS(2,COLUMN())),OFFSET($AT$2,0,0,ROW()-1,40),ROW()-1,FALSE))</f>
        <v>16176</v>
      </c>
      <c r="H39">
        <f ca="1">IF(AND(ISNUMBER($H$145),$B$113=1),$H$145,HLOOKUP(INDIRECT(ADDRESS(2,COLUMN())),OFFSET($AT$2,0,0,ROW()-1,40),ROW()-1,FALSE))</f>
        <v>13548</v>
      </c>
      <c r="I39">
        <f ca="1">IF(AND(ISNUMBER($I$145),$B$113=1),$I$145,HLOOKUP(INDIRECT(ADDRESS(2,COLUMN())),OFFSET($AT$2,0,0,ROW()-1,40),ROW()-1,FALSE))</f>
        <v>13066</v>
      </c>
      <c r="J39">
        <f ca="1">IF(AND(ISNUMBER($J$145),$B$113=1),$J$145,HLOOKUP(INDIRECT(ADDRESS(2,COLUMN())),OFFSET($AT$2,0,0,ROW()-1,40),ROW()-1,FALSE))</f>
        <v>8944</v>
      </c>
      <c r="K39">
        <f ca="1">IF(AND(ISNUMBER($K$145),$B$113=1),$K$145,HLOOKUP(INDIRECT(ADDRESS(2,COLUMN())),OFFSET($AT$2,0,0,ROW()-1,40),ROW()-1,FALSE))</f>
        <v>6460</v>
      </c>
      <c r="L39">
        <f ca="1">IF(AND(ISNUMBER($L$145),$B$113=1),$L$145,HLOOKUP(INDIRECT(ADDRESS(2,COLUMN())),OFFSET($AT$2,0,0,ROW()-1,40),ROW()-1,FALSE))</f>
        <v>6045</v>
      </c>
      <c r="M39">
        <f ca="1">IF(AND(ISNUMBER($M$145),$B$113=1),$M$145,HLOOKUP(INDIRECT(ADDRESS(2,COLUMN())),OFFSET($AT$2,0,0,ROW()-1,40),ROW()-1,FALSE))</f>
        <v>8419</v>
      </c>
      <c r="N39">
        <f ca="1">IF(AND(ISNUMBER($N$145),$B$113=1),$N$145,HLOOKUP(INDIRECT(ADDRESS(2,COLUMN())),OFFSET($AT$2,0,0,ROW()-1,40),ROW()-1,FALSE))</f>
        <v>10722</v>
      </c>
      <c r="O39">
        <f ca="1">IF(AND(ISNUMBER($O$145),$B$113=1),$O$145,HLOOKUP(INDIRECT(ADDRESS(2,COLUMN())),OFFSET($AT$2,0,0,ROW()-1,40),ROW()-1,FALSE))</f>
        <v>11341</v>
      </c>
      <c r="P39">
        <f ca="1">IF(AND(ISNUMBER($P$145),$B$113=1),$P$145,HLOOKUP(INDIRECT(ADDRESS(2,COLUMN())),OFFSET($AT$2,0,0,ROW()-1,40),ROW()-1,FALSE))</f>
        <v>15623</v>
      </c>
      <c r="Q39">
        <f ca="1">IF(AND(ISNUMBER($Q$145),$B$113=1),$Q$145,HLOOKUP(INDIRECT(ADDRESS(2,COLUMN())),OFFSET($AT$2,0,0,ROW()-1,40),ROW()-1,FALSE))</f>
        <v>19217</v>
      </c>
      <c r="R39">
        <f ca="1">IF(AND(ISNUMBER($R$145),$B$113=1),$R$145,HLOOKUP(INDIRECT(ADDRESS(2,COLUMN())),OFFSET($AT$2,0,0,ROW()-1,40),ROW()-1,FALSE))</f>
        <v>30878</v>
      </c>
      <c r="S39">
        <f ca="1">IF(AND(ISNUMBER($S$145),$B$113=1),$S$145,HLOOKUP(INDIRECT(ADDRESS(2,COLUMN())),OFFSET($AT$2,0,0,ROW()-1,40),ROW()-1,FALSE))</f>
        <v>32477</v>
      </c>
      <c r="T39">
        <f ca="1">IF(AND(ISNUMBER($T$145),$B$113=1),$T$145,HLOOKUP(INDIRECT(ADDRESS(2,COLUMN())),OFFSET($AT$2,0,0,ROW()-1,40),ROW()-1,FALSE))</f>
        <v>27050</v>
      </c>
      <c r="U39">
        <f ca="1">IF(AND(ISNUMBER($U$145),$B$113=1),$U$145,HLOOKUP(INDIRECT(ADDRESS(2,COLUMN())),OFFSET($AT$2,0,0,ROW()-1,40),ROW()-1,FALSE))</f>
        <v>31093</v>
      </c>
      <c r="V39">
        <f ca="1">IF(AND(ISNUMBER($V$145),$B$113=1),$V$145,HLOOKUP(INDIRECT(ADDRESS(2,COLUMN())),OFFSET($AT$2,0,0,ROW()-1,40),ROW()-1,FALSE))</f>
        <v>25411</v>
      </c>
      <c r="W39">
        <f ca="1">IF(AND(ISNUMBER($W$145),$B$113=1),$W$145,HLOOKUP(INDIRECT(ADDRESS(2,COLUMN())),OFFSET($AT$2,0,0,ROW()-1,40),ROW()-1,FALSE))</f>
        <v>20815</v>
      </c>
      <c r="X39">
        <f ca="1">IF(AND(ISNUMBER($X$145),$B$113=1),$X$145,HLOOKUP(INDIRECT(ADDRESS(2,COLUMN())),OFFSET($AT$2,0,0,ROW()-1,40),ROW()-1,FALSE))</f>
        <v>18594</v>
      </c>
      <c r="Y39">
        <f ca="1">IF(AND(ISNUMBER($Y$145),$B$113=1),$Y$145,HLOOKUP(INDIRECT(ADDRESS(2,COLUMN())),OFFSET($AT$2,0,0,ROW()-1,40),ROW()-1,FALSE))</f>
        <v>16566</v>
      </c>
      <c r="Z39">
        <f ca="1">IF(AND(ISNUMBER($Z$145),$B$113=1),$Z$145,HLOOKUP(INDIRECT(ADDRESS(2,COLUMN())),OFFSET($AT$2,0,0,ROW()-1,40),ROW()-1,FALSE))</f>
        <v>17896</v>
      </c>
      <c r="AA39">
        <f ca="1">IF(AND(ISNUMBER($AA$145),$B$113=1),$AA$145,HLOOKUP(INDIRECT(ADDRESS(2,COLUMN())),OFFSET($AT$2,0,0,ROW()-1,40),ROW()-1,FALSE))</f>
        <v>18188</v>
      </c>
      <c r="AB39">
        <f ca="1">IF(AND(ISNUMBER($AB$145),$B$113=1),$AB$145,HLOOKUP(INDIRECT(ADDRESS(2,COLUMN())),OFFSET($AT$2,0,0,ROW()-1,40),ROW()-1,FALSE))</f>
        <v>0</v>
      </c>
      <c r="AC39">
        <f ca="1">IF(AND(ISNUMBER($AC$145),$B$113=1),$AC$145,HLOOKUP(INDIRECT(ADDRESS(2,COLUMN())),OFFSET($AT$2,0,0,ROW()-1,40),ROW()-1,FALSE))</f>
        <v>0</v>
      </c>
      <c r="AD39">
        <f ca="1">IF(AND(ISNUMBER($AD$145),$B$113=1),$AD$145,HLOOKUP(INDIRECT(ADDRESS(2,COLUMN())),OFFSET($AT$2,0,0,ROW()-1,40),ROW()-1,FALSE))</f>
        <v>0</v>
      </c>
      <c r="AE39">
        <f ca="1">IF(AND(ISNUMBER($AE$145),$B$113=1),$AE$145,HLOOKUP(INDIRECT(ADDRESS(2,COLUMN())),OFFSET($AT$2,0,0,ROW()-1,40),ROW()-1,FALSE))</f>
        <v>0</v>
      </c>
      <c r="AF39">
        <f ca="1">IF(AND(ISNUMBER($AF$145),$B$113=1),$AF$145,HLOOKUP(INDIRECT(ADDRESS(2,COLUMN())),OFFSET($AT$2,0,0,ROW()-1,40),ROW()-1,FALSE))</f>
        <v>0</v>
      </c>
      <c r="AG39">
        <f ca="1">IF(AND(ISNUMBER($AG$145),$B$113=1),$AG$145,HLOOKUP(INDIRECT(ADDRESS(2,COLUMN())),OFFSET($AT$2,0,0,ROW()-1,40),ROW()-1,FALSE))</f>
        <v>0</v>
      </c>
      <c r="AH39">
        <f ca="1">IF(AND(ISNUMBER($AH$145),$B$113=1),$AH$145,HLOOKUP(INDIRECT(ADDRESS(2,COLUMN())),OFFSET($AT$2,0,0,ROW()-1,40),ROW()-1,FALSE))</f>
        <v>0</v>
      </c>
      <c r="AI39">
        <f ca="1">IF(AND(ISNUMBER($AI$145),$B$113=1),$AI$145,HLOOKUP(INDIRECT(ADDRESS(2,COLUMN())),OFFSET($AT$2,0,0,ROW()-1,40),ROW()-1,FALSE))</f>
        <v>0</v>
      </c>
      <c r="AJ39">
        <f ca="1">IF(AND(ISNUMBER($AJ$145),$B$113=1),$AJ$145,HLOOKUP(INDIRECT(ADDRESS(2,COLUMN())),OFFSET($AT$2,0,0,ROW()-1,40),ROW()-1,FALSE))</f>
        <v>0</v>
      </c>
      <c r="AK39" t="str">
        <f ca="1">IF(AND(ISNUMBER($AK$145),$B$113=1),$AK$145,HLOOKUP(INDIRECT(ADDRESS(2,COLUMN())),OFFSET($AT$2,0,0,ROW()-1,40),ROW()-1,FALSE))</f>
        <v/>
      </c>
      <c r="AL39" t="str">
        <f ca="1">IF(AND(ISNUMBER($AL$145),$B$113=1),$AL$145,HLOOKUP(INDIRECT(ADDRESS(2,COLUMN())),OFFSET($AT$2,0,0,ROW()-1,40),ROW()-1,FALSE))</f>
        <v/>
      </c>
      <c r="AM39" t="str">
        <f ca="1">IF(AND(ISNUMBER($AM$145),$B$113=1),$AM$145,HLOOKUP(INDIRECT(ADDRESS(2,COLUMN())),OFFSET($AT$2,0,0,ROW()-1,40),ROW()-1,FALSE))</f>
        <v/>
      </c>
      <c r="AN39" t="str">
        <f ca="1">IF(AND(ISNUMBER($AN$145),$B$113=1),$AN$145,HLOOKUP(INDIRECT(ADDRESS(2,COLUMN())),OFFSET($AT$2,0,0,ROW()-1,40),ROW()-1,FALSE))</f>
        <v/>
      </c>
      <c r="AO39" t="str">
        <f ca="1">IF(AND(ISNUMBER($AO$145),$B$113=1),$AO$145,HLOOKUP(INDIRECT(ADDRESS(2,COLUMN())),OFFSET($AT$2,0,0,ROW()-1,40),ROW()-1,FALSE))</f>
        <v/>
      </c>
      <c r="AP39" t="str">
        <f ca="1">IF(AND(ISNUMBER($AP$145),$B$113=1),$AP$145,HLOOKUP(INDIRECT(ADDRESS(2,COLUMN())),OFFSET($AT$2,0,0,ROW()-1,40),ROW()-1,FALSE))</f>
        <v/>
      </c>
      <c r="AQ39" t="str">
        <f ca="1">IF(AND(ISNUMBER($AQ$145),$B$113=1),$AQ$145,HLOOKUP(INDIRECT(ADDRESS(2,COLUMN())),OFFSET($AT$2,0,0,ROW()-1,40),ROW()-1,FALSE))</f>
        <v/>
      </c>
      <c r="AR39" t="str">
        <f ca="1">IF(AND(ISNUMBER($AR$145),$B$113=1),$AR$145,HLOOKUP(INDIRECT(ADDRESS(2,COLUMN())),OFFSET($AT$2,0,0,ROW()-1,40),ROW()-1,FALSE))</f>
        <v/>
      </c>
      <c r="AS39" t="str">
        <f ca="1">IF(AND(ISNUMBER($AS$145),$B$113=1),$AS$145,HLOOKUP(INDIRECT(ADDRESS(2,COLUMN())),OFFSET($AT$2,0,0,ROW()-1,40),ROW()-1,FALSE))</f>
        <v/>
      </c>
      <c r="AT39">
        <f>12480</f>
        <v>12480</v>
      </c>
      <c r="AU39">
        <f>16176</f>
        <v>16176</v>
      </c>
      <c r="AV39">
        <f>13548</f>
        <v>13548</v>
      </c>
      <c r="AW39">
        <f>13066</f>
        <v>13066</v>
      </c>
      <c r="AX39">
        <f>8944</f>
        <v>8944</v>
      </c>
      <c r="AY39">
        <f>6460</f>
        <v>6460</v>
      </c>
      <c r="AZ39">
        <f>6045</f>
        <v>6045</v>
      </c>
      <c r="BA39">
        <f>8419</f>
        <v>8419</v>
      </c>
      <c r="BB39">
        <f>10722</f>
        <v>10722</v>
      </c>
      <c r="BC39">
        <f>11341</f>
        <v>11341</v>
      </c>
      <c r="BD39">
        <f>15623</f>
        <v>15623</v>
      </c>
      <c r="BE39">
        <f>19217</f>
        <v>19217</v>
      </c>
      <c r="BF39">
        <f>30878</f>
        <v>30878</v>
      </c>
      <c r="BG39">
        <f>32477</f>
        <v>32477</v>
      </c>
      <c r="BH39">
        <f>27050</f>
        <v>27050</v>
      </c>
      <c r="BI39">
        <f>31093</f>
        <v>31093</v>
      </c>
      <c r="BJ39">
        <f>25411</f>
        <v>25411</v>
      </c>
      <c r="BK39">
        <f>20815</f>
        <v>20815</v>
      </c>
      <c r="BL39">
        <f>18594</f>
        <v>18594</v>
      </c>
      <c r="BM39">
        <f>16566</f>
        <v>16566</v>
      </c>
      <c r="BN39">
        <f>17896</f>
        <v>17896</v>
      </c>
      <c r="BO39">
        <f>18188</f>
        <v>18188</v>
      </c>
      <c r="BP39">
        <f>0</f>
        <v>0</v>
      </c>
      <c r="BQ39">
        <f>0</f>
        <v>0</v>
      </c>
      <c r="BR39">
        <f>0</f>
        <v>0</v>
      </c>
      <c r="BS39">
        <f>0</f>
        <v>0</v>
      </c>
      <c r="BT39">
        <f>0</f>
        <v>0</v>
      </c>
      <c r="BU39">
        <f>0</f>
        <v>0</v>
      </c>
      <c r="BV39">
        <f>0</f>
        <v>0</v>
      </c>
      <c r="BW39">
        <f>0</f>
        <v>0</v>
      </c>
      <c r="BX39">
        <f>0</f>
        <v>0</v>
      </c>
      <c r="BY39" t="str">
        <f>""</f>
        <v/>
      </c>
      <c r="BZ39" t="str">
        <f>""</f>
        <v/>
      </c>
      <c r="CA39" t="str">
        <f>""</f>
        <v/>
      </c>
      <c r="CB39" t="str">
        <f>""</f>
        <v/>
      </c>
      <c r="CC39" t="str">
        <f>""</f>
        <v/>
      </c>
      <c r="CD39" t="str">
        <f>""</f>
        <v/>
      </c>
      <c r="CE39" t="str">
        <f>""</f>
        <v/>
      </c>
      <c r="CF39" t="str">
        <f>""</f>
        <v/>
      </c>
      <c r="CG39" t="str">
        <f>""</f>
        <v/>
      </c>
    </row>
    <row r="40" spans="1:85" x14ac:dyDescent="0.2">
      <c r="A40" t="str">
        <f>"        Fed. Non-Residential Construction (Mn USD)"</f>
        <v xml:space="preserve">        Fed. Non-Residential Construction (Mn USD)</v>
      </c>
      <c r="B40" t="str">
        <f>"FED1NRES Index"</f>
        <v>FED1NRES Index</v>
      </c>
      <c r="C40" t="str">
        <f t="shared" si="11"/>
        <v>PX385</v>
      </c>
      <c r="D40" t="str">
        <f t="shared" si="12"/>
        <v>INTERVAL_SUM</v>
      </c>
      <c r="E40" t="str">
        <f t="shared" si="13"/>
        <v>Dynamic</v>
      </c>
      <c r="F40">
        <f ca="1">IF(AND(ISNUMBER($F$146),$B$113=1),$F$146,HLOOKUP(INDIRECT(ADDRESS(2,COLUMN())),OFFSET($AT$2,0,0,ROW()-1,40),ROW()-1,FALSE))</f>
        <v>290418</v>
      </c>
      <c r="G40">
        <f ca="1">IF(AND(ISNUMBER($G$146),$B$113=1),$G$146,HLOOKUP(INDIRECT(ADDRESS(2,COLUMN())),OFFSET($AT$2,0,0,ROW()-1,40),ROW()-1,FALSE))</f>
        <v>329281</v>
      </c>
      <c r="H40">
        <f ca="1">IF(AND(ISNUMBER($H$146),$B$113=1),$H$146,HLOOKUP(INDIRECT(ADDRESS(2,COLUMN())),OFFSET($AT$2,0,0,ROW()-1,40),ROW()-1,FALSE))</f>
        <v>286666</v>
      </c>
      <c r="I40">
        <f ca="1">IF(AND(ISNUMBER($I$146),$B$113=1),$I$146,HLOOKUP(INDIRECT(ADDRESS(2,COLUMN())),OFFSET($AT$2,0,0,ROW()-1,40),ROW()-1,FALSE))</f>
        <v>332771</v>
      </c>
      <c r="J40">
        <f ca="1">IF(AND(ISNUMBER($J$146),$B$113=1),$J$146,HLOOKUP(INDIRECT(ADDRESS(2,COLUMN())),OFFSET($AT$2,0,0,ROW()-1,40),ROW()-1,FALSE))</f>
        <v>306613</v>
      </c>
      <c r="K40">
        <f ca="1">IF(AND(ISNUMBER($K$146),$B$113=1),$K$146,HLOOKUP(INDIRECT(ADDRESS(2,COLUMN())),OFFSET($AT$2,0,0,ROW()-1,40),ROW()-1,FALSE))</f>
        <v>256677</v>
      </c>
      <c r="L40">
        <f ca="1">IF(AND(ISNUMBER($L$146),$B$113=1),$L$146,HLOOKUP(INDIRECT(ADDRESS(2,COLUMN())),OFFSET($AT$2,0,0,ROW()-1,40),ROW()-1,FALSE))</f>
        <v>249792</v>
      </c>
      <c r="M40">
        <f ca="1">IF(AND(ISNUMBER($M$146),$B$113=1),$M$146,HLOOKUP(INDIRECT(ADDRESS(2,COLUMN())),OFFSET($AT$2,0,0,ROW()-1,40),ROW()-1,FALSE))</f>
        <v>258306</v>
      </c>
      <c r="N40">
        <f ca="1">IF(AND(ISNUMBER($N$146),$B$113=1),$N$146,HLOOKUP(INDIRECT(ADDRESS(2,COLUMN())),OFFSET($AT$2,0,0,ROW()-1,40),ROW()-1,FALSE))</f>
        <v>259418</v>
      </c>
      <c r="O40">
        <f ca="1">IF(AND(ISNUMBER($O$146),$B$113=1),$O$146,HLOOKUP(INDIRECT(ADDRESS(2,COLUMN())),OFFSET($AT$2,0,0,ROW()-1,40),ROW()-1,FALSE))</f>
        <v>257531</v>
      </c>
      <c r="P40">
        <f ca="1">IF(AND(ISNUMBER($P$146),$B$113=1),$P$146,HLOOKUP(INDIRECT(ADDRESS(2,COLUMN())),OFFSET($AT$2,0,0,ROW()-1,40),ROW()-1,FALSE))</f>
        <v>269210</v>
      </c>
      <c r="Q40">
        <f ca="1">IF(AND(ISNUMBER($Q$146),$B$113=1),$Q$146,HLOOKUP(INDIRECT(ADDRESS(2,COLUMN())),OFFSET($AT$2,0,0,ROW()-1,40),ROW()-1,FALSE))</f>
        <v>304501</v>
      </c>
      <c r="R40">
        <f ca="1">IF(AND(ISNUMBER($R$146),$B$113=1),$R$146,HLOOKUP(INDIRECT(ADDRESS(2,COLUMN())),OFFSET($AT$2,0,0,ROW()-1,40),ROW()-1,FALSE))</f>
        <v>348870</v>
      </c>
      <c r="S40">
        <f ca="1">IF(AND(ISNUMBER($S$146),$B$113=1),$S$146,HLOOKUP(INDIRECT(ADDRESS(2,COLUMN())),OFFSET($AT$2,0,0,ROW()-1,40),ROW()-1,FALSE))</f>
        <v>338995</v>
      </c>
      <c r="T40">
        <f ca="1">IF(AND(ISNUMBER($T$146),$B$113=1),$T$146,HLOOKUP(INDIRECT(ADDRESS(2,COLUMN())),OFFSET($AT$2,0,0,ROW()-1,40),ROW()-1,FALSE))</f>
        <v>314581</v>
      </c>
      <c r="U40">
        <f ca="1">IF(AND(ISNUMBER($U$146),$B$113=1),$U$146,HLOOKUP(INDIRECT(ADDRESS(2,COLUMN())),OFFSET($AT$2,0,0,ROW()-1,40),ROW()-1,FALSE))</f>
        <v>252828</v>
      </c>
      <c r="V40">
        <f ca="1">IF(AND(ISNUMBER($V$146),$B$113=1),$V$146,HLOOKUP(INDIRECT(ADDRESS(2,COLUMN())),OFFSET($AT$2,0,0,ROW()-1,40),ROW()-1,FALSE))</f>
        <v>220854</v>
      </c>
      <c r="W40">
        <f ca="1">IF(AND(ISNUMBER($W$146),$B$113=1),$W$146,HLOOKUP(INDIRECT(ADDRESS(2,COLUMN())),OFFSET($AT$2,0,0,ROW()-1,40),ROW()-1,FALSE))</f>
        <v>190958</v>
      </c>
      <c r="X40">
        <f ca="1">IF(AND(ISNUMBER($X$146),$B$113=1),$X$146,HLOOKUP(INDIRECT(ADDRESS(2,COLUMN())),OFFSET($AT$2,0,0,ROW()-1,40),ROW()-1,FALSE))</f>
        <v>188233</v>
      </c>
      <c r="Y40">
        <f ca="1">IF(AND(ISNUMBER($Y$146),$B$113=1),$Y$146,HLOOKUP(INDIRECT(ADDRESS(2,COLUMN())),OFFSET($AT$2,0,0,ROW()-1,40),ROW()-1,FALSE))</f>
        <v>201938</v>
      </c>
      <c r="Z40">
        <f ca="1">IF(AND(ISNUMBER($Z$146),$B$113=1),$Z$146,HLOOKUP(INDIRECT(ADDRESS(2,COLUMN())),OFFSET($AT$2,0,0,ROW()-1,40),ROW()-1,FALSE))</f>
        <v>196585</v>
      </c>
      <c r="AA40">
        <f ca="1">IF(AND(ISNUMBER($AA$146),$B$113=1),$AA$146,HLOOKUP(INDIRECT(ADDRESS(2,COLUMN())),OFFSET($AT$2,0,0,ROW()-1,40),ROW()-1,FALSE))</f>
        <v>180970</v>
      </c>
      <c r="AB40">
        <f ca="1">IF(AND(ISNUMBER($AB$146),$B$113=1),$AB$146,HLOOKUP(INDIRECT(ADDRESS(2,COLUMN())),OFFSET($AT$2,0,0,ROW()-1,40),ROW()-1,FALSE))</f>
        <v>0</v>
      </c>
      <c r="AC40">
        <f ca="1">IF(AND(ISNUMBER($AC$146),$B$113=1),$AC$146,HLOOKUP(INDIRECT(ADDRESS(2,COLUMN())),OFFSET($AT$2,0,0,ROW()-1,40),ROW()-1,FALSE))</f>
        <v>0</v>
      </c>
      <c r="AD40">
        <f ca="1">IF(AND(ISNUMBER($AD$146),$B$113=1),$AD$146,HLOOKUP(INDIRECT(ADDRESS(2,COLUMN())),OFFSET($AT$2,0,0,ROW()-1,40),ROW()-1,FALSE))</f>
        <v>0</v>
      </c>
      <c r="AE40">
        <f ca="1">IF(AND(ISNUMBER($AE$146),$B$113=1),$AE$146,HLOOKUP(INDIRECT(ADDRESS(2,COLUMN())),OFFSET($AT$2,0,0,ROW()-1,40),ROW()-1,FALSE))</f>
        <v>0</v>
      </c>
      <c r="AF40">
        <f ca="1">IF(AND(ISNUMBER($AF$146),$B$113=1),$AF$146,HLOOKUP(INDIRECT(ADDRESS(2,COLUMN())),OFFSET($AT$2,0,0,ROW()-1,40),ROW()-1,FALSE))</f>
        <v>0</v>
      </c>
      <c r="AG40">
        <f ca="1">IF(AND(ISNUMBER($AG$146),$B$113=1),$AG$146,HLOOKUP(INDIRECT(ADDRESS(2,COLUMN())),OFFSET($AT$2,0,0,ROW()-1,40),ROW()-1,FALSE))</f>
        <v>0</v>
      </c>
      <c r="AH40">
        <f ca="1">IF(AND(ISNUMBER($AH$146),$B$113=1),$AH$146,HLOOKUP(INDIRECT(ADDRESS(2,COLUMN())),OFFSET($AT$2,0,0,ROW()-1,40),ROW()-1,FALSE))</f>
        <v>0</v>
      </c>
      <c r="AI40">
        <f ca="1">IF(AND(ISNUMBER($AI$146),$B$113=1),$AI$146,HLOOKUP(INDIRECT(ADDRESS(2,COLUMN())),OFFSET($AT$2,0,0,ROW()-1,40),ROW()-1,FALSE))</f>
        <v>0</v>
      </c>
      <c r="AJ40">
        <f ca="1">IF(AND(ISNUMBER($AJ$146),$B$113=1),$AJ$146,HLOOKUP(INDIRECT(ADDRESS(2,COLUMN())),OFFSET($AT$2,0,0,ROW()-1,40),ROW()-1,FALSE))</f>
        <v>0</v>
      </c>
      <c r="AK40" t="str">
        <f ca="1">IF(AND(ISNUMBER($AK$146),$B$113=1),$AK$146,HLOOKUP(INDIRECT(ADDRESS(2,COLUMN())),OFFSET($AT$2,0,0,ROW()-1,40),ROW()-1,FALSE))</f>
        <v/>
      </c>
      <c r="AL40" t="str">
        <f ca="1">IF(AND(ISNUMBER($AL$146),$B$113=1),$AL$146,HLOOKUP(INDIRECT(ADDRESS(2,COLUMN())),OFFSET($AT$2,0,0,ROW()-1,40),ROW()-1,FALSE))</f>
        <v/>
      </c>
      <c r="AM40" t="str">
        <f ca="1">IF(AND(ISNUMBER($AM$146),$B$113=1),$AM$146,HLOOKUP(INDIRECT(ADDRESS(2,COLUMN())),OFFSET($AT$2,0,0,ROW()-1,40),ROW()-1,FALSE))</f>
        <v/>
      </c>
      <c r="AN40" t="str">
        <f ca="1">IF(AND(ISNUMBER($AN$146),$B$113=1),$AN$146,HLOOKUP(INDIRECT(ADDRESS(2,COLUMN())),OFFSET($AT$2,0,0,ROW()-1,40),ROW()-1,FALSE))</f>
        <v/>
      </c>
      <c r="AO40" t="str">
        <f ca="1">IF(AND(ISNUMBER($AO$146),$B$113=1),$AO$146,HLOOKUP(INDIRECT(ADDRESS(2,COLUMN())),OFFSET($AT$2,0,0,ROW()-1,40),ROW()-1,FALSE))</f>
        <v/>
      </c>
      <c r="AP40" t="str">
        <f ca="1">IF(AND(ISNUMBER($AP$146),$B$113=1),$AP$146,HLOOKUP(INDIRECT(ADDRESS(2,COLUMN())),OFFSET($AT$2,0,0,ROW()-1,40),ROW()-1,FALSE))</f>
        <v/>
      </c>
      <c r="AQ40" t="str">
        <f ca="1">IF(AND(ISNUMBER($AQ$146),$B$113=1),$AQ$146,HLOOKUP(INDIRECT(ADDRESS(2,COLUMN())),OFFSET($AT$2,0,0,ROW()-1,40),ROW()-1,FALSE))</f>
        <v/>
      </c>
      <c r="AR40" t="str">
        <f ca="1">IF(AND(ISNUMBER($AR$146),$B$113=1),$AR$146,HLOOKUP(INDIRECT(ADDRESS(2,COLUMN())),OFFSET($AT$2,0,0,ROW()-1,40),ROW()-1,FALSE))</f>
        <v/>
      </c>
      <c r="AS40" t="str">
        <f ca="1">IF(AND(ISNUMBER($AS$146),$B$113=1),$AS$146,HLOOKUP(INDIRECT(ADDRESS(2,COLUMN())),OFFSET($AT$2,0,0,ROW()-1,40),ROW()-1,FALSE))</f>
        <v/>
      </c>
      <c r="AT40">
        <f>290418</f>
        <v>290418</v>
      </c>
      <c r="AU40">
        <f>329281</f>
        <v>329281</v>
      </c>
      <c r="AV40">
        <f>286666</f>
        <v>286666</v>
      </c>
      <c r="AW40">
        <f>332771</f>
        <v>332771</v>
      </c>
      <c r="AX40">
        <f>306613</f>
        <v>306613</v>
      </c>
      <c r="AY40">
        <f>256677</f>
        <v>256677</v>
      </c>
      <c r="AZ40">
        <f>249792</f>
        <v>249792</v>
      </c>
      <c r="BA40">
        <f>258306</f>
        <v>258306</v>
      </c>
      <c r="BB40">
        <f>259418</f>
        <v>259418</v>
      </c>
      <c r="BC40">
        <f>257531</f>
        <v>257531</v>
      </c>
      <c r="BD40">
        <f>269210</f>
        <v>269210</v>
      </c>
      <c r="BE40">
        <f>304501</f>
        <v>304501</v>
      </c>
      <c r="BF40">
        <f>348870</f>
        <v>348870</v>
      </c>
      <c r="BG40">
        <f>338995</f>
        <v>338995</v>
      </c>
      <c r="BH40">
        <f>314581</f>
        <v>314581</v>
      </c>
      <c r="BI40">
        <f>252828</f>
        <v>252828</v>
      </c>
      <c r="BJ40">
        <f>220854</f>
        <v>220854</v>
      </c>
      <c r="BK40">
        <f>190958</f>
        <v>190958</v>
      </c>
      <c r="BL40">
        <f>188233</f>
        <v>188233</v>
      </c>
      <c r="BM40">
        <f>201938</f>
        <v>201938</v>
      </c>
      <c r="BN40">
        <f>196585</f>
        <v>196585</v>
      </c>
      <c r="BO40">
        <f>180970</f>
        <v>180970</v>
      </c>
      <c r="BP40">
        <f>0</f>
        <v>0</v>
      </c>
      <c r="BQ40">
        <f>0</f>
        <v>0</v>
      </c>
      <c r="BR40">
        <f>0</f>
        <v>0</v>
      </c>
      <c r="BS40">
        <f>0</f>
        <v>0</v>
      </c>
      <c r="BT40">
        <f>0</f>
        <v>0</v>
      </c>
      <c r="BU40">
        <f>0</f>
        <v>0</v>
      </c>
      <c r="BV40">
        <f>0</f>
        <v>0</v>
      </c>
      <c r="BW40">
        <f>0</f>
        <v>0</v>
      </c>
      <c r="BX40">
        <f>0</f>
        <v>0</v>
      </c>
      <c r="BY40" t="str">
        <f>""</f>
        <v/>
      </c>
      <c r="BZ40" t="str">
        <f>""</f>
        <v/>
      </c>
      <c r="CA40" t="str">
        <f>""</f>
        <v/>
      </c>
      <c r="CB40" t="str">
        <f>""</f>
        <v/>
      </c>
      <c r="CC40" t="str">
        <f>""</f>
        <v/>
      </c>
      <c r="CD40" t="str">
        <f>""</f>
        <v/>
      </c>
      <c r="CE40" t="str">
        <f>""</f>
        <v/>
      </c>
      <c r="CF40" t="str">
        <f>""</f>
        <v/>
      </c>
      <c r="CG40" t="str">
        <f>""</f>
        <v/>
      </c>
    </row>
    <row r="41" spans="1:85" x14ac:dyDescent="0.2">
      <c r="A41" t="str">
        <f>"        Fed. Office Construction (Mn USD)"</f>
        <v xml:space="preserve">        Fed. Office Construction (Mn USD)</v>
      </c>
      <c r="B41" t="str">
        <f>"FED1OFFI Index"</f>
        <v>FED1OFFI Index</v>
      </c>
      <c r="C41" t="str">
        <f t="shared" si="11"/>
        <v>PX385</v>
      </c>
      <c r="D41" t="str">
        <f t="shared" si="12"/>
        <v>INTERVAL_SUM</v>
      </c>
      <c r="E41" t="str">
        <f t="shared" si="13"/>
        <v>Dynamic</v>
      </c>
      <c r="F41">
        <f ca="1">IF(AND(ISNUMBER($F$147),$B$113=1),$F$147,HLOOKUP(INDIRECT(ADDRESS(2,COLUMN())),OFFSET($AT$2,0,0,ROW()-1,40),ROW()-1,FALSE))</f>
        <v>33671</v>
      </c>
      <c r="G41">
        <f ca="1">IF(AND(ISNUMBER($G$147),$B$113=1),$G$147,HLOOKUP(INDIRECT(ADDRESS(2,COLUMN())),OFFSET($AT$2,0,0,ROW()-1,40),ROW()-1,FALSE))</f>
        <v>39655</v>
      </c>
      <c r="H41">
        <f ca="1">IF(AND(ISNUMBER($H$147),$B$113=1),$H$147,HLOOKUP(INDIRECT(ADDRESS(2,COLUMN())),OFFSET($AT$2,0,0,ROW()-1,40),ROW()-1,FALSE))</f>
        <v>37478</v>
      </c>
      <c r="I41">
        <f ca="1">IF(AND(ISNUMBER($I$147),$B$113=1),$I$147,HLOOKUP(INDIRECT(ADDRESS(2,COLUMN())),OFFSET($AT$2,0,0,ROW()-1,40),ROW()-1,FALSE))</f>
        <v>30559</v>
      </c>
      <c r="J41">
        <f ca="1">IF(AND(ISNUMBER($J$147),$B$113=1),$J$147,HLOOKUP(INDIRECT(ADDRESS(2,COLUMN())),OFFSET($AT$2,0,0,ROW()-1,40),ROW()-1,FALSE))</f>
        <v>37755</v>
      </c>
      <c r="K41">
        <f ca="1">IF(AND(ISNUMBER($K$147),$B$113=1),$K$147,HLOOKUP(INDIRECT(ADDRESS(2,COLUMN())),OFFSET($AT$2,0,0,ROW()-1,40),ROW()-1,FALSE))</f>
        <v>34948</v>
      </c>
      <c r="L41">
        <f ca="1">IF(AND(ISNUMBER($L$147),$B$113=1),$L$147,HLOOKUP(INDIRECT(ADDRESS(2,COLUMN())),OFFSET($AT$2,0,0,ROW()-1,40),ROW()-1,FALSE))</f>
        <v>32694</v>
      </c>
      <c r="M41">
        <f ca="1">IF(AND(ISNUMBER($M$147),$B$113=1),$M$147,HLOOKUP(INDIRECT(ADDRESS(2,COLUMN())),OFFSET($AT$2,0,0,ROW()-1,40),ROW()-1,FALSE))</f>
        <v>29228</v>
      </c>
      <c r="N41">
        <f ca="1">IF(AND(ISNUMBER($N$147),$B$113=1),$N$147,HLOOKUP(INDIRECT(ADDRESS(2,COLUMN())),OFFSET($AT$2,0,0,ROW()-1,40),ROW()-1,FALSE))</f>
        <v>26828</v>
      </c>
      <c r="O41">
        <f ca="1">IF(AND(ISNUMBER($O$147),$B$113=1),$O$147,HLOOKUP(INDIRECT(ADDRESS(2,COLUMN())),OFFSET($AT$2,0,0,ROW()-1,40),ROW()-1,FALSE))</f>
        <v>27484</v>
      </c>
      <c r="P41">
        <f ca="1">IF(AND(ISNUMBER($P$147),$B$113=1),$P$147,HLOOKUP(INDIRECT(ADDRESS(2,COLUMN())),OFFSET($AT$2,0,0,ROW()-1,40),ROW()-1,FALSE))</f>
        <v>31655</v>
      </c>
      <c r="Q41">
        <f ca="1">IF(AND(ISNUMBER($Q$147),$B$113=1),$Q$147,HLOOKUP(INDIRECT(ADDRESS(2,COLUMN())),OFFSET($AT$2,0,0,ROW()-1,40),ROW()-1,FALSE))</f>
        <v>51663</v>
      </c>
      <c r="R41">
        <f ca="1">IF(AND(ISNUMBER($R$147),$B$113=1),$R$147,HLOOKUP(INDIRECT(ADDRESS(2,COLUMN())),OFFSET($AT$2,0,0,ROW()-1,40),ROW()-1,FALSE))</f>
        <v>57776</v>
      </c>
      <c r="S41">
        <f ca="1">IF(AND(ISNUMBER($S$147),$B$113=1),$S$147,HLOOKUP(INDIRECT(ADDRESS(2,COLUMN())),OFFSET($AT$2,0,0,ROW()-1,40),ROW()-1,FALSE))</f>
        <v>61771</v>
      </c>
      <c r="T41">
        <f ca="1">IF(AND(ISNUMBER($T$147),$B$113=1),$T$147,HLOOKUP(INDIRECT(ADDRESS(2,COLUMN())),OFFSET($AT$2,0,0,ROW()-1,40),ROW()-1,FALSE))</f>
        <v>65594</v>
      </c>
      <c r="U41">
        <f ca="1">IF(AND(ISNUMBER($U$147),$B$113=1),$U$147,HLOOKUP(INDIRECT(ADDRESS(2,COLUMN())),OFFSET($AT$2,0,0,ROW()-1,40),ROW()-1,FALSE))</f>
        <v>54342</v>
      </c>
      <c r="V41">
        <f ca="1">IF(AND(ISNUMBER($V$147),$B$113=1),$V$147,HLOOKUP(INDIRECT(ADDRESS(2,COLUMN())),OFFSET($AT$2,0,0,ROW()-1,40),ROW()-1,FALSE))</f>
        <v>50211</v>
      </c>
      <c r="W41">
        <f ca="1">IF(AND(ISNUMBER($W$147),$B$113=1),$W$147,HLOOKUP(INDIRECT(ADDRESS(2,COLUMN())),OFFSET($AT$2,0,0,ROW()-1,40),ROW()-1,FALSE))</f>
        <v>35174</v>
      </c>
      <c r="X41">
        <f ca="1">IF(AND(ISNUMBER($X$147),$B$113=1),$X$147,HLOOKUP(INDIRECT(ADDRESS(2,COLUMN())),OFFSET($AT$2,0,0,ROW()-1,40),ROW()-1,FALSE))</f>
        <v>39343</v>
      </c>
      <c r="Y41">
        <f ca="1">IF(AND(ISNUMBER($Y$147),$B$113=1),$Y$147,HLOOKUP(INDIRECT(ADDRESS(2,COLUMN())),OFFSET($AT$2,0,0,ROW()-1,40),ROW()-1,FALSE))</f>
        <v>41660</v>
      </c>
      <c r="Z41">
        <f ca="1">IF(AND(ISNUMBER($Z$147),$B$113=1),$Z$147,HLOOKUP(INDIRECT(ADDRESS(2,COLUMN())),OFFSET($AT$2,0,0,ROW()-1,40),ROW()-1,FALSE))</f>
        <v>32668</v>
      </c>
      <c r="AA41">
        <f ca="1">IF(AND(ISNUMBER($AA$147),$B$113=1),$AA$147,HLOOKUP(INDIRECT(ADDRESS(2,COLUMN())),OFFSET($AT$2,0,0,ROW()-1,40),ROW()-1,FALSE))</f>
        <v>32700</v>
      </c>
      <c r="AB41">
        <f ca="1">IF(AND(ISNUMBER($AB$147),$B$113=1),$AB$147,HLOOKUP(INDIRECT(ADDRESS(2,COLUMN())),OFFSET($AT$2,0,0,ROW()-1,40),ROW()-1,FALSE))</f>
        <v>0</v>
      </c>
      <c r="AC41">
        <f ca="1">IF(AND(ISNUMBER($AC$147),$B$113=1),$AC$147,HLOOKUP(INDIRECT(ADDRESS(2,COLUMN())),OFFSET($AT$2,0,0,ROW()-1,40),ROW()-1,FALSE))</f>
        <v>0</v>
      </c>
      <c r="AD41">
        <f ca="1">IF(AND(ISNUMBER($AD$147),$B$113=1),$AD$147,HLOOKUP(INDIRECT(ADDRESS(2,COLUMN())),OFFSET($AT$2,0,0,ROW()-1,40),ROW()-1,FALSE))</f>
        <v>0</v>
      </c>
      <c r="AE41">
        <f ca="1">IF(AND(ISNUMBER($AE$147),$B$113=1),$AE$147,HLOOKUP(INDIRECT(ADDRESS(2,COLUMN())),OFFSET($AT$2,0,0,ROW()-1,40),ROW()-1,FALSE))</f>
        <v>0</v>
      </c>
      <c r="AF41">
        <f ca="1">IF(AND(ISNUMBER($AF$147),$B$113=1),$AF$147,HLOOKUP(INDIRECT(ADDRESS(2,COLUMN())),OFFSET($AT$2,0,0,ROW()-1,40),ROW()-1,FALSE))</f>
        <v>0</v>
      </c>
      <c r="AG41">
        <f ca="1">IF(AND(ISNUMBER($AG$147),$B$113=1),$AG$147,HLOOKUP(INDIRECT(ADDRESS(2,COLUMN())),OFFSET($AT$2,0,0,ROW()-1,40),ROW()-1,FALSE))</f>
        <v>0</v>
      </c>
      <c r="AH41">
        <f ca="1">IF(AND(ISNUMBER($AH$147),$B$113=1),$AH$147,HLOOKUP(INDIRECT(ADDRESS(2,COLUMN())),OFFSET($AT$2,0,0,ROW()-1,40),ROW()-1,FALSE))</f>
        <v>0</v>
      </c>
      <c r="AI41">
        <f ca="1">IF(AND(ISNUMBER($AI$147),$B$113=1),$AI$147,HLOOKUP(INDIRECT(ADDRESS(2,COLUMN())),OFFSET($AT$2,0,0,ROW()-1,40),ROW()-1,FALSE))</f>
        <v>0</v>
      </c>
      <c r="AJ41">
        <f ca="1">IF(AND(ISNUMBER($AJ$147),$B$113=1),$AJ$147,HLOOKUP(INDIRECT(ADDRESS(2,COLUMN())),OFFSET($AT$2,0,0,ROW()-1,40),ROW()-1,FALSE))</f>
        <v>0</v>
      </c>
      <c r="AK41" t="str">
        <f ca="1">IF(AND(ISNUMBER($AK$147),$B$113=1),$AK$147,HLOOKUP(INDIRECT(ADDRESS(2,COLUMN())),OFFSET($AT$2,0,0,ROW()-1,40),ROW()-1,FALSE))</f>
        <v/>
      </c>
      <c r="AL41" t="str">
        <f ca="1">IF(AND(ISNUMBER($AL$147),$B$113=1),$AL$147,HLOOKUP(INDIRECT(ADDRESS(2,COLUMN())),OFFSET($AT$2,0,0,ROW()-1,40),ROW()-1,FALSE))</f>
        <v/>
      </c>
      <c r="AM41" t="str">
        <f ca="1">IF(AND(ISNUMBER($AM$147),$B$113=1),$AM$147,HLOOKUP(INDIRECT(ADDRESS(2,COLUMN())),OFFSET($AT$2,0,0,ROW()-1,40),ROW()-1,FALSE))</f>
        <v/>
      </c>
      <c r="AN41" t="str">
        <f ca="1">IF(AND(ISNUMBER($AN$147),$B$113=1),$AN$147,HLOOKUP(INDIRECT(ADDRESS(2,COLUMN())),OFFSET($AT$2,0,0,ROW()-1,40),ROW()-1,FALSE))</f>
        <v/>
      </c>
      <c r="AO41" t="str">
        <f ca="1">IF(AND(ISNUMBER($AO$147),$B$113=1),$AO$147,HLOOKUP(INDIRECT(ADDRESS(2,COLUMN())),OFFSET($AT$2,0,0,ROW()-1,40),ROW()-1,FALSE))</f>
        <v/>
      </c>
      <c r="AP41" t="str">
        <f ca="1">IF(AND(ISNUMBER($AP$147),$B$113=1),$AP$147,HLOOKUP(INDIRECT(ADDRESS(2,COLUMN())),OFFSET($AT$2,0,0,ROW()-1,40),ROW()-1,FALSE))</f>
        <v/>
      </c>
      <c r="AQ41" t="str">
        <f ca="1">IF(AND(ISNUMBER($AQ$147),$B$113=1),$AQ$147,HLOOKUP(INDIRECT(ADDRESS(2,COLUMN())),OFFSET($AT$2,0,0,ROW()-1,40),ROW()-1,FALSE))</f>
        <v/>
      </c>
      <c r="AR41" t="str">
        <f ca="1">IF(AND(ISNUMBER($AR$147),$B$113=1),$AR$147,HLOOKUP(INDIRECT(ADDRESS(2,COLUMN())),OFFSET($AT$2,0,0,ROW()-1,40),ROW()-1,FALSE))</f>
        <v/>
      </c>
      <c r="AS41" t="str">
        <f ca="1">IF(AND(ISNUMBER($AS$147),$B$113=1),$AS$147,HLOOKUP(INDIRECT(ADDRESS(2,COLUMN())),OFFSET($AT$2,0,0,ROW()-1,40),ROW()-1,FALSE))</f>
        <v/>
      </c>
      <c r="AT41">
        <f>33671</f>
        <v>33671</v>
      </c>
      <c r="AU41">
        <f>39655</f>
        <v>39655</v>
      </c>
      <c r="AV41">
        <f>37478</f>
        <v>37478</v>
      </c>
      <c r="AW41">
        <f>30559</f>
        <v>30559</v>
      </c>
      <c r="AX41">
        <f>37755</f>
        <v>37755</v>
      </c>
      <c r="AY41">
        <f>34948</f>
        <v>34948</v>
      </c>
      <c r="AZ41">
        <f>32694</f>
        <v>32694</v>
      </c>
      <c r="BA41">
        <f>29228</f>
        <v>29228</v>
      </c>
      <c r="BB41">
        <f>26828</f>
        <v>26828</v>
      </c>
      <c r="BC41">
        <f>27484</f>
        <v>27484</v>
      </c>
      <c r="BD41">
        <f>31655</f>
        <v>31655</v>
      </c>
      <c r="BE41">
        <f>51663</f>
        <v>51663</v>
      </c>
      <c r="BF41">
        <f>57776</f>
        <v>57776</v>
      </c>
      <c r="BG41">
        <f>61771</f>
        <v>61771</v>
      </c>
      <c r="BH41">
        <f>65594</f>
        <v>65594</v>
      </c>
      <c r="BI41">
        <f>54342</f>
        <v>54342</v>
      </c>
      <c r="BJ41">
        <f>50211</f>
        <v>50211</v>
      </c>
      <c r="BK41">
        <f>35174</f>
        <v>35174</v>
      </c>
      <c r="BL41">
        <f>39343</f>
        <v>39343</v>
      </c>
      <c r="BM41">
        <f>41660</f>
        <v>41660</v>
      </c>
      <c r="BN41">
        <f>32668</f>
        <v>32668</v>
      </c>
      <c r="BO41">
        <f>32700</f>
        <v>32700</v>
      </c>
      <c r="BP41">
        <f>0</f>
        <v>0</v>
      </c>
      <c r="BQ41">
        <f>0</f>
        <v>0</v>
      </c>
      <c r="BR41">
        <f>0</f>
        <v>0</v>
      </c>
      <c r="BS41">
        <f>0</f>
        <v>0</v>
      </c>
      <c r="BT41">
        <f>0</f>
        <v>0</v>
      </c>
      <c r="BU41">
        <f>0</f>
        <v>0</v>
      </c>
      <c r="BV41">
        <f>0</f>
        <v>0</v>
      </c>
      <c r="BW41">
        <f>0</f>
        <v>0</v>
      </c>
      <c r="BX41">
        <f>0</f>
        <v>0</v>
      </c>
      <c r="BY41" t="str">
        <f>""</f>
        <v/>
      </c>
      <c r="BZ41" t="str">
        <f>""</f>
        <v/>
      </c>
      <c r="CA41" t="str">
        <f>""</f>
        <v/>
      </c>
      <c r="CB41" t="str">
        <f>""</f>
        <v/>
      </c>
      <c r="CC41" t="str">
        <f>""</f>
        <v/>
      </c>
      <c r="CD41" t="str">
        <f>""</f>
        <v/>
      </c>
      <c r="CE41" t="str">
        <f>""</f>
        <v/>
      </c>
      <c r="CF41" t="str">
        <f>""</f>
        <v/>
      </c>
      <c r="CG41" t="str">
        <f>""</f>
        <v/>
      </c>
    </row>
    <row r="42" spans="1:85" x14ac:dyDescent="0.2">
      <c r="A42" t="str">
        <f>"        Fed. Healthcare Construction (Mn USD)"</f>
        <v xml:space="preserve">        Fed. Healthcare Construction (Mn USD)</v>
      </c>
      <c r="B42" t="str">
        <f>"FED1HCAR Index"</f>
        <v>FED1HCAR Index</v>
      </c>
      <c r="C42" t="str">
        <f t="shared" si="11"/>
        <v>PX385</v>
      </c>
      <c r="D42" t="str">
        <f t="shared" si="12"/>
        <v>INTERVAL_SUM</v>
      </c>
      <c r="E42" t="str">
        <f t="shared" si="13"/>
        <v>Dynamic</v>
      </c>
      <c r="F42">
        <f ca="1">IF(AND(ISNUMBER($F$148),$B$113=1),$F$148,HLOOKUP(INDIRECT(ADDRESS(2,COLUMN())),OFFSET($AT$2,0,0,ROW()-1,40),ROW()-1,FALSE))</f>
        <v>34241</v>
      </c>
      <c r="G42">
        <f ca="1">IF(AND(ISNUMBER($G$148),$B$113=1),$G$148,HLOOKUP(INDIRECT(ADDRESS(2,COLUMN())),OFFSET($AT$2,0,0,ROW()-1,40),ROW()-1,FALSE))</f>
        <v>39249</v>
      </c>
      <c r="H42">
        <f ca="1">IF(AND(ISNUMBER($H$148),$B$113=1),$H$148,HLOOKUP(INDIRECT(ADDRESS(2,COLUMN())),OFFSET($AT$2,0,0,ROW()-1,40),ROW()-1,FALSE))</f>
        <v>31055</v>
      </c>
      <c r="I42">
        <f ca="1">IF(AND(ISNUMBER($I$148),$B$113=1),$I$148,HLOOKUP(INDIRECT(ADDRESS(2,COLUMN())),OFFSET($AT$2,0,0,ROW()-1,40),ROW()-1,FALSE))</f>
        <v>31449</v>
      </c>
      <c r="J42">
        <f ca="1">IF(AND(ISNUMBER($J$148),$B$113=1),$J$148,HLOOKUP(INDIRECT(ADDRESS(2,COLUMN())),OFFSET($AT$2,0,0,ROW()-1,40),ROW()-1,FALSE))</f>
        <v>36172</v>
      </c>
      <c r="K42">
        <f ca="1">IF(AND(ISNUMBER($K$148),$B$113=1),$K$148,HLOOKUP(INDIRECT(ADDRESS(2,COLUMN())),OFFSET($AT$2,0,0,ROW()-1,40),ROW()-1,FALSE))</f>
        <v>35802</v>
      </c>
      <c r="L42">
        <f ca="1">IF(AND(ISNUMBER($L$148),$B$113=1),$L$148,HLOOKUP(INDIRECT(ADDRESS(2,COLUMN())),OFFSET($AT$2,0,0,ROW()-1,40),ROW()-1,FALSE))</f>
        <v>38882</v>
      </c>
      <c r="M42">
        <f ca="1">IF(AND(ISNUMBER($M$148),$B$113=1),$M$148,HLOOKUP(INDIRECT(ADDRESS(2,COLUMN())),OFFSET($AT$2,0,0,ROW()-1,40),ROW()-1,FALSE))</f>
        <v>36821</v>
      </c>
      <c r="N42">
        <f ca="1">IF(AND(ISNUMBER($N$148),$B$113=1),$N$148,HLOOKUP(INDIRECT(ADDRESS(2,COLUMN())),OFFSET($AT$2,0,0,ROW()-1,40),ROW()-1,FALSE))</f>
        <v>38291</v>
      </c>
      <c r="O42">
        <f ca="1">IF(AND(ISNUMBER($O$148),$B$113=1),$O$148,HLOOKUP(INDIRECT(ADDRESS(2,COLUMN())),OFFSET($AT$2,0,0,ROW()-1,40),ROW()-1,FALSE))</f>
        <v>43272</v>
      </c>
      <c r="P42">
        <f ca="1">IF(AND(ISNUMBER($P$148),$B$113=1),$P$148,HLOOKUP(INDIRECT(ADDRESS(2,COLUMN())),OFFSET($AT$2,0,0,ROW()-1,40),ROW()-1,FALSE))</f>
        <v>48705</v>
      </c>
      <c r="Q42">
        <f ca="1">IF(AND(ISNUMBER($Q$148),$B$113=1),$Q$148,HLOOKUP(INDIRECT(ADDRESS(2,COLUMN())),OFFSET($AT$2,0,0,ROW()-1,40),ROW()-1,FALSE))</f>
        <v>48851</v>
      </c>
      <c r="R42">
        <f ca="1">IF(AND(ISNUMBER($R$148),$B$113=1),$R$148,HLOOKUP(INDIRECT(ADDRESS(2,COLUMN())),OFFSET($AT$2,0,0,ROW()-1,40),ROW()-1,FALSE))</f>
        <v>51425</v>
      </c>
      <c r="S42">
        <f ca="1">IF(AND(ISNUMBER($S$148),$B$113=1),$S$148,HLOOKUP(INDIRECT(ADDRESS(2,COLUMN())),OFFSET($AT$2,0,0,ROW()-1,40),ROW()-1,FALSE))</f>
        <v>42951</v>
      </c>
      <c r="T42">
        <f ca="1">IF(AND(ISNUMBER($T$148),$B$113=1),$T$148,HLOOKUP(INDIRECT(ADDRESS(2,COLUMN())),OFFSET($AT$2,0,0,ROW()-1,40),ROW()-1,FALSE))</f>
        <v>32302</v>
      </c>
      <c r="U42">
        <f ca="1">IF(AND(ISNUMBER($U$148),$B$113=1),$U$148,HLOOKUP(INDIRECT(ADDRESS(2,COLUMN())),OFFSET($AT$2,0,0,ROW()-1,40),ROW()-1,FALSE))</f>
        <v>17490</v>
      </c>
      <c r="V42">
        <f ca="1">IF(AND(ISNUMBER($V$148),$B$113=1),$V$148,HLOOKUP(INDIRECT(ADDRESS(2,COLUMN())),OFFSET($AT$2,0,0,ROW()-1,40),ROW()-1,FALSE))</f>
        <v>13861</v>
      </c>
      <c r="W42">
        <f ca="1">IF(AND(ISNUMBER($W$148),$B$113=1),$W$148,HLOOKUP(INDIRECT(ADDRESS(2,COLUMN())),OFFSET($AT$2,0,0,ROW()-1,40),ROW()-1,FALSE))</f>
        <v>10177</v>
      </c>
      <c r="X42">
        <f ca="1">IF(AND(ISNUMBER($X$148),$B$113=1),$X$148,HLOOKUP(INDIRECT(ADDRESS(2,COLUMN())),OFFSET($AT$2,0,0,ROW()-1,40),ROW()-1,FALSE))</f>
        <v>10546</v>
      </c>
      <c r="Y42">
        <f ca="1">IF(AND(ISNUMBER($Y$148),$B$113=1),$Y$148,HLOOKUP(INDIRECT(ADDRESS(2,COLUMN())),OFFSET($AT$2,0,0,ROW()-1,40),ROW()-1,FALSE))</f>
        <v>10639</v>
      </c>
      <c r="Z42">
        <f ca="1">IF(AND(ISNUMBER($Z$148),$B$113=1),$Z$148,HLOOKUP(INDIRECT(ADDRESS(2,COLUMN())),OFFSET($AT$2,0,0,ROW()-1,40),ROW()-1,FALSE))</f>
        <v>13226</v>
      </c>
      <c r="AA42">
        <f ca="1">IF(AND(ISNUMBER($AA$148),$B$113=1),$AA$148,HLOOKUP(INDIRECT(ADDRESS(2,COLUMN())),OFFSET($AT$2,0,0,ROW()-1,40),ROW()-1,FALSE))</f>
        <v>14570</v>
      </c>
      <c r="AB42">
        <f ca="1">IF(AND(ISNUMBER($AB$148),$B$113=1),$AB$148,HLOOKUP(INDIRECT(ADDRESS(2,COLUMN())),OFFSET($AT$2,0,0,ROW()-1,40),ROW()-1,FALSE))</f>
        <v>0</v>
      </c>
      <c r="AC42">
        <f ca="1">IF(AND(ISNUMBER($AC$148),$B$113=1),$AC$148,HLOOKUP(INDIRECT(ADDRESS(2,COLUMN())),OFFSET($AT$2,0,0,ROW()-1,40),ROW()-1,FALSE))</f>
        <v>0</v>
      </c>
      <c r="AD42">
        <f ca="1">IF(AND(ISNUMBER($AD$148),$B$113=1),$AD$148,HLOOKUP(INDIRECT(ADDRESS(2,COLUMN())),OFFSET($AT$2,0,0,ROW()-1,40),ROW()-1,FALSE))</f>
        <v>0</v>
      </c>
      <c r="AE42">
        <f ca="1">IF(AND(ISNUMBER($AE$148),$B$113=1),$AE$148,HLOOKUP(INDIRECT(ADDRESS(2,COLUMN())),OFFSET($AT$2,0,0,ROW()-1,40),ROW()-1,FALSE))</f>
        <v>0</v>
      </c>
      <c r="AF42">
        <f ca="1">IF(AND(ISNUMBER($AF$148),$B$113=1),$AF$148,HLOOKUP(INDIRECT(ADDRESS(2,COLUMN())),OFFSET($AT$2,0,0,ROW()-1,40),ROW()-1,FALSE))</f>
        <v>0</v>
      </c>
      <c r="AG42">
        <f ca="1">IF(AND(ISNUMBER($AG$148),$B$113=1),$AG$148,HLOOKUP(INDIRECT(ADDRESS(2,COLUMN())),OFFSET($AT$2,0,0,ROW()-1,40),ROW()-1,FALSE))</f>
        <v>0</v>
      </c>
      <c r="AH42">
        <f ca="1">IF(AND(ISNUMBER($AH$148),$B$113=1),$AH$148,HLOOKUP(INDIRECT(ADDRESS(2,COLUMN())),OFFSET($AT$2,0,0,ROW()-1,40),ROW()-1,FALSE))</f>
        <v>0</v>
      </c>
      <c r="AI42">
        <f ca="1">IF(AND(ISNUMBER($AI$148),$B$113=1),$AI$148,HLOOKUP(INDIRECT(ADDRESS(2,COLUMN())),OFFSET($AT$2,0,0,ROW()-1,40),ROW()-1,FALSE))</f>
        <v>0</v>
      </c>
      <c r="AJ42">
        <f ca="1">IF(AND(ISNUMBER($AJ$148),$B$113=1),$AJ$148,HLOOKUP(INDIRECT(ADDRESS(2,COLUMN())),OFFSET($AT$2,0,0,ROW()-1,40),ROW()-1,FALSE))</f>
        <v>0</v>
      </c>
      <c r="AK42" t="str">
        <f ca="1">IF(AND(ISNUMBER($AK$148),$B$113=1),$AK$148,HLOOKUP(INDIRECT(ADDRESS(2,COLUMN())),OFFSET($AT$2,0,0,ROW()-1,40),ROW()-1,FALSE))</f>
        <v/>
      </c>
      <c r="AL42" t="str">
        <f ca="1">IF(AND(ISNUMBER($AL$148),$B$113=1),$AL$148,HLOOKUP(INDIRECT(ADDRESS(2,COLUMN())),OFFSET($AT$2,0,0,ROW()-1,40),ROW()-1,FALSE))</f>
        <v/>
      </c>
      <c r="AM42" t="str">
        <f ca="1">IF(AND(ISNUMBER($AM$148),$B$113=1),$AM$148,HLOOKUP(INDIRECT(ADDRESS(2,COLUMN())),OFFSET($AT$2,0,0,ROW()-1,40),ROW()-1,FALSE))</f>
        <v/>
      </c>
      <c r="AN42" t="str">
        <f ca="1">IF(AND(ISNUMBER($AN$148),$B$113=1),$AN$148,HLOOKUP(INDIRECT(ADDRESS(2,COLUMN())),OFFSET($AT$2,0,0,ROW()-1,40),ROW()-1,FALSE))</f>
        <v/>
      </c>
      <c r="AO42" t="str">
        <f ca="1">IF(AND(ISNUMBER($AO$148),$B$113=1),$AO$148,HLOOKUP(INDIRECT(ADDRESS(2,COLUMN())),OFFSET($AT$2,0,0,ROW()-1,40),ROW()-1,FALSE))</f>
        <v/>
      </c>
      <c r="AP42" t="str">
        <f ca="1">IF(AND(ISNUMBER($AP$148),$B$113=1),$AP$148,HLOOKUP(INDIRECT(ADDRESS(2,COLUMN())),OFFSET($AT$2,0,0,ROW()-1,40),ROW()-1,FALSE))</f>
        <v/>
      </c>
      <c r="AQ42" t="str">
        <f ca="1">IF(AND(ISNUMBER($AQ$148),$B$113=1),$AQ$148,HLOOKUP(INDIRECT(ADDRESS(2,COLUMN())),OFFSET($AT$2,0,0,ROW()-1,40),ROW()-1,FALSE))</f>
        <v/>
      </c>
      <c r="AR42" t="str">
        <f ca="1">IF(AND(ISNUMBER($AR$148),$B$113=1),$AR$148,HLOOKUP(INDIRECT(ADDRESS(2,COLUMN())),OFFSET($AT$2,0,0,ROW()-1,40),ROW()-1,FALSE))</f>
        <v/>
      </c>
      <c r="AS42" t="str">
        <f ca="1">IF(AND(ISNUMBER($AS$148),$B$113=1),$AS$148,HLOOKUP(INDIRECT(ADDRESS(2,COLUMN())),OFFSET($AT$2,0,0,ROW()-1,40),ROW()-1,FALSE))</f>
        <v/>
      </c>
      <c r="AT42">
        <f>34241</f>
        <v>34241</v>
      </c>
      <c r="AU42">
        <f>39249</f>
        <v>39249</v>
      </c>
      <c r="AV42">
        <f>31055</f>
        <v>31055</v>
      </c>
      <c r="AW42">
        <f>31449</f>
        <v>31449</v>
      </c>
      <c r="AX42">
        <f>36172</f>
        <v>36172</v>
      </c>
      <c r="AY42">
        <f>35802</f>
        <v>35802</v>
      </c>
      <c r="AZ42">
        <f>38882</f>
        <v>38882</v>
      </c>
      <c r="BA42">
        <f>36821</f>
        <v>36821</v>
      </c>
      <c r="BB42">
        <f>38291</f>
        <v>38291</v>
      </c>
      <c r="BC42">
        <f>43272</f>
        <v>43272</v>
      </c>
      <c r="BD42">
        <f>48705</f>
        <v>48705</v>
      </c>
      <c r="BE42">
        <f>48851</f>
        <v>48851</v>
      </c>
      <c r="BF42">
        <f>51425</f>
        <v>51425</v>
      </c>
      <c r="BG42">
        <f>42951</f>
        <v>42951</v>
      </c>
      <c r="BH42">
        <f>32302</f>
        <v>32302</v>
      </c>
      <c r="BI42">
        <f>17490</f>
        <v>17490</v>
      </c>
      <c r="BJ42">
        <f>13861</f>
        <v>13861</v>
      </c>
      <c r="BK42">
        <f>10177</f>
        <v>10177</v>
      </c>
      <c r="BL42">
        <f>10546</f>
        <v>10546</v>
      </c>
      <c r="BM42">
        <f>10639</f>
        <v>10639</v>
      </c>
      <c r="BN42">
        <f>13226</f>
        <v>13226</v>
      </c>
      <c r="BO42">
        <f>14570</f>
        <v>14570</v>
      </c>
      <c r="BP42">
        <f>0</f>
        <v>0</v>
      </c>
      <c r="BQ42">
        <f>0</f>
        <v>0</v>
      </c>
      <c r="BR42">
        <f>0</f>
        <v>0</v>
      </c>
      <c r="BS42">
        <f>0</f>
        <v>0</v>
      </c>
      <c r="BT42">
        <f>0</f>
        <v>0</v>
      </c>
      <c r="BU42">
        <f>0</f>
        <v>0</v>
      </c>
      <c r="BV42">
        <f>0</f>
        <v>0</v>
      </c>
      <c r="BW42">
        <f>0</f>
        <v>0</v>
      </c>
      <c r="BX42">
        <f>0</f>
        <v>0</v>
      </c>
      <c r="BY42" t="str">
        <f>""</f>
        <v/>
      </c>
      <c r="BZ42" t="str">
        <f>""</f>
        <v/>
      </c>
      <c r="CA42" t="str">
        <f>""</f>
        <v/>
      </c>
      <c r="CB42" t="str">
        <f>""</f>
        <v/>
      </c>
      <c r="CC42" t="str">
        <f>""</f>
        <v/>
      </c>
      <c r="CD42" t="str">
        <f>""</f>
        <v/>
      </c>
      <c r="CE42" t="str">
        <f>""</f>
        <v/>
      </c>
      <c r="CF42" t="str">
        <f>""</f>
        <v/>
      </c>
      <c r="CG42" t="str">
        <f>""</f>
        <v/>
      </c>
    </row>
    <row r="43" spans="1:85" x14ac:dyDescent="0.2">
      <c r="A43" t="str">
        <f>"        Fed. Education Facilit. Construction (Mn USD)"</f>
        <v xml:space="preserve">        Fed. Education Facilit. Construction (Mn USD)</v>
      </c>
      <c r="B43" t="str">
        <f>"FED1EDUC Index"</f>
        <v>FED1EDUC Index</v>
      </c>
      <c r="C43" t="str">
        <f t="shared" si="11"/>
        <v>PX385</v>
      </c>
      <c r="D43" t="str">
        <f t="shared" si="12"/>
        <v>INTERVAL_SUM</v>
      </c>
      <c r="E43" t="str">
        <f t="shared" si="13"/>
        <v>Dynamic</v>
      </c>
      <c r="F43">
        <f ca="1">IF(AND(ISNUMBER($F$149),$B$113=1),$F$149,HLOOKUP(INDIRECT(ADDRESS(2,COLUMN())),OFFSET($AT$2,0,0,ROW()-1,40),ROW()-1,FALSE))</f>
        <v>19522</v>
      </c>
      <c r="G43">
        <f ca="1">IF(AND(ISNUMBER($G$149),$B$113=1),$G$149,HLOOKUP(INDIRECT(ADDRESS(2,COLUMN())),OFFSET($AT$2,0,0,ROW()-1,40),ROW()-1,FALSE))</f>
        <v>19989</v>
      </c>
      <c r="H43">
        <f ca="1">IF(AND(ISNUMBER($H$149),$B$113=1),$H$149,HLOOKUP(INDIRECT(ADDRESS(2,COLUMN())),OFFSET($AT$2,0,0,ROW()-1,40),ROW()-1,FALSE))</f>
        <v>16023</v>
      </c>
      <c r="I43">
        <f ca="1">IF(AND(ISNUMBER($I$149),$B$113=1),$I$149,HLOOKUP(INDIRECT(ADDRESS(2,COLUMN())),OFFSET($AT$2,0,0,ROW()-1,40),ROW()-1,FALSE))</f>
        <v>18413</v>
      </c>
      <c r="J43">
        <f ca="1">IF(AND(ISNUMBER($J$149),$B$113=1),$J$149,HLOOKUP(INDIRECT(ADDRESS(2,COLUMN())),OFFSET($AT$2,0,0,ROW()-1,40),ROW()-1,FALSE))</f>
        <v>26029</v>
      </c>
      <c r="K43">
        <f ca="1">IF(AND(ISNUMBER($K$149),$B$113=1),$K$149,HLOOKUP(INDIRECT(ADDRESS(2,COLUMN())),OFFSET($AT$2,0,0,ROW()-1,40),ROW()-1,FALSE))</f>
        <v>20334</v>
      </c>
      <c r="L43">
        <f ca="1">IF(AND(ISNUMBER($L$149),$B$113=1),$L$149,HLOOKUP(INDIRECT(ADDRESS(2,COLUMN())),OFFSET($AT$2,0,0,ROW()-1,40),ROW()-1,FALSE))</f>
        <v>17572</v>
      </c>
      <c r="M43">
        <f ca="1">IF(AND(ISNUMBER($M$149),$B$113=1),$M$149,HLOOKUP(INDIRECT(ADDRESS(2,COLUMN())),OFFSET($AT$2,0,0,ROW()-1,40),ROW()-1,FALSE))</f>
        <v>20285</v>
      </c>
      <c r="N43">
        <f ca="1">IF(AND(ISNUMBER($N$149),$B$113=1),$N$149,HLOOKUP(INDIRECT(ADDRESS(2,COLUMN())),OFFSET($AT$2,0,0,ROW()-1,40),ROW()-1,FALSE))</f>
        <v>22459</v>
      </c>
      <c r="O43">
        <f ca="1">IF(AND(ISNUMBER($O$149),$B$113=1),$O$149,HLOOKUP(INDIRECT(ADDRESS(2,COLUMN())),OFFSET($AT$2,0,0,ROW()-1,40),ROW()-1,FALSE))</f>
        <v>23215</v>
      </c>
      <c r="P43">
        <f ca="1">IF(AND(ISNUMBER($P$149),$B$113=1),$P$149,HLOOKUP(INDIRECT(ADDRESS(2,COLUMN())),OFFSET($AT$2,0,0,ROW()-1,40),ROW()-1,FALSE))</f>
        <v>25386</v>
      </c>
      <c r="Q43">
        <f ca="1">IF(AND(ISNUMBER($Q$149),$B$113=1),$Q$149,HLOOKUP(INDIRECT(ADDRESS(2,COLUMN())),OFFSET($AT$2,0,0,ROW()-1,40),ROW()-1,FALSE))</f>
        <v>29101</v>
      </c>
      <c r="R43">
        <f ca="1">IF(AND(ISNUMBER($R$149),$B$113=1),$R$149,HLOOKUP(INDIRECT(ADDRESS(2,COLUMN())),OFFSET($AT$2,0,0,ROW()-1,40),ROW()-1,FALSE))</f>
        <v>35399</v>
      </c>
      <c r="S43">
        <f ca="1">IF(AND(ISNUMBER($S$149),$B$113=1),$S$149,HLOOKUP(INDIRECT(ADDRESS(2,COLUMN())),OFFSET($AT$2,0,0,ROW()-1,40),ROW()-1,FALSE))</f>
        <v>36227</v>
      </c>
      <c r="T43">
        <f ca="1">IF(AND(ISNUMBER($T$149),$B$113=1),$T$149,HLOOKUP(INDIRECT(ADDRESS(2,COLUMN())),OFFSET($AT$2,0,0,ROW()-1,40),ROW()-1,FALSE))</f>
        <v>31471</v>
      </c>
      <c r="U43">
        <f ca="1">IF(AND(ISNUMBER($U$149),$B$113=1),$U$149,HLOOKUP(INDIRECT(ADDRESS(2,COLUMN())),OFFSET($AT$2,0,0,ROW()-1,40),ROW()-1,FALSE))</f>
        <v>21149</v>
      </c>
      <c r="V43">
        <f ca="1">IF(AND(ISNUMBER($V$149),$B$113=1),$V$149,HLOOKUP(INDIRECT(ADDRESS(2,COLUMN())),OFFSET($AT$2,0,0,ROW()-1,40),ROW()-1,FALSE))</f>
        <v>20400</v>
      </c>
      <c r="W43">
        <f ca="1">IF(AND(ISNUMBER($W$149),$B$113=1),$W$149,HLOOKUP(INDIRECT(ADDRESS(2,COLUMN())),OFFSET($AT$2,0,0,ROW()-1,40),ROW()-1,FALSE))</f>
        <v>15614</v>
      </c>
      <c r="X43">
        <f ca="1">IF(AND(ISNUMBER($X$149),$B$113=1),$X$149,HLOOKUP(INDIRECT(ADDRESS(2,COLUMN())),OFFSET($AT$2,0,0,ROW()-1,40),ROW()-1,FALSE))</f>
        <v>13852</v>
      </c>
      <c r="Y43">
        <f ca="1">IF(AND(ISNUMBER($Y$149),$B$113=1),$Y$149,HLOOKUP(INDIRECT(ADDRESS(2,COLUMN())),OFFSET($AT$2,0,0,ROW()-1,40),ROW()-1,FALSE))</f>
        <v>21595</v>
      </c>
      <c r="Z43">
        <f ca="1">IF(AND(ISNUMBER($Z$149),$B$113=1),$Z$149,HLOOKUP(INDIRECT(ADDRESS(2,COLUMN())),OFFSET($AT$2,0,0,ROW()-1,40),ROW()-1,FALSE))</f>
        <v>18430</v>
      </c>
      <c r="AA43">
        <f ca="1">IF(AND(ISNUMBER($AA$149),$B$113=1),$AA$149,HLOOKUP(INDIRECT(ADDRESS(2,COLUMN())),OFFSET($AT$2,0,0,ROW()-1,40),ROW()-1,FALSE))</f>
        <v>15463</v>
      </c>
      <c r="AB43">
        <f ca="1">IF(AND(ISNUMBER($AB$149),$B$113=1),$AB$149,HLOOKUP(INDIRECT(ADDRESS(2,COLUMN())),OFFSET($AT$2,0,0,ROW()-1,40),ROW()-1,FALSE))</f>
        <v>0</v>
      </c>
      <c r="AC43">
        <f ca="1">IF(AND(ISNUMBER($AC$149),$B$113=1),$AC$149,HLOOKUP(INDIRECT(ADDRESS(2,COLUMN())),OFFSET($AT$2,0,0,ROW()-1,40),ROW()-1,FALSE))</f>
        <v>0</v>
      </c>
      <c r="AD43">
        <f ca="1">IF(AND(ISNUMBER($AD$149),$B$113=1),$AD$149,HLOOKUP(INDIRECT(ADDRESS(2,COLUMN())),OFFSET($AT$2,0,0,ROW()-1,40),ROW()-1,FALSE))</f>
        <v>0</v>
      </c>
      <c r="AE43">
        <f ca="1">IF(AND(ISNUMBER($AE$149),$B$113=1),$AE$149,HLOOKUP(INDIRECT(ADDRESS(2,COLUMN())),OFFSET($AT$2,0,0,ROW()-1,40),ROW()-1,FALSE))</f>
        <v>0</v>
      </c>
      <c r="AF43">
        <f ca="1">IF(AND(ISNUMBER($AF$149),$B$113=1),$AF$149,HLOOKUP(INDIRECT(ADDRESS(2,COLUMN())),OFFSET($AT$2,0,0,ROW()-1,40),ROW()-1,FALSE))</f>
        <v>0</v>
      </c>
      <c r="AG43">
        <f ca="1">IF(AND(ISNUMBER($AG$149),$B$113=1),$AG$149,HLOOKUP(INDIRECT(ADDRESS(2,COLUMN())),OFFSET($AT$2,0,0,ROW()-1,40),ROW()-1,FALSE))</f>
        <v>0</v>
      </c>
      <c r="AH43">
        <f ca="1">IF(AND(ISNUMBER($AH$149),$B$113=1),$AH$149,HLOOKUP(INDIRECT(ADDRESS(2,COLUMN())),OFFSET($AT$2,0,0,ROW()-1,40),ROW()-1,FALSE))</f>
        <v>0</v>
      </c>
      <c r="AI43">
        <f ca="1">IF(AND(ISNUMBER($AI$149),$B$113=1),$AI$149,HLOOKUP(INDIRECT(ADDRESS(2,COLUMN())),OFFSET($AT$2,0,0,ROW()-1,40),ROW()-1,FALSE))</f>
        <v>0</v>
      </c>
      <c r="AJ43">
        <f ca="1">IF(AND(ISNUMBER($AJ$149),$B$113=1),$AJ$149,HLOOKUP(INDIRECT(ADDRESS(2,COLUMN())),OFFSET($AT$2,0,0,ROW()-1,40),ROW()-1,FALSE))</f>
        <v>0</v>
      </c>
      <c r="AK43" t="str">
        <f ca="1">IF(AND(ISNUMBER($AK$149),$B$113=1),$AK$149,HLOOKUP(INDIRECT(ADDRESS(2,COLUMN())),OFFSET($AT$2,0,0,ROW()-1,40),ROW()-1,FALSE))</f>
        <v/>
      </c>
      <c r="AL43" t="str">
        <f ca="1">IF(AND(ISNUMBER($AL$149),$B$113=1),$AL$149,HLOOKUP(INDIRECT(ADDRESS(2,COLUMN())),OFFSET($AT$2,0,0,ROW()-1,40),ROW()-1,FALSE))</f>
        <v/>
      </c>
      <c r="AM43" t="str">
        <f ca="1">IF(AND(ISNUMBER($AM$149),$B$113=1),$AM$149,HLOOKUP(INDIRECT(ADDRESS(2,COLUMN())),OFFSET($AT$2,0,0,ROW()-1,40),ROW()-1,FALSE))</f>
        <v/>
      </c>
      <c r="AN43" t="str">
        <f ca="1">IF(AND(ISNUMBER($AN$149),$B$113=1),$AN$149,HLOOKUP(INDIRECT(ADDRESS(2,COLUMN())),OFFSET($AT$2,0,0,ROW()-1,40),ROW()-1,FALSE))</f>
        <v/>
      </c>
      <c r="AO43" t="str">
        <f ca="1">IF(AND(ISNUMBER($AO$149),$B$113=1),$AO$149,HLOOKUP(INDIRECT(ADDRESS(2,COLUMN())),OFFSET($AT$2,0,0,ROW()-1,40),ROW()-1,FALSE))</f>
        <v/>
      </c>
      <c r="AP43" t="str">
        <f ca="1">IF(AND(ISNUMBER($AP$149),$B$113=1),$AP$149,HLOOKUP(INDIRECT(ADDRESS(2,COLUMN())),OFFSET($AT$2,0,0,ROW()-1,40),ROW()-1,FALSE))</f>
        <v/>
      </c>
      <c r="AQ43" t="str">
        <f ca="1">IF(AND(ISNUMBER($AQ$149),$B$113=1),$AQ$149,HLOOKUP(INDIRECT(ADDRESS(2,COLUMN())),OFFSET($AT$2,0,0,ROW()-1,40),ROW()-1,FALSE))</f>
        <v/>
      </c>
      <c r="AR43" t="str">
        <f ca="1">IF(AND(ISNUMBER($AR$149),$B$113=1),$AR$149,HLOOKUP(INDIRECT(ADDRESS(2,COLUMN())),OFFSET($AT$2,0,0,ROW()-1,40),ROW()-1,FALSE))</f>
        <v/>
      </c>
      <c r="AS43" t="str">
        <f ca="1">IF(AND(ISNUMBER($AS$149),$B$113=1),$AS$149,HLOOKUP(INDIRECT(ADDRESS(2,COLUMN())),OFFSET($AT$2,0,0,ROW()-1,40),ROW()-1,FALSE))</f>
        <v/>
      </c>
      <c r="AT43">
        <f>19522</f>
        <v>19522</v>
      </c>
      <c r="AU43">
        <f>19989</f>
        <v>19989</v>
      </c>
      <c r="AV43">
        <f>16023</f>
        <v>16023</v>
      </c>
      <c r="AW43">
        <f>18413</f>
        <v>18413</v>
      </c>
      <c r="AX43">
        <f>26029</f>
        <v>26029</v>
      </c>
      <c r="AY43">
        <f>20334</f>
        <v>20334</v>
      </c>
      <c r="AZ43">
        <f>17572</f>
        <v>17572</v>
      </c>
      <c r="BA43">
        <f>20285</f>
        <v>20285</v>
      </c>
      <c r="BB43">
        <f>22459</f>
        <v>22459</v>
      </c>
      <c r="BC43">
        <f>23215</f>
        <v>23215</v>
      </c>
      <c r="BD43">
        <f>25386</f>
        <v>25386</v>
      </c>
      <c r="BE43">
        <f>29101</f>
        <v>29101</v>
      </c>
      <c r="BF43">
        <f>35399</f>
        <v>35399</v>
      </c>
      <c r="BG43">
        <f>36227</f>
        <v>36227</v>
      </c>
      <c r="BH43">
        <f>31471</f>
        <v>31471</v>
      </c>
      <c r="BI43">
        <f>21149</f>
        <v>21149</v>
      </c>
      <c r="BJ43">
        <f>20400</f>
        <v>20400</v>
      </c>
      <c r="BK43">
        <f>15614</f>
        <v>15614</v>
      </c>
      <c r="BL43">
        <f>13852</f>
        <v>13852</v>
      </c>
      <c r="BM43">
        <f>21595</f>
        <v>21595</v>
      </c>
      <c r="BN43">
        <f>18430</f>
        <v>18430</v>
      </c>
      <c r="BO43">
        <f>15463</f>
        <v>15463</v>
      </c>
      <c r="BP43">
        <f>0</f>
        <v>0</v>
      </c>
      <c r="BQ43">
        <f>0</f>
        <v>0</v>
      </c>
      <c r="BR43">
        <f>0</f>
        <v>0</v>
      </c>
      <c r="BS43">
        <f>0</f>
        <v>0</v>
      </c>
      <c r="BT43">
        <f>0</f>
        <v>0</v>
      </c>
      <c r="BU43">
        <f>0</f>
        <v>0</v>
      </c>
      <c r="BV43">
        <f>0</f>
        <v>0</v>
      </c>
      <c r="BW43">
        <f>0</f>
        <v>0</v>
      </c>
      <c r="BX43">
        <f>0</f>
        <v>0</v>
      </c>
      <c r="BY43" t="str">
        <f>""</f>
        <v/>
      </c>
      <c r="BZ43" t="str">
        <f>""</f>
        <v/>
      </c>
      <c r="CA43" t="str">
        <f>""</f>
        <v/>
      </c>
      <c r="CB43" t="str">
        <f>""</f>
        <v/>
      </c>
      <c r="CC43" t="str">
        <f>""</f>
        <v/>
      </c>
      <c r="CD43" t="str">
        <f>""</f>
        <v/>
      </c>
      <c r="CE43" t="str">
        <f>""</f>
        <v/>
      </c>
      <c r="CF43" t="str">
        <f>""</f>
        <v/>
      </c>
      <c r="CG43" t="str">
        <f>""</f>
        <v/>
      </c>
    </row>
    <row r="44" spans="1:85" x14ac:dyDescent="0.2">
      <c r="A44" t="str">
        <f>"        Fed. Conservation &amp; Development Construction (Mn USD)"</f>
        <v xml:space="preserve">        Fed. Conservation &amp; Development Construction (Mn USD)</v>
      </c>
      <c r="B44" t="str">
        <f>"FED1CONS Index"</f>
        <v>FED1CONS Index</v>
      </c>
      <c r="C44" t="str">
        <f t="shared" si="11"/>
        <v>PX385</v>
      </c>
      <c r="D44" t="str">
        <f t="shared" si="12"/>
        <v>INTERVAL_SUM</v>
      </c>
      <c r="E44" t="str">
        <f t="shared" si="13"/>
        <v>Dynamic</v>
      </c>
      <c r="F44">
        <f ca="1">IF(AND(ISNUMBER($F$150),$B$113=1),$F$150,HLOOKUP(INDIRECT(ADDRESS(2,COLUMN())),OFFSET($AT$2,0,0,ROW()-1,40),ROW()-1,FALSE))</f>
        <v>63881</v>
      </c>
      <c r="G44">
        <f ca="1">IF(AND(ISNUMBER($G$150),$B$113=1),$G$150,HLOOKUP(INDIRECT(ADDRESS(2,COLUMN())),OFFSET($AT$2,0,0,ROW()-1,40),ROW()-1,FALSE))</f>
        <v>64597</v>
      </c>
      <c r="H44">
        <f ca="1">IF(AND(ISNUMBER($H$150),$B$113=1),$H$150,HLOOKUP(INDIRECT(ADDRESS(2,COLUMN())),OFFSET($AT$2,0,0,ROW()-1,40),ROW()-1,FALSE))</f>
        <v>55210</v>
      </c>
      <c r="I44">
        <f ca="1">IF(AND(ISNUMBER($I$150),$B$113=1),$I$150,HLOOKUP(INDIRECT(ADDRESS(2,COLUMN())),OFFSET($AT$2,0,0,ROW()-1,40),ROW()-1,FALSE))</f>
        <v>64696</v>
      </c>
      <c r="J44">
        <f ca="1">IF(AND(ISNUMBER($J$150),$B$113=1),$J$150,HLOOKUP(INDIRECT(ADDRESS(2,COLUMN())),OFFSET($AT$2,0,0,ROW()-1,40),ROW()-1,FALSE))</f>
        <v>70788</v>
      </c>
      <c r="K44">
        <f ca="1">IF(AND(ISNUMBER($K$150),$B$113=1),$K$150,HLOOKUP(INDIRECT(ADDRESS(2,COLUMN())),OFFSET($AT$2,0,0,ROW()-1,40),ROW()-1,FALSE))</f>
        <v>53494</v>
      </c>
      <c r="L44">
        <f ca="1">IF(AND(ISNUMBER($L$150),$B$113=1),$L$150,HLOOKUP(INDIRECT(ADDRESS(2,COLUMN())),OFFSET($AT$2,0,0,ROW()-1,40),ROW()-1,FALSE))</f>
        <v>48743</v>
      </c>
      <c r="M44">
        <f ca="1">IF(AND(ISNUMBER($M$150),$B$113=1),$M$150,HLOOKUP(INDIRECT(ADDRESS(2,COLUMN())),OFFSET($AT$2,0,0,ROW()-1,40),ROW()-1,FALSE))</f>
        <v>52768</v>
      </c>
      <c r="N44">
        <f ca="1">IF(AND(ISNUMBER($N$150),$B$113=1),$N$150,HLOOKUP(INDIRECT(ADDRESS(2,COLUMN())),OFFSET($AT$2,0,0,ROW()-1,40),ROW()-1,FALSE))</f>
        <v>54055</v>
      </c>
      <c r="O44">
        <f ca="1">IF(AND(ISNUMBER($O$150),$B$113=1),$O$150,HLOOKUP(INDIRECT(ADDRESS(2,COLUMN())),OFFSET($AT$2,0,0,ROW()-1,40),ROW()-1,FALSE))</f>
        <v>48586</v>
      </c>
      <c r="P44">
        <f ca="1">IF(AND(ISNUMBER($P$150),$B$113=1),$P$150,HLOOKUP(INDIRECT(ADDRESS(2,COLUMN())),OFFSET($AT$2,0,0,ROW()-1,40),ROW()-1,FALSE))</f>
        <v>40203</v>
      </c>
      <c r="Q44">
        <f ca="1">IF(AND(ISNUMBER($Q$150),$B$113=1),$Q$150,HLOOKUP(INDIRECT(ADDRESS(2,COLUMN())),OFFSET($AT$2,0,0,ROW()-1,40),ROW()-1,FALSE))</f>
        <v>47116</v>
      </c>
      <c r="R44">
        <f ca="1">IF(AND(ISNUMBER($R$150),$B$113=1),$R$150,HLOOKUP(INDIRECT(ADDRESS(2,COLUMN())),OFFSET($AT$2,0,0,ROW()-1,40),ROW()-1,FALSE))</f>
        <v>62383</v>
      </c>
      <c r="S44">
        <f ca="1">IF(AND(ISNUMBER($S$150),$B$113=1),$S$150,HLOOKUP(INDIRECT(ADDRESS(2,COLUMN())),OFFSET($AT$2,0,0,ROW()-1,40),ROW()-1,FALSE))</f>
        <v>61011</v>
      </c>
      <c r="T44">
        <f ca="1">IF(AND(ISNUMBER($T$150),$B$113=1),$T$150,HLOOKUP(INDIRECT(ADDRESS(2,COLUMN())),OFFSET($AT$2,0,0,ROW()-1,40),ROW()-1,FALSE))</f>
        <v>44432</v>
      </c>
      <c r="U44">
        <f ca="1">IF(AND(ISNUMBER($U$150),$B$113=1),$U$150,HLOOKUP(INDIRECT(ADDRESS(2,COLUMN())),OFFSET($AT$2,0,0,ROW()-1,40),ROW()-1,FALSE))</f>
        <v>35142</v>
      </c>
      <c r="V44">
        <f ca="1">IF(AND(ISNUMBER($V$150),$B$113=1),$V$150,HLOOKUP(INDIRECT(ADDRESS(2,COLUMN())),OFFSET($AT$2,0,0,ROW()-1,40),ROW()-1,FALSE))</f>
        <v>35495</v>
      </c>
      <c r="W44">
        <f ca="1">IF(AND(ISNUMBER($W$150),$B$113=1),$W$150,HLOOKUP(INDIRECT(ADDRESS(2,COLUMN())),OFFSET($AT$2,0,0,ROW()-1,40),ROW()-1,FALSE))</f>
        <v>36388</v>
      </c>
      <c r="X44">
        <f ca="1">IF(AND(ISNUMBER($X$150),$B$113=1),$X$150,HLOOKUP(INDIRECT(ADDRESS(2,COLUMN())),OFFSET($AT$2,0,0,ROW()-1,40),ROW()-1,FALSE))</f>
        <v>30808</v>
      </c>
      <c r="Y44">
        <f ca="1">IF(AND(ISNUMBER($Y$150),$B$113=1),$Y$150,HLOOKUP(INDIRECT(ADDRESS(2,COLUMN())),OFFSET($AT$2,0,0,ROW()-1,40),ROW()-1,FALSE))</f>
        <v>28687</v>
      </c>
      <c r="Z44">
        <f ca="1">IF(AND(ISNUMBER($Z$150),$B$113=1),$Z$150,HLOOKUP(INDIRECT(ADDRESS(2,COLUMN())),OFFSET($AT$2,0,0,ROW()-1,40),ROW()-1,FALSE))</f>
        <v>32037</v>
      </c>
      <c r="AA44">
        <f ca="1">IF(AND(ISNUMBER($AA$150),$B$113=1),$AA$150,HLOOKUP(INDIRECT(ADDRESS(2,COLUMN())),OFFSET($AT$2,0,0,ROW()-1,40),ROW()-1,FALSE))</f>
        <v>30160</v>
      </c>
      <c r="AB44">
        <f ca="1">IF(AND(ISNUMBER($AB$150),$B$113=1),$AB$150,HLOOKUP(INDIRECT(ADDRESS(2,COLUMN())),OFFSET($AT$2,0,0,ROW()-1,40),ROW()-1,FALSE))</f>
        <v>0</v>
      </c>
      <c r="AC44">
        <f ca="1">IF(AND(ISNUMBER($AC$150),$B$113=1),$AC$150,HLOOKUP(INDIRECT(ADDRESS(2,COLUMN())),OFFSET($AT$2,0,0,ROW()-1,40),ROW()-1,FALSE))</f>
        <v>0</v>
      </c>
      <c r="AD44">
        <f ca="1">IF(AND(ISNUMBER($AD$150),$B$113=1),$AD$150,HLOOKUP(INDIRECT(ADDRESS(2,COLUMN())),OFFSET($AT$2,0,0,ROW()-1,40),ROW()-1,FALSE))</f>
        <v>0</v>
      </c>
      <c r="AE44">
        <f ca="1">IF(AND(ISNUMBER($AE$150),$B$113=1),$AE$150,HLOOKUP(INDIRECT(ADDRESS(2,COLUMN())),OFFSET($AT$2,0,0,ROW()-1,40),ROW()-1,FALSE))</f>
        <v>0</v>
      </c>
      <c r="AF44">
        <f ca="1">IF(AND(ISNUMBER($AF$150),$B$113=1),$AF$150,HLOOKUP(INDIRECT(ADDRESS(2,COLUMN())),OFFSET($AT$2,0,0,ROW()-1,40),ROW()-1,FALSE))</f>
        <v>0</v>
      </c>
      <c r="AG44">
        <f ca="1">IF(AND(ISNUMBER($AG$150),$B$113=1),$AG$150,HLOOKUP(INDIRECT(ADDRESS(2,COLUMN())),OFFSET($AT$2,0,0,ROW()-1,40),ROW()-1,FALSE))</f>
        <v>0</v>
      </c>
      <c r="AH44">
        <f ca="1">IF(AND(ISNUMBER($AH$150),$B$113=1),$AH$150,HLOOKUP(INDIRECT(ADDRESS(2,COLUMN())),OFFSET($AT$2,0,0,ROW()-1,40),ROW()-1,FALSE))</f>
        <v>0</v>
      </c>
      <c r="AI44">
        <f ca="1">IF(AND(ISNUMBER($AI$150),$B$113=1),$AI$150,HLOOKUP(INDIRECT(ADDRESS(2,COLUMN())),OFFSET($AT$2,0,0,ROW()-1,40),ROW()-1,FALSE))</f>
        <v>0</v>
      </c>
      <c r="AJ44">
        <f ca="1">IF(AND(ISNUMBER($AJ$150),$B$113=1),$AJ$150,HLOOKUP(INDIRECT(ADDRESS(2,COLUMN())),OFFSET($AT$2,0,0,ROW()-1,40),ROW()-1,FALSE))</f>
        <v>0</v>
      </c>
      <c r="AK44" t="str">
        <f ca="1">IF(AND(ISNUMBER($AK$150),$B$113=1),$AK$150,HLOOKUP(INDIRECT(ADDRESS(2,COLUMN())),OFFSET($AT$2,0,0,ROW()-1,40),ROW()-1,FALSE))</f>
        <v/>
      </c>
      <c r="AL44" t="str">
        <f ca="1">IF(AND(ISNUMBER($AL$150),$B$113=1),$AL$150,HLOOKUP(INDIRECT(ADDRESS(2,COLUMN())),OFFSET($AT$2,0,0,ROW()-1,40),ROW()-1,FALSE))</f>
        <v/>
      </c>
      <c r="AM44" t="str">
        <f ca="1">IF(AND(ISNUMBER($AM$150),$B$113=1),$AM$150,HLOOKUP(INDIRECT(ADDRESS(2,COLUMN())),OFFSET($AT$2,0,0,ROW()-1,40),ROW()-1,FALSE))</f>
        <v/>
      </c>
      <c r="AN44" t="str">
        <f ca="1">IF(AND(ISNUMBER($AN$150),$B$113=1),$AN$150,HLOOKUP(INDIRECT(ADDRESS(2,COLUMN())),OFFSET($AT$2,0,0,ROW()-1,40),ROW()-1,FALSE))</f>
        <v/>
      </c>
      <c r="AO44" t="str">
        <f ca="1">IF(AND(ISNUMBER($AO$150),$B$113=1),$AO$150,HLOOKUP(INDIRECT(ADDRESS(2,COLUMN())),OFFSET($AT$2,0,0,ROW()-1,40),ROW()-1,FALSE))</f>
        <v/>
      </c>
      <c r="AP44" t="str">
        <f ca="1">IF(AND(ISNUMBER($AP$150),$B$113=1),$AP$150,HLOOKUP(INDIRECT(ADDRESS(2,COLUMN())),OFFSET($AT$2,0,0,ROW()-1,40),ROW()-1,FALSE))</f>
        <v/>
      </c>
      <c r="AQ44" t="str">
        <f ca="1">IF(AND(ISNUMBER($AQ$150),$B$113=1),$AQ$150,HLOOKUP(INDIRECT(ADDRESS(2,COLUMN())),OFFSET($AT$2,0,0,ROW()-1,40),ROW()-1,FALSE))</f>
        <v/>
      </c>
      <c r="AR44" t="str">
        <f ca="1">IF(AND(ISNUMBER($AR$150),$B$113=1),$AR$150,HLOOKUP(INDIRECT(ADDRESS(2,COLUMN())),OFFSET($AT$2,0,0,ROW()-1,40),ROW()-1,FALSE))</f>
        <v/>
      </c>
      <c r="AS44" t="str">
        <f ca="1">IF(AND(ISNUMBER($AS$150),$B$113=1),$AS$150,HLOOKUP(INDIRECT(ADDRESS(2,COLUMN())),OFFSET($AT$2,0,0,ROW()-1,40),ROW()-1,FALSE))</f>
        <v/>
      </c>
      <c r="AT44">
        <f>63881</f>
        <v>63881</v>
      </c>
      <c r="AU44">
        <f>64597</f>
        <v>64597</v>
      </c>
      <c r="AV44">
        <f>55210</f>
        <v>55210</v>
      </c>
      <c r="AW44">
        <f>64696</f>
        <v>64696</v>
      </c>
      <c r="AX44">
        <f>70788</f>
        <v>70788</v>
      </c>
      <c r="AY44">
        <f>53494</f>
        <v>53494</v>
      </c>
      <c r="AZ44">
        <f>48743</f>
        <v>48743</v>
      </c>
      <c r="BA44">
        <f>52768</f>
        <v>52768</v>
      </c>
      <c r="BB44">
        <f>54055</f>
        <v>54055</v>
      </c>
      <c r="BC44">
        <f>48586</f>
        <v>48586</v>
      </c>
      <c r="BD44">
        <f>40203</f>
        <v>40203</v>
      </c>
      <c r="BE44">
        <f>47116</f>
        <v>47116</v>
      </c>
      <c r="BF44">
        <f>62383</f>
        <v>62383</v>
      </c>
      <c r="BG44">
        <f>61011</f>
        <v>61011</v>
      </c>
      <c r="BH44">
        <f>44432</f>
        <v>44432</v>
      </c>
      <c r="BI44">
        <f>35142</f>
        <v>35142</v>
      </c>
      <c r="BJ44">
        <f>35495</f>
        <v>35495</v>
      </c>
      <c r="BK44">
        <f>36388</f>
        <v>36388</v>
      </c>
      <c r="BL44">
        <f>30808</f>
        <v>30808</v>
      </c>
      <c r="BM44">
        <f>28687</f>
        <v>28687</v>
      </c>
      <c r="BN44">
        <f>32037</f>
        <v>32037</v>
      </c>
      <c r="BO44">
        <f>30160</f>
        <v>30160</v>
      </c>
      <c r="BP44">
        <f>0</f>
        <v>0</v>
      </c>
      <c r="BQ44">
        <f>0</f>
        <v>0</v>
      </c>
      <c r="BR44">
        <f>0</f>
        <v>0</v>
      </c>
      <c r="BS44">
        <f>0</f>
        <v>0</v>
      </c>
      <c r="BT44">
        <f>0</f>
        <v>0</v>
      </c>
      <c r="BU44">
        <f>0</f>
        <v>0</v>
      </c>
      <c r="BV44">
        <f>0</f>
        <v>0</v>
      </c>
      <c r="BW44">
        <f>0</f>
        <v>0</v>
      </c>
      <c r="BX44">
        <f>0</f>
        <v>0</v>
      </c>
      <c r="BY44" t="str">
        <f>""</f>
        <v/>
      </c>
      <c r="BZ44" t="str">
        <f>""</f>
        <v/>
      </c>
      <c r="CA44" t="str">
        <f>""</f>
        <v/>
      </c>
      <c r="CB44" t="str">
        <f>""</f>
        <v/>
      </c>
      <c r="CC44" t="str">
        <f>""</f>
        <v/>
      </c>
      <c r="CD44" t="str">
        <f>""</f>
        <v/>
      </c>
      <c r="CE44" t="str">
        <f>""</f>
        <v/>
      </c>
      <c r="CF44" t="str">
        <f>""</f>
        <v/>
      </c>
      <c r="CG44" t="str">
        <f>""</f>
        <v/>
      </c>
    </row>
    <row r="45" spans="1:85" x14ac:dyDescent="0.2">
      <c r="A45" t="str">
        <f>"        Fed. Public Safety Construction (Mn USD)"</f>
        <v xml:space="preserve">        Fed. Public Safety Construction (Mn USD)</v>
      </c>
      <c r="B45" t="str">
        <f>"FED1PSAF Index"</f>
        <v>FED1PSAF Index</v>
      </c>
      <c r="C45" t="str">
        <f t="shared" si="11"/>
        <v>PX385</v>
      </c>
      <c r="D45" t="str">
        <f t="shared" si="12"/>
        <v>INTERVAL_SUM</v>
      </c>
      <c r="E45" t="str">
        <f t="shared" si="13"/>
        <v>Dynamic</v>
      </c>
      <c r="F45">
        <f ca="1">IF(AND(ISNUMBER($F$151),$B$113=1),$F$151,HLOOKUP(INDIRECT(ADDRESS(2,COLUMN())),OFFSET($AT$2,0,0,ROW()-1,40),ROW()-1,FALSE))</f>
        <v>23656</v>
      </c>
      <c r="G45">
        <f ca="1">IF(AND(ISNUMBER($G$151),$B$113=1),$G$151,HLOOKUP(INDIRECT(ADDRESS(2,COLUMN())),OFFSET($AT$2,0,0,ROW()-1,40),ROW()-1,FALSE))</f>
        <v>30688</v>
      </c>
      <c r="H45">
        <f ca="1">IF(AND(ISNUMBER($H$151),$B$113=1),$H$151,HLOOKUP(INDIRECT(ADDRESS(2,COLUMN())),OFFSET($AT$2,0,0,ROW()-1,40),ROW()-1,FALSE))</f>
        <v>45858</v>
      </c>
      <c r="I45">
        <f ca="1">IF(AND(ISNUMBER($I$151),$B$113=1),$I$151,HLOOKUP(INDIRECT(ADDRESS(2,COLUMN())),OFFSET($AT$2,0,0,ROW()-1,40),ROW()-1,FALSE))</f>
        <v>97710</v>
      </c>
      <c r="J45">
        <f ca="1">IF(AND(ISNUMBER($J$151),$B$113=1),$J$151,HLOOKUP(INDIRECT(ADDRESS(2,COLUMN())),OFFSET($AT$2,0,0,ROW()-1,40),ROW()-1,FALSE))</f>
        <v>44076</v>
      </c>
      <c r="K45">
        <f ca="1">IF(AND(ISNUMBER($K$151),$B$113=1),$K$151,HLOOKUP(INDIRECT(ADDRESS(2,COLUMN())),OFFSET($AT$2,0,0,ROW()-1,40),ROW()-1,FALSE))</f>
        <v>24781</v>
      </c>
      <c r="L45">
        <f ca="1">IF(AND(ISNUMBER($L$151),$B$113=1),$L$151,HLOOKUP(INDIRECT(ADDRESS(2,COLUMN())),OFFSET($AT$2,0,0,ROW()-1,40),ROW()-1,FALSE))</f>
        <v>26628</v>
      </c>
      <c r="M45">
        <f ca="1">IF(AND(ISNUMBER($M$151),$B$113=1),$M$151,HLOOKUP(INDIRECT(ADDRESS(2,COLUMN())),OFFSET($AT$2,0,0,ROW()-1,40),ROW()-1,FALSE))</f>
        <v>26883</v>
      </c>
      <c r="N45">
        <f ca="1">IF(AND(ISNUMBER($N$151),$B$113=1),$N$151,HLOOKUP(INDIRECT(ADDRESS(2,COLUMN())),OFFSET($AT$2,0,0,ROW()-1,40),ROW()-1,FALSE))</f>
        <v>28994</v>
      </c>
      <c r="O45">
        <f ca="1">IF(AND(ISNUMBER($O$151),$B$113=1),$O$151,HLOOKUP(INDIRECT(ADDRESS(2,COLUMN())),OFFSET($AT$2,0,0,ROW()-1,40),ROW()-1,FALSE))</f>
        <v>33536</v>
      </c>
      <c r="P45">
        <f ca="1">IF(AND(ISNUMBER($P$151),$B$113=1),$P$151,HLOOKUP(INDIRECT(ADDRESS(2,COLUMN())),OFFSET($AT$2,0,0,ROW()-1,40),ROW()-1,FALSE))</f>
        <v>33509</v>
      </c>
      <c r="Q45">
        <f ca="1">IF(AND(ISNUMBER($Q$151),$B$113=1),$Q$151,HLOOKUP(INDIRECT(ADDRESS(2,COLUMN())),OFFSET($AT$2,0,0,ROW()-1,40),ROW()-1,FALSE))</f>
        <v>32208</v>
      </c>
      <c r="R45">
        <f ca="1">IF(AND(ISNUMBER($R$151),$B$113=1),$R$151,HLOOKUP(INDIRECT(ADDRESS(2,COLUMN())),OFFSET($AT$2,0,0,ROW()-1,40),ROW()-1,FALSE))</f>
        <v>35432</v>
      </c>
      <c r="S45">
        <f ca="1">IF(AND(ISNUMBER($S$151),$B$113=1),$S$151,HLOOKUP(INDIRECT(ADDRESS(2,COLUMN())),OFFSET($AT$2,0,0,ROW()-1,40),ROW()-1,FALSE))</f>
        <v>40024</v>
      </c>
      <c r="T45">
        <f ca="1">IF(AND(ISNUMBER($T$151),$B$113=1),$T$151,HLOOKUP(INDIRECT(ADDRESS(2,COLUMN())),OFFSET($AT$2,0,0,ROW()-1,40),ROW()-1,FALSE))</f>
        <v>46748</v>
      </c>
      <c r="U45">
        <f ca="1">IF(AND(ISNUMBER($U$151),$B$113=1),$U$151,HLOOKUP(INDIRECT(ADDRESS(2,COLUMN())),OFFSET($AT$2,0,0,ROW()-1,40),ROW()-1,FALSE))</f>
        <v>33073</v>
      </c>
      <c r="V45">
        <f ca="1">IF(AND(ISNUMBER($V$151),$B$113=1),$V$151,HLOOKUP(INDIRECT(ADDRESS(2,COLUMN())),OFFSET($AT$2,0,0,ROW()-1,40),ROW()-1,FALSE))</f>
        <v>13808</v>
      </c>
      <c r="W45">
        <f ca="1">IF(AND(ISNUMBER($W$151),$B$113=1),$W$151,HLOOKUP(INDIRECT(ADDRESS(2,COLUMN())),OFFSET($AT$2,0,0,ROW()-1,40),ROW()-1,FALSE))</f>
        <v>8983</v>
      </c>
      <c r="X45">
        <f ca="1">IF(AND(ISNUMBER($X$151),$B$113=1),$X$151,HLOOKUP(INDIRECT(ADDRESS(2,COLUMN())),OFFSET($AT$2,0,0,ROW()-1,40),ROW()-1,FALSE))</f>
        <v>10671</v>
      </c>
      <c r="Y45">
        <f ca="1">IF(AND(ISNUMBER($Y$151),$B$113=1),$Y$151,HLOOKUP(INDIRECT(ADDRESS(2,COLUMN())),OFFSET($AT$2,0,0,ROW()-1,40),ROW()-1,FALSE))</f>
        <v>14778</v>
      </c>
      <c r="Z45">
        <f ca="1">IF(AND(ISNUMBER($Z$151),$B$113=1),$Z$151,HLOOKUP(INDIRECT(ADDRESS(2,COLUMN())),OFFSET($AT$2,0,0,ROW()-1,40),ROW()-1,FALSE))</f>
        <v>13625</v>
      </c>
      <c r="AA45">
        <f ca="1">IF(AND(ISNUMBER($AA$151),$B$113=1),$AA$151,HLOOKUP(INDIRECT(ADDRESS(2,COLUMN())),OFFSET($AT$2,0,0,ROW()-1,40),ROW()-1,FALSE))</f>
        <v>19872</v>
      </c>
      <c r="AB45">
        <f ca="1">IF(AND(ISNUMBER($AB$151),$B$113=1),$AB$151,HLOOKUP(INDIRECT(ADDRESS(2,COLUMN())),OFFSET($AT$2,0,0,ROW()-1,40),ROW()-1,FALSE))</f>
        <v>0</v>
      </c>
      <c r="AC45">
        <f ca="1">IF(AND(ISNUMBER($AC$151),$B$113=1),$AC$151,HLOOKUP(INDIRECT(ADDRESS(2,COLUMN())),OFFSET($AT$2,0,0,ROW()-1,40),ROW()-1,FALSE))</f>
        <v>0</v>
      </c>
      <c r="AD45">
        <f ca="1">IF(AND(ISNUMBER($AD$151),$B$113=1),$AD$151,HLOOKUP(INDIRECT(ADDRESS(2,COLUMN())),OFFSET($AT$2,0,0,ROW()-1,40),ROW()-1,FALSE))</f>
        <v>0</v>
      </c>
      <c r="AE45">
        <f ca="1">IF(AND(ISNUMBER($AE$151),$B$113=1),$AE$151,HLOOKUP(INDIRECT(ADDRESS(2,COLUMN())),OFFSET($AT$2,0,0,ROW()-1,40),ROW()-1,FALSE))</f>
        <v>0</v>
      </c>
      <c r="AF45">
        <f ca="1">IF(AND(ISNUMBER($AF$151),$B$113=1),$AF$151,HLOOKUP(INDIRECT(ADDRESS(2,COLUMN())),OFFSET($AT$2,0,0,ROW()-1,40),ROW()-1,FALSE))</f>
        <v>0</v>
      </c>
      <c r="AG45">
        <f ca="1">IF(AND(ISNUMBER($AG$151),$B$113=1),$AG$151,HLOOKUP(INDIRECT(ADDRESS(2,COLUMN())),OFFSET($AT$2,0,0,ROW()-1,40),ROW()-1,FALSE))</f>
        <v>0</v>
      </c>
      <c r="AH45">
        <f ca="1">IF(AND(ISNUMBER($AH$151),$B$113=1),$AH$151,HLOOKUP(INDIRECT(ADDRESS(2,COLUMN())),OFFSET($AT$2,0,0,ROW()-1,40),ROW()-1,FALSE))</f>
        <v>0</v>
      </c>
      <c r="AI45">
        <f ca="1">IF(AND(ISNUMBER($AI$151),$B$113=1),$AI$151,HLOOKUP(INDIRECT(ADDRESS(2,COLUMN())),OFFSET($AT$2,0,0,ROW()-1,40),ROW()-1,FALSE))</f>
        <v>0</v>
      </c>
      <c r="AJ45">
        <f ca="1">IF(AND(ISNUMBER($AJ$151),$B$113=1),$AJ$151,HLOOKUP(INDIRECT(ADDRESS(2,COLUMN())),OFFSET($AT$2,0,0,ROW()-1,40),ROW()-1,FALSE))</f>
        <v>0</v>
      </c>
      <c r="AK45" t="str">
        <f ca="1">IF(AND(ISNUMBER($AK$151),$B$113=1),$AK$151,HLOOKUP(INDIRECT(ADDRESS(2,COLUMN())),OFFSET($AT$2,0,0,ROW()-1,40),ROW()-1,FALSE))</f>
        <v/>
      </c>
      <c r="AL45" t="str">
        <f ca="1">IF(AND(ISNUMBER($AL$151),$B$113=1),$AL$151,HLOOKUP(INDIRECT(ADDRESS(2,COLUMN())),OFFSET($AT$2,0,0,ROW()-1,40),ROW()-1,FALSE))</f>
        <v/>
      </c>
      <c r="AM45" t="str">
        <f ca="1">IF(AND(ISNUMBER($AM$151),$B$113=1),$AM$151,HLOOKUP(INDIRECT(ADDRESS(2,COLUMN())),OFFSET($AT$2,0,0,ROW()-1,40),ROW()-1,FALSE))</f>
        <v/>
      </c>
      <c r="AN45" t="str">
        <f ca="1">IF(AND(ISNUMBER($AN$151),$B$113=1),$AN$151,HLOOKUP(INDIRECT(ADDRESS(2,COLUMN())),OFFSET($AT$2,0,0,ROW()-1,40),ROW()-1,FALSE))</f>
        <v/>
      </c>
      <c r="AO45" t="str">
        <f ca="1">IF(AND(ISNUMBER($AO$151),$B$113=1),$AO$151,HLOOKUP(INDIRECT(ADDRESS(2,COLUMN())),OFFSET($AT$2,0,0,ROW()-1,40),ROW()-1,FALSE))</f>
        <v/>
      </c>
      <c r="AP45" t="str">
        <f ca="1">IF(AND(ISNUMBER($AP$151),$B$113=1),$AP$151,HLOOKUP(INDIRECT(ADDRESS(2,COLUMN())),OFFSET($AT$2,0,0,ROW()-1,40),ROW()-1,FALSE))</f>
        <v/>
      </c>
      <c r="AQ45" t="str">
        <f ca="1">IF(AND(ISNUMBER($AQ$151),$B$113=1),$AQ$151,HLOOKUP(INDIRECT(ADDRESS(2,COLUMN())),OFFSET($AT$2,0,0,ROW()-1,40),ROW()-1,FALSE))</f>
        <v/>
      </c>
      <c r="AR45" t="str">
        <f ca="1">IF(AND(ISNUMBER($AR$151),$B$113=1),$AR$151,HLOOKUP(INDIRECT(ADDRESS(2,COLUMN())),OFFSET($AT$2,0,0,ROW()-1,40),ROW()-1,FALSE))</f>
        <v/>
      </c>
      <c r="AS45" t="str">
        <f ca="1">IF(AND(ISNUMBER($AS$151),$B$113=1),$AS$151,HLOOKUP(INDIRECT(ADDRESS(2,COLUMN())),OFFSET($AT$2,0,0,ROW()-1,40),ROW()-1,FALSE))</f>
        <v/>
      </c>
      <c r="AT45">
        <f>23656</f>
        <v>23656</v>
      </c>
      <c r="AU45">
        <f>30688</f>
        <v>30688</v>
      </c>
      <c r="AV45">
        <f>45858</f>
        <v>45858</v>
      </c>
      <c r="AW45">
        <f>97710</f>
        <v>97710</v>
      </c>
      <c r="AX45">
        <f>44076</f>
        <v>44076</v>
      </c>
      <c r="AY45">
        <f>24781</f>
        <v>24781</v>
      </c>
      <c r="AZ45">
        <f>26628</f>
        <v>26628</v>
      </c>
      <c r="BA45">
        <f>26883</f>
        <v>26883</v>
      </c>
      <c r="BB45">
        <f>28994</f>
        <v>28994</v>
      </c>
      <c r="BC45">
        <f>33536</f>
        <v>33536</v>
      </c>
      <c r="BD45">
        <f>33509</f>
        <v>33509</v>
      </c>
      <c r="BE45">
        <f>32208</f>
        <v>32208</v>
      </c>
      <c r="BF45">
        <f>35432</f>
        <v>35432</v>
      </c>
      <c r="BG45">
        <f>40024</f>
        <v>40024</v>
      </c>
      <c r="BH45">
        <f>46748</f>
        <v>46748</v>
      </c>
      <c r="BI45">
        <f>33073</f>
        <v>33073</v>
      </c>
      <c r="BJ45">
        <f>13808</f>
        <v>13808</v>
      </c>
      <c r="BK45">
        <f>8983</f>
        <v>8983</v>
      </c>
      <c r="BL45">
        <f>10671</f>
        <v>10671</v>
      </c>
      <c r="BM45">
        <f>14778</f>
        <v>14778</v>
      </c>
      <c r="BN45">
        <f>13625</f>
        <v>13625</v>
      </c>
      <c r="BO45">
        <f>19872</f>
        <v>19872</v>
      </c>
      <c r="BP45">
        <f>0</f>
        <v>0</v>
      </c>
      <c r="BQ45">
        <f>0</f>
        <v>0</v>
      </c>
      <c r="BR45">
        <f>0</f>
        <v>0</v>
      </c>
      <c r="BS45">
        <f>0</f>
        <v>0</v>
      </c>
      <c r="BT45">
        <f>0</f>
        <v>0</v>
      </c>
      <c r="BU45">
        <f>0</f>
        <v>0</v>
      </c>
      <c r="BV45">
        <f>0</f>
        <v>0</v>
      </c>
      <c r="BW45">
        <f>0</f>
        <v>0</v>
      </c>
      <c r="BX45">
        <f>0</f>
        <v>0</v>
      </c>
      <c r="BY45" t="str">
        <f>""</f>
        <v/>
      </c>
      <c r="BZ45" t="str">
        <f>""</f>
        <v/>
      </c>
      <c r="CA45" t="str">
        <f>""</f>
        <v/>
      </c>
      <c r="CB45" t="str">
        <f>""</f>
        <v/>
      </c>
      <c r="CC45" t="str">
        <f>""</f>
        <v/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</row>
    <row r="46" spans="1:85" x14ac:dyDescent="0.2">
      <c r="A46" t="str">
        <f>"    "</f>
        <v xml:space="preserve">    </v>
      </c>
      <c r="B46" t="str">
        <f>""</f>
        <v/>
      </c>
      <c r="E46" t="str">
        <f>"Static"</f>
        <v>Static</v>
      </c>
      <c r="F46" t="str">
        <f t="shared" ref="F46:AS46" ca="1" si="14">HLOOKUP(INDIRECT(ADDRESS(2,COLUMN())),OFFSET($AT$2,0,0,ROW()-1,40),ROW()-1,FALSE)</f>
        <v/>
      </c>
      <c r="G46" t="str">
        <f t="shared" ca="1" si="14"/>
        <v/>
      </c>
      <c r="H46" t="str">
        <f t="shared" ca="1" si="14"/>
        <v/>
      </c>
      <c r="I46" t="str">
        <f t="shared" ca="1" si="14"/>
        <v/>
      </c>
      <c r="J46" t="str">
        <f t="shared" ca="1" si="14"/>
        <v/>
      </c>
      <c r="K46" t="str">
        <f t="shared" ca="1" si="14"/>
        <v/>
      </c>
      <c r="L46" t="str">
        <f t="shared" ca="1" si="14"/>
        <v/>
      </c>
      <c r="M46" t="str">
        <f t="shared" ca="1" si="14"/>
        <v/>
      </c>
      <c r="N46" t="str">
        <f t="shared" ca="1" si="14"/>
        <v/>
      </c>
      <c r="O46" t="str">
        <f t="shared" ca="1" si="14"/>
        <v/>
      </c>
      <c r="P46" t="str">
        <f t="shared" ca="1" si="14"/>
        <v/>
      </c>
      <c r="Q46" t="str">
        <f t="shared" ca="1" si="14"/>
        <v/>
      </c>
      <c r="R46" t="str">
        <f t="shared" ca="1" si="14"/>
        <v/>
      </c>
      <c r="S46" t="str">
        <f t="shared" ca="1" si="14"/>
        <v/>
      </c>
      <c r="T46" t="str">
        <f t="shared" ca="1" si="14"/>
        <v/>
      </c>
      <c r="U46" t="str">
        <f t="shared" ca="1" si="14"/>
        <v/>
      </c>
      <c r="V46" t="str">
        <f t="shared" ca="1" si="14"/>
        <v/>
      </c>
      <c r="W46" t="str">
        <f t="shared" ca="1" si="14"/>
        <v/>
      </c>
      <c r="X46" t="str">
        <f t="shared" ca="1" si="14"/>
        <v/>
      </c>
      <c r="Y46" t="str">
        <f t="shared" ca="1" si="14"/>
        <v/>
      </c>
      <c r="Z46" t="str">
        <f t="shared" ca="1" si="14"/>
        <v/>
      </c>
      <c r="AA46" t="str">
        <f t="shared" ca="1" si="14"/>
        <v/>
      </c>
      <c r="AB46" t="str">
        <f t="shared" ca="1" si="14"/>
        <v/>
      </c>
      <c r="AC46" t="str">
        <f t="shared" ca="1" si="14"/>
        <v/>
      </c>
      <c r="AD46" t="str">
        <f t="shared" ca="1" si="14"/>
        <v/>
      </c>
      <c r="AE46" t="str">
        <f t="shared" ca="1" si="14"/>
        <v/>
      </c>
      <c r="AF46" t="str">
        <f t="shared" ca="1" si="14"/>
        <v/>
      </c>
      <c r="AG46" t="str">
        <f t="shared" ca="1" si="14"/>
        <v/>
      </c>
      <c r="AH46" t="str">
        <f t="shared" ca="1" si="14"/>
        <v/>
      </c>
      <c r="AI46" t="str">
        <f t="shared" ca="1" si="14"/>
        <v/>
      </c>
      <c r="AJ46" t="str">
        <f t="shared" ca="1" si="14"/>
        <v/>
      </c>
      <c r="AK46" t="str">
        <f t="shared" ca="1" si="14"/>
        <v/>
      </c>
      <c r="AL46" t="str">
        <f t="shared" ca="1" si="14"/>
        <v/>
      </c>
      <c r="AM46" t="str">
        <f t="shared" ca="1" si="14"/>
        <v/>
      </c>
      <c r="AN46" t="str">
        <f t="shared" ca="1" si="14"/>
        <v/>
      </c>
      <c r="AO46" t="str">
        <f t="shared" ca="1" si="14"/>
        <v/>
      </c>
      <c r="AP46" t="str">
        <f t="shared" ca="1" si="14"/>
        <v/>
      </c>
      <c r="AQ46" t="str">
        <f t="shared" ca="1" si="14"/>
        <v/>
      </c>
      <c r="AR46" t="str">
        <f t="shared" ca="1" si="14"/>
        <v/>
      </c>
      <c r="AS46" t="str">
        <f t="shared" ca="1" si="14"/>
        <v/>
      </c>
      <c r="AT46" t="str">
        <f>""</f>
        <v/>
      </c>
      <c r="AU46" t="str">
        <f>""</f>
        <v/>
      </c>
      <c r="AV46" t="str">
        <f>""</f>
        <v/>
      </c>
      <c r="AW46" t="str">
        <f>""</f>
        <v/>
      </c>
      <c r="AX46" t="str">
        <f>""</f>
        <v/>
      </c>
      <c r="AY46" t="str">
        <f>""</f>
        <v/>
      </c>
      <c r="AZ46" t="str">
        <f>""</f>
        <v/>
      </c>
      <c r="BA46" t="str">
        <f>""</f>
        <v/>
      </c>
      <c r="BB46" t="str">
        <f>""</f>
        <v/>
      </c>
      <c r="BC46" t="str">
        <f>""</f>
        <v/>
      </c>
      <c r="BD46" t="str">
        <f>""</f>
        <v/>
      </c>
      <c r="BE46" t="str">
        <f>""</f>
        <v/>
      </c>
      <c r="BF46" t="str">
        <f>""</f>
        <v/>
      </c>
      <c r="BG46" t="str">
        <f>""</f>
        <v/>
      </c>
      <c r="BH46" t="str">
        <f>""</f>
        <v/>
      </c>
      <c r="BI46" t="str">
        <f>""</f>
        <v/>
      </c>
      <c r="BJ46" t="str">
        <f>""</f>
        <v/>
      </c>
      <c r="BK46" t="str">
        <f>""</f>
        <v/>
      </c>
      <c r="BL46" t="str">
        <f>""</f>
        <v/>
      </c>
      <c r="BM46" t="str">
        <f>""</f>
        <v/>
      </c>
      <c r="BN46" t="str">
        <f>""</f>
        <v/>
      </c>
      <c r="BO46" t="str">
        <f>""</f>
        <v/>
      </c>
      <c r="BP46" t="str">
        <f>""</f>
        <v/>
      </c>
      <c r="BQ46" t="str">
        <f>""</f>
        <v/>
      </c>
      <c r="BR46" t="str">
        <f>""</f>
        <v/>
      </c>
      <c r="BS46" t="str">
        <f>""</f>
        <v/>
      </c>
      <c r="BT46" t="str">
        <f>""</f>
        <v/>
      </c>
      <c r="BU46" t="str">
        <f>""</f>
        <v/>
      </c>
      <c r="BV46" t="str">
        <f>""</f>
        <v/>
      </c>
      <c r="BW46" t="str">
        <f>""</f>
        <v/>
      </c>
      <c r="BX46" t="str">
        <f>""</f>
        <v/>
      </c>
      <c r="BY46" t="str">
        <f>""</f>
        <v/>
      </c>
      <c r="BZ46" t="str">
        <f>""</f>
        <v/>
      </c>
      <c r="CA46" t="str">
        <f>""</f>
        <v/>
      </c>
      <c r="CB46" t="str">
        <f>""</f>
        <v/>
      </c>
      <c r="CC46" t="str">
        <f>""</f>
        <v/>
      </c>
      <c r="CD46" t="str">
        <f>""</f>
        <v/>
      </c>
      <c r="CE46" t="str">
        <f>""</f>
        <v/>
      </c>
      <c r="CF46" t="str">
        <f>""</f>
        <v/>
      </c>
      <c r="CG46" t="str">
        <f>""</f>
        <v/>
      </c>
    </row>
    <row r="47" spans="1:85" x14ac:dyDescent="0.2">
      <c r="A47" t="str">
        <f>"    U.S. Transportation Construction"</f>
        <v xml:space="preserve">    U.S. Transportation Construction</v>
      </c>
      <c r="B47" t="str">
        <f>""</f>
        <v/>
      </c>
      <c r="E47" t="str">
        <f>"Heading"</f>
        <v>Heading</v>
      </c>
      <c r="AT47" t="str">
        <f>""</f>
        <v/>
      </c>
      <c r="AU47" t="str">
        <f>""</f>
        <v/>
      </c>
      <c r="AV47" t="str">
        <f>""</f>
        <v/>
      </c>
      <c r="AW47" t="str">
        <f>""</f>
        <v/>
      </c>
      <c r="AX47" t="str">
        <f>""</f>
        <v/>
      </c>
      <c r="AY47" t="str">
        <f>""</f>
        <v/>
      </c>
      <c r="AZ47" t="str">
        <f>""</f>
        <v/>
      </c>
      <c r="BA47" t="str">
        <f>""</f>
        <v/>
      </c>
      <c r="BB47" t="str">
        <f>""</f>
        <v/>
      </c>
      <c r="BC47" t="str">
        <f>""</f>
        <v/>
      </c>
      <c r="BD47" t="str">
        <f>""</f>
        <v/>
      </c>
      <c r="BE47" t="str">
        <f>""</f>
        <v/>
      </c>
      <c r="BF47" t="str">
        <f>""</f>
        <v/>
      </c>
      <c r="BG47" t="str">
        <f>""</f>
        <v/>
      </c>
      <c r="BH47" t="str">
        <f>""</f>
        <v/>
      </c>
      <c r="BI47" t="str">
        <f>""</f>
        <v/>
      </c>
      <c r="BJ47" t="str">
        <f>""</f>
        <v/>
      </c>
      <c r="BK47" t="str">
        <f>""</f>
        <v/>
      </c>
      <c r="BL47" t="str">
        <f>""</f>
        <v/>
      </c>
      <c r="BM47" t="str">
        <f>""</f>
        <v/>
      </c>
      <c r="BN47" t="str">
        <f>""</f>
        <v/>
      </c>
      <c r="BO47" t="str">
        <f>""</f>
        <v/>
      </c>
      <c r="BP47" t="str">
        <f>""</f>
        <v/>
      </c>
      <c r="BQ47" t="str">
        <f>""</f>
        <v/>
      </c>
      <c r="BR47" t="str">
        <f>""</f>
        <v/>
      </c>
      <c r="BS47" t="str">
        <f>""</f>
        <v/>
      </c>
      <c r="BT47" t="str">
        <f>""</f>
        <v/>
      </c>
      <c r="BU47" t="str">
        <f>""</f>
        <v/>
      </c>
      <c r="BV47" t="str">
        <f>""</f>
        <v/>
      </c>
      <c r="BW47" t="str">
        <f>""</f>
        <v/>
      </c>
      <c r="BX47" t="str">
        <f>""</f>
        <v/>
      </c>
      <c r="BY47" t="str">
        <f>""</f>
        <v/>
      </c>
      <c r="BZ47" t="str">
        <f>""</f>
        <v/>
      </c>
      <c r="CA47" t="str">
        <f>""</f>
        <v/>
      </c>
      <c r="CB47" t="str">
        <f>""</f>
        <v/>
      </c>
      <c r="CC47" t="str">
        <f>""</f>
        <v/>
      </c>
      <c r="CD47" t="str">
        <f>""</f>
        <v/>
      </c>
      <c r="CE47" t="str">
        <f>""</f>
        <v/>
      </c>
      <c r="CF47" t="str">
        <f>""</f>
        <v/>
      </c>
      <c r="CG47" t="str">
        <f>""</f>
        <v/>
      </c>
    </row>
    <row r="48" spans="1:85" x14ac:dyDescent="0.2">
      <c r="A48" t="str">
        <f>"    US Transportation Awards ($ Value)"</f>
        <v xml:space="preserve">    US Transportation Awards ($ Value)</v>
      </c>
      <c r="B48" t="str">
        <f>""</f>
        <v/>
      </c>
      <c r="E48" t="str">
        <f>"Sum"</f>
        <v>Sum</v>
      </c>
      <c r="F48">
        <f ca="1">IF(ISERROR(IF(SUM($F$49:$F$53) = 0, "", SUM($F$49:$F$53))), "", (IF(SUM($F$49:$F$53) = 0, "", SUM($F$49:$F$53))))</f>
        <v>99557.024920000011</v>
      </c>
      <c r="G48">
        <f ca="1">IF(ISERROR(IF(SUM($G$49:$G$53) = 0, "", SUM($G$49:$G$53))), "", (IF(SUM($G$49:$G$53) = 0, "", SUM($G$49:$G$53))))</f>
        <v>113840.12852</v>
      </c>
      <c r="H48">
        <f ca="1">IF(ISERROR(IF(SUM($H$49:$H$53) = 0, "", SUM($H$49:$H$53))), "", (IF(SUM($H$49:$H$53) = 0, "", SUM($H$49:$H$53))))</f>
        <v>89850.094949999984</v>
      </c>
      <c r="I48">
        <f ca="1">IF(ISERROR(IF(SUM($I$49:$I$53) = 0, "", SUM($I$49:$I$53))), "", (IF(SUM($I$49:$I$53) = 0, "", SUM($I$49:$I$53))))</f>
        <v>95223.853990000003</v>
      </c>
      <c r="J48">
        <f ca="1">IF(ISERROR(IF(SUM($J$49:$J$53) = 0, "", SUM($J$49:$J$53))), "", (IF(SUM($J$49:$J$53) = 0, "", SUM($J$49:$J$53))))</f>
        <v>89548.973700000002</v>
      </c>
      <c r="K48">
        <f ca="1">IF(ISERROR(IF(SUM($K$49:$K$53) = 0, "", SUM($K$49:$K$53))), "", (IF(SUM($K$49:$K$53) = 0, "", SUM($K$49:$K$53))))</f>
        <v>89759.151030000008</v>
      </c>
      <c r="L48">
        <f ca="1">IF(ISERROR(IF(SUM($L$49:$L$53) = 0, "", SUM($L$49:$L$53))), "", (IF(SUM($L$49:$L$53) = 0, "", SUM($L$49:$L$53))))</f>
        <v>85871.296950000004</v>
      </c>
      <c r="M48">
        <f ca="1">IF(ISERROR(IF(SUM($M$49:$M$53) = 0, "", SUM($M$49:$M$53))), "", (IF(SUM($M$49:$M$53) = 0, "", SUM($M$49:$M$53))))</f>
        <v>71594.809119999991</v>
      </c>
      <c r="N48">
        <f ca="1">IF(ISERROR(IF(SUM($N$49:$N$53) = 0, "", SUM($N$49:$N$53))), "", (IF(SUM($N$49:$N$53) = 0, "", SUM($N$49:$N$53))))</f>
        <v>75890.069000000003</v>
      </c>
      <c r="O48">
        <f ca="1">IF(ISERROR(IF(SUM($O$49:$O$53) = 0, "", SUM($O$49:$O$53))), "", (IF(SUM($O$49:$O$53) = 0, "", SUM($O$49:$O$53))))</f>
        <v>69646.611000000004</v>
      </c>
      <c r="P48">
        <f ca="1">IF(ISERROR(IF(SUM($P$49:$P$53) = 0, "", SUM($P$49:$P$53))), "", (IF(SUM($P$49:$P$53) = 0, "", SUM($P$49:$P$53))))</f>
        <v>75168.057000000001</v>
      </c>
      <c r="Q48">
        <f ca="1">IF(ISERROR(IF(SUM($Q$49:$Q$53) = 0, "", SUM($Q$49:$Q$53))), "", (IF(SUM($Q$49:$Q$53) = 0, "", SUM($Q$49:$Q$53))))</f>
        <v>60363.061999999998</v>
      </c>
      <c r="R48">
        <f ca="1">IF(ISERROR(IF(SUM($R$49:$R$53) = 0, "", SUM($R$49:$R$53))), "", (IF(SUM($R$49:$R$53) = 0, "", SUM($R$49:$R$53))))</f>
        <v>62169.835999999996</v>
      </c>
      <c r="S48">
        <f ca="1">IF(ISERROR(IF(SUM($S$49:$S$53) = 0, "", SUM($S$49:$S$53))), "", (IF(SUM($S$49:$S$53) = 0, "", SUM($S$49:$S$53))))</f>
        <v>64805.350999999995</v>
      </c>
      <c r="T48">
        <f ca="1">IF(ISERROR(IF(SUM($T$49:$T$53) = 0, "", SUM($T$49:$T$53))), "", (IF(SUM($T$49:$T$53) = 0, "", SUM($T$49:$T$53))))</f>
        <v>66331.823999999993</v>
      </c>
      <c r="U48">
        <f ca="1">IF(ISERROR(IF(SUM($U$49:$U$53) = 0, "", SUM($U$49:$U$53))), "", (IF(SUM($U$49:$U$53) = 0, "", SUM($U$49:$U$53))))</f>
        <v>58813.080999999998</v>
      </c>
      <c r="V48">
        <f ca="1">IF(ISERROR(IF(SUM($V$49:$V$53) = 0, "", SUM($V$49:$V$53))), "", (IF(SUM($V$49:$V$53) = 0, "", SUM($V$49:$V$53))))</f>
        <v>59360.617999999995</v>
      </c>
      <c r="W48">
        <f ca="1">IF(ISERROR(IF(SUM($W$49:$W$53) = 0, "", SUM($W$49:$W$53))), "", (IF(SUM($W$49:$W$53) = 0, "", SUM($W$49:$W$53))))</f>
        <v>55475.036</v>
      </c>
      <c r="X48">
        <f ca="1">IF(ISERROR(IF(SUM($X$49:$X$53) = 0, "", SUM($X$49:$X$53))), "", (IF(SUM($X$49:$X$53) = 0, "", SUM($X$49:$X$53))))</f>
        <v>49753.845999999998</v>
      </c>
      <c r="Y48">
        <f ca="1">IF(ISERROR(IF(SUM($Y$49:$Y$53) = 0, "", SUM($Y$49:$Y$53))), "", (IF(SUM($Y$49:$Y$53) = 0, "", SUM($Y$49:$Y$53))))</f>
        <v>45734.326000000001</v>
      </c>
      <c r="Z48">
        <f ca="1">IF(ISERROR(IF(SUM($Z$49:$Z$53) = 0, "", SUM($Z$49:$Z$53))), "", (IF(SUM($Z$49:$Z$53) = 0, "", SUM($Z$49:$Z$53))))</f>
        <v>46640.01</v>
      </c>
      <c r="AA48">
        <f ca="1">IF(ISERROR(IF(SUM($AA$49:$AA$53) = 0, "", SUM($AA$49:$AA$53))), "", (IF(SUM($AA$49:$AA$53) = 0, "", SUM($AA$49:$AA$53))))</f>
        <v>48846.715000000004</v>
      </c>
      <c r="AB48">
        <f ca="1">IF(ISERROR(IF(SUM($AB$49:$AB$53) = 0, "", SUM($AB$49:$AB$53))), "", (IF(SUM($AB$49:$AB$53) = 0, "", SUM($AB$49:$AB$53))))</f>
        <v>49108.553</v>
      </c>
      <c r="AC48">
        <f ca="1">IF(ISERROR(IF(SUM($AC$49:$AC$53) = 0, "", SUM($AC$49:$AC$53))), "", (IF(SUM($AC$49:$AC$53) = 0, "", SUM($AC$49:$AC$53))))</f>
        <v>45372.292000000001</v>
      </c>
      <c r="AD48">
        <f ca="1">IF(ISERROR(IF(SUM($AD$49:$AD$53) = 0, "", SUM($AD$49:$AD$53))), "", (IF(SUM($AD$49:$AD$53) = 0, "", SUM($AD$49:$AD$53))))</f>
        <v>40293.294000000002</v>
      </c>
      <c r="AE48" t="str">
        <f ca="1">IF(ISERROR(IF(SUM($AE$49:$AE$53) = 0, "", SUM($AE$49:$AE$53))), "", (IF(SUM($AE$49:$AE$53) = 0, "", SUM($AE$49:$AE$53))))</f>
        <v/>
      </c>
      <c r="AF48" t="str">
        <f ca="1">IF(ISERROR(IF(SUM($AF$49:$AF$53) = 0, "", SUM($AF$49:$AF$53))), "", (IF(SUM($AF$49:$AF$53) = 0, "", SUM($AF$49:$AF$53))))</f>
        <v/>
      </c>
      <c r="AG48" t="str">
        <f ca="1">IF(ISERROR(IF(SUM($AG$49:$AG$53) = 0, "", SUM($AG$49:$AG$53))), "", (IF(SUM($AG$49:$AG$53) = 0, "", SUM($AG$49:$AG$53))))</f>
        <v/>
      </c>
      <c r="AH48" t="str">
        <f ca="1">IF(ISERROR(IF(SUM($AH$49:$AH$53) = 0, "", SUM($AH$49:$AH$53))), "", (IF(SUM($AH$49:$AH$53) = 0, "", SUM($AH$49:$AH$53))))</f>
        <v/>
      </c>
      <c r="AI48" t="str">
        <f ca="1">IF(ISERROR(IF(SUM($AI$49:$AI$53) = 0, "", SUM($AI$49:$AI$53))), "", (IF(SUM($AI$49:$AI$53) = 0, "", SUM($AI$49:$AI$53))))</f>
        <v/>
      </c>
      <c r="AJ48" t="str">
        <f ca="1">IF(ISERROR(IF(SUM($AJ$49:$AJ$53) = 0, "", SUM($AJ$49:$AJ$53))), "", (IF(SUM($AJ$49:$AJ$53) = 0, "", SUM($AJ$49:$AJ$53))))</f>
        <v/>
      </c>
      <c r="AK48" t="str">
        <f ca="1">IF(ISERROR(IF(SUM($AK$49:$AK$53) = 0, "", SUM($AK$49:$AK$53))), "", (IF(SUM($AK$49:$AK$53) = 0, "", SUM($AK$49:$AK$53))))</f>
        <v/>
      </c>
      <c r="AL48" t="str">
        <f ca="1">IF(ISERROR(IF(SUM($AL$49:$AL$53) = 0, "", SUM($AL$49:$AL$53))), "", (IF(SUM($AL$49:$AL$53) = 0, "", SUM($AL$49:$AL$53))))</f>
        <v/>
      </c>
      <c r="AM48" t="str">
        <f ca="1">IF(ISERROR(IF(SUM($AM$49:$AM$53) = 0, "", SUM($AM$49:$AM$53))), "", (IF(SUM($AM$49:$AM$53) = 0, "", SUM($AM$49:$AM$53))))</f>
        <v/>
      </c>
      <c r="AN48" t="str">
        <f ca="1">IF(ISERROR(IF(SUM($AN$49:$AN$53) = 0, "", SUM($AN$49:$AN$53))), "", (IF(SUM($AN$49:$AN$53) = 0, "", SUM($AN$49:$AN$53))))</f>
        <v/>
      </c>
      <c r="AO48" t="str">
        <f ca="1">IF(ISERROR(IF(SUM($AO$49:$AO$53) = 0, "", SUM($AO$49:$AO$53))), "", (IF(SUM($AO$49:$AO$53) = 0, "", SUM($AO$49:$AO$53))))</f>
        <v/>
      </c>
      <c r="AP48" t="str">
        <f ca="1">IF(ISERROR(IF(SUM($AP$49:$AP$53) = 0, "", SUM($AP$49:$AP$53))), "", (IF(SUM($AP$49:$AP$53) = 0, "", SUM($AP$49:$AP$53))))</f>
        <v/>
      </c>
      <c r="AQ48" t="str">
        <f ca="1">IF(ISERROR(IF(SUM($AQ$49:$AQ$53) = 0, "", SUM($AQ$49:$AQ$53))), "", (IF(SUM($AQ$49:$AQ$53) = 0, "", SUM($AQ$49:$AQ$53))))</f>
        <v/>
      </c>
      <c r="AR48" t="str">
        <f ca="1">IF(ISERROR(IF(SUM($AR$49:$AR$53) = 0, "", SUM($AR$49:$AR$53))), "", (IF(SUM($AR$49:$AR$53) = 0, "", SUM($AR$49:$AR$53))))</f>
        <v/>
      </c>
      <c r="AS48" t="str">
        <f ca="1">IF(ISERROR(IF(SUM($AS$49:$AS$53) = 0, "", SUM($AS$49:$AS$53))), "", (IF(SUM($AS$49:$AS$53) = 0, "", SUM($AS$49:$AS$53))))</f>
        <v/>
      </c>
      <c r="AT48">
        <f>99557.02492</f>
        <v>99557.024919999996</v>
      </c>
      <c r="AU48">
        <f>113840.1285</f>
        <v>113840.12850000001</v>
      </c>
      <c r="AV48">
        <f>89850.09495</f>
        <v>89850.094949999999</v>
      </c>
      <c r="AW48">
        <f>95223.85399</f>
        <v>95223.853990000003</v>
      </c>
      <c r="AX48">
        <f>89548.9737</f>
        <v>89548.973700000002</v>
      </c>
      <c r="AY48">
        <f>89759.15103</f>
        <v>89759.151029999994</v>
      </c>
      <c r="AZ48">
        <f>85871.29695</f>
        <v>85871.296950000004</v>
      </c>
      <c r="BA48">
        <f>71594.80912</f>
        <v>71594.809120000005</v>
      </c>
      <c r="BB48">
        <f>75890.069</f>
        <v>75890.069000000003</v>
      </c>
      <c r="BC48">
        <f>69646.611</f>
        <v>69646.611000000004</v>
      </c>
      <c r="BD48">
        <f>75168.057</f>
        <v>75168.057000000001</v>
      </c>
      <c r="BE48">
        <f>60363.062</f>
        <v>60363.061999999998</v>
      </c>
      <c r="BF48">
        <f>62169.836</f>
        <v>62169.836000000003</v>
      </c>
      <c r="BG48">
        <f>64805.351</f>
        <v>64805.351000000002</v>
      </c>
      <c r="BH48">
        <f>66331.824</f>
        <v>66331.823999999993</v>
      </c>
      <c r="BI48">
        <f>58813.081</f>
        <v>58813.080999999998</v>
      </c>
      <c r="BJ48">
        <f>59360.618</f>
        <v>59360.618000000002</v>
      </c>
      <c r="BK48">
        <f>55475.036</f>
        <v>55475.036</v>
      </c>
      <c r="BL48">
        <f>49753.846</f>
        <v>49753.845999999998</v>
      </c>
      <c r="BM48">
        <f>45734.326</f>
        <v>45734.326000000001</v>
      </c>
      <c r="BN48">
        <f>46640.01</f>
        <v>46640.01</v>
      </c>
      <c r="BO48">
        <f>48846.715</f>
        <v>48846.714999999997</v>
      </c>
      <c r="BP48">
        <f>49108.553</f>
        <v>49108.553</v>
      </c>
      <c r="BQ48">
        <f>45372.292</f>
        <v>45372.292000000001</v>
      </c>
      <c r="BR48">
        <f>40293.294</f>
        <v>40293.294000000002</v>
      </c>
      <c r="BS48" t="str">
        <f>""</f>
        <v/>
      </c>
      <c r="BT48" t="str">
        <f>""</f>
        <v/>
      </c>
      <c r="BU48" t="str">
        <f>""</f>
        <v/>
      </c>
      <c r="BV48" t="str">
        <f>""</f>
        <v/>
      </c>
      <c r="BW48" t="str">
        <f>""</f>
        <v/>
      </c>
      <c r="BX48" t="str">
        <f>""</f>
        <v/>
      </c>
      <c r="BY48" t="str">
        <f>""</f>
        <v/>
      </c>
      <c r="BZ48" t="str">
        <f>""</f>
        <v/>
      </c>
      <c r="CA48" t="str">
        <f>""</f>
        <v/>
      </c>
      <c r="CB48" t="str">
        <f>""</f>
        <v/>
      </c>
      <c r="CC48" t="str">
        <f>""</f>
        <v/>
      </c>
      <c r="CD48" t="str">
        <f>""</f>
        <v/>
      </c>
      <c r="CE48" t="str">
        <f>""</f>
        <v/>
      </c>
      <c r="CF48" t="str">
        <f>""</f>
        <v/>
      </c>
      <c r="CG48" t="str">
        <f>""</f>
        <v/>
      </c>
    </row>
    <row r="49" spans="1:85" x14ac:dyDescent="0.2">
      <c r="A49" t="str">
        <f>"        Airports"</f>
        <v xml:space="preserve">        Airports</v>
      </c>
      <c r="B49" t="str">
        <f>"RTBAAAVD Index"</f>
        <v>RTBAAAVD Index</v>
      </c>
      <c r="C49" t="str">
        <f>"PX385"</f>
        <v>PX385</v>
      </c>
      <c r="D49" t="str">
        <f>"INTERVAL_SUM"</f>
        <v>INTERVAL_SUM</v>
      </c>
      <c r="E49" t="str">
        <f>"Dynamic"</f>
        <v>Dynamic</v>
      </c>
      <c r="F49">
        <f ca="1">IF(AND(ISNUMBER($F$152),$B$113=1),$F$152,HLOOKUP(INDIRECT(ADDRESS(2,COLUMN())),OFFSET($AT$2,0,0,ROW()-1,40),ROW()-1,FALSE))</f>
        <v>3053.1100299999998</v>
      </c>
      <c r="G49">
        <f ca="1">IF(AND(ISNUMBER($G$152),$B$113=1),$G$152,HLOOKUP(INDIRECT(ADDRESS(2,COLUMN())),OFFSET($AT$2,0,0,ROW()-1,40),ROW()-1,FALSE))</f>
        <v>3350.3610100000001</v>
      </c>
      <c r="H49">
        <f ca="1">IF(AND(ISNUMBER($H$152),$B$113=1),$H$152,HLOOKUP(INDIRECT(ADDRESS(2,COLUMN())),OFFSET($AT$2,0,0,ROW()-1,40),ROW()-1,FALSE))</f>
        <v>3116.6349799999998</v>
      </c>
      <c r="I49">
        <f ca="1">IF(AND(ISNUMBER($I$152),$B$113=1),$I$152,HLOOKUP(INDIRECT(ADDRESS(2,COLUMN())),OFFSET($AT$2,0,0,ROW()-1,40),ROW()-1,FALSE))</f>
        <v>3087.7699600000001</v>
      </c>
      <c r="J49">
        <f ca="1">IF(AND(ISNUMBER($J$152),$B$113=1),$J$152,HLOOKUP(INDIRECT(ADDRESS(2,COLUMN())),OFFSET($AT$2,0,0,ROW()-1,40),ROW()-1,FALSE))</f>
        <v>2385.23497</v>
      </c>
      <c r="K49">
        <f ca="1">IF(AND(ISNUMBER($K$152),$B$113=1),$K$152,HLOOKUP(INDIRECT(ADDRESS(2,COLUMN())),OFFSET($AT$2,0,0,ROW()-1,40),ROW()-1,FALSE))</f>
        <v>2286.5030200000001</v>
      </c>
      <c r="L49">
        <f ca="1">IF(AND(ISNUMBER($L$152),$B$113=1),$L$152,HLOOKUP(INDIRECT(ADDRESS(2,COLUMN())),OFFSET($AT$2,0,0,ROW()-1,40),ROW()-1,FALSE))</f>
        <v>2160.8619899999999</v>
      </c>
      <c r="M49">
        <f ca="1">IF(AND(ISNUMBER($M$152),$B$113=1),$M$152,HLOOKUP(INDIRECT(ADDRESS(2,COLUMN())),OFFSET($AT$2,0,0,ROW()-1,40),ROW()-1,FALSE))</f>
        <v>1853.5940000000001</v>
      </c>
      <c r="N49">
        <f ca="1">IF(AND(ISNUMBER($N$152),$B$113=1),$N$152,HLOOKUP(INDIRECT(ADDRESS(2,COLUMN())),OFFSET($AT$2,0,0,ROW()-1,40),ROW()-1,FALSE))</f>
        <v>2240.8649999999998</v>
      </c>
      <c r="O49">
        <f ca="1">IF(AND(ISNUMBER($O$152),$B$113=1),$O$152,HLOOKUP(INDIRECT(ADDRESS(2,COLUMN())),OFFSET($AT$2,0,0,ROW()-1,40),ROW()-1,FALSE))</f>
        <v>2572.3389999999999</v>
      </c>
      <c r="P49">
        <f ca="1">IF(AND(ISNUMBER($P$152),$B$113=1),$P$152,HLOOKUP(INDIRECT(ADDRESS(2,COLUMN())),OFFSET($AT$2,0,0,ROW()-1,40),ROW()-1,FALSE))</f>
        <v>2002.7950000000001</v>
      </c>
      <c r="Q49">
        <f ca="1">IF(AND(ISNUMBER($Q$152),$B$113=1),$Q$152,HLOOKUP(INDIRECT(ADDRESS(2,COLUMN())),OFFSET($AT$2,0,0,ROW()-1,40),ROW()-1,FALSE))</f>
        <v>2144.3890000000001</v>
      </c>
      <c r="R49">
        <f ca="1">IF(AND(ISNUMBER($R$152),$B$113=1),$R$152,HLOOKUP(INDIRECT(ADDRESS(2,COLUMN())),OFFSET($AT$2,0,0,ROW()-1,40),ROW()-1,FALSE))</f>
        <v>2111.3490000000002</v>
      </c>
      <c r="S49">
        <f ca="1">IF(AND(ISNUMBER($S$152),$B$113=1),$S$152,HLOOKUP(INDIRECT(ADDRESS(2,COLUMN())),OFFSET($AT$2,0,0,ROW()-1,40),ROW()-1,FALSE))</f>
        <v>1801.893</v>
      </c>
      <c r="T49">
        <f ca="1">IF(AND(ISNUMBER($T$152),$B$113=1),$T$152,HLOOKUP(INDIRECT(ADDRESS(2,COLUMN())),OFFSET($AT$2,0,0,ROW()-1,40),ROW()-1,FALSE))</f>
        <v>2888.9340000000002</v>
      </c>
      <c r="U49">
        <f ca="1">IF(AND(ISNUMBER($U$152),$B$113=1),$U$152,HLOOKUP(INDIRECT(ADDRESS(2,COLUMN())),OFFSET($AT$2,0,0,ROW()-1,40),ROW()-1,FALSE))</f>
        <v>1616.932</v>
      </c>
      <c r="V49">
        <f ca="1">IF(AND(ISNUMBER($V$152),$B$113=1),$V$152,HLOOKUP(INDIRECT(ADDRESS(2,COLUMN())),OFFSET($AT$2,0,0,ROW()-1,40),ROW()-1,FALSE))</f>
        <v>2059.982</v>
      </c>
      <c r="W49">
        <f ca="1">IF(AND(ISNUMBER($W$152),$B$113=1),$W$152,HLOOKUP(INDIRECT(ADDRESS(2,COLUMN())),OFFSET($AT$2,0,0,ROW()-1,40),ROW()-1,FALSE))</f>
        <v>2225.0610000000001</v>
      </c>
      <c r="X49">
        <f ca="1">IF(AND(ISNUMBER($X$152),$B$113=1),$X$152,HLOOKUP(INDIRECT(ADDRESS(2,COLUMN())),OFFSET($AT$2,0,0,ROW()-1,40),ROW()-1,FALSE))</f>
        <v>1998.452</v>
      </c>
      <c r="Y49">
        <f ca="1">IF(AND(ISNUMBER($Y$152),$B$113=1),$Y$152,HLOOKUP(INDIRECT(ADDRESS(2,COLUMN())),OFFSET($AT$2,0,0,ROW()-1,40),ROW()-1,FALSE))</f>
        <v>1667.309</v>
      </c>
      <c r="Z49">
        <f ca="1">IF(AND(ISNUMBER($Z$152),$B$113=1),$Z$152,HLOOKUP(INDIRECT(ADDRESS(2,COLUMN())),OFFSET($AT$2,0,0,ROW()-1,40),ROW()-1,FALSE))</f>
        <v>1595.627</v>
      </c>
      <c r="AA49">
        <f ca="1">IF(AND(ISNUMBER($AA$152),$B$113=1),$AA$152,HLOOKUP(INDIRECT(ADDRESS(2,COLUMN())),OFFSET($AT$2,0,0,ROW()-1,40),ROW()-1,FALSE))</f>
        <v>1924.702</v>
      </c>
      <c r="AB49">
        <f ca="1">IF(AND(ISNUMBER($AB$152),$B$113=1),$AB$152,HLOOKUP(INDIRECT(ADDRESS(2,COLUMN())),OFFSET($AT$2,0,0,ROW()-1,40),ROW()-1,FALSE))</f>
        <v>2132.0569999999998</v>
      </c>
      <c r="AC49">
        <f ca="1">IF(AND(ISNUMBER($AC$152),$B$113=1),$AC$152,HLOOKUP(INDIRECT(ADDRESS(2,COLUMN())),OFFSET($AT$2,0,0,ROW()-1,40),ROW()-1,FALSE))</f>
        <v>1647.2950000000001</v>
      </c>
      <c r="AD49">
        <f ca="1">IF(AND(ISNUMBER($AD$152),$B$113=1),$AD$152,HLOOKUP(INDIRECT(ADDRESS(2,COLUMN())),OFFSET($AT$2,0,0,ROW()-1,40),ROW()-1,FALSE))</f>
        <v>1588.5219999999999</v>
      </c>
      <c r="AE49" t="str">
        <f ca="1">IF(AND(ISNUMBER($AE$152),$B$113=1),$AE$152,HLOOKUP(INDIRECT(ADDRESS(2,COLUMN())),OFFSET($AT$2,0,0,ROW()-1,40),ROW()-1,FALSE))</f>
        <v/>
      </c>
      <c r="AF49" t="str">
        <f ca="1">IF(AND(ISNUMBER($AF$152),$B$113=1),$AF$152,HLOOKUP(INDIRECT(ADDRESS(2,COLUMN())),OFFSET($AT$2,0,0,ROW()-1,40),ROW()-1,FALSE))</f>
        <v/>
      </c>
      <c r="AG49" t="str">
        <f ca="1">IF(AND(ISNUMBER($AG$152),$B$113=1),$AG$152,HLOOKUP(INDIRECT(ADDRESS(2,COLUMN())),OFFSET($AT$2,0,0,ROW()-1,40),ROW()-1,FALSE))</f>
        <v/>
      </c>
      <c r="AH49" t="str">
        <f ca="1">IF(AND(ISNUMBER($AH$152),$B$113=1),$AH$152,HLOOKUP(INDIRECT(ADDRESS(2,COLUMN())),OFFSET($AT$2,0,0,ROW()-1,40),ROW()-1,FALSE))</f>
        <v/>
      </c>
      <c r="AI49" t="str">
        <f ca="1">IF(AND(ISNUMBER($AI$152),$B$113=1),$AI$152,HLOOKUP(INDIRECT(ADDRESS(2,COLUMN())),OFFSET($AT$2,0,0,ROW()-1,40),ROW()-1,FALSE))</f>
        <v/>
      </c>
      <c r="AJ49" t="str">
        <f ca="1">IF(AND(ISNUMBER($AJ$152),$B$113=1),$AJ$152,HLOOKUP(INDIRECT(ADDRESS(2,COLUMN())),OFFSET($AT$2,0,0,ROW()-1,40),ROW()-1,FALSE))</f>
        <v/>
      </c>
      <c r="AK49" t="str">
        <f ca="1">IF(AND(ISNUMBER($AK$152),$B$113=1),$AK$152,HLOOKUP(INDIRECT(ADDRESS(2,COLUMN())),OFFSET($AT$2,0,0,ROW()-1,40),ROW()-1,FALSE))</f>
        <v/>
      </c>
      <c r="AL49" t="str">
        <f ca="1">IF(AND(ISNUMBER($AL$152),$B$113=1),$AL$152,HLOOKUP(INDIRECT(ADDRESS(2,COLUMN())),OFFSET($AT$2,0,0,ROW()-1,40),ROW()-1,FALSE))</f>
        <v/>
      </c>
      <c r="AM49" t="str">
        <f ca="1">IF(AND(ISNUMBER($AM$152),$B$113=1),$AM$152,HLOOKUP(INDIRECT(ADDRESS(2,COLUMN())),OFFSET($AT$2,0,0,ROW()-1,40),ROW()-1,FALSE))</f>
        <v/>
      </c>
      <c r="AN49" t="str">
        <f ca="1">IF(AND(ISNUMBER($AN$152),$B$113=1),$AN$152,HLOOKUP(INDIRECT(ADDRESS(2,COLUMN())),OFFSET($AT$2,0,0,ROW()-1,40),ROW()-1,FALSE))</f>
        <v/>
      </c>
      <c r="AO49" t="str">
        <f ca="1">IF(AND(ISNUMBER($AO$152),$B$113=1),$AO$152,HLOOKUP(INDIRECT(ADDRESS(2,COLUMN())),OFFSET($AT$2,0,0,ROW()-1,40),ROW()-1,FALSE))</f>
        <v/>
      </c>
      <c r="AP49" t="str">
        <f ca="1">IF(AND(ISNUMBER($AP$152),$B$113=1),$AP$152,HLOOKUP(INDIRECT(ADDRESS(2,COLUMN())),OFFSET($AT$2,0,0,ROW()-1,40),ROW()-1,FALSE))</f>
        <v/>
      </c>
      <c r="AQ49" t="str">
        <f ca="1">IF(AND(ISNUMBER($AQ$152),$B$113=1),$AQ$152,HLOOKUP(INDIRECT(ADDRESS(2,COLUMN())),OFFSET($AT$2,0,0,ROW()-1,40),ROW()-1,FALSE))</f>
        <v/>
      </c>
      <c r="AR49" t="str">
        <f ca="1">IF(AND(ISNUMBER($AR$152),$B$113=1),$AR$152,HLOOKUP(INDIRECT(ADDRESS(2,COLUMN())),OFFSET($AT$2,0,0,ROW()-1,40),ROW()-1,FALSE))</f>
        <v/>
      </c>
      <c r="AS49" t="str">
        <f ca="1">IF(AND(ISNUMBER($AS$152),$B$113=1),$AS$152,HLOOKUP(INDIRECT(ADDRESS(2,COLUMN())),OFFSET($AT$2,0,0,ROW()-1,40),ROW()-1,FALSE))</f>
        <v/>
      </c>
      <c r="AT49">
        <f>3053.11003</f>
        <v>3053.1100299999998</v>
      </c>
      <c r="AU49">
        <f>3350.36101</f>
        <v>3350.3610100000001</v>
      </c>
      <c r="AV49">
        <f>3116.63498</f>
        <v>3116.6349799999998</v>
      </c>
      <c r="AW49">
        <f>3087.76996</f>
        <v>3087.7699600000001</v>
      </c>
      <c r="AX49">
        <f>2385.23497</f>
        <v>2385.23497</v>
      </c>
      <c r="AY49">
        <f>2286.50302</f>
        <v>2286.5030200000001</v>
      </c>
      <c r="AZ49">
        <f>2160.86199</f>
        <v>2160.8619899999999</v>
      </c>
      <c r="BA49">
        <f>1853.594</f>
        <v>1853.5940000000001</v>
      </c>
      <c r="BB49">
        <f>2240.865</f>
        <v>2240.8649999999998</v>
      </c>
      <c r="BC49">
        <f>2572.339</f>
        <v>2572.3389999999999</v>
      </c>
      <c r="BD49">
        <f>2002.795</f>
        <v>2002.7950000000001</v>
      </c>
      <c r="BE49">
        <f>2144.389</f>
        <v>2144.3890000000001</v>
      </c>
      <c r="BF49">
        <f>2111.349</f>
        <v>2111.3490000000002</v>
      </c>
      <c r="BG49">
        <f>1801.893</f>
        <v>1801.893</v>
      </c>
      <c r="BH49">
        <f>2888.934</f>
        <v>2888.9340000000002</v>
      </c>
      <c r="BI49">
        <f>1616.932</f>
        <v>1616.932</v>
      </c>
      <c r="BJ49">
        <f>2059.982</f>
        <v>2059.982</v>
      </c>
      <c r="BK49">
        <f>2225.061</f>
        <v>2225.0610000000001</v>
      </c>
      <c r="BL49">
        <f>1998.452</f>
        <v>1998.452</v>
      </c>
      <c r="BM49">
        <f>1667.309</f>
        <v>1667.309</v>
      </c>
      <c r="BN49">
        <f>1595.627</f>
        <v>1595.627</v>
      </c>
      <c r="BO49">
        <f>1924.702</f>
        <v>1924.702</v>
      </c>
      <c r="BP49">
        <f>2132.057</f>
        <v>2132.0569999999998</v>
      </c>
      <c r="BQ49">
        <f>1647.295</f>
        <v>1647.2950000000001</v>
      </c>
      <c r="BR49">
        <f>1588.522</f>
        <v>1588.5219999999999</v>
      </c>
      <c r="BS49" t="str">
        <f>""</f>
        <v/>
      </c>
      <c r="BT49" t="str">
        <f>""</f>
        <v/>
      </c>
      <c r="BU49" t="str">
        <f>""</f>
        <v/>
      </c>
      <c r="BV49" t="str">
        <f>""</f>
        <v/>
      </c>
      <c r="BW49" t="str">
        <f>""</f>
        <v/>
      </c>
      <c r="BX49" t="str">
        <f>""</f>
        <v/>
      </c>
      <c r="BY49" t="str">
        <f>""</f>
        <v/>
      </c>
      <c r="BZ49" t="str">
        <f>""</f>
        <v/>
      </c>
      <c r="CA49" t="str">
        <f>""</f>
        <v/>
      </c>
      <c r="CB49" t="str">
        <f>""</f>
        <v/>
      </c>
      <c r="CC49" t="str">
        <f>""</f>
        <v/>
      </c>
      <c r="CD49" t="str">
        <f>""</f>
        <v/>
      </c>
      <c r="CE49" t="str">
        <f>""</f>
        <v/>
      </c>
      <c r="CF49" t="str">
        <f>""</f>
        <v/>
      </c>
      <c r="CG49" t="str">
        <f>""</f>
        <v/>
      </c>
    </row>
    <row r="50" spans="1:85" x14ac:dyDescent="0.2">
      <c r="A50" t="str">
        <f>"        Bridge &amp; Tunnel"</f>
        <v xml:space="preserve">        Bridge &amp; Tunnel</v>
      </c>
      <c r="B50" t="str">
        <f>"RTBABTVD Index"</f>
        <v>RTBABTVD Index</v>
      </c>
      <c r="C50" t="str">
        <f>"PX385"</f>
        <v>PX385</v>
      </c>
      <c r="D50" t="str">
        <f>"INTERVAL_SUM"</f>
        <v>INTERVAL_SUM</v>
      </c>
      <c r="E50" t="str">
        <f>"Dynamic"</f>
        <v>Dynamic</v>
      </c>
      <c r="F50">
        <f ca="1">IF(AND(ISNUMBER($F$153),$B$113=1),$F$153,HLOOKUP(INDIRECT(ADDRESS(2,COLUMN())),OFFSET($AT$2,0,0,ROW()-1,40),ROW()-1,FALSE))</f>
        <v>19137.559069999999</v>
      </c>
      <c r="G50">
        <f ca="1">IF(AND(ISNUMBER($G$153),$B$113=1),$G$153,HLOOKUP(INDIRECT(ADDRESS(2,COLUMN())),OFFSET($AT$2,0,0,ROW()-1,40),ROW()-1,FALSE))</f>
        <v>22817.74987</v>
      </c>
      <c r="H50">
        <f ca="1">IF(AND(ISNUMBER($H$153),$B$113=1),$H$153,HLOOKUP(INDIRECT(ADDRESS(2,COLUMN())),OFFSET($AT$2,0,0,ROW()-1,40),ROW()-1,FALSE))</f>
        <v>18079.795099999999</v>
      </c>
      <c r="I50">
        <f ca="1">IF(AND(ISNUMBER($I$153),$B$113=1),$I$153,HLOOKUP(INDIRECT(ADDRESS(2,COLUMN())),OFFSET($AT$2,0,0,ROW()-1,40),ROW()-1,FALSE))</f>
        <v>22187.3766</v>
      </c>
      <c r="J50">
        <f ca="1">IF(AND(ISNUMBER($J$153),$B$113=1),$J$153,HLOOKUP(INDIRECT(ADDRESS(2,COLUMN())),OFFSET($AT$2,0,0,ROW()-1,40),ROW()-1,FALSE))</f>
        <v>16710.99207</v>
      </c>
      <c r="K50">
        <f ca="1">IF(AND(ISNUMBER($K$153),$B$113=1),$K$153,HLOOKUP(INDIRECT(ADDRESS(2,COLUMN())),OFFSET($AT$2,0,0,ROW()-1,40),ROW()-1,FALSE))</f>
        <v>21139.764159999999</v>
      </c>
      <c r="L50">
        <f ca="1">IF(AND(ISNUMBER($L$153),$B$113=1),$L$153,HLOOKUP(INDIRECT(ADDRESS(2,COLUMN())),OFFSET($AT$2,0,0,ROW()-1,40),ROW()-1,FALSE))</f>
        <v>20605.972860000002</v>
      </c>
      <c r="M50">
        <f ca="1">IF(AND(ISNUMBER($M$153),$B$113=1),$M$153,HLOOKUP(INDIRECT(ADDRESS(2,COLUMN())),OFFSET($AT$2,0,0,ROW()-1,40),ROW()-1,FALSE))</f>
        <v>15829.05898</v>
      </c>
      <c r="N50">
        <f ca="1">IF(AND(ISNUMBER($N$153),$B$113=1),$N$153,HLOOKUP(INDIRECT(ADDRESS(2,COLUMN())),OFFSET($AT$2,0,0,ROW()-1,40),ROW()-1,FALSE))</f>
        <v>18875.848000000002</v>
      </c>
      <c r="O50">
        <f ca="1">IF(AND(ISNUMBER($O$153),$B$113=1),$O$153,HLOOKUP(INDIRECT(ADDRESS(2,COLUMN())),OFFSET($AT$2,0,0,ROW()-1,40),ROW()-1,FALSE))</f>
        <v>15769.32</v>
      </c>
      <c r="P50">
        <f ca="1">IF(AND(ISNUMBER($P$153),$B$113=1),$P$153,HLOOKUP(INDIRECT(ADDRESS(2,COLUMN())),OFFSET($AT$2,0,0,ROW()-1,40),ROW()-1,FALSE))</f>
        <v>23313.071</v>
      </c>
      <c r="Q50">
        <f ca="1">IF(AND(ISNUMBER($Q$153),$B$113=1),$Q$153,HLOOKUP(INDIRECT(ADDRESS(2,COLUMN())),OFFSET($AT$2,0,0,ROW()-1,40),ROW()-1,FALSE))</f>
        <v>13858.956</v>
      </c>
      <c r="R50">
        <f ca="1">IF(AND(ISNUMBER($R$153),$B$113=1),$R$153,HLOOKUP(INDIRECT(ADDRESS(2,COLUMN())),OFFSET($AT$2,0,0,ROW()-1,40),ROW()-1,FALSE))</f>
        <v>15704.543</v>
      </c>
      <c r="S50">
        <f ca="1">IF(AND(ISNUMBER($S$153),$B$113=1),$S$153,HLOOKUP(INDIRECT(ADDRESS(2,COLUMN())),OFFSET($AT$2,0,0,ROW()-1,40),ROW()-1,FALSE))</f>
        <v>16009.909</v>
      </c>
      <c r="T50">
        <f ca="1">IF(AND(ISNUMBER($T$153),$B$113=1),$T$153,HLOOKUP(INDIRECT(ADDRESS(2,COLUMN())),OFFSET($AT$2,0,0,ROW()-1,40),ROW()-1,FALSE))</f>
        <v>15648.526</v>
      </c>
      <c r="U50">
        <f ca="1">IF(AND(ISNUMBER($U$153),$B$113=1),$U$153,HLOOKUP(INDIRECT(ADDRESS(2,COLUMN())),OFFSET($AT$2,0,0,ROW()-1,40),ROW()-1,FALSE))</f>
        <v>14152.864</v>
      </c>
      <c r="V50">
        <f ca="1">IF(AND(ISNUMBER($V$153),$B$113=1),$V$153,HLOOKUP(INDIRECT(ADDRESS(2,COLUMN())),OFFSET($AT$2,0,0,ROW()-1,40),ROW()-1,FALSE))</f>
        <v>14923.541999999999</v>
      </c>
      <c r="W50">
        <f ca="1">IF(AND(ISNUMBER($W$153),$B$113=1),$W$153,HLOOKUP(INDIRECT(ADDRESS(2,COLUMN())),OFFSET($AT$2,0,0,ROW()-1,40),ROW()-1,FALSE))</f>
        <v>13285.151</v>
      </c>
      <c r="X50">
        <f ca="1">IF(AND(ISNUMBER($X$153),$B$113=1),$X$153,HLOOKUP(INDIRECT(ADDRESS(2,COLUMN())),OFFSET($AT$2,0,0,ROW()-1,40),ROW()-1,FALSE))</f>
        <v>11449.798000000001</v>
      </c>
      <c r="Y50">
        <f ca="1">IF(AND(ISNUMBER($Y$153),$B$113=1),$Y$153,HLOOKUP(INDIRECT(ADDRESS(2,COLUMN())),OFFSET($AT$2,0,0,ROW()-1,40),ROW()-1,FALSE))</f>
        <v>10157.271000000001</v>
      </c>
      <c r="Z50">
        <f ca="1">IF(AND(ISNUMBER($Z$153),$B$113=1),$Z$153,HLOOKUP(INDIRECT(ADDRESS(2,COLUMN())),OFFSET($AT$2,0,0,ROW()-1,40),ROW()-1,FALSE))</f>
        <v>11575.370999999999</v>
      </c>
      <c r="AA50">
        <f ca="1">IF(AND(ISNUMBER($AA$153),$B$113=1),$AA$153,HLOOKUP(INDIRECT(ADDRESS(2,COLUMN())),OFFSET($AT$2,0,0,ROW()-1,40),ROW()-1,FALSE))</f>
        <v>11064.767</v>
      </c>
      <c r="AB50">
        <f ca="1">IF(AND(ISNUMBER($AB$153),$B$113=1),$AB$153,HLOOKUP(INDIRECT(ADDRESS(2,COLUMN())),OFFSET($AT$2,0,0,ROW()-1,40),ROW()-1,FALSE))</f>
        <v>11132.491</v>
      </c>
      <c r="AC50">
        <f ca="1">IF(AND(ISNUMBER($AC$153),$B$113=1),$AC$153,HLOOKUP(INDIRECT(ADDRESS(2,COLUMN())),OFFSET($AT$2,0,0,ROW()-1,40),ROW()-1,FALSE))</f>
        <v>10440.695</v>
      </c>
      <c r="AD50">
        <f ca="1">IF(AND(ISNUMBER($AD$153),$B$113=1),$AD$153,HLOOKUP(INDIRECT(ADDRESS(2,COLUMN())),OFFSET($AT$2,0,0,ROW()-1,40),ROW()-1,FALSE))</f>
        <v>9170.4609999999993</v>
      </c>
      <c r="AE50" t="str">
        <f ca="1">IF(AND(ISNUMBER($AE$153),$B$113=1),$AE$153,HLOOKUP(INDIRECT(ADDRESS(2,COLUMN())),OFFSET($AT$2,0,0,ROW()-1,40),ROW()-1,FALSE))</f>
        <v/>
      </c>
      <c r="AF50" t="str">
        <f ca="1">IF(AND(ISNUMBER($AF$153),$B$113=1),$AF$153,HLOOKUP(INDIRECT(ADDRESS(2,COLUMN())),OFFSET($AT$2,0,0,ROW()-1,40),ROW()-1,FALSE))</f>
        <v/>
      </c>
      <c r="AG50" t="str">
        <f ca="1">IF(AND(ISNUMBER($AG$153),$B$113=1),$AG$153,HLOOKUP(INDIRECT(ADDRESS(2,COLUMN())),OFFSET($AT$2,0,0,ROW()-1,40),ROW()-1,FALSE))</f>
        <v/>
      </c>
      <c r="AH50" t="str">
        <f ca="1">IF(AND(ISNUMBER($AH$153),$B$113=1),$AH$153,HLOOKUP(INDIRECT(ADDRESS(2,COLUMN())),OFFSET($AT$2,0,0,ROW()-1,40),ROW()-1,FALSE))</f>
        <v/>
      </c>
      <c r="AI50" t="str">
        <f ca="1">IF(AND(ISNUMBER($AI$153),$B$113=1),$AI$153,HLOOKUP(INDIRECT(ADDRESS(2,COLUMN())),OFFSET($AT$2,0,0,ROW()-1,40),ROW()-1,FALSE))</f>
        <v/>
      </c>
      <c r="AJ50" t="str">
        <f ca="1">IF(AND(ISNUMBER($AJ$153),$B$113=1),$AJ$153,HLOOKUP(INDIRECT(ADDRESS(2,COLUMN())),OFFSET($AT$2,0,0,ROW()-1,40),ROW()-1,FALSE))</f>
        <v/>
      </c>
      <c r="AK50" t="str">
        <f ca="1">IF(AND(ISNUMBER($AK$153),$B$113=1),$AK$153,HLOOKUP(INDIRECT(ADDRESS(2,COLUMN())),OFFSET($AT$2,0,0,ROW()-1,40),ROW()-1,FALSE))</f>
        <v/>
      </c>
      <c r="AL50" t="str">
        <f ca="1">IF(AND(ISNUMBER($AL$153),$B$113=1),$AL$153,HLOOKUP(INDIRECT(ADDRESS(2,COLUMN())),OFFSET($AT$2,0,0,ROW()-1,40),ROW()-1,FALSE))</f>
        <v/>
      </c>
      <c r="AM50" t="str">
        <f ca="1">IF(AND(ISNUMBER($AM$153),$B$113=1),$AM$153,HLOOKUP(INDIRECT(ADDRESS(2,COLUMN())),OFFSET($AT$2,0,0,ROW()-1,40),ROW()-1,FALSE))</f>
        <v/>
      </c>
      <c r="AN50" t="str">
        <f ca="1">IF(AND(ISNUMBER($AN$153),$B$113=1),$AN$153,HLOOKUP(INDIRECT(ADDRESS(2,COLUMN())),OFFSET($AT$2,0,0,ROW()-1,40),ROW()-1,FALSE))</f>
        <v/>
      </c>
      <c r="AO50" t="str">
        <f ca="1">IF(AND(ISNUMBER($AO$153),$B$113=1),$AO$153,HLOOKUP(INDIRECT(ADDRESS(2,COLUMN())),OFFSET($AT$2,0,0,ROW()-1,40),ROW()-1,FALSE))</f>
        <v/>
      </c>
      <c r="AP50" t="str">
        <f ca="1">IF(AND(ISNUMBER($AP$153),$B$113=1),$AP$153,HLOOKUP(INDIRECT(ADDRESS(2,COLUMN())),OFFSET($AT$2,0,0,ROW()-1,40),ROW()-1,FALSE))</f>
        <v/>
      </c>
      <c r="AQ50" t="str">
        <f ca="1">IF(AND(ISNUMBER($AQ$153),$B$113=1),$AQ$153,HLOOKUP(INDIRECT(ADDRESS(2,COLUMN())),OFFSET($AT$2,0,0,ROW()-1,40),ROW()-1,FALSE))</f>
        <v/>
      </c>
      <c r="AR50" t="str">
        <f ca="1">IF(AND(ISNUMBER($AR$153),$B$113=1),$AR$153,HLOOKUP(INDIRECT(ADDRESS(2,COLUMN())),OFFSET($AT$2,0,0,ROW()-1,40),ROW()-1,FALSE))</f>
        <v/>
      </c>
      <c r="AS50" t="str">
        <f ca="1">IF(AND(ISNUMBER($AS$153),$B$113=1),$AS$153,HLOOKUP(INDIRECT(ADDRESS(2,COLUMN())),OFFSET($AT$2,0,0,ROW()-1,40),ROW()-1,FALSE))</f>
        <v/>
      </c>
      <c r="AT50">
        <f>19137.55907</f>
        <v>19137.559069999999</v>
      </c>
      <c r="AU50">
        <f>22817.74987</f>
        <v>22817.74987</v>
      </c>
      <c r="AV50">
        <f>18079.7951</f>
        <v>18079.795099999999</v>
      </c>
      <c r="AW50">
        <f>22187.3766</f>
        <v>22187.3766</v>
      </c>
      <c r="AX50">
        <f>16710.99207</f>
        <v>16710.99207</v>
      </c>
      <c r="AY50">
        <f>21139.76416</f>
        <v>21139.764159999999</v>
      </c>
      <c r="AZ50">
        <f>20605.97286</f>
        <v>20605.972860000002</v>
      </c>
      <c r="BA50">
        <f>15829.05898</f>
        <v>15829.05898</v>
      </c>
      <c r="BB50">
        <f>18875.848</f>
        <v>18875.848000000002</v>
      </c>
      <c r="BC50">
        <f>15769.32</f>
        <v>15769.32</v>
      </c>
      <c r="BD50">
        <f>23313.071</f>
        <v>23313.071</v>
      </c>
      <c r="BE50">
        <f>13858.956</f>
        <v>13858.956</v>
      </c>
      <c r="BF50">
        <f>15704.543</f>
        <v>15704.543</v>
      </c>
      <c r="BG50">
        <f>16009.909</f>
        <v>16009.909</v>
      </c>
      <c r="BH50">
        <f>15648.526</f>
        <v>15648.526</v>
      </c>
      <c r="BI50">
        <f>14152.864</f>
        <v>14152.864</v>
      </c>
      <c r="BJ50">
        <f>14923.542</f>
        <v>14923.541999999999</v>
      </c>
      <c r="BK50">
        <f>13285.151</f>
        <v>13285.151</v>
      </c>
      <c r="BL50">
        <f>11449.798</f>
        <v>11449.798000000001</v>
      </c>
      <c r="BM50">
        <f>10157.271</f>
        <v>10157.271000000001</v>
      </c>
      <c r="BN50">
        <f>11575.371</f>
        <v>11575.370999999999</v>
      </c>
      <c r="BO50">
        <f>11064.767</f>
        <v>11064.767</v>
      </c>
      <c r="BP50">
        <f>11132.491</f>
        <v>11132.491</v>
      </c>
      <c r="BQ50">
        <f>10440.695</f>
        <v>10440.695</v>
      </c>
      <c r="BR50">
        <f>9170.461</f>
        <v>9170.4609999999993</v>
      </c>
      <c r="BS50" t="str">
        <f>""</f>
        <v/>
      </c>
      <c r="BT50" t="str">
        <f>""</f>
        <v/>
      </c>
      <c r="BU50" t="str">
        <f>""</f>
        <v/>
      </c>
      <c r="BV50" t="str">
        <f>""</f>
        <v/>
      </c>
      <c r="BW50" t="str">
        <f>""</f>
        <v/>
      </c>
      <c r="BX50" t="str">
        <f>""</f>
        <v/>
      </c>
      <c r="BY50" t="str">
        <f>""</f>
        <v/>
      </c>
      <c r="BZ50" t="str">
        <f>""</f>
        <v/>
      </c>
      <c r="CA50" t="str">
        <f>""</f>
        <v/>
      </c>
      <c r="CB50" t="str">
        <f>""</f>
        <v/>
      </c>
      <c r="CC50" t="str">
        <f>""</f>
        <v/>
      </c>
      <c r="CD50" t="str">
        <f>""</f>
        <v/>
      </c>
      <c r="CE50" t="str">
        <f>""</f>
        <v/>
      </c>
      <c r="CF50" t="str">
        <f>""</f>
        <v/>
      </c>
      <c r="CG50" t="str">
        <f>""</f>
        <v/>
      </c>
    </row>
    <row r="51" spans="1:85" x14ac:dyDescent="0.2">
      <c r="A51" t="str">
        <f>"        Docks, Piers &amp; Wharves"</f>
        <v xml:space="preserve">        Docks, Piers &amp; Wharves</v>
      </c>
      <c r="B51" t="str">
        <f>"RTBADPVD Index"</f>
        <v>RTBADPVD Index</v>
      </c>
      <c r="C51" t="str">
        <f>"PX385"</f>
        <v>PX385</v>
      </c>
      <c r="D51" t="str">
        <f>"INTERVAL_SUM"</f>
        <v>INTERVAL_SUM</v>
      </c>
      <c r="E51" t="str">
        <f>"Dynamic"</f>
        <v>Dynamic</v>
      </c>
      <c r="F51">
        <f ca="1">IF(AND(ISNUMBER($F$154),$B$113=1),$F$154,HLOOKUP(INDIRECT(ADDRESS(2,COLUMN())),OFFSET($AT$2,0,0,ROW()-1,40),ROW()-1,FALSE))</f>
        <v>4030.6080000000002</v>
      </c>
      <c r="G51">
        <f ca="1">IF(AND(ISNUMBER($G$154),$B$113=1),$G$154,HLOOKUP(INDIRECT(ADDRESS(2,COLUMN())),OFFSET($AT$2,0,0,ROW()-1,40),ROW()-1,FALSE))</f>
        <v>2277.6969899999999</v>
      </c>
      <c r="H51">
        <f ca="1">IF(AND(ISNUMBER($H$154),$B$113=1),$H$154,HLOOKUP(INDIRECT(ADDRESS(2,COLUMN())),OFFSET($AT$2,0,0,ROW()-1,40),ROW()-1,FALSE))</f>
        <v>2454.0529999999999</v>
      </c>
      <c r="I51">
        <f ca="1">IF(AND(ISNUMBER($I$154),$B$113=1),$I$154,HLOOKUP(INDIRECT(ADDRESS(2,COLUMN())),OFFSET($AT$2,0,0,ROW()-1,40),ROW()-1,FALSE))</f>
        <v>2154.5460200000002</v>
      </c>
      <c r="J51">
        <f ca="1">IF(AND(ISNUMBER($J$154),$B$113=1),$J$154,HLOOKUP(INDIRECT(ADDRESS(2,COLUMN())),OFFSET($AT$2,0,0,ROW()-1,40),ROW()-1,FALSE))</f>
        <v>1311.64599</v>
      </c>
      <c r="K51">
        <f ca="1">IF(AND(ISNUMBER($K$154),$B$113=1),$K$154,HLOOKUP(INDIRECT(ADDRESS(2,COLUMN())),OFFSET($AT$2,0,0,ROW()-1,40),ROW()-1,FALSE))</f>
        <v>2125.77</v>
      </c>
      <c r="L51">
        <f ca="1">IF(AND(ISNUMBER($L$154),$B$113=1),$L$154,HLOOKUP(INDIRECT(ADDRESS(2,COLUMN())),OFFSET($AT$2,0,0,ROW()-1,40),ROW()-1,FALSE))</f>
        <v>1361.22901</v>
      </c>
      <c r="M51">
        <f ca="1">IF(AND(ISNUMBER($M$154),$B$113=1),$M$154,HLOOKUP(INDIRECT(ADDRESS(2,COLUMN())),OFFSET($AT$2,0,0,ROW()-1,40),ROW()-1,FALSE))</f>
        <v>1798.3889999999999</v>
      </c>
      <c r="N51">
        <f ca="1">IF(AND(ISNUMBER($N$154),$B$113=1),$N$154,HLOOKUP(INDIRECT(ADDRESS(2,COLUMN())),OFFSET($AT$2,0,0,ROW()-1,40),ROW()-1,FALSE))</f>
        <v>922.61800000000005</v>
      </c>
      <c r="O51">
        <f ca="1">IF(AND(ISNUMBER($O$154),$B$113=1),$O$154,HLOOKUP(INDIRECT(ADDRESS(2,COLUMN())),OFFSET($AT$2,0,0,ROW()-1,40),ROW()-1,FALSE))</f>
        <v>875.42100000000005</v>
      </c>
      <c r="P51">
        <f ca="1">IF(AND(ISNUMBER($P$154),$B$113=1),$P$154,HLOOKUP(INDIRECT(ADDRESS(2,COLUMN())),OFFSET($AT$2,0,0,ROW()-1,40),ROW()-1,FALSE))</f>
        <v>1041.617</v>
      </c>
      <c r="Q51">
        <f ca="1">IF(AND(ISNUMBER($Q$154),$B$113=1),$Q$154,HLOOKUP(INDIRECT(ADDRESS(2,COLUMN())),OFFSET($AT$2,0,0,ROW()-1,40),ROW()-1,FALSE))</f>
        <v>1248.248</v>
      </c>
      <c r="R51">
        <f ca="1">IF(AND(ISNUMBER($R$154),$B$113=1),$R$154,HLOOKUP(INDIRECT(ADDRESS(2,COLUMN())),OFFSET($AT$2,0,0,ROW()-1,40),ROW()-1,FALSE))</f>
        <v>1060.693</v>
      </c>
      <c r="S51">
        <f ca="1">IF(AND(ISNUMBER($S$154),$B$113=1),$S$154,HLOOKUP(INDIRECT(ADDRESS(2,COLUMN())),OFFSET($AT$2,0,0,ROW()-1,40),ROW()-1,FALSE))</f>
        <v>813.98500000000001</v>
      </c>
      <c r="T51">
        <f ca="1">IF(AND(ISNUMBER($T$154),$B$113=1),$T$154,HLOOKUP(INDIRECT(ADDRESS(2,COLUMN())),OFFSET($AT$2,0,0,ROW()-1,40),ROW()-1,FALSE))</f>
        <v>1065.8389999999999</v>
      </c>
      <c r="U51">
        <f ca="1">IF(AND(ISNUMBER($U$154),$B$113=1),$U$154,HLOOKUP(INDIRECT(ADDRESS(2,COLUMN())),OFFSET($AT$2,0,0,ROW()-1,40),ROW()-1,FALSE))</f>
        <v>1061.9860000000001</v>
      </c>
      <c r="V51">
        <f ca="1">IF(AND(ISNUMBER($V$154),$B$113=1),$V$154,HLOOKUP(INDIRECT(ADDRESS(2,COLUMN())),OFFSET($AT$2,0,0,ROW()-1,40),ROW()-1,FALSE))</f>
        <v>858.54499999999996</v>
      </c>
      <c r="W51">
        <f ca="1">IF(AND(ISNUMBER($W$154),$B$113=1),$W$154,HLOOKUP(INDIRECT(ADDRESS(2,COLUMN())),OFFSET($AT$2,0,0,ROW()-1,40),ROW()-1,FALSE))</f>
        <v>886.03700000000003</v>
      </c>
      <c r="X51">
        <f ca="1">IF(AND(ISNUMBER($X$154),$B$113=1),$X$154,HLOOKUP(INDIRECT(ADDRESS(2,COLUMN())),OFFSET($AT$2,0,0,ROW()-1,40),ROW()-1,FALSE))</f>
        <v>971.77499999999998</v>
      </c>
      <c r="Y51">
        <f ca="1">IF(AND(ISNUMBER($Y$154),$B$113=1),$Y$154,HLOOKUP(INDIRECT(ADDRESS(2,COLUMN())),OFFSET($AT$2,0,0,ROW()-1,40),ROW()-1,FALSE))</f>
        <v>578.78</v>
      </c>
      <c r="Z51">
        <f ca="1">IF(AND(ISNUMBER($Z$154),$B$113=1),$Z$154,HLOOKUP(INDIRECT(ADDRESS(2,COLUMN())),OFFSET($AT$2,0,0,ROW()-1,40),ROW()-1,FALSE))</f>
        <v>878.88400000000001</v>
      </c>
      <c r="AA51">
        <f ca="1">IF(AND(ISNUMBER($AA$154),$B$113=1),$AA$154,HLOOKUP(INDIRECT(ADDRESS(2,COLUMN())),OFFSET($AT$2,0,0,ROW()-1,40),ROW()-1,FALSE))</f>
        <v>909.75699999999995</v>
      </c>
      <c r="AB51">
        <f ca="1">IF(AND(ISNUMBER($AB$154),$B$113=1),$AB$154,HLOOKUP(INDIRECT(ADDRESS(2,COLUMN())),OFFSET($AT$2,0,0,ROW()-1,40),ROW()-1,FALSE))</f>
        <v>602.47900000000004</v>
      </c>
      <c r="AC51">
        <f ca="1">IF(AND(ISNUMBER($AC$154),$B$113=1),$AC$154,HLOOKUP(INDIRECT(ADDRESS(2,COLUMN())),OFFSET($AT$2,0,0,ROW()-1,40),ROW()-1,FALSE))</f>
        <v>665.28399999999999</v>
      </c>
      <c r="AD51">
        <f ca="1">IF(AND(ISNUMBER($AD$154),$B$113=1),$AD$154,HLOOKUP(INDIRECT(ADDRESS(2,COLUMN())),OFFSET($AT$2,0,0,ROW()-1,40),ROW()-1,FALSE))</f>
        <v>834.05899999999997</v>
      </c>
      <c r="AE51" t="str">
        <f ca="1">IF(AND(ISNUMBER($AE$154),$B$113=1),$AE$154,HLOOKUP(INDIRECT(ADDRESS(2,COLUMN())),OFFSET($AT$2,0,0,ROW()-1,40),ROW()-1,FALSE))</f>
        <v/>
      </c>
      <c r="AF51" t="str">
        <f ca="1">IF(AND(ISNUMBER($AF$154),$B$113=1),$AF$154,HLOOKUP(INDIRECT(ADDRESS(2,COLUMN())),OFFSET($AT$2,0,0,ROW()-1,40),ROW()-1,FALSE))</f>
        <v/>
      </c>
      <c r="AG51" t="str">
        <f ca="1">IF(AND(ISNUMBER($AG$154),$B$113=1),$AG$154,HLOOKUP(INDIRECT(ADDRESS(2,COLUMN())),OFFSET($AT$2,0,0,ROW()-1,40),ROW()-1,FALSE))</f>
        <v/>
      </c>
      <c r="AH51" t="str">
        <f ca="1">IF(AND(ISNUMBER($AH$154),$B$113=1),$AH$154,HLOOKUP(INDIRECT(ADDRESS(2,COLUMN())),OFFSET($AT$2,0,0,ROW()-1,40),ROW()-1,FALSE))</f>
        <v/>
      </c>
      <c r="AI51" t="str">
        <f ca="1">IF(AND(ISNUMBER($AI$154),$B$113=1),$AI$154,HLOOKUP(INDIRECT(ADDRESS(2,COLUMN())),OFFSET($AT$2,0,0,ROW()-1,40),ROW()-1,FALSE))</f>
        <v/>
      </c>
      <c r="AJ51" t="str">
        <f ca="1">IF(AND(ISNUMBER($AJ$154),$B$113=1),$AJ$154,HLOOKUP(INDIRECT(ADDRESS(2,COLUMN())),OFFSET($AT$2,0,0,ROW()-1,40),ROW()-1,FALSE))</f>
        <v/>
      </c>
      <c r="AK51" t="str">
        <f ca="1">IF(AND(ISNUMBER($AK$154),$B$113=1),$AK$154,HLOOKUP(INDIRECT(ADDRESS(2,COLUMN())),OFFSET($AT$2,0,0,ROW()-1,40),ROW()-1,FALSE))</f>
        <v/>
      </c>
      <c r="AL51" t="str">
        <f ca="1">IF(AND(ISNUMBER($AL$154),$B$113=1),$AL$154,HLOOKUP(INDIRECT(ADDRESS(2,COLUMN())),OFFSET($AT$2,0,0,ROW()-1,40),ROW()-1,FALSE))</f>
        <v/>
      </c>
      <c r="AM51" t="str">
        <f ca="1">IF(AND(ISNUMBER($AM$154),$B$113=1),$AM$154,HLOOKUP(INDIRECT(ADDRESS(2,COLUMN())),OFFSET($AT$2,0,0,ROW()-1,40),ROW()-1,FALSE))</f>
        <v/>
      </c>
      <c r="AN51" t="str">
        <f ca="1">IF(AND(ISNUMBER($AN$154),$B$113=1),$AN$154,HLOOKUP(INDIRECT(ADDRESS(2,COLUMN())),OFFSET($AT$2,0,0,ROW()-1,40),ROW()-1,FALSE))</f>
        <v/>
      </c>
      <c r="AO51" t="str">
        <f ca="1">IF(AND(ISNUMBER($AO$154),$B$113=1),$AO$154,HLOOKUP(INDIRECT(ADDRESS(2,COLUMN())),OFFSET($AT$2,0,0,ROW()-1,40),ROW()-1,FALSE))</f>
        <v/>
      </c>
      <c r="AP51" t="str">
        <f ca="1">IF(AND(ISNUMBER($AP$154),$B$113=1),$AP$154,HLOOKUP(INDIRECT(ADDRESS(2,COLUMN())),OFFSET($AT$2,0,0,ROW()-1,40),ROW()-1,FALSE))</f>
        <v/>
      </c>
      <c r="AQ51" t="str">
        <f ca="1">IF(AND(ISNUMBER($AQ$154),$B$113=1),$AQ$154,HLOOKUP(INDIRECT(ADDRESS(2,COLUMN())),OFFSET($AT$2,0,0,ROW()-1,40),ROW()-1,FALSE))</f>
        <v/>
      </c>
      <c r="AR51" t="str">
        <f ca="1">IF(AND(ISNUMBER($AR$154),$B$113=1),$AR$154,HLOOKUP(INDIRECT(ADDRESS(2,COLUMN())),OFFSET($AT$2,0,0,ROW()-1,40),ROW()-1,FALSE))</f>
        <v/>
      </c>
      <c r="AS51" t="str">
        <f ca="1">IF(AND(ISNUMBER($AS$154),$B$113=1),$AS$154,HLOOKUP(INDIRECT(ADDRESS(2,COLUMN())),OFFSET($AT$2,0,0,ROW()-1,40),ROW()-1,FALSE))</f>
        <v/>
      </c>
      <c r="AT51">
        <f>4030.608</f>
        <v>4030.6080000000002</v>
      </c>
      <c r="AU51">
        <f>2277.69699</f>
        <v>2277.6969899999999</v>
      </c>
      <c r="AV51">
        <f>2454.053</f>
        <v>2454.0529999999999</v>
      </c>
      <c r="AW51">
        <f>2154.54602</f>
        <v>2154.5460200000002</v>
      </c>
      <c r="AX51">
        <f>1311.64599</f>
        <v>1311.64599</v>
      </c>
      <c r="AY51">
        <f>2125.77</f>
        <v>2125.77</v>
      </c>
      <c r="AZ51">
        <f>1361.22901</f>
        <v>1361.22901</v>
      </c>
      <c r="BA51">
        <f>1798.389</f>
        <v>1798.3889999999999</v>
      </c>
      <c r="BB51">
        <f>922.618</f>
        <v>922.61800000000005</v>
      </c>
      <c r="BC51">
        <f>875.421</f>
        <v>875.42100000000005</v>
      </c>
      <c r="BD51">
        <f>1041.617</f>
        <v>1041.617</v>
      </c>
      <c r="BE51">
        <f>1248.248</f>
        <v>1248.248</v>
      </c>
      <c r="BF51">
        <f>1060.693</f>
        <v>1060.693</v>
      </c>
      <c r="BG51">
        <f>813.985</f>
        <v>813.98500000000001</v>
      </c>
      <c r="BH51">
        <f>1065.839</f>
        <v>1065.8389999999999</v>
      </c>
      <c r="BI51">
        <f>1061.986</f>
        <v>1061.9860000000001</v>
      </c>
      <c r="BJ51">
        <f>858.545</f>
        <v>858.54499999999996</v>
      </c>
      <c r="BK51">
        <f>886.037</f>
        <v>886.03700000000003</v>
      </c>
      <c r="BL51">
        <f>971.775</f>
        <v>971.77499999999998</v>
      </c>
      <c r="BM51">
        <f>578.78</f>
        <v>578.78</v>
      </c>
      <c r="BN51">
        <f>878.884</f>
        <v>878.88400000000001</v>
      </c>
      <c r="BO51">
        <f>909.757</f>
        <v>909.75699999999995</v>
      </c>
      <c r="BP51">
        <f>602.479</f>
        <v>602.47900000000004</v>
      </c>
      <c r="BQ51">
        <f>665.284</f>
        <v>665.28399999999999</v>
      </c>
      <c r="BR51">
        <f>834.059</f>
        <v>834.05899999999997</v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</row>
    <row r="52" spans="1:85" x14ac:dyDescent="0.2">
      <c r="A52" t="str">
        <f>"        Highways"</f>
        <v xml:space="preserve">        Highways</v>
      </c>
      <c r="B52" t="str">
        <f>"RTBAHWVD Index"</f>
        <v>RTBAHWVD Index</v>
      </c>
      <c r="C52" t="str">
        <f>"PX385"</f>
        <v>PX385</v>
      </c>
      <c r="D52" t="str">
        <f>"INTERVAL_SUM"</f>
        <v>INTERVAL_SUM</v>
      </c>
      <c r="E52" t="str">
        <f>"Dynamic"</f>
        <v>Dynamic</v>
      </c>
      <c r="F52">
        <f ca="1">IF(AND(ISNUMBER($F$155),$B$113=1),$F$155,HLOOKUP(INDIRECT(ADDRESS(2,COLUMN())),OFFSET($AT$2,0,0,ROW()-1,40),ROW()-1,FALSE))</f>
        <v>71525.152830000006</v>
      </c>
      <c r="G52">
        <f ca="1">IF(AND(ISNUMBER($G$155),$B$113=1),$G$155,HLOOKUP(INDIRECT(ADDRESS(2,COLUMN())),OFFSET($AT$2,0,0,ROW()-1,40),ROW()-1,FALSE))</f>
        <v>81888.120599999995</v>
      </c>
      <c r="H52">
        <f ca="1">IF(AND(ISNUMBER($H$155),$B$113=1),$H$155,HLOOKUP(INDIRECT(ADDRESS(2,COLUMN())),OFFSET($AT$2,0,0,ROW()-1,40),ROW()-1,FALSE))</f>
        <v>64665.73487</v>
      </c>
      <c r="I52">
        <f ca="1">IF(AND(ISNUMBER($I$155),$B$113=1),$I$155,HLOOKUP(INDIRECT(ADDRESS(2,COLUMN())),OFFSET($AT$2,0,0,ROW()-1,40),ROW()-1,FALSE))</f>
        <v>61476.506370000003</v>
      </c>
      <c r="J52">
        <f ca="1">IF(AND(ISNUMBER($J$155),$B$113=1),$J$155,HLOOKUP(INDIRECT(ADDRESS(2,COLUMN())),OFFSET($AT$2,0,0,ROW()-1,40),ROW()-1,FALSE))</f>
        <v>58108.090579999996</v>
      </c>
      <c r="K52">
        <f ca="1">IF(AND(ISNUMBER($K$155),$B$113=1),$K$155,HLOOKUP(INDIRECT(ADDRESS(2,COLUMN())),OFFSET($AT$2,0,0,ROW()-1,40),ROW()-1,FALSE))</f>
        <v>57044.738770000004</v>
      </c>
      <c r="L52">
        <f ca="1">IF(AND(ISNUMBER($L$155),$B$113=1),$L$155,HLOOKUP(INDIRECT(ADDRESS(2,COLUMN())),OFFSET($AT$2,0,0,ROW()-1,40),ROW()-1,FALSE))</f>
        <v>51783.006090000003</v>
      </c>
      <c r="M52">
        <f ca="1">IF(AND(ISNUMBER($M$155),$B$113=1),$M$155,HLOOKUP(INDIRECT(ADDRESS(2,COLUMN())),OFFSET($AT$2,0,0,ROW()-1,40),ROW()-1,FALSE))</f>
        <v>47411.166140000001</v>
      </c>
      <c r="N52">
        <f ca="1">IF(AND(ISNUMBER($N$155),$B$113=1),$N$155,HLOOKUP(INDIRECT(ADDRESS(2,COLUMN())),OFFSET($AT$2,0,0,ROW()-1,40),ROW()-1,FALSE))</f>
        <v>48939.756999999998</v>
      </c>
      <c r="O52">
        <f ca="1">IF(AND(ISNUMBER($O$155),$B$113=1),$O$155,HLOOKUP(INDIRECT(ADDRESS(2,COLUMN())),OFFSET($AT$2,0,0,ROW()-1,40),ROW()-1,FALSE))</f>
        <v>43666.135999999999</v>
      </c>
      <c r="P52">
        <f ca="1">IF(AND(ISNUMBER($P$155),$B$113=1),$P$155,HLOOKUP(INDIRECT(ADDRESS(2,COLUMN())),OFFSET($AT$2,0,0,ROW()-1,40),ROW()-1,FALSE))</f>
        <v>43797.955000000002</v>
      </c>
      <c r="Q52">
        <f ca="1">IF(AND(ISNUMBER($Q$155),$B$113=1),$Q$155,HLOOKUP(INDIRECT(ADDRESS(2,COLUMN())),OFFSET($AT$2,0,0,ROW()-1,40),ROW()-1,FALSE))</f>
        <v>39139.983999999997</v>
      </c>
      <c r="R52">
        <f ca="1">IF(AND(ISNUMBER($R$155),$B$113=1),$R$155,HLOOKUP(INDIRECT(ADDRESS(2,COLUMN())),OFFSET($AT$2,0,0,ROW()-1,40),ROW()-1,FALSE))</f>
        <v>41152.620999999999</v>
      </c>
      <c r="S52">
        <f ca="1">IF(AND(ISNUMBER($S$155),$B$113=1),$S$155,HLOOKUP(INDIRECT(ADDRESS(2,COLUMN())),OFFSET($AT$2,0,0,ROW()-1,40),ROW()-1,FALSE))</f>
        <v>43078.436000000002</v>
      </c>
      <c r="T52">
        <f ca="1">IF(AND(ISNUMBER($T$155),$B$113=1),$T$155,HLOOKUP(INDIRECT(ADDRESS(2,COLUMN())),OFFSET($AT$2,0,0,ROW()-1,40),ROW()-1,FALSE))</f>
        <v>41638.417999999998</v>
      </c>
      <c r="U52">
        <f ca="1">IF(AND(ISNUMBER($U$155),$B$113=1),$U$155,HLOOKUP(INDIRECT(ADDRESS(2,COLUMN())),OFFSET($AT$2,0,0,ROW()-1,40),ROW()-1,FALSE))</f>
        <v>38981.273000000001</v>
      </c>
      <c r="V52">
        <f ca="1">IF(AND(ISNUMBER($V$155),$B$113=1),$V$155,HLOOKUP(INDIRECT(ADDRESS(2,COLUMN())),OFFSET($AT$2,0,0,ROW()-1,40),ROW()-1,FALSE))</f>
        <v>38925.400999999998</v>
      </c>
      <c r="W52">
        <f ca="1">IF(AND(ISNUMBER($W$155),$B$113=1),$W$155,HLOOKUP(INDIRECT(ADDRESS(2,COLUMN())),OFFSET($AT$2,0,0,ROW()-1,40),ROW()-1,FALSE))</f>
        <v>37900.250999999997</v>
      </c>
      <c r="X52">
        <f ca="1">IF(AND(ISNUMBER($X$155),$B$113=1),$X$155,HLOOKUP(INDIRECT(ADDRESS(2,COLUMN())),OFFSET($AT$2,0,0,ROW()-1,40),ROW()-1,FALSE))</f>
        <v>33204.470999999998</v>
      </c>
      <c r="Y52">
        <f ca="1">IF(AND(ISNUMBER($Y$155),$B$113=1),$Y$155,HLOOKUP(INDIRECT(ADDRESS(2,COLUMN())),OFFSET($AT$2,0,0,ROW()-1,40),ROW()-1,FALSE))</f>
        <v>31422.370999999999</v>
      </c>
      <c r="Z52">
        <f ca="1">IF(AND(ISNUMBER($Z$155),$B$113=1),$Z$155,HLOOKUP(INDIRECT(ADDRESS(2,COLUMN())),OFFSET($AT$2,0,0,ROW()-1,40),ROW()-1,FALSE))</f>
        <v>30802.33</v>
      </c>
      <c r="AA52">
        <f ca="1">IF(AND(ISNUMBER($AA$155),$B$113=1),$AA$155,HLOOKUP(INDIRECT(ADDRESS(2,COLUMN())),OFFSET($AT$2,0,0,ROW()-1,40),ROW()-1,FALSE))</f>
        <v>32560.868999999999</v>
      </c>
      <c r="AB52">
        <f ca="1">IF(AND(ISNUMBER($AB$155),$B$113=1),$AB$155,HLOOKUP(INDIRECT(ADDRESS(2,COLUMN())),OFFSET($AT$2,0,0,ROW()-1,40),ROW()-1,FALSE))</f>
        <v>31991.420999999998</v>
      </c>
      <c r="AC52">
        <f ca="1">IF(AND(ISNUMBER($AC$155),$B$113=1),$AC$155,HLOOKUP(INDIRECT(ADDRESS(2,COLUMN())),OFFSET($AT$2,0,0,ROW()-1,40),ROW()-1,FALSE))</f>
        <v>30730.708999999999</v>
      </c>
      <c r="AD52">
        <f ca="1">IF(AND(ISNUMBER($AD$155),$B$113=1),$AD$155,HLOOKUP(INDIRECT(ADDRESS(2,COLUMN())),OFFSET($AT$2,0,0,ROW()-1,40),ROW()-1,FALSE))</f>
        <v>26939.289000000001</v>
      </c>
      <c r="AE52" t="str">
        <f ca="1">IF(AND(ISNUMBER($AE$155),$B$113=1),$AE$155,HLOOKUP(INDIRECT(ADDRESS(2,COLUMN())),OFFSET($AT$2,0,0,ROW()-1,40),ROW()-1,FALSE))</f>
        <v/>
      </c>
      <c r="AF52" t="str">
        <f ca="1">IF(AND(ISNUMBER($AF$155),$B$113=1),$AF$155,HLOOKUP(INDIRECT(ADDRESS(2,COLUMN())),OFFSET($AT$2,0,0,ROW()-1,40),ROW()-1,FALSE))</f>
        <v/>
      </c>
      <c r="AG52" t="str">
        <f ca="1">IF(AND(ISNUMBER($AG$155),$B$113=1),$AG$155,HLOOKUP(INDIRECT(ADDRESS(2,COLUMN())),OFFSET($AT$2,0,0,ROW()-1,40),ROW()-1,FALSE))</f>
        <v/>
      </c>
      <c r="AH52" t="str">
        <f ca="1">IF(AND(ISNUMBER($AH$155),$B$113=1),$AH$155,HLOOKUP(INDIRECT(ADDRESS(2,COLUMN())),OFFSET($AT$2,0,0,ROW()-1,40),ROW()-1,FALSE))</f>
        <v/>
      </c>
      <c r="AI52" t="str">
        <f ca="1">IF(AND(ISNUMBER($AI$155),$B$113=1),$AI$155,HLOOKUP(INDIRECT(ADDRESS(2,COLUMN())),OFFSET($AT$2,0,0,ROW()-1,40),ROW()-1,FALSE))</f>
        <v/>
      </c>
      <c r="AJ52" t="str">
        <f ca="1">IF(AND(ISNUMBER($AJ$155),$B$113=1),$AJ$155,HLOOKUP(INDIRECT(ADDRESS(2,COLUMN())),OFFSET($AT$2,0,0,ROW()-1,40),ROW()-1,FALSE))</f>
        <v/>
      </c>
      <c r="AK52" t="str">
        <f ca="1">IF(AND(ISNUMBER($AK$155),$B$113=1),$AK$155,HLOOKUP(INDIRECT(ADDRESS(2,COLUMN())),OFFSET($AT$2,0,0,ROW()-1,40),ROW()-1,FALSE))</f>
        <v/>
      </c>
      <c r="AL52" t="str">
        <f ca="1">IF(AND(ISNUMBER($AL$155),$B$113=1),$AL$155,HLOOKUP(INDIRECT(ADDRESS(2,COLUMN())),OFFSET($AT$2,0,0,ROW()-1,40),ROW()-1,FALSE))</f>
        <v/>
      </c>
      <c r="AM52" t="str">
        <f ca="1">IF(AND(ISNUMBER($AM$155),$B$113=1),$AM$155,HLOOKUP(INDIRECT(ADDRESS(2,COLUMN())),OFFSET($AT$2,0,0,ROW()-1,40),ROW()-1,FALSE))</f>
        <v/>
      </c>
      <c r="AN52" t="str">
        <f ca="1">IF(AND(ISNUMBER($AN$155),$B$113=1),$AN$155,HLOOKUP(INDIRECT(ADDRESS(2,COLUMN())),OFFSET($AT$2,0,0,ROW()-1,40),ROW()-1,FALSE))</f>
        <v/>
      </c>
      <c r="AO52" t="str">
        <f ca="1">IF(AND(ISNUMBER($AO$155),$B$113=1),$AO$155,HLOOKUP(INDIRECT(ADDRESS(2,COLUMN())),OFFSET($AT$2,0,0,ROW()-1,40),ROW()-1,FALSE))</f>
        <v/>
      </c>
      <c r="AP52" t="str">
        <f ca="1">IF(AND(ISNUMBER($AP$155),$B$113=1),$AP$155,HLOOKUP(INDIRECT(ADDRESS(2,COLUMN())),OFFSET($AT$2,0,0,ROW()-1,40),ROW()-1,FALSE))</f>
        <v/>
      </c>
      <c r="AQ52" t="str">
        <f ca="1">IF(AND(ISNUMBER($AQ$155),$B$113=1),$AQ$155,HLOOKUP(INDIRECT(ADDRESS(2,COLUMN())),OFFSET($AT$2,0,0,ROW()-1,40),ROW()-1,FALSE))</f>
        <v/>
      </c>
      <c r="AR52" t="str">
        <f ca="1">IF(AND(ISNUMBER($AR$155),$B$113=1),$AR$155,HLOOKUP(INDIRECT(ADDRESS(2,COLUMN())),OFFSET($AT$2,0,0,ROW()-1,40),ROW()-1,FALSE))</f>
        <v/>
      </c>
      <c r="AS52" t="str">
        <f ca="1">IF(AND(ISNUMBER($AS$155),$B$113=1),$AS$155,HLOOKUP(INDIRECT(ADDRESS(2,COLUMN())),OFFSET($AT$2,0,0,ROW()-1,40),ROW()-1,FALSE))</f>
        <v/>
      </c>
      <c r="AT52">
        <f>71525.15283</f>
        <v>71525.152830000006</v>
      </c>
      <c r="AU52">
        <f>81888.1206</f>
        <v>81888.120599999995</v>
      </c>
      <c r="AV52">
        <f>64665.73487</f>
        <v>64665.73487</v>
      </c>
      <c r="AW52">
        <f>61476.50637</f>
        <v>61476.506370000003</v>
      </c>
      <c r="AX52">
        <f>58108.09058</f>
        <v>58108.090579999996</v>
      </c>
      <c r="AY52">
        <f>57044.73877</f>
        <v>57044.738770000004</v>
      </c>
      <c r="AZ52">
        <f>51783.00609</f>
        <v>51783.006090000003</v>
      </c>
      <c r="BA52">
        <f>47411.16614</f>
        <v>47411.166140000001</v>
      </c>
      <c r="BB52">
        <f>48939.757</f>
        <v>48939.756999999998</v>
      </c>
      <c r="BC52">
        <f>43666.136</f>
        <v>43666.135999999999</v>
      </c>
      <c r="BD52">
        <f>43797.955</f>
        <v>43797.955000000002</v>
      </c>
      <c r="BE52">
        <f>39139.984</f>
        <v>39139.983999999997</v>
      </c>
      <c r="BF52">
        <f>41152.621</f>
        <v>41152.620999999999</v>
      </c>
      <c r="BG52">
        <f>43078.436</f>
        <v>43078.436000000002</v>
      </c>
      <c r="BH52">
        <f>41638.418</f>
        <v>41638.417999999998</v>
      </c>
      <c r="BI52">
        <f>38981.273</f>
        <v>38981.273000000001</v>
      </c>
      <c r="BJ52">
        <f>38925.401</f>
        <v>38925.400999999998</v>
      </c>
      <c r="BK52">
        <f>37900.251</f>
        <v>37900.250999999997</v>
      </c>
      <c r="BL52">
        <f>33204.471</f>
        <v>33204.470999999998</v>
      </c>
      <c r="BM52">
        <f>31422.371</f>
        <v>31422.370999999999</v>
      </c>
      <c r="BN52">
        <f>30802.33</f>
        <v>30802.33</v>
      </c>
      <c r="BO52">
        <f>32560.869</f>
        <v>32560.868999999999</v>
      </c>
      <c r="BP52">
        <f>31991.421</f>
        <v>31991.420999999998</v>
      </c>
      <c r="BQ52">
        <f>30730.709</f>
        <v>30730.708999999999</v>
      </c>
      <c r="BR52">
        <f>26939.289</f>
        <v>26939.289000000001</v>
      </c>
      <c r="BS52" t="str">
        <f>""</f>
        <v/>
      </c>
      <c r="BT52" t="str">
        <f>""</f>
        <v/>
      </c>
      <c r="BU52" t="str">
        <f>""</f>
        <v/>
      </c>
      <c r="BV52" t="str">
        <f>""</f>
        <v/>
      </c>
      <c r="BW52" t="str">
        <f>""</f>
        <v/>
      </c>
      <c r="BX52" t="str">
        <f>""</f>
        <v/>
      </c>
      <c r="BY52" t="str">
        <f>""</f>
        <v/>
      </c>
      <c r="BZ52" t="str">
        <f>""</f>
        <v/>
      </c>
      <c r="CA52" t="str">
        <f>""</f>
        <v/>
      </c>
      <c r="CB52" t="str">
        <f>""</f>
        <v/>
      </c>
      <c r="CC52" t="str">
        <f>""</f>
        <v/>
      </c>
      <c r="CD52" t="str">
        <f>""</f>
        <v/>
      </c>
      <c r="CE52" t="str">
        <f>""</f>
        <v/>
      </c>
      <c r="CF52" t="str">
        <f>""</f>
        <v/>
      </c>
      <c r="CG52" t="str">
        <f>""</f>
        <v/>
      </c>
    </row>
    <row r="53" spans="1:85" x14ac:dyDescent="0.2">
      <c r="A53" t="str">
        <f>"        Railways"</f>
        <v xml:space="preserve">        Railways</v>
      </c>
      <c r="B53" t="str">
        <f>"RTBARAVD Index"</f>
        <v>RTBARAVD Index</v>
      </c>
      <c r="C53" t="str">
        <f>"PX385"</f>
        <v>PX385</v>
      </c>
      <c r="D53" t="str">
        <f>"INTERVAL_SUM"</f>
        <v>INTERVAL_SUM</v>
      </c>
      <c r="E53" t="str">
        <f>"Dynamic"</f>
        <v>Dynamic</v>
      </c>
      <c r="F53">
        <f ca="1">IF(AND(ISNUMBER($F$156),$B$113=1),$F$156,HLOOKUP(INDIRECT(ADDRESS(2,COLUMN())),OFFSET($AT$2,0,0,ROW()-1,40),ROW()-1,FALSE))</f>
        <v>1810.5949900000001</v>
      </c>
      <c r="G53">
        <f ca="1">IF(AND(ISNUMBER($G$156),$B$113=1),$G$156,HLOOKUP(INDIRECT(ADDRESS(2,COLUMN())),OFFSET($AT$2,0,0,ROW()-1,40),ROW()-1,FALSE))</f>
        <v>3506.2000499999999</v>
      </c>
      <c r="H53">
        <f ca="1">IF(AND(ISNUMBER($H$156),$B$113=1),$H$156,HLOOKUP(INDIRECT(ADDRESS(2,COLUMN())),OFFSET($AT$2,0,0,ROW()-1,40),ROW()-1,FALSE))</f>
        <v>1533.877</v>
      </c>
      <c r="I53">
        <f ca="1">IF(AND(ISNUMBER($I$156),$B$113=1),$I$156,HLOOKUP(INDIRECT(ADDRESS(2,COLUMN())),OFFSET($AT$2,0,0,ROW()-1,40),ROW()-1,FALSE))</f>
        <v>6317.6550399999996</v>
      </c>
      <c r="J53">
        <f ca="1">IF(AND(ISNUMBER($J$156),$B$113=1),$J$156,HLOOKUP(INDIRECT(ADDRESS(2,COLUMN())),OFFSET($AT$2,0,0,ROW()-1,40),ROW()-1,FALSE))</f>
        <v>11033.01009</v>
      </c>
      <c r="K53">
        <f ca="1">IF(AND(ISNUMBER($K$156),$B$113=1),$K$156,HLOOKUP(INDIRECT(ADDRESS(2,COLUMN())),OFFSET($AT$2,0,0,ROW()-1,40),ROW()-1,FALSE))</f>
        <v>7162.3750799999998</v>
      </c>
      <c r="L53">
        <f ca="1">IF(AND(ISNUMBER($L$156),$B$113=1),$L$156,HLOOKUP(INDIRECT(ADDRESS(2,COLUMN())),OFFSET($AT$2,0,0,ROW()-1,40),ROW()-1,FALSE))</f>
        <v>9960.2270000000008</v>
      </c>
      <c r="M53">
        <f ca="1">IF(AND(ISNUMBER($M$156),$B$113=1),$M$156,HLOOKUP(INDIRECT(ADDRESS(2,COLUMN())),OFFSET($AT$2,0,0,ROW()-1,40),ROW()-1,FALSE))</f>
        <v>4702.6009999999997</v>
      </c>
      <c r="N53">
        <f ca="1">IF(AND(ISNUMBER($N$156),$B$113=1),$N$156,HLOOKUP(INDIRECT(ADDRESS(2,COLUMN())),OFFSET($AT$2,0,0,ROW()-1,40),ROW()-1,FALSE))</f>
        <v>4910.9809999999998</v>
      </c>
      <c r="O53">
        <f ca="1">IF(AND(ISNUMBER($O$156),$B$113=1),$O$156,HLOOKUP(INDIRECT(ADDRESS(2,COLUMN())),OFFSET($AT$2,0,0,ROW()-1,40),ROW()-1,FALSE))</f>
        <v>6763.3950000000004</v>
      </c>
      <c r="P53">
        <f ca="1">IF(AND(ISNUMBER($P$156),$B$113=1),$P$156,HLOOKUP(INDIRECT(ADDRESS(2,COLUMN())),OFFSET($AT$2,0,0,ROW()-1,40),ROW()-1,FALSE))</f>
        <v>5012.6189999999997</v>
      </c>
      <c r="Q53">
        <f ca="1">IF(AND(ISNUMBER($Q$156),$B$113=1),$Q$156,HLOOKUP(INDIRECT(ADDRESS(2,COLUMN())),OFFSET($AT$2,0,0,ROW()-1,40),ROW()-1,FALSE))</f>
        <v>3971.4850000000001</v>
      </c>
      <c r="R53">
        <f ca="1">IF(AND(ISNUMBER($R$156),$B$113=1),$R$156,HLOOKUP(INDIRECT(ADDRESS(2,COLUMN())),OFFSET($AT$2,0,0,ROW()-1,40),ROW()-1,FALSE))</f>
        <v>2140.63</v>
      </c>
      <c r="S53">
        <f ca="1">IF(AND(ISNUMBER($S$156),$B$113=1),$S$156,HLOOKUP(INDIRECT(ADDRESS(2,COLUMN())),OFFSET($AT$2,0,0,ROW()-1,40),ROW()-1,FALSE))</f>
        <v>3101.1280000000002</v>
      </c>
      <c r="T53">
        <f ca="1">IF(AND(ISNUMBER($T$156),$B$113=1),$T$156,HLOOKUP(INDIRECT(ADDRESS(2,COLUMN())),OFFSET($AT$2,0,0,ROW()-1,40),ROW()-1,FALSE))</f>
        <v>5090.107</v>
      </c>
      <c r="U53">
        <f ca="1">IF(AND(ISNUMBER($U$156),$B$113=1),$U$156,HLOOKUP(INDIRECT(ADDRESS(2,COLUMN())),OFFSET($AT$2,0,0,ROW()-1,40),ROW()-1,FALSE))</f>
        <v>3000.0259999999998</v>
      </c>
      <c r="V53">
        <f ca="1">IF(AND(ISNUMBER($V$156),$B$113=1),$V$156,HLOOKUP(INDIRECT(ADDRESS(2,COLUMN())),OFFSET($AT$2,0,0,ROW()-1,40),ROW()-1,FALSE))</f>
        <v>2593.1480000000001</v>
      </c>
      <c r="W53">
        <f ca="1">IF(AND(ISNUMBER($W$156),$B$113=1),$W$156,HLOOKUP(INDIRECT(ADDRESS(2,COLUMN())),OFFSET($AT$2,0,0,ROW()-1,40),ROW()-1,FALSE))</f>
        <v>1178.5360000000001</v>
      </c>
      <c r="X53">
        <f ca="1">IF(AND(ISNUMBER($X$156),$B$113=1),$X$156,HLOOKUP(INDIRECT(ADDRESS(2,COLUMN())),OFFSET($AT$2,0,0,ROW()-1,40),ROW()-1,FALSE))</f>
        <v>2129.35</v>
      </c>
      <c r="Y53">
        <f ca="1">IF(AND(ISNUMBER($Y$156),$B$113=1),$Y$156,HLOOKUP(INDIRECT(ADDRESS(2,COLUMN())),OFFSET($AT$2,0,0,ROW()-1,40),ROW()-1,FALSE))</f>
        <v>1908.595</v>
      </c>
      <c r="Z53">
        <f ca="1">IF(AND(ISNUMBER($Z$156),$B$113=1),$Z$156,HLOOKUP(INDIRECT(ADDRESS(2,COLUMN())),OFFSET($AT$2,0,0,ROW()-1,40),ROW()-1,FALSE))</f>
        <v>1787.798</v>
      </c>
      <c r="AA53">
        <f ca="1">IF(AND(ISNUMBER($AA$156),$B$113=1),$AA$156,HLOOKUP(INDIRECT(ADDRESS(2,COLUMN())),OFFSET($AT$2,0,0,ROW()-1,40),ROW()-1,FALSE))</f>
        <v>2386.62</v>
      </c>
      <c r="AB53">
        <f ca="1">IF(AND(ISNUMBER($AB$156),$B$113=1),$AB$156,HLOOKUP(INDIRECT(ADDRESS(2,COLUMN())),OFFSET($AT$2,0,0,ROW()-1,40),ROW()-1,FALSE))</f>
        <v>3250.105</v>
      </c>
      <c r="AC53">
        <f ca="1">IF(AND(ISNUMBER($AC$156),$B$113=1),$AC$156,HLOOKUP(INDIRECT(ADDRESS(2,COLUMN())),OFFSET($AT$2,0,0,ROW()-1,40),ROW()-1,FALSE))</f>
        <v>1888.309</v>
      </c>
      <c r="AD53">
        <f ca="1">IF(AND(ISNUMBER($AD$156),$B$113=1),$AD$156,HLOOKUP(INDIRECT(ADDRESS(2,COLUMN())),OFFSET($AT$2,0,0,ROW()-1,40),ROW()-1,FALSE))</f>
        <v>1760.963</v>
      </c>
      <c r="AE53" t="str">
        <f ca="1">IF(AND(ISNUMBER($AE$156),$B$113=1),$AE$156,HLOOKUP(INDIRECT(ADDRESS(2,COLUMN())),OFFSET($AT$2,0,0,ROW()-1,40),ROW()-1,FALSE))</f>
        <v/>
      </c>
      <c r="AF53" t="str">
        <f ca="1">IF(AND(ISNUMBER($AF$156),$B$113=1),$AF$156,HLOOKUP(INDIRECT(ADDRESS(2,COLUMN())),OFFSET($AT$2,0,0,ROW()-1,40),ROW()-1,FALSE))</f>
        <v/>
      </c>
      <c r="AG53" t="str">
        <f ca="1">IF(AND(ISNUMBER($AG$156),$B$113=1),$AG$156,HLOOKUP(INDIRECT(ADDRESS(2,COLUMN())),OFFSET($AT$2,0,0,ROW()-1,40),ROW()-1,FALSE))</f>
        <v/>
      </c>
      <c r="AH53" t="str">
        <f ca="1">IF(AND(ISNUMBER($AH$156),$B$113=1),$AH$156,HLOOKUP(INDIRECT(ADDRESS(2,COLUMN())),OFFSET($AT$2,0,0,ROW()-1,40),ROW()-1,FALSE))</f>
        <v/>
      </c>
      <c r="AI53" t="str">
        <f ca="1">IF(AND(ISNUMBER($AI$156),$B$113=1),$AI$156,HLOOKUP(INDIRECT(ADDRESS(2,COLUMN())),OFFSET($AT$2,0,0,ROW()-1,40),ROW()-1,FALSE))</f>
        <v/>
      </c>
      <c r="AJ53" t="str">
        <f ca="1">IF(AND(ISNUMBER($AJ$156),$B$113=1),$AJ$156,HLOOKUP(INDIRECT(ADDRESS(2,COLUMN())),OFFSET($AT$2,0,0,ROW()-1,40),ROW()-1,FALSE))</f>
        <v/>
      </c>
      <c r="AK53" t="str">
        <f ca="1">IF(AND(ISNUMBER($AK$156),$B$113=1),$AK$156,HLOOKUP(INDIRECT(ADDRESS(2,COLUMN())),OFFSET($AT$2,0,0,ROW()-1,40),ROW()-1,FALSE))</f>
        <v/>
      </c>
      <c r="AL53" t="str">
        <f ca="1">IF(AND(ISNUMBER($AL$156),$B$113=1),$AL$156,HLOOKUP(INDIRECT(ADDRESS(2,COLUMN())),OFFSET($AT$2,0,0,ROW()-1,40),ROW()-1,FALSE))</f>
        <v/>
      </c>
      <c r="AM53" t="str">
        <f ca="1">IF(AND(ISNUMBER($AM$156),$B$113=1),$AM$156,HLOOKUP(INDIRECT(ADDRESS(2,COLUMN())),OFFSET($AT$2,0,0,ROW()-1,40),ROW()-1,FALSE))</f>
        <v/>
      </c>
      <c r="AN53" t="str">
        <f ca="1">IF(AND(ISNUMBER($AN$156),$B$113=1),$AN$156,HLOOKUP(INDIRECT(ADDRESS(2,COLUMN())),OFFSET($AT$2,0,0,ROW()-1,40),ROW()-1,FALSE))</f>
        <v/>
      </c>
      <c r="AO53" t="str">
        <f ca="1">IF(AND(ISNUMBER($AO$156),$B$113=1),$AO$156,HLOOKUP(INDIRECT(ADDRESS(2,COLUMN())),OFFSET($AT$2,0,0,ROW()-1,40),ROW()-1,FALSE))</f>
        <v/>
      </c>
      <c r="AP53" t="str">
        <f ca="1">IF(AND(ISNUMBER($AP$156),$B$113=1),$AP$156,HLOOKUP(INDIRECT(ADDRESS(2,COLUMN())),OFFSET($AT$2,0,0,ROW()-1,40),ROW()-1,FALSE))</f>
        <v/>
      </c>
      <c r="AQ53" t="str">
        <f ca="1">IF(AND(ISNUMBER($AQ$156),$B$113=1),$AQ$156,HLOOKUP(INDIRECT(ADDRESS(2,COLUMN())),OFFSET($AT$2,0,0,ROW()-1,40),ROW()-1,FALSE))</f>
        <v/>
      </c>
      <c r="AR53" t="str">
        <f ca="1">IF(AND(ISNUMBER($AR$156),$B$113=1),$AR$156,HLOOKUP(INDIRECT(ADDRESS(2,COLUMN())),OFFSET($AT$2,0,0,ROW()-1,40),ROW()-1,FALSE))</f>
        <v/>
      </c>
      <c r="AS53" t="str">
        <f ca="1">IF(AND(ISNUMBER($AS$156),$B$113=1),$AS$156,HLOOKUP(INDIRECT(ADDRESS(2,COLUMN())),OFFSET($AT$2,0,0,ROW()-1,40),ROW()-1,FALSE))</f>
        <v/>
      </c>
      <c r="AT53">
        <f>1810.59499</f>
        <v>1810.5949900000001</v>
      </c>
      <c r="AU53">
        <f>3506.20005</f>
        <v>3506.2000499999999</v>
      </c>
      <c r="AV53">
        <f>1533.877</f>
        <v>1533.877</v>
      </c>
      <c r="AW53">
        <f>6317.65504</f>
        <v>6317.6550399999996</v>
      </c>
      <c r="AX53">
        <f>11033.01009</f>
        <v>11033.01009</v>
      </c>
      <c r="AY53">
        <f>7162.37508</f>
        <v>7162.3750799999998</v>
      </c>
      <c r="AZ53">
        <f>9960.227</f>
        <v>9960.2270000000008</v>
      </c>
      <c r="BA53">
        <f>4702.601</f>
        <v>4702.6009999999997</v>
      </c>
      <c r="BB53">
        <f>4910.981</f>
        <v>4910.9809999999998</v>
      </c>
      <c r="BC53">
        <f>6763.395</f>
        <v>6763.3950000000004</v>
      </c>
      <c r="BD53">
        <f>5012.619</f>
        <v>5012.6189999999997</v>
      </c>
      <c r="BE53">
        <f>3971.485</f>
        <v>3971.4850000000001</v>
      </c>
      <c r="BF53">
        <f>2140.63</f>
        <v>2140.63</v>
      </c>
      <c r="BG53">
        <f>3101.128</f>
        <v>3101.1280000000002</v>
      </c>
      <c r="BH53">
        <f>5090.107</f>
        <v>5090.107</v>
      </c>
      <c r="BI53">
        <f>3000.026</f>
        <v>3000.0259999999998</v>
      </c>
      <c r="BJ53">
        <f>2593.148</f>
        <v>2593.1480000000001</v>
      </c>
      <c r="BK53">
        <f>1178.536</f>
        <v>1178.5360000000001</v>
      </c>
      <c r="BL53">
        <f>2129.35</f>
        <v>2129.35</v>
      </c>
      <c r="BM53">
        <f>1908.595</f>
        <v>1908.595</v>
      </c>
      <c r="BN53">
        <f>1787.798</f>
        <v>1787.798</v>
      </c>
      <c r="BO53">
        <f>2386.62</f>
        <v>2386.62</v>
      </c>
      <c r="BP53">
        <f>3250.105</f>
        <v>3250.105</v>
      </c>
      <c r="BQ53">
        <f>1888.309</f>
        <v>1888.309</v>
      </c>
      <c r="BR53">
        <f>1760.963</f>
        <v>1760.963</v>
      </c>
      <c r="BS53" t="str">
        <f>""</f>
        <v/>
      </c>
      <c r="BT53" t="str">
        <f>""</f>
        <v/>
      </c>
      <c r="BU53" t="str">
        <f>""</f>
        <v/>
      </c>
      <c r="BV53" t="str">
        <f>""</f>
        <v/>
      </c>
      <c r="BW53" t="str">
        <f>""</f>
        <v/>
      </c>
      <c r="BX53" t="str">
        <f>""</f>
        <v/>
      </c>
      <c r="BY53" t="str">
        <f>""</f>
        <v/>
      </c>
      <c r="BZ53" t="str">
        <f>""</f>
        <v/>
      </c>
      <c r="CA53" t="str">
        <f>""</f>
        <v/>
      </c>
      <c r="CB53" t="str">
        <f>""</f>
        <v/>
      </c>
      <c r="CC53" t="str">
        <f>""</f>
        <v/>
      </c>
      <c r="CD53" t="str">
        <f>""</f>
        <v/>
      </c>
      <c r="CE53" t="str">
        <f>""</f>
        <v/>
      </c>
      <c r="CF53" t="str">
        <f>""</f>
        <v/>
      </c>
      <c r="CG53" t="str">
        <f>""</f>
        <v/>
      </c>
    </row>
    <row r="54" spans="1:85" x14ac:dyDescent="0.2">
      <c r="A54" t="str">
        <f>"    "</f>
        <v xml:space="preserve">    </v>
      </c>
      <c r="B54" t="str">
        <f>""</f>
        <v/>
      </c>
      <c r="E54" t="str">
        <f>"Static"</f>
        <v>Static</v>
      </c>
      <c r="F54" t="str">
        <f t="shared" ref="F54:AS54" ca="1" si="15">HLOOKUP(INDIRECT(ADDRESS(2,COLUMN())),OFFSET($AT$2,0,0,ROW()-1,40),ROW()-1,FALSE)</f>
        <v/>
      </c>
      <c r="G54" t="str">
        <f t="shared" ca="1" si="15"/>
        <v/>
      </c>
      <c r="H54" t="str">
        <f t="shared" ca="1" si="15"/>
        <v/>
      </c>
      <c r="I54" t="str">
        <f t="shared" ca="1" si="15"/>
        <v/>
      </c>
      <c r="J54" t="str">
        <f t="shared" ca="1" si="15"/>
        <v/>
      </c>
      <c r="K54" t="str">
        <f t="shared" ca="1" si="15"/>
        <v/>
      </c>
      <c r="L54" t="str">
        <f t="shared" ca="1" si="15"/>
        <v/>
      </c>
      <c r="M54" t="str">
        <f t="shared" ca="1" si="15"/>
        <v/>
      </c>
      <c r="N54" t="str">
        <f t="shared" ca="1" si="15"/>
        <v/>
      </c>
      <c r="O54" t="str">
        <f t="shared" ca="1" si="15"/>
        <v/>
      </c>
      <c r="P54" t="str">
        <f t="shared" ca="1" si="15"/>
        <v/>
      </c>
      <c r="Q54" t="str">
        <f t="shared" ca="1" si="15"/>
        <v/>
      </c>
      <c r="R54" t="str">
        <f t="shared" ca="1" si="15"/>
        <v/>
      </c>
      <c r="S54" t="str">
        <f t="shared" ca="1" si="15"/>
        <v/>
      </c>
      <c r="T54" t="str">
        <f t="shared" ca="1" si="15"/>
        <v/>
      </c>
      <c r="U54" t="str">
        <f t="shared" ca="1" si="15"/>
        <v/>
      </c>
      <c r="V54" t="str">
        <f t="shared" ca="1" si="15"/>
        <v/>
      </c>
      <c r="W54" t="str">
        <f t="shared" ca="1" si="15"/>
        <v/>
      </c>
      <c r="X54" t="str">
        <f t="shared" ca="1" si="15"/>
        <v/>
      </c>
      <c r="Y54" t="str">
        <f t="shared" ca="1" si="15"/>
        <v/>
      </c>
      <c r="Z54" t="str">
        <f t="shared" ca="1" si="15"/>
        <v/>
      </c>
      <c r="AA54" t="str">
        <f t="shared" ca="1" si="15"/>
        <v/>
      </c>
      <c r="AB54" t="str">
        <f t="shared" ca="1" si="15"/>
        <v/>
      </c>
      <c r="AC54" t="str">
        <f t="shared" ca="1" si="15"/>
        <v/>
      </c>
      <c r="AD54" t="str">
        <f t="shared" ca="1" si="15"/>
        <v/>
      </c>
      <c r="AE54" t="str">
        <f t="shared" ca="1" si="15"/>
        <v/>
      </c>
      <c r="AF54" t="str">
        <f t="shared" ca="1" si="15"/>
        <v/>
      </c>
      <c r="AG54" t="str">
        <f t="shared" ca="1" si="15"/>
        <v/>
      </c>
      <c r="AH54" t="str">
        <f t="shared" ca="1" si="15"/>
        <v/>
      </c>
      <c r="AI54" t="str">
        <f t="shared" ca="1" si="15"/>
        <v/>
      </c>
      <c r="AJ54" t="str">
        <f t="shared" ca="1" si="15"/>
        <v/>
      </c>
      <c r="AK54" t="str">
        <f t="shared" ca="1" si="15"/>
        <v/>
      </c>
      <c r="AL54" t="str">
        <f t="shared" ca="1" si="15"/>
        <v/>
      </c>
      <c r="AM54" t="str">
        <f t="shared" ca="1" si="15"/>
        <v/>
      </c>
      <c r="AN54" t="str">
        <f t="shared" ca="1" si="15"/>
        <v/>
      </c>
      <c r="AO54" t="str">
        <f t="shared" ca="1" si="15"/>
        <v/>
      </c>
      <c r="AP54" t="str">
        <f t="shared" ca="1" si="15"/>
        <v/>
      </c>
      <c r="AQ54" t="str">
        <f t="shared" ca="1" si="15"/>
        <v/>
      </c>
      <c r="AR54" t="str">
        <f t="shared" ca="1" si="15"/>
        <v/>
      </c>
      <c r="AS54" t="str">
        <f t="shared" ca="1" si="15"/>
        <v/>
      </c>
      <c r="AT54" t="str">
        <f>""</f>
        <v/>
      </c>
      <c r="AU54" t="str">
        <f>""</f>
        <v/>
      </c>
      <c r="AV54" t="str">
        <f>""</f>
        <v/>
      </c>
      <c r="AW54" t="str">
        <f>""</f>
        <v/>
      </c>
      <c r="AX54" t="str">
        <f>""</f>
        <v/>
      </c>
      <c r="AY54" t="str">
        <f>""</f>
        <v/>
      </c>
      <c r="AZ54" t="str">
        <f>""</f>
        <v/>
      </c>
      <c r="BA54" t="str">
        <f>""</f>
        <v/>
      </c>
      <c r="BB54" t="str">
        <f>""</f>
        <v/>
      </c>
      <c r="BC54" t="str">
        <f>""</f>
        <v/>
      </c>
      <c r="BD54" t="str">
        <f>""</f>
        <v/>
      </c>
      <c r="BE54" t="str">
        <f>""</f>
        <v/>
      </c>
      <c r="BF54" t="str">
        <f>""</f>
        <v/>
      </c>
      <c r="BG54" t="str">
        <f>""</f>
        <v/>
      </c>
      <c r="BH54" t="str">
        <f>""</f>
        <v/>
      </c>
      <c r="BI54" t="str">
        <f>""</f>
        <v/>
      </c>
      <c r="BJ54" t="str">
        <f>""</f>
        <v/>
      </c>
      <c r="BK54" t="str">
        <f>""</f>
        <v/>
      </c>
      <c r="BL54" t="str">
        <f>""</f>
        <v/>
      </c>
      <c r="BM54" t="str">
        <f>""</f>
        <v/>
      </c>
      <c r="BN54" t="str">
        <f>""</f>
        <v/>
      </c>
      <c r="BO54" t="str">
        <f>""</f>
        <v/>
      </c>
      <c r="BP54" t="str">
        <f>""</f>
        <v/>
      </c>
      <c r="BQ54" t="str">
        <f>""</f>
        <v/>
      </c>
      <c r="BR54" t="str">
        <f>""</f>
        <v/>
      </c>
      <c r="BS54" t="str">
        <f>""</f>
        <v/>
      </c>
      <c r="BT54" t="str">
        <f>""</f>
        <v/>
      </c>
      <c r="BU54" t="str">
        <f>""</f>
        <v/>
      </c>
      <c r="BV54" t="str">
        <f>""</f>
        <v/>
      </c>
      <c r="BW54" t="str">
        <f>""</f>
        <v/>
      </c>
      <c r="BX54" t="str">
        <f>""</f>
        <v/>
      </c>
      <c r="BY54" t="str">
        <f>""</f>
        <v/>
      </c>
      <c r="BZ54" t="str">
        <f>""</f>
        <v/>
      </c>
      <c r="CA54" t="str">
        <f>""</f>
        <v/>
      </c>
      <c r="CB54" t="str">
        <f>""</f>
        <v/>
      </c>
      <c r="CC54" t="str">
        <f>""</f>
        <v/>
      </c>
      <c r="CD54" t="str">
        <f>""</f>
        <v/>
      </c>
      <c r="CE54" t="str">
        <f>""</f>
        <v/>
      </c>
      <c r="CF54" t="str">
        <f>""</f>
        <v/>
      </c>
      <c r="CG54" t="str">
        <f>""</f>
        <v/>
      </c>
    </row>
    <row r="55" spans="1:85" x14ac:dyDescent="0.2">
      <c r="A55" t="str">
        <f>"    US Transportation Awards (Number)"</f>
        <v xml:space="preserve">    US Transportation Awards (Number)</v>
      </c>
      <c r="B55" t="str">
        <f>""</f>
        <v/>
      </c>
      <c r="E55" t="str">
        <f>"Sum"</f>
        <v>Sum</v>
      </c>
      <c r="F55">
        <f ca="1">IF(ISERROR(IF(SUM($F$56:$F$60) = 0, "", SUM($F$56:$F$60))), "", (IF(SUM($F$56:$F$60) = 0, "", SUM($F$56:$F$60))))</f>
        <v>33672</v>
      </c>
      <c r="G55">
        <f ca="1">IF(ISERROR(IF(SUM($G$56:$G$60) = 0, "", SUM($G$56:$G$60))), "", (IF(SUM($G$56:$G$60) = 0, "", SUM($G$56:$G$60))))</f>
        <v>40230</v>
      </c>
      <c r="H55">
        <f ca="1">IF(ISERROR(IF(SUM($H$56:$H$60) = 0, "", SUM($H$56:$H$60))), "", (IF(SUM($H$56:$H$60) = 0, "", SUM($H$56:$H$60))))</f>
        <v>35179</v>
      </c>
      <c r="I55">
        <f ca="1">IF(ISERROR(IF(SUM($I$56:$I$60) = 0, "", SUM($I$56:$I$60))), "", (IF(SUM($I$56:$I$60) = 0, "", SUM($I$56:$I$60))))</f>
        <v>33329</v>
      </c>
      <c r="J55">
        <f ca="1">IF(ISERROR(IF(SUM($J$56:$J$60) = 0, "", SUM($J$56:$J$60))), "", (IF(SUM($J$56:$J$60) = 0, "", SUM($J$56:$J$60))))</f>
        <v>33070</v>
      </c>
      <c r="K55">
        <f ca="1">IF(ISERROR(IF(SUM($K$56:$K$60) = 0, "", SUM($K$56:$K$60))), "", (IF(SUM($K$56:$K$60) = 0, "", SUM($K$56:$K$60))))</f>
        <v>33405</v>
      </c>
      <c r="L55">
        <f ca="1">IF(ISERROR(IF(SUM($L$56:$L$60) = 0, "", SUM($L$56:$L$60))), "", (IF(SUM($L$56:$L$60) = 0, "", SUM($L$56:$L$60))))</f>
        <v>33089</v>
      </c>
      <c r="M55">
        <f ca="1">IF(ISERROR(IF(SUM($M$56:$M$60) = 0, "", SUM($M$56:$M$60))), "", (IF(SUM($M$56:$M$60) = 0, "", SUM($M$56:$M$60))))</f>
        <v>34344</v>
      </c>
      <c r="N55">
        <f ca="1">IF(ISERROR(IF(SUM($N$56:$N$60) = 0, "", SUM($N$56:$N$60))), "", (IF(SUM($N$56:$N$60) = 0, "", SUM($N$56:$N$60))))</f>
        <v>34142</v>
      </c>
      <c r="O55">
        <f ca="1">IF(ISERROR(IF(SUM($O$56:$O$60) = 0, "", SUM($O$56:$O$60))), "", (IF(SUM($O$56:$O$60) = 0, "", SUM($O$56:$O$60))))</f>
        <v>35802</v>
      </c>
      <c r="P55">
        <f ca="1">IF(ISERROR(IF(SUM($P$56:$P$60) = 0, "", SUM($P$56:$P$60))), "", (IF(SUM($P$56:$P$60) = 0, "", SUM($P$56:$P$60))))</f>
        <v>34132</v>
      </c>
      <c r="Q55">
        <f ca="1">IF(ISERROR(IF(SUM($Q$56:$Q$60) = 0, "", SUM($Q$56:$Q$60))), "", (IF(SUM($Q$56:$Q$60) = 0, "", SUM($Q$56:$Q$60))))</f>
        <v>33193</v>
      </c>
      <c r="R55">
        <f ca="1">IF(ISERROR(IF(SUM($R$56:$R$60) = 0, "", SUM($R$56:$R$60))), "", (IF(SUM($R$56:$R$60) = 0, "", SUM($R$56:$R$60))))</f>
        <v>33026</v>
      </c>
      <c r="S55">
        <f ca="1">IF(ISERROR(IF(SUM($S$56:$S$60) = 0, "", SUM($S$56:$S$60))), "", (IF(SUM($S$56:$S$60) = 0, "", SUM($S$56:$S$60))))</f>
        <v>34090</v>
      </c>
      <c r="T55">
        <f ca="1">IF(ISERROR(IF(SUM($T$56:$T$60) = 0, "", SUM($T$56:$T$60))), "", (IF(SUM($T$56:$T$60) = 0, "", SUM($T$56:$T$60))))</f>
        <v>33884</v>
      </c>
      <c r="U55">
        <f ca="1">IF(ISERROR(IF(SUM($U$56:$U$60) = 0, "", SUM($U$56:$U$60))), "", (IF(SUM($U$56:$U$60) = 0, "", SUM($U$56:$U$60))))</f>
        <v>30214</v>
      </c>
      <c r="V55">
        <f ca="1">IF(ISERROR(IF(SUM($V$56:$V$60) = 0, "", SUM($V$56:$V$60))), "", (IF(SUM($V$56:$V$60) = 0, "", SUM($V$56:$V$60))))</f>
        <v>29378</v>
      </c>
      <c r="W55">
        <f ca="1">IF(ISERROR(IF(SUM($W$56:$W$60) = 0, "", SUM($W$56:$W$60))), "", (IF(SUM($W$56:$W$60) = 0, "", SUM($W$56:$W$60))))</f>
        <v>29951</v>
      </c>
      <c r="X55">
        <f ca="1">IF(ISERROR(IF(SUM($X$56:$X$60) = 0, "", SUM($X$56:$X$60))), "", (IF(SUM($X$56:$X$60) = 0, "", SUM($X$56:$X$60))))</f>
        <v>28370</v>
      </c>
      <c r="Y55">
        <f ca="1">IF(ISERROR(IF(SUM($Y$56:$Y$60) = 0, "", SUM($Y$56:$Y$60))), "", (IF(SUM($Y$56:$Y$60) = 0, "", SUM($Y$56:$Y$60))))</f>
        <v>29428</v>
      </c>
      <c r="Z55">
        <f ca="1">IF(ISERROR(IF(SUM($Z$56:$Z$60) = 0, "", SUM($Z$56:$Z$60))), "", (IF(SUM($Z$56:$Z$60) = 0, "", SUM($Z$56:$Z$60))))</f>
        <v>29392</v>
      </c>
      <c r="AA55">
        <f ca="1">IF(ISERROR(IF(SUM($AA$56:$AA$60) = 0, "", SUM($AA$56:$AA$60))), "", (IF(SUM($AA$56:$AA$60) = 0, "", SUM($AA$56:$AA$60))))</f>
        <v>32534</v>
      </c>
      <c r="AB55">
        <f ca="1">IF(ISERROR(IF(SUM($AB$56:$AB$60) = 0, "", SUM($AB$56:$AB$60))), "", (IF(SUM($AB$56:$AB$60) = 0, "", SUM($AB$56:$AB$60))))</f>
        <v>31356</v>
      </c>
      <c r="AC55">
        <f ca="1">IF(ISERROR(IF(SUM($AC$56:$AC$60) = 0, "", SUM($AC$56:$AC$60))), "", (IF(SUM($AC$56:$AC$60) = 0, "", SUM($AC$56:$AC$60))))</f>
        <v>31606</v>
      </c>
      <c r="AD55">
        <f ca="1">IF(ISERROR(IF(SUM($AD$56:$AD$60) = 0, "", SUM($AD$56:$AD$60))), "", (IF(SUM($AD$56:$AD$60) = 0, "", SUM($AD$56:$AD$60))))</f>
        <v>32637</v>
      </c>
      <c r="AE55" t="str">
        <f ca="1">IF(ISERROR(IF(SUM($AE$56:$AE$60) = 0, "", SUM($AE$56:$AE$60))), "", (IF(SUM($AE$56:$AE$60) = 0, "", SUM($AE$56:$AE$60))))</f>
        <v/>
      </c>
      <c r="AF55" t="str">
        <f ca="1">IF(ISERROR(IF(SUM($AF$56:$AF$60) = 0, "", SUM($AF$56:$AF$60))), "", (IF(SUM($AF$56:$AF$60) = 0, "", SUM($AF$56:$AF$60))))</f>
        <v/>
      </c>
      <c r="AG55" t="str">
        <f ca="1">IF(ISERROR(IF(SUM($AG$56:$AG$60) = 0, "", SUM($AG$56:$AG$60))), "", (IF(SUM($AG$56:$AG$60) = 0, "", SUM($AG$56:$AG$60))))</f>
        <v/>
      </c>
      <c r="AH55" t="str">
        <f ca="1">IF(ISERROR(IF(SUM($AH$56:$AH$60) = 0, "", SUM($AH$56:$AH$60))), "", (IF(SUM($AH$56:$AH$60) = 0, "", SUM($AH$56:$AH$60))))</f>
        <v/>
      </c>
      <c r="AI55" t="str">
        <f ca="1">IF(ISERROR(IF(SUM($AI$56:$AI$60) = 0, "", SUM($AI$56:$AI$60))), "", (IF(SUM($AI$56:$AI$60) = 0, "", SUM($AI$56:$AI$60))))</f>
        <v/>
      </c>
      <c r="AJ55" t="str">
        <f ca="1">IF(ISERROR(IF(SUM($AJ$56:$AJ$60) = 0, "", SUM($AJ$56:$AJ$60))), "", (IF(SUM($AJ$56:$AJ$60) = 0, "", SUM($AJ$56:$AJ$60))))</f>
        <v/>
      </c>
      <c r="AK55" t="str">
        <f ca="1">IF(ISERROR(IF(SUM($AK$56:$AK$60) = 0, "", SUM($AK$56:$AK$60))), "", (IF(SUM($AK$56:$AK$60) = 0, "", SUM($AK$56:$AK$60))))</f>
        <v/>
      </c>
      <c r="AL55" t="str">
        <f ca="1">IF(ISERROR(IF(SUM($AL$56:$AL$60) = 0, "", SUM($AL$56:$AL$60))), "", (IF(SUM($AL$56:$AL$60) = 0, "", SUM($AL$56:$AL$60))))</f>
        <v/>
      </c>
      <c r="AM55" t="str">
        <f ca="1">IF(ISERROR(IF(SUM($AM$56:$AM$60) = 0, "", SUM($AM$56:$AM$60))), "", (IF(SUM($AM$56:$AM$60) = 0, "", SUM($AM$56:$AM$60))))</f>
        <v/>
      </c>
      <c r="AN55" t="str">
        <f ca="1">IF(ISERROR(IF(SUM($AN$56:$AN$60) = 0, "", SUM($AN$56:$AN$60))), "", (IF(SUM($AN$56:$AN$60) = 0, "", SUM($AN$56:$AN$60))))</f>
        <v/>
      </c>
      <c r="AO55" t="str">
        <f ca="1">IF(ISERROR(IF(SUM($AO$56:$AO$60) = 0, "", SUM($AO$56:$AO$60))), "", (IF(SUM($AO$56:$AO$60) = 0, "", SUM($AO$56:$AO$60))))</f>
        <v/>
      </c>
      <c r="AP55" t="str">
        <f ca="1">IF(ISERROR(IF(SUM($AP$56:$AP$60) = 0, "", SUM($AP$56:$AP$60))), "", (IF(SUM($AP$56:$AP$60) = 0, "", SUM($AP$56:$AP$60))))</f>
        <v/>
      </c>
      <c r="AQ55" t="str">
        <f ca="1">IF(ISERROR(IF(SUM($AQ$56:$AQ$60) = 0, "", SUM($AQ$56:$AQ$60))), "", (IF(SUM($AQ$56:$AQ$60) = 0, "", SUM($AQ$56:$AQ$60))))</f>
        <v/>
      </c>
      <c r="AR55" t="str">
        <f ca="1">IF(ISERROR(IF(SUM($AR$56:$AR$60) = 0, "", SUM($AR$56:$AR$60))), "", (IF(SUM($AR$56:$AR$60) = 0, "", SUM($AR$56:$AR$60))))</f>
        <v/>
      </c>
      <c r="AS55" t="str">
        <f ca="1">IF(ISERROR(IF(SUM($AS$56:$AS$60) = 0, "", SUM($AS$56:$AS$60))), "", (IF(SUM($AS$56:$AS$60) = 0, "", SUM($AS$56:$AS$60))))</f>
        <v/>
      </c>
      <c r="AT55">
        <f>33672</f>
        <v>33672</v>
      </c>
      <c r="AU55">
        <f>40230</f>
        <v>40230</v>
      </c>
      <c r="AV55">
        <f>35179</f>
        <v>35179</v>
      </c>
      <c r="AW55">
        <f>33329</f>
        <v>33329</v>
      </c>
      <c r="AX55">
        <f>33070</f>
        <v>33070</v>
      </c>
      <c r="AY55">
        <f>33405</f>
        <v>33405</v>
      </c>
      <c r="AZ55">
        <f>33089</f>
        <v>33089</v>
      </c>
      <c r="BA55">
        <f>34344</f>
        <v>34344</v>
      </c>
      <c r="BB55">
        <f>34142</f>
        <v>34142</v>
      </c>
      <c r="BC55">
        <f>35802</f>
        <v>35802</v>
      </c>
      <c r="BD55">
        <f>34132</f>
        <v>34132</v>
      </c>
      <c r="BE55">
        <f>33193</f>
        <v>33193</v>
      </c>
      <c r="BF55">
        <f>33026</f>
        <v>33026</v>
      </c>
      <c r="BG55">
        <f>34090</f>
        <v>34090</v>
      </c>
      <c r="BH55">
        <f>33884</f>
        <v>33884</v>
      </c>
      <c r="BI55">
        <f>30214</f>
        <v>30214</v>
      </c>
      <c r="BJ55">
        <f>29378</f>
        <v>29378</v>
      </c>
      <c r="BK55">
        <f>29951</f>
        <v>29951</v>
      </c>
      <c r="BL55">
        <f>28370</f>
        <v>28370</v>
      </c>
      <c r="BM55">
        <f>29428</f>
        <v>29428</v>
      </c>
      <c r="BN55">
        <f>29392</f>
        <v>29392</v>
      </c>
      <c r="BO55">
        <f>32534</f>
        <v>32534</v>
      </c>
      <c r="BP55">
        <f>31356</f>
        <v>31356</v>
      </c>
      <c r="BQ55">
        <f>31606</f>
        <v>31606</v>
      </c>
      <c r="BR55">
        <f>32637</f>
        <v>32637</v>
      </c>
      <c r="BS55" t="str">
        <f>""</f>
        <v/>
      </c>
      <c r="BT55" t="str">
        <f>""</f>
        <v/>
      </c>
      <c r="BU55" t="str">
        <f>""</f>
        <v/>
      </c>
      <c r="BV55" t="str">
        <f>""</f>
        <v/>
      </c>
      <c r="BW55" t="str">
        <f>""</f>
        <v/>
      </c>
      <c r="BX55" t="str">
        <f>""</f>
        <v/>
      </c>
      <c r="BY55" t="str">
        <f>""</f>
        <v/>
      </c>
      <c r="BZ55" t="str">
        <f>""</f>
        <v/>
      </c>
      <c r="CA55" t="str">
        <f>""</f>
        <v/>
      </c>
      <c r="CB55" t="str">
        <f>""</f>
        <v/>
      </c>
      <c r="CC55" t="str">
        <f>""</f>
        <v/>
      </c>
      <c r="CD55" t="str">
        <f>""</f>
        <v/>
      </c>
      <c r="CE55" t="str">
        <f>""</f>
        <v/>
      </c>
      <c r="CF55" t="str">
        <f>""</f>
        <v/>
      </c>
      <c r="CG55" t="str">
        <f>""</f>
        <v/>
      </c>
    </row>
    <row r="56" spans="1:85" x14ac:dyDescent="0.2">
      <c r="A56" t="str">
        <f>"        Airports"</f>
        <v xml:space="preserve">        Airports</v>
      </c>
      <c r="B56" t="str">
        <f>"RTBAAANU Index"</f>
        <v>RTBAAANU Index</v>
      </c>
      <c r="C56" t="str">
        <f>"PX385"</f>
        <v>PX385</v>
      </c>
      <c r="D56" t="str">
        <f>"INTERVAL_SUM"</f>
        <v>INTERVAL_SUM</v>
      </c>
      <c r="E56" t="str">
        <f>"Dynamic"</f>
        <v>Dynamic</v>
      </c>
      <c r="F56">
        <f ca="1">IF(AND(ISNUMBER($F$157),$B$113=1),$F$157,HLOOKUP(INDIRECT(ADDRESS(2,COLUMN())),OFFSET($AT$2,0,0,ROW()-1,40),ROW()-1,FALSE))</f>
        <v>577</v>
      </c>
      <c r="G56">
        <f ca="1">IF(AND(ISNUMBER($G$157),$B$113=1),$G$157,HLOOKUP(INDIRECT(ADDRESS(2,COLUMN())),OFFSET($AT$2,0,0,ROW()-1,40),ROW()-1,FALSE))</f>
        <v>724</v>
      </c>
      <c r="H56">
        <f ca="1">IF(AND(ISNUMBER($H$157),$B$113=1),$H$157,HLOOKUP(INDIRECT(ADDRESS(2,COLUMN())),OFFSET($AT$2,0,0,ROW()-1,40),ROW()-1,FALSE))</f>
        <v>681</v>
      </c>
      <c r="I56">
        <f ca="1">IF(AND(ISNUMBER($I$157),$B$113=1),$I$157,HLOOKUP(INDIRECT(ADDRESS(2,COLUMN())),OFFSET($AT$2,0,0,ROW()-1,40),ROW()-1,FALSE))</f>
        <v>636</v>
      </c>
      <c r="J56">
        <f ca="1">IF(AND(ISNUMBER($J$157),$B$113=1),$J$157,HLOOKUP(INDIRECT(ADDRESS(2,COLUMN())),OFFSET($AT$2,0,0,ROW()-1,40),ROW()-1,FALSE))</f>
        <v>480</v>
      </c>
      <c r="K56">
        <f ca="1">IF(AND(ISNUMBER($K$157),$B$113=1),$K$157,HLOOKUP(INDIRECT(ADDRESS(2,COLUMN())),OFFSET($AT$2,0,0,ROW()-1,40),ROW()-1,FALSE))</f>
        <v>495</v>
      </c>
      <c r="L56">
        <f ca="1">IF(AND(ISNUMBER($L$157),$B$113=1),$L$157,HLOOKUP(INDIRECT(ADDRESS(2,COLUMN())),OFFSET($AT$2,0,0,ROW()-1,40),ROW()-1,FALSE))</f>
        <v>504</v>
      </c>
      <c r="M56">
        <f ca="1">IF(AND(ISNUMBER($M$157),$B$113=1),$M$157,HLOOKUP(INDIRECT(ADDRESS(2,COLUMN())),OFFSET($AT$2,0,0,ROW()-1,40),ROW()-1,FALSE))</f>
        <v>657</v>
      </c>
      <c r="N56">
        <f ca="1">IF(AND(ISNUMBER($N$157),$B$113=1),$N$157,HLOOKUP(INDIRECT(ADDRESS(2,COLUMN())),OFFSET($AT$2,0,0,ROW()-1,40),ROW()-1,FALSE))</f>
        <v>745</v>
      </c>
      <c r="O56">
        <f ca="1">IF(AND(ISNUMBER($O$157),$B$113=1),$O$157,HLOOKUP(INDIRECT(ADDRESS(2,COLUMN())),OFFSET($AT$2,0,0,ROW()-1,40),ROW()-1,FALSE))</f>
        <v>803</v>
      </c>
      <c r="P56">
        <f ca="1">IF(AND(ISNUMBER($P$157),$B$113=1),$P$157,HLOOKUP(INDIRECT(ADDRESS(2,COLUMN())),OFFSET($AT$2,0,0,ROW()-1,40),ROW()-1,FALSE))</f>
        <v>677</v>
      </c>
      <c r="Q56">
        <f ca="1">IF(AND(ISNUMBER($Q$157),$B$113=1),$Q$157,HLOOKUP(INDIRECT(ADDRESS(2,COLUMN())),OFFSET($AT$2,0,0,ROW()-1,40),ROW()-1,FALSE))</f>
        <v>778</v>
      </c>
      <c r="R56">
        <f ca="1">IF(AND(ISNUMBER($R$157),$B$113=1),$R$157,HLOOKUP(INDIRECT(ADDRESS(2,COLUMN())),OFFSET($AT$2,0,0,ROW()-1,40),ROW()-1,FALSE))</f>
        <v>724</v>
      </c>
      <c r="S56">
        <f ca="1">IF(AND(ISNUMBER($S$157),$B$113=1),$S$157,HLOOKUP(INDIRECT(ADDRESS(2,COLUMN())),OFFSET($AT$2,0,0,ROW()-1,40),ROW()-1,FALSE))</f>
        <v>810</v>
      </c>
      <c r="T56">
        <f ca="1">IF(AND(ISNUMBER($T$157),$B$113=1),$T$157,HLOOKUP(INDIRECT(ADDRESS(2,COLUMN())),OFFSET($AT$2,0,0,ROW()-1,40),ROW()-1,FALSE))</f>
        <v>1078</v>
      </c>
      <c r="U56">
        <f ca="1">IF(AND(ISNUMBER($U$157),$B$113=1),$U$157,HLOOKUP(INDIRECT(ADDRESS(2,COLUMN())),OFFSET($AT$2,0,0,ROW()-1,40),ROW()-1,FALSE))</f>
        <v>782</v>
      </c>
      <c r="V56">
        <f ca="1">IF(AND(ISNUMBER($V$157),$B$113=1),$V$157,HLOOKUP(INDIRECT(ADDRESS(2,COLUMN())),OFFSET($AT$2,0,0,ROW()-1,40),ROW()-1,FALSE))</f>
        <v>825</v>
      </c>
      <c r="W56">
        <f ca="1">IF(AND(ISNUMBER($W$157),$B$113=1),$W$157,HLOOKUP(INDIRECT(ADDRESS(2,COLUMN())),OFFSET($AT$2,0,0,ROW()-1,40),ROW()-1,FALSE))</f>
        <v>829</v>
      </c>
      <c r="X56">
        <f ca="1">IF(AND(ISNUMBER($X$157),$B$113=1),$X$157,HLOOKUP(INDIRECT(ADDRESS(2,COLUMN())),OFFSET($AT$2,0,0,ROW()-1,40),ROW()-1,FALSE))</f>
        <v>900</v>
      </c>
      <c r="Y56">
        <f ca="1">IF(AND(ISNUMBER($Y$157),$B$113=1),$Y$157,HLOOKUP(INDIRECT(ADDRESS(2,COLUMN())),OFFSET($AT$2,0,0,ROW()-1,40),ROW()-1,FALSE))</f>
        <v>917</v>
      </c>
      <c r="Z56">
        <f ca="1">IF(AND(ISNUMBER($Z$157),$B$113=1),$Z$157,HLOOKUP(INDIRECT(ADDRESS(2,COLUMN())),OFFSET($AT$2,0,0,ROW()-1,40),ROW()-1,FALSE))</f>
        <v>887</v>
      </c>
      <c r="AA56">
        <f ca="1">IF(AND(ISNUMBER($AA$157),$B$113=1),$AA$157,HLOOKUP(INDIRECT(ADDRESS(2,COLUMN())),OFFSET($AT$2,0,0,ROW()-1,40),ROW()-1,FALSE))</f>
        <v>864</v>
      </c>
      <c r="AB56">
        <f ca="1">IF(AND(ISNUMBER($AB$157),$B$113=1),$AB$157,HLOOKUP(INDIRECT(ADDRESS(2,COLUMN())),OFFSET($AT$2,0,0,ROW()-1,40),ROW()-1,FALSE))</f>
        <v>848</v>
      </c>
      <c r="AC56">
        <f ca="1">IF(AND(ISNUMBER($AC$157),$B$113=1),$AC$157,HLOOKUP(INDIRECT(ADDRESS(2,COLUMN())),OFFSET($AT$2,0,0,ROW()-1,40),ROW()-1,FALSE))</f>
        <v>711</v>
      </c>
      <c r="AD56">
        <f ca="1">IF(AND(ISNUMBER($AD$157),$B$113=1),$AD$157,HLOOKUP(INDIRECT(ADDRESS(2,COLUMN())),OFFSET($AT$2,0,0,ROW()-1,40),ROW()-1,FALSE))</f>
        <v>676</v>
      </c>
      <c r="AE56" t="str">
        <f ca="1">IF(AND(ISNUMBER($AE$157),$B$113=1),$AE$157,HLOOKUP(INDIRECT(ADDRESS(2,COLUMN())),OFFSET($AT$2,0,0,ROW()-1,40),ROW()-1,FALSE))</f>
        <v/>
      </c>
      <c r="AF56" t="str">
        <f ca="1">IF(AND(ISNUMBER($AF$157),$B$113=1),$AF$157,HLOOKUP(INDIRECT(ADDRESS(2,COLUMN())),OFFSET($AT$2,0,0,ROW()-1,40),ROW()-1,FALSE))</f>
        <v/>
      </c>
      <c r="AG56" t="str">
        <f ca="1">IF(AND(ISNUMBER($AG$157),$B$113=1),$AG$157,HLOOKUP(INDIRECT(ADDRESS(2,COLUMN())),OFFSET($AT$2,0,0,ROW()-1,40),ROW()-1,FALSE))</f>
        <v/>
      </c>
      <c r="AH56" t="str">
        <f ca="1">IF(AND(ISNUMBER($AH$157),$B$113=1),$AH$157,HLOOKUP(INDIRECT(ADDRESS(2,COLUMN())),OFFSET($AT$2,0,0,ROW()-1,40),ROW()-1,FALSE))</f>
        <v/>
      </c>
      <c r="AI56" t="str">
        <f ca="1">IF(AND(ISNUMBER($AI$157),$B$113=1),$AI$157,HLOOKUP(INDIRECT(ADDRESS(2,COLUMN())),OFFSET($AT$2,0,0,ROW()-1,40),ROW()-1,FALSE))</f>
        <v/>
      </c>
      <c r="AJ56" t="str">
        <f ca="1">IF(AND(ISNUMBER($AJ$157),$B$113=1),$AJ$157,HLOOKUP(INDIRECT(ADDRESS(2,COLUMN())),OFFSET($AT$2,0,0,ROW()-1,40),ROW()-1,FALSE))</f>
        <v/>
      </c>
      <c r="AK56" t="str">
        <f ca="1">IF(AND(ISNUMBER($AK$157),$B$113=1),$AK$157,HLOOKUP(INDIRECT(ADDRESS(2,COLUMN())),OFFSET($AT$2,0,0,ROW()-1,40),ROW()-1,FALSE))</f>
        <v/>
      </c>
      <c r="AL56" t="str">
        <f ca="1">IF(AND(ISNUMBER($AL$157),$B$113=1),$AL$157,HLOOKUP(INDIRECT(ADDRESS(2,COLUMN())),OFFSET($AT$2,0,0,ROW()-1,40),ROW()-1,FALSE))</f>
        <v/>
      </c>
      <c r="AM56" t="str">
        <f ca="1">IF(AND(ISNUMBER($AM$157),$B$113=1),$AM$157,HLOOKUP(INDIRECT(ADDRESS(2,COLUMN())),OFFSET($AT$2,0,0,ROW()-1,40),ROW()-1,FALSE))</f>
        <v/>
      </c>
      <c r="AN56" t="str">
        <f ca="1">IF(AND(ISNUMBER($AN$157),$B$113=1),$AN$157,HLOOKUP(INDIRECT(ADDRESS(2,COLUMN())),OFFSET($AT$2,0,0,ROW()-1,40),ROW()-1,FALSE))</f>
        <v/>
      </c>
      <c r="AO56" t="str">
        <f ca="1">IF(AND(ISNUMBER($AO$157),$B$113=1),$AO$157,HLOOKUP(INDIRECT(ADDRESS(2,COLUMN())),OFFSET($AT$2,0,0,ROW()-1,40),ROW()-1,FALSE))</f>
        <v/>
      </c>
      <c r="AP56" t="str">
        <f ca="1">IF(AND(ISNUMBER($AP$157),$B$113=1),$AP$157,HLOOKUP(INDIRECT(ADDRESS(2,COLUMN())),OFFSET($AT$2,0,0,ROW()-1,40),ROW()-1,FALSE))</f>
        <v/>
      </c>
      <c r="AQ56" t="str">
        <f ca="1">IF(AND(ISNUMBER($AQ$157),$B$113=1),$AQ$157,HLOOKUP(INDIRECT(ADDRESS(2,COLUMN())),OFFSET($AT$2,0,0,ROW()-1,40),ROW()-1,FALSE))</f>
        <v/>
      </c>
      <c r="AR56" t="str">
        <f ca="1">IF(AND(ISNUMBER($AR$157),$B$113=1),$AR$157,HLOOKUP(INDIRECT(ADDRESS(2,COLUMN())),OFFSET($AT$2,0,0,ROW()-1,40),ROW()-1,FALSE))</f>
        <v/>
      </c>
      <c r="AS56" t="str">
        <f ca="1">IF(AND(ISNUMBER($AS$157),$B$113=1),$AS$157,HLOOKUP(INDIRECT(ADDRESS(2,COLUMN())),OFFSET($AT$2,0,0,ROW()-1,40),ROW()-1,FALSE))</f>
        <v/>
      </c>
      <c r="AT56">
        <f>577</f>
        <v>577</v>
      </c>
      <c r="AU56">
        <f>724</f>
        <v>724</v>
      </c>
      <c r="AV56">
        <f>681</f>
        <v>681</v>
      </c>
      <c r="AW56">
        <f>636</f>
        <v>636</v>
      </c>
      <c r="AX56">
        <f>480</f>
        <v>480</v>
      </c>
      <c r="AY56">
        <f>495</f>
        <v>495</v>
      </c>
      <c r="AZ56">
        <f>504</f>
        <v>504</v>
      </c>
      <c r="BA56">
        <f>657</f>
        <v>657</v>
      </c>
      <c r="BB56">
        <f>745</f>
        <v>745</v>
      </c>
      <c r="BC56">
        <f>803</f>
        <v>803</v>
      </c>
      <c r="BD56">
        <f>677</f>
        <v>677</v>
      </c>
      <c r="BE56">
        <f>778</f>
        <v>778</v>
      </c>
      <c r="BF56">
        <f>724</f>
        <v>724</v>
      </c>
      <c r="BG56">
        <f>810</f>
        <v>810</v>
      </c>
      <c r="BH56">
        <f>1078</f>
        <v>1078</v>
      </c>
      <c r="BI56">
        <f>782</f>
        <v>782</v>
      </c>
      <c r="BJ56">
        <f>825</f>
        <v>825</v>
      </c>
      <c r="BK56">
        <f>829</f>
        <v>829</v>
      </c>
      <c r="BL56">
        <f>900</f>
        <v>900</v>
      </c>
      <c r="BM56">
        <f>917</f>
        <v>917</v>
      </c>
      <c r="BN56">
        <f>887</f>
        <v>887</v>
      </c>
      <c r="BO56">
        <f>864</f>
        <v>864</v>
      </c>
      <c r="BP56">
        <f>848</f>
        <v>848</v>
      </c>
      <c r="BQ56">
        <f>711</f>
        <v>711</v>
      </c>
      <c r="BR56">
        <f>676</f>
        <v>676</v>
      </c>
      <c r="BS56" t="str">
        <f>""</f>
        <v/>
      </c>
      <c r="BT56" t="str">
        <f>""</f>
        <v/>
      </c>
      <c r="BU56" t="str">
        <f>""</f>
        <v/>
      </c>
      <c r="BV56" t="str">
        <f>""</f>
        <v/>
      </c>
      <c r="BW56" t="str">
        <f>""</f>
        <v/>
      </c>
      <c r="BX56" t="str">
        <f>""</f>
        <v/>
      </c>
      <c r="BY56" t="str">
        <f>""</f>
        <v/>
      </c>
      <c r="BZ56" t="str">
        <f>""</f>
        <v/>
      </c>
      <c r="CA56" t="str">
        <f>""</f>
        <v/>
      </c>
      <c r="CB56" t="str">
        <f>""</f>
        <v/>
      </c>
      <c r="CC56" t="str">
        <f>""</f>
        <v/>
      </c>
      <c r="CD56" t="str">
        <f>""</f>
        <v/>
      </c>
      <c r="CE56" t="str">
        <f>""</f>
        <v/>
      </c>
      <c r="CF56" t="str">
        <f>""</f>
        <v/>
      </c>
      <c r="CG56" t="str">
        <f>""</f>
        <v/>
      </c>
    </row>
    <row r="57" spans="1:85" x14ac:dyDescent="0.2">
      <c r="A57" t="str">
        <f>"        Bridge &amp; Tunnel"</f>
        <v xml:space="preserve">        Bridge &amp; Tunnel</v>
      </c>
      <c r="B57" t="str">
        <f>"RTBABTNU Index"</f>
        <v>RTBABTNU Index</v>
      </c>
      <c r="C57" t="str">
        <f>"PX385"</f>
        <v>PX385</v>
      </c>
      <c r="D57" t="str">
        <f>"INTERVAL_SUM"</f>
        <v>INTERVAL_SUM</v>
      </c>
      <c r="E57" t="str">
        <f>"Dynamic"</f>
        <v>Dynamic</v>
      </c>
      <c r="F57">
        <f ca="1">IF(AND(ISNUMBER($F$158),$B$113=1),$F$158,HLOOKUP(INDIRECT(ADDRESS(2,COLUMN())),OFFSET($AT$2,0,0,ROW()-1,40),ROW()-1,FALSE))</f>
        <v>4703</v>
      </c>
      <c r="G57">
        <f ca="1">IF(AND(ISNUMBER($G$158),$B$113=1),$G$158,HLOOKUP(INDIRECT(ADDRESS(2,COLUMN())),OFFSET($AT$2,0,0,ROW()-1,40),ROW()-1,FALSE))</f>
        <v>5651</v>
      </c>
      <c r="H57">
        <f ca="1">IF(AND(ISNUMBER($H$158),$B$113=1),$H$158,HLOOKUP(INDIRECT(ADDRESS(2,COLUMN())),OFFSET($AT$2,0,0,ROW()-1,40),ROW()-1,FALSE))</f>
        <v>5326</v>
      </c>
      <c r="I57">
        <f ca="1">IF(AND(ISNUMBER($I$158),$B$113=1),$I$158,HLOOKUP(INDIRECT(ADDRESS(2,COLUMN())),OFFSET($AT$2,0,0,ROW()-1,40),ROW()-1,FALSE))</f>
        <v>5186</v>
      </c>
      <c r="J57">
        <f ca="1">IF(AND(ISNUMBER($J$158),$B$113=1),$J$158,HLOOKUP(INDIRECT(ADDRESS(2,COLUMN())),OFFSET($AT$2,0,0,ROW()-1,40),ROW()-1,FALSE))</f>
        <v>5401</v>
      </c>
      <c r="K57">
        <f ca="1">IF(AND(ISNUMBER($K$158),$B$113=1),$K$158,HLOOKUP(INDIRECT(ADDRESS(2,COLUMN())),OFFSET($AT$2,0,0,ROW()-1,40),ROW()-1,FALSE))</f>
        <v>5582</v>
      </c>
      <c r="L57">
        <f ca="1">IF(AND(ISNUMBER($L$158),$B$113=1),$L$158,HLOOKUP(INDIRECT(ADDRESS(2,COLUMN())),OFFSET($AT$2,0,0,ROW()-1,40),ROW()-1,FALSE))</f>
        <v>5594</v>
      </c>
      <c r="M57">
        <f ca="1">IF(AND(ISNUMBER($M$158),$B$113=1),$M$158,HLOOKUP(INDIRECT(ADDRESS(2,COLUMN())),OFFSET($AT$2,0,0,ROW()-1,40),ROW()-1,FALSE))</f>
        <v>6321</v>
      </c>
      <c r="N57">
        <f ca="1">IF(AND(ISNUMBER($N$158),$B$113=1),$N$158,HLOOKUP(INDIRECT(ADDRESS(2,COLUMN())),OFFSET($AT$2,0,0,ROW()-1,40),ROW()-1,FALSE))</f>
        <v>6050</v>
      </c>
      <c r="O57">
        <f ca="1">IF(AND(ISNUMBER($O$158),$B$113=1),$O$158,HLOOKUP(INDIRECT(ADDRESS(2,COLUMN())),OFFSET($AT$2,0,0,ROW()-1,40),ROW()-1,FALSE))</f>
        <v>6144</v>
      </c>
      <c r="P57">
        <f ca="1">IF(AND(ISNUMBER($P$158),$B$113=1),$P$158,HLOOKUP(INDIRECT(ADDRESS(2,COLUMN())),OFFSET($AT$2,0,0,ROW()-1,40),ROW()-1,FALSE))</f>
        <v>6060</v>
      </c>
      <c r="Q57">
        <f ca="1">IF(AND(ISNUMBER($Q$158),$B$113=1),$Q$158,HLOOKUP(INDIRECT(ADDRESS(2,COLUMN())),OFFSET($AT$2,0,0,ROW()-1,40),ROW()-1,FALSE))</f>
        <v>5860</v>
      </c>
      <c r="R57">
        <f ca="1">IF(AND(ISNUMBER($R$158),$B$113=1),$R$158,HLOOKUP(INDIRECT(ADDRESS(2,COLUMN())),OFFSET($AT$2,0,0,ROW()-1,40),ROW()-1,FALSE))</f>
        <v>5336</v>
      </c>
      <c r="S57">
        <f ca="1">IF(AND(ISNUMBER($S$158),$B$113=1),$S$158,HLOOKUP(INDIRECT(ADDRESS(2,COLUMN())),OFFSET($AT$2,0,0,ROW()-1,40),ROW()-1,FALSE))</f>
        <v>5240</v>
      </c>
      <c r="T57">
        <f ca="1">IF(AND(ISNUMBER($T$158),$B$113=1),$T$158,HLOOKUP(INDIRECT(ADDRESS(2,COLUMN())),OFFSET($AT$2,0,0,ROW()-1,40),ROW()-1,FALSE))</f>
        <v>5416</v>
      </c>
      <c r="U57">
        <f ca="1">IF(AND(ISNUMBER($U$158),$B$113=1),$U$158,HLOOKUP(INDIRECT(ADDRESS(2,COLUMN())),OFFSET($AT$2,0,0,ROW()-1,40),ROW()-1,FALSE))</f>
        <v>4760</v>
      </c>
      <c r="V57">
        <f ca="1">IF(AND(ISNUMBER($V$158),$B$113=1),$V$158,HLOOKUP(INDIRECT(ADDRESS(2,COLUMN())),OFFSET($AT$2,0,0,ROW()-1,40),ROW()-1,FALSE))</f>
        <v>4222</v>
      </c>
      <c r="W57">
        <f ca="1">IF(AND(ISNUMBER($W$158),$B$113=1),$W$158,HLOOKUP(INDIRECT(ADDRESS(2,COLUMN())),OFFSET($AT$2,0,0,ROW()-1,40),ROW()-1,FALSE))</f>
        <v>4585</v>
      </c>
      <c r="X57">
        <f ca="1">IF(AND(ISNUMBER($X$158),$B$113=1),$X$158,HLOOKUP(INDIRECT(ADDRESS(2,COLUMN())),OFFSET($AT$2,0,0,ROW()-1,40),ROW()-1,FALSE))</f>
        <v>4243</v>
      </c>
      <c r="Y57">
        <f ca="1">IF(AND(ISNUMBER($Y$158),$B$113=1),$Y$158,HLOOKUP(INDIRECT(ADDRESS(2,COLUMN())),OFFSET($AT$2,0,0,ROW()-1,40),ROW()-1,FALSE))</f>
        <v>4731</v>
      </c>
      <c r="Z57">
        <f ca="1">IF(AND(ISNUMBER($Z$158),$B$113=1),$Z$158,HLOOKUP(INDIRECT(ADDRESS(2,COLUMN())),OFFSET($AT$2,0,0,ROW()-1,40),ROW()-1,FALSE))</f>
        <v>4717</v>
      </c>
      <c r="AA57">
        <f ca="1">IF(AND(ISNUMBER($AA$158),$B$113=1),$AA$158,HLOOKUP(INDIRECT(ADDRESS(2,COLUMN())),OFFSET($AT$2,0,0,ROW()-1,40),ROW()-1,FALSE))</f>
        <v>5311</v>
      </c>
      <c r="AB57">
        <f ca="1">IF(AND(ISNUMBER($AB$158),$B$113=1),$AB$158,HLOOKUP(INDIRECT(ADDRESS(2,COLUMN())),OFFSET($AT$2,0,0,ROW()-1,40),ROW()-1,FALSE))</f>
        <v>4869</v>
      </c>
      <c r="AC57">
        <f ca="1">IF(AND(ISNUMBER($AC$158),$B$113=1),$AC$158,HLOOKUP(INDIRECT(ADDRESS(2,COLUMN())),OFFSET($AT$2,0,0,ROW()-1,40),ROW()-1,FALSE))</f>
        <v>5086</v>
      </c>
      <c r="AD57">
        <f ca="1">IF(AND(ISNUMBER($AD$158),$B$113=1),$AD$158,HLOOKUP(INDIRECT(ADDRESS(2,COLUMN())),OFFSET($AT$2,0,0,ROW()-1,40),ROW()-1,FALSE))</f>
        <v>5391</v>
      </c>
      <c r="AE57" t="str">
        <f ca="1">IF(AND(ISNUMBER($AE$158),$B$113=1),$AE$158,HLOOKUP(INDIRECT(ADDRESS(2,COLUMN())),OFFSET($AT$2,0,0,ROW()-1,40),ROW()-1,FALSE))</f>
        <v/>
      </c>
      <c r="AF57" t="str">
        <f ca="1">IF(AND(ISNUMBER($AF$158),$B$113=1),$AF$158,HLOOKUP(INDIRECT(ADDRESS(2,COLUMN())),OFFSET($AT$2,0,0,ROW()-1,40),ROW()-1,FALSE))</f>
        <v/>
      </c>
      <c r="AG57" t="str">
        <f ca="1">IF(AND(ISNUMBER($AG$158),$B$113=1),$AG$158,HLOOKUP(INDIRECT(ADDRESS(2,COLUMN())),OFFSET($AT$2,0,0,ROW()-1,40),ROW()-1,FALSE))</f>
        <v/>
      </c>
      <c r="AH57" t="str">
        <f ca="1">IF(AND(ISNUMBER($AH$158),$B$113=1),$AH$158,HLOOKUP(INDIRECT(ADDRESS(2,COLUMN())),OFFSET($AT$2,0,0,ROW()-1,40),ROW()-1,FALSE))</f>
        <v/>
      </c>
      <c r="AI57" t="str">
        <f ca="1">IF(AND(ISNUMBER($AI$158),$B$113=1),$AI$158,HLOOKUP(INDIRECT(ADDRESS(2,COLUMN())),OFFSET($AT$2,0,0,ROW()-1,40),ROW()-1,FALSE))</f>
        <v/>
      </c>
      <c r="AJ57" t="str">
        <f ca="1">IF(AND(ISNUMBER($AJ$158),$B$113=1),$AJ$158,HLOOKUP(INDIRECT(ADDRESS(2,COLUMN())),OFFSET($AT$2,0,0,ROW()-1,40),ROW()-1,FALSE))</f>
        <v/>
      </c>
      <c r="AK57" t="str">
        <f ca="1">IF(AND(ISNUMBER($AK$158),$B$113=1),$AK$158,HLOOKUP(INDIRECT(ADDRESS(2,COLUMN())),OFFSET($AT$2,0,0,ROW()-1,40),ROW()-1,FALSE))</f>
        <v/>
      </c>
      <c r="AL57" t="str">
        <f ca="1">IF(AND(ISNUMBER($AL$158),$B$113=1),$AL$158,HLOOKUP(INDIRECT(ADDRESS(2,COLUMN())),OFFSET($AT$2,0,0,ROW()-1,40),ROW()-1,FALSE))</f>
        <v/>
      </c>
      <c r="AM57" t="str">
        <f ca="1">IF(AND(ISNUMBER($AM$158),$B$113=1),$AM$158,HLOOKUP(INDIRECT(ADDRESS(2,COLUMN())),OFFSET($AT$2,0,0,ROW()-1,40),ROW()-1,FALSE))</f>
        <v/>
      </c>
      <c r="AN57" t="str">
        <f ca="1">IF(AND(ISNUMBER($AN$158),$B$113=1),$AN$158,HLOOKUP(INDIRECT(ADDRESS(2,COLUMN())),OFFSET($AT$2,0,0,ROW()-1,40),ROW()-1,FALSE))</f>
        <v/>
      </c>
      <c r="AO57" t="str">
        <f ca="1">IF(AND(ISNUMBER($AO$158),$B$113=1),$AO$158,HLOOKUP(INDIRECT(ADDRESS(2,COLUMN())),OFFSET($AT$2,0,0,ROW()-1,40),ROW()-1,FALSE))</f>
        <v/>
      </c>
      <c r="AP57" t="str">
        <f ca="1">IF(AND(ISNUMBER($AP$158),$B$113=1),$AP$158,HLOOKUP(INDIRECT(ADDRESS(2,COLUMN())),OFFSET($AT$2,0,0,ROW()-1,40),ROW()-1,FALSE))</f>
        <v/>
      </c>
      <c r="AQ57" t="str">
        <f ca="1">IF(AND(ISNUMBER($AQ$158),$B$113=1),$AQ$158,HLOOKUP(INDIRECT(ADDRESS(2,COLUMN())),OFFSET($AT$2,0,0,ROW()-1,40),ROW()-1,FALSE))</f>
        <v/>
      </c>
      <c r="AR57" t="str">
        <f ca="1">IF(AND(ISNUMBER($AR$158),$B$113=1),$AR$158,HLOOKUP(INDIRECT(ADDRESS(2,COLUMN())),OFFSET($AT$2,0,0,ROW()-1,40),ROW()-1,FALSE))</f>
        <v/>
      </c>
      <c r="AS57" t="str">
        <f ca="1">IF(AND(ISNUMBER($AS$158),$B$113=1),$AS$158,HLOOKUP(INDIRECT(ADDRESS(2,COLUMN())),OFFSET($AT$2,0,0,ROW()-1,40),ROW()-1,FALSE))</f>
        <v/>
      </c>
      <c r="AT57">
        <f>4703</f>
        <v>4703</v>
      </c>
      <c r="AU57">
        <f>5651</f>
        <v>5651</v>
      </c>
      <c r="AV57">
        <f>5326</f>
        <v>5326</v>
      </c>
      <c r="AW57">
        <f>5186</f>
        <v>5186</v>
      </c>
      <c r="AX57">
        <f>5401</f>
        <v>5401</v>
      </c>
      <c r="AY57">
        <f>5582</f>
        <v>5582</v>
      </c>
      <c r="AZ57">
        <f>5594</f>
        <v>5594</v>
      </c>
      <c r="BA57">
        <f>6321</f>
        <v>6321</v>
      </c>
      <c r="BB57">
        <f>6050</f>
        <v>6050</v>
      </c>
      <c r="BC57">
        <f>6144</f>
        <v>6144</v>
      </c>
      <c r="BD57">
        <f>6060</f>
        <v>6060</v>
      </c>
      <c r="BE57">
        <f>5860</f>
        <v>5860</v>
      </c>
      <c r="BF57">
        <f>5336</f>
        <v>5336</v>
      </c>
      <c r="BG57">
        <f>5240</f>
        <v>5240</v>
      </c>
      <c r="BH57">
        <f>5416</f>
        <v>5416</v>
      </c>
      <c r="BI57">
        <f>4760</f>
        <v>4760</v>
      </c>
      <c r="BJ57">
        <f>4222</f>
        <v>4222</v>
      </c>
      <c r="BK57">
        <f>4585</f>
        <v>4585</v>
      </c>
      <c r="BL57">
        <f>4243</f>
        <v>4243</v>
      </c>
      <c r="BM57">
        <f>4731</f>
        <v>4731</v>
      </c>
      <c r="BN57">
        <f>4717</f>
        <v>4717</v>
      </c>
      <c r="BO57">
        <f>5311</f>
        <v>5311</v>
      </c>
      <c r="BP57">
        <f>4869</f>
        <v>4869</v>
      </c>
      <c r="BQ57">
        <f>5086</f>
        <v>5086</v>
      </c>
      <c r="BR57">
        <f>5391</f>
        <v>5391</v>
      </c>
      <c r="BS57" t="str">
        <f>""</f>
        <v/>
      </c>
      <c r="BT57" t="str">
        <f>""</f>
        <v/>
      </c>
      <c r="BU57" t="str">
        <f>""</f>
        <v/>
      </c>
      <c r="BV57" t="str">
        <f>""</f>
        <v/>
      </c>
      <c r="BW57" t="str">
        <f>""</f>
        <v/>
      </c>
      <c r="BX57" t="str">
        <f>""</f>
        <v/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</row>
    <row r="58" spans="1:85" x14ac:dyDescent="0.2">
      <c r="A58" t="str">
        <f>"        Docks, Piers &amp; Wharves"</f>
        <v xml:space="preserve">        Docks, Piers &amp; Wharves</v>
      </c>
      <c r="B58" t="str">
        <f>"RTBADPNU Index"</f>
        <v>RTBADPNU Index</v>
      </c>
      <c r="C58" t="str">
        <f>"PX385"</f>
        <v>PX385</v>
      </c>
      <c r="D58" t="str">
        <f>"INTERVAL_SUM"</f>
        <v>INTERVAL_SUM</v>
      </c>
      <c r="E58" t="str">
        <f>"Dynamic"</f>
        <v>Dynamic</v>
      </c>
      <c r="F58">
        <f ca="1">IF(AND(ISNUMBER($F$159),$B$113=1),$F$159,HLOOKUP(INDIRECT(ADDRESS(2,COLUMN())),OFFSET($AT$2,0,0,ROW()-1,40),ROW()-1,FALSE))</f>
        <v>348</v>
      </c>
      <c r="G58">
        <f ca="1">IF(AND(ISNUMBER($G$159),$B$113=1),$G$159,HLOOKUP(INDIRECT(ADDRESS(2,COLUMN())),OFFSET($AT$2,0,0,ROW()-1,40),ROW()-1,FALSE))</f>
        <v>449</v>
      </c>
      <c r="H58">
        <f ca="1">IF(AND(ISNUMBER($H$159),$B$113=1),$H$159,HLOOKUP(INDIRECT(ADDRESS(2,COLUMN())),OFFSET($AT$2,0,0,ROW()-1,40),ROW()-1,FALSE))</f>
        <v>361</v>
      </c>
      <c r="I58">
        <f ca="1">IF(AND(ISNUMBER($I$159),$B$113=1),$I$159,HLOOKUP(INDIRECT(ADDRESS(2,COLUMN())),OFFSET($AT$2,0,0,ROW()-1,40),ROW()-1,FALSE))</f>
        <v>383</v>
      </c>
      <c r="J58">
        <f ca="1">IF(AND(ISNUMBER($J$159),$B$113=1),$J$159,HLOOKUP(INDIRECT(ADDRESS(2,COLUMN())),OFFSET($AT$2,0,0,ROW()-1,40),ROW()-1,FALSE))</f>
        <v>406</v>
      </c>
      <c r="K58">
        <f ca="1">IF(AND(ISNUMBER($K$159),$B$113=1),$K$159,HLOOKUP(INDIRECT(ADDRESS(2,COLUMN())),OFFSET($AT$2,0,0,ROW()-1,40),ROW()-1,FALSE))</f>
        <v>450</v>
      </c>
      <c r="L58">
        <f ca="1">IF(AND(ISNUMBER($L$159),$B$113=1),$L$159,HLOOKUP(INDIRECT(ADDRESS(2,COLUMN())),OFFSET($AT$2,0,0,ROW()-1,40),ROW()-1,FALSE))</f>
        <v>440</v>
      </c>
      <c r="M58">
        <f ca="1">IF(AND(ISNUMBER($M$159),$B$113=1),$M$159,HLOOKUP(INDIRECT(ADDRESS(2,COLUMN())),OFFSET($AT$2,0,0,ROW()-1,40),ROW()-1,FALSE))</f>
        <v>418</v>
      </c>
      <c r="N58">
        <f ca="1">IF(AND(ISNUMBER($N$159),$B$113=1),$N$159,HLOOKUP(INDIRECT(ADDRESS(2,COLUMN())),OFFSET($AT$2,0,0,ROW()-1,40),ROW()-1,FALSE))</f>
        <v>435</v>
      </c>
      <c r="O58">
        <f ca="1">IF(AND(ISNUMBER($O$159),$B$113=1),$O$159,HLOOKUP(INDIRECT(ADDRESS(2,COLUMN())),OFFSET($AT$2,0,0,ROW()-1,40),ROW()-1,FALSE))</f>
        <v>448</v>
      </c>
      <c r="P58">
        <f ca="1">IF(AND(ISNUMBER($P$159),$B$113=1),$P$159,HLOOKUP(INDIRECT(ADDRESS(2,COLUMN())),OFFSET($AT$2,0,0,ROW()-1,40),ROW()-1,FALSE))</f>
        <v>454</v>
      </c>
      <c r="Q58">
        <f ca="1">IF(AND(ISNUMBER($Q$159),$B$113=1),$Q$159,HLOOKUP(INDIRECT(ADDRESS(2,COLUMN())),OFFSET($AT$2,0,0,ROW()-1,40),ROW()-1,FALSE))</f>
        <v>432</v>
      </c>
      <c r="R58">
        <f ca="1">IF(AND(ISNUMBER($R$159),$B$113=1),$R$159,HLOOKUP(INDIRECT(ADDRESS(2,COLUMN())),OFFSET($AT$2,0,0,ROW()-1,40),ROW()-1,FALSE))</f>
        <v>403</v>
      </c>
      <c r="S58">
        <f ca="1">IF(AND(ISNUMBER($S$159),$B$113=1),$S$159,HLOOKUP(INDIRECT(ADDRESS(2,COLUMN())),OFFSET($AT$2,0,0,ROW()-1,40),ROW()-1,FALSE))</f>
        <v>458</v>
      </c>
      <c r="T58">
        <f ca="1">IF(AND(ISNUMBER($T$159),$B$113=1),$T$159,HLOOKUP(INDIRECT(ADDRESS(2,COLUMN())),OFFSET($AT$2,0,0,ROW()-1,40),ROW()-1,FALSE))</f>
        <v>528</v>
      </c>
      <c r="U58">
        <f ca="1">IF(AND(ISNUMBER($U$159),$B$113=1),$U$159,HLOOKUP(INDIRECT(ADDRESS(2,COLUMN())),OFFSET($AT$2,0,0,ROW()-1,40),ROW()-1,FALSE))</f>
        <v>425</v>
      </c>
      <c r="V58">
        <f ca="1">IF(AND(ISNUMBER($V$159),$B$113=1),$V$159,HLOOKUP(INDIRECT(ADDRESS(2,COLUMN())),OFFSET($AT$2,0,0,ROW()-1,40),ROW()-1,FALSE))</f>
        <v>400</v>
      </c>
      <c r="W58">
        <f ca="1">IF(AND(ISNUMBER($W$159),$B$113=1),$W$159,HLOOKUP(INDIRECT(ADDRESS(2,COLUMN())),OFFSET($AT$2,0,0,ROW()-1,40),ROW()-1,FALSE))</f>
        <v>411</v>
      </c>
      <c r="X58">
        <f ca="1">IF(AND(ISNUMBER($X$159),$B$113=1),$X$159,HLOOKUP(INDIRECT(ADDRESS(2,COLUMN())),OFFSET($AT$2,0,0,ROW()-1,40),ROW()-1,FALSE))</f>
        <v>349</v>
      </c>
      <c r="Y58">
        <f ca="1">IF(AND(ISNUMBER($Y$159),$B$113=1),$Y$159,HLOOKUP(INDIRECT(ADDRESS(2,COLUMN())),OFFSET($AT$2,0,0,ROW()-1,40),ROW()-1,FALSE))</f>
        <v>364</v>
      </c>
      <c r="Z58">
        <f ca="1">IF(AND(ISNUMBER($Z$159),$B$113=1),$Z$159,HLOOKUP(INDIRECT(ADDRESS(2,COLUMN())),OFFSET($AT$2,0,0,ROW()-1,40),ROW()-1,FALSE))</f>
        <v>402</v>
      </c>
      <c r="AA58">
        <f ca="1">IF(AND(ISNUMBER($AA$159),$B$113=1),$AA$159,HLOOKUP(INDIRECT(ADDRESS(2,COLUMN())),OFFSET($AT$2,0,0,ROW()-1,40),ROW()-1,FALSE))</f>
        <v>433</v>
      </c>
      <c r="AB58">
        <f ca="1">IF(AND(ISNUMBER($AB$159),$B$113=1),$AB$159,HLOOKUP(INDIRECT(ADDRESS(2,COLUMN())),OFFSET($AT$2,0,0,ROW()-1,40),ROW()-1,FALSE))</f>
        <v>444</v>
      </c>
      <c r="AC58">
        <f ca="1">IF(AND(ISNUMBER($AC$159),$B$113=1),$AC$159,HLOOKUP(INDIRECT(ADDRESS(2,COLUMN())),OFFSET($AT$2,0,0,ROW()-1,40),ROW()-1,FALSE))</f>
        <v>433</v>
      </c>
      <c r="AD58">
        <f ca="1">IF(AND(ISNUMBER($AD$159),$B$113=1),$AD$159,HLOOKUP(INDIRECT(ADDRESS(2,COLUMN())),OFFSET($AT$2,0,0,ROW()-1,40),ROW()-1,FALSE))</f>
        <v>530</v>
      </c>
      <c r="AE58" t="str">
        <f ca="1">IF(AND(ISNUMBER($AE$159),$B$113=1),$AE$159,HLOOKUP(INDIRECT(ADDRESS(2,COLUMN())),OFFSET($AT$2,0,0,ROW()-1,40),ROW()-1,FALSE))</f>
        <v/>
      </c>
      <c r="AF58" t="str">
        <f ca="1">IF(AND(ISNUMBER($AF$159),$B$113=1),$AF$159,HLOOKUP(INDIRECT(ADDRESS(2,COLUMN())),OFFSET($AT$2,0,0,ROW()-1,40),ROW()-1,FALSE))</f>
        <v/>
      </c>
      <c r="AG58" t="str">
        <f ca="1">IF(AND(ISNUMBER($AG$159),$B$113=1),$AG$159,HLOOKUP(INDIRECT(ADDRESS(2,COLUMN())),OFFSET($AT$2,0,0,ROW()-1,40),ROW()-1,FALSE))</f>
        <v/>
      </c>
      <c r="AH58" t="str">
        <f ca="1">IF(AND(ISNUMBER($AH$159),$B$113=1),$AH$159,HLOOKUP(INDIRECT(ADDRESS(2,COLUMN())),OFFSET($AT$2,0,0,ROW()-1,40),ROW()-1,FALSE))</f>
        <v/>
      </c>
      <c r="AI58" t="str">
        <f ca="1">IF(AND(ISNUMBER($AI$159),$B$113=1),$AI$159,HLOOKUP(INDIRECT(ADDRESS(2,COLUMN())),OFFSET($AT$2,0,0,ROW()-1,40),ROW()-1,FALSE))</f>
        <v/>
      </c>
      <c r="AJ58" t="str">
        <f ca="1">IF(AND(ISNUMBER($AJ$159),$B$113=1),$AJ$159,HLOOKUP(INDIRECT(ADDRESS(2,COLUMN())),OFFSET($AT$2,0,0,ROW()-1,40),ROW()-1,FALSE))</f>
        <v/>
      </c>
      <c r="AK58" t="str">
        <f ca="1">IF(AND(ISNUMBER($AK$159),$B$113=1),$AK$159,HLOOKUP(INDIRECT(ADDRESS(2,COLUMN())),OFFSET($AT$2,0,0,ROW()-1,40),ROW()-1,FALSE))</f>
        <v/>
      </c>
      <c r="AL58" t="str">
        <f ca="1">IF(AND(ISNUMBER($AL$159),$B$113=1),$AL$159,HLOOKUP(INDIRECT(ADDRESS(2,COLUMN())),OFFSET($AT$2,0,0,ROW()-1,40),ROW()-1,FALSE))</f>
        <v/>
      </c>
      <c r="AM58" t="str">
        <f ca="1">IF(AND(ISNUMBER($AM$159),$B$113=1),$AM$159,HLOOKUP(INDIRECT(ADDRESS(2,COLUMN())),OFFSET($AT$2,0,0,ROW()-1,40),ROW()-1,FALSE))</f>
        <v/>
      </c>
      <c r="AN58" t="str">
        <f ca="1">IF(AND(ISNUMBER($AN$159),$B$113=1),$AN$159,HLOOKUP(INDIRECT(ADDRESS(2,COLUMN())),OFFSET($AT$2,0,0,ROW()-1,40),ROW()-1,FALSE))</f>
        <v/>
      </c>
      <c r="AO58" t="str">
        <f ca="1">IF(AND(ISNUMBER($AO$159),$B$113=1),$AO$159,HLOOKUP(INDIRECT(ADDRESS(2,COLUMN())),OFFSET($AT$2,0,0,ROW()-1,40),ROW()-1,FALSE))</f>
        <v/>
      </c>
      <c r="AP58" t="str">
        <f ca="1">IF(AND(ISNUMBER($AP$159),$B$113=1),$AP$159,HLOOKUP(INDIRECT(ADDRESS(2,COLUMN())),OFFSET($AT$2,0,0,ROW()-1,40),ROW()-1,FALSE))</f>
        <v/>
      </c>
      <c r="AQ58" t="str">
        <f ca="1">IF(AND(ISNUMBER($AQ$159),$B$113=1),$AQ$159,HLOOKUP(INDIRECT(ADDRESS(2,COLUMN())),OFFSET($AT$2,0,0,ROW()-1,40),ROW()-1,FALSE))</f>
        <v/>
      </c>
      <c r="AR58" t="str">
        <f ca="1">IF(AND(ISNUMBER($AR$159),$B$113=1),$AR$159,HLOOKUP(INDIRECT(ADDRESS(2,COLUMN())),OFFSET($AT$2,0,0,ROW()-1,40),ROW()-1,FALSE))</f>
        <v/>
      </c>
      <c r="AS58" t="str">
        <f ca="1">IF(AND(ISNUMBER($AS$159),$B$113=1),$AS$159,HLOOKUP(INDIRECT(ADDRESS(2,COLUMN())),OFFSET($AT$2,0,0,ROW()-1,40),ROW()-1,FALSE))</f>
        <v/>
      </c>
      <c r="AT58">
        <f>348</f>
        <v>348</v>
      </c>
      <c r="AU58">
        <f>449</f>
        <v>449</v>
      </c>
      <c r="AV58">
        <f>361</f>
        <v>361</v>
      </c>
      <c r="AW58">
        <f>383</f>
        <v>383</v>
      </c>
      <c r="AX58">
        <f>406</f>
        <v>406</v>
      </c>
      <c r="AY58">
        <f>450</f>
        <v>450</v>
      </c>
      <c r="AZ58">
        <f>440</f>
        <v>440</v>
      </c>
      <c r="BA58">
        <f>418</f>
        <v>418</v>
      </c>
      <c r="BB58">
        <f>435</f>
        <v>435</v>
      </c>
      <c r="BC58">
        <f>448</f>
        <v>448</v>
      </c>
      <c r="BD58">
        <f>454</f>
        <v>454</v>
      </c>
      <c r="BE58">
        <f>432</f>
        <v>432</v>
      </c>
      <c r="BF58">
        <f>403</f>
        <v>403</v>
      </c>
      <c r="BG58">
        <f>458</f>
        <v>458</v>
      </c>
      <c r="BH58">
        <f>528</f>
        <v>528</v>
      </c>
      <c r="BI58">
        <f>425</f>
        <v>425</v>
      </c>
      <c r="BJ58">
        <f>400</f>
        <v>400</v>
      </c>
      <c r="BK58">
        <f>411</f>
        <v>411</v>
      </c>
      <c r="BL58">
        <f>349</f>
        <v>349</v>
      </c>
      <c r="BM58">
        <f>364</f>
        <v>364</v>
      </c>
      <c r="BN58">
        <f>402</f>
        <v>402</v>
      </c>
      <c r="BO58">
        <f>433</f>
        <v>433</v>
      </c>
      <c r="BP58">
        <f>444</f>
        <v>444</v>
      </c>
      <c r="BQ58">
        <f>433</f>
        <v>433</v>
      </c>
      <c r="BR58">
        <f>530</f>
        <v>530</v>
      </c>
      <c r="BS58" t="str">
        <f>""</f>
        <v/>
      </c>
      <c r="BT58" t="str">
        <f>""</f>
        <v/>
      </c>
      <c r="BU58" t="str">
        <f>""</f>
        <v/>
      </c>
      <c r="BV58" t="str">
        <f>""</f>
        <v/>
      </c>
      <c r="BW58" t="str">
        <f>""</f>
        <v/>
      </c>
      <c r="BX58" t="str">
        <f>""</f>
        <v/>
      </c>
      <c r="BY58" t="str">
        <f>""</f>
        <v/>
      </c>
      <c r="BZ58" t="str">
        <f>""</f>
        <v/>
      </c>
      <c r="CA58" t="str">
        <f>""</f>
        <v/>
      </c>
      <c r="CB58" t="str">
        <f>""</f>
        <v/>
      </c>
      <c r="CC58" t="str">
        <f>""</f>
        <v/>
      </c>
      <c r="CD58" t="str">
        <f>""</f>
        <v/>
      </c>
      <c r="CE58" t="str">
        <f>""</f>
        <v/>
      </c>
      <c r="CF58" t="str">
        <f>""</f>
        <v/>
      </c>
      <c r="CG58" t="str">
        <f>""</f>
        <v/>
      </c>
    </row>
    <row r="59" spans="1:85" x14ac:dyDescent="0.2">
      <c r="A59" t="str">
        <f>"        Highways"</f>
        <v xml:space="preserve">        Highways</v>
      </c>
      <c r="B59" t="str">
        <f>"RTBAHWNU Index"</f>
        <v>RTBAHWNU Index</v>
      </c>
      <c r="C59" t="str">
        <f>"PX385"</f>
        <v>PX385</v>
      </c>
      <c r="D59" t="str">
        <f>"INTERVAL_SUM"</f>
        <v>INTERVAL_SUM</v>
      </c>
      <c r="E59" t="str">
        <f>"Dynamic"</f>
        <v>Dynamic</v>
      </c>
      <c r="F59">
        <f ca="1">IF(AND(ISNUMBER($F$160),$B$113=1),$F$160,HLOOKUP(INDIRECT(ADDRESS(2,COLUMN())),OFFSET($AT$2,0,0,ROW()-1,40),ROW()-1,FALSE))</f>
        <v>27895</v>
      </c>
      <c r="G59">
        <f ca="1">IF(AND(ISNUMBER($G$160),$B$113=1),$G$160,HLOOKUP(INDIRECT(ADDRESS(2,COLUMN())),OFFSET($AT$2,0,0,ROW()-1,40),ROW()-1,FALSE))</f>
        <v>33217</v>
      </c>
      <c r="H59">
        <f ca="1">IF(AND(ISNUMBER($H$160),$B$113=1),$H$160,HLOOKUP(INDIRECT(ADDRESS(2,COLUMN())),OFFSET($AT$2,0,0,ROW()-1,40),ROW()-1,FALSE))</f>
        <v>28653</v>
      </c>
      <c r="I59">
        <f ca="1">IF(AND(ISNUMBER($I$160),$B$113=1),$I$160,HLOOKUP(INDIRECT(ADDRESS(2,COLUMN())),OFFSET($AT$2,0,0,ROW()-1,40),ROW()-1,FALSE))</f>
        <v>26930</v>
      </c>
      <c r="J59">
        <f ca="1">IF(AND(ISNUMBER($J$160),$B$113=1),$J$160,HLOOKUP(INDIRECT(ADDRESS(2,COLUMN())),OFFSET($AT$2,0,0,ROW()-1,40),ROW()-1,FALSE))</f>
        <v>26620</v>
      </c>
      <c r="K59">
        <f ca="1">IF(AND(ISNUMBER($K$160),$B$113=1),$K$160,HLOOKUP(INDIRECT(ADDRESS(2,COLUMN())),OFFSET($AT$2,0,0,ROW()-1,40),ROW()-1,FALSE))</f>
        <v>26672</v>
      </c>
      <c r="L59">
        <f ca="1">IF(AND(ISNUMBER($L$160),$B$113=1),$L$160,HLOOKUP(INDIRECT(ADDRESS(2,COLUMN())),OFFSET($AT$2,0,0,ROW()-1,40),ROW()-1,FALSE))</f>
        <v>26297</v>
      </c>
      <c r="M59">
        <f ca="1">IF(AND(ISNUMBER($M$160),$B$113=1),$M$160,HLOOKUP(INDIRECT(ADDRESS(2,COLUMN())),OFFSET($AT$2,0,0,ROW()-1,40),ROW()-1,FALSE))</f>
        <v>26760</v>
      </c>
      <c r="N59">
        <f ca="1">IF(AND(ISNUMBER($N$160),$B$113=1),$N$160,HLOOKUP(INDIRECT(ADDRESS(2,COLUMN())),OFFSET($AT$2,0,0,ROW()-1,40),ROW()-1,FALSE))</f>
        <v>26673</v>
      </c>
      <c r="O59">
        <f ca="1">IF(AND(ISNUMBER($O$160),$B$113=1),$O$160,HLOOKUP(INDIRECT(ADDRESS(2,COLUMN())),OFFSET($AT$2,0,0,ROW()-1,40),ROW()-1,FALSE))</f>
        <v>28152</v>
      </c>
      <c r="P59">
        <f ca="1">IF(AND(ISNUMBER($P$160),$B$113=1),$P$160,HLOOKUP(INDIRECT(ADDRESS(2,COLUMN())),OFFSET($AT$2,0,0,ROW()-1,40),ROW()-1,FALSE))</f>
        <v>26681</v>
      </c>
      <c r="Q59">
        <f ca="1">IF(AND(ISNUMBER($Q$160),$B$113=1),$Q$160,HLOOKUP(INDIRECT(ADDRESS(2,COLUMN())),OFFSET($AT$2,0,0,ROW()-1,40),ROW()-1,FALSE))</f>
        <v>25882</v>
      </c>
      <c r="R59">
        <f ca="1">IF(AND(ISNUMBER($R$160),$B$113=1),$R$160,HLOOKUP(INDIRECT(ADDRESS(2,COLUMN())),OFFSET($AT$2,0,0,ROW()-1,40),ROW()-1,FALSE))</f>
        <v>26387</v>
      </c>
      <c r="S59">
        <f ca="1">IF(AND(ISNUMBER($S$160),$B$113=1),$S$160,HLOOKUP(INDIRECT(ADDRESS(2,COLUMN())),OFFSET($AT$2,0,0,ROW()-1,40),ROW()-1,FALSE))</f>
        <v>27341</v>
      </c>
      <c r="T59">
        <f ca="1">IF(AND(ISNUMBER($T$160),$B$113=1),$T$160,HLOOKUP(INDIRECT(ADDRESS(2,COLUMN())),OFFSET($AT$2,0,0,ROW()-1,40),ROW()-1,FALSE))</f>
        <v>26665</v>
      </c>
      <c r="U59">
        <f ca="1">IF(AND(ISNUMBER($U$160),$B$113=1),$U$160,HLOOKUP(INDIRECT(ADDRESS(2,COLUMN())),OFFSET($AT$2,0,0,ROW()-1,40),ROW()-1,FALSE))</f>
        <v>24053</v>
      </c>
      <c r="V59">
        <f ca="1">IF(AND(ISNUMBER($V$160),$B$113=1),$V$160,HLOOKUP(INDIRECT(ADDRESS(2,COLUMN())),OFFSET($AT$2,0,0,ROW()-1,40),ROW()-1,FALSE))</f>
        <v>23747</v>
      </c>
      <c r="W59">
        <f ca="1">IF(AND(ISNUMBER($W$160),$B$113=1),$W$160,HLOOKUP(INDIRECT(ADDRESS(2,COLUMN())),OFFSET($AT$2,0,0,ROW()-1,40),ROW()-1,FALSE))</f>
        <v>23931</v>
      </c>
      <c r="X59">
        <f ca="1">IF(AND(ISNUMBER($X$160),$B$113=1),$X$160,HLOOKUP(INDIRECT(ADDRESS(2,COLUMN())),OFFSET($AT$2,0,0,ROW()-1,40),ROW()-1,FALSE))</f>
        <v>22710</v>
      </c>
      <c r="Y59">
        <f ca="1">IF(AND(ISNUMBER($Y$160),$B$113=1),$Y$160,HLOOKUP(INDIRECT(ADDRESS(2,COLUMN())),OFFSET($AT$2,0,0,ROW()-1,40),ROW()-1,FALSE))</f>
        <v>23257</v>
      </c>
      <c r="Z59">
        <f ca="1">IF(AND(ISNUMBER($Z$160),$B$113=1),$Z$160,HLOOKUP(INDIRECT(ADDRESS(2,COLUMN())),OFFSET($AT$2,0,0,ROW()-1,40),ROW()-1,FALSE))</f>
        <v>23199</v>
      </c>
      <c r="AA59">
        <f ca="1">IF(AND(ISNUMBER($AA$160),$B$113=1),$AA$160,HLOOKUP(INDIRECT(ADDRESS(2,COLUMN())),OFFSET($AT$2,0,0,ROW()-1,40),ROW()-1,FALSE))</f>
        <v>25723</v>
      </c>
      <c r="AB59">
        <f ca="1">IF(AND(ISNUMBER($AB$160),$B$113=1),$AB$160,HLOOKUP(INDIRECT(ADDRESS(2,COLUMN())),OFFSET($AT$2,0,0,ROW()-1,40),ROW()-1,FALSE))</f>
        <v>24971</v>
      </c>
      <c r="AC59">
        <f ca="1">IF(AND(ISNUMBER($AC$160),$B$113=1),$AC$160,HLOOKUP(INDIRECT(ADDRESS(2,COLUMN())),OFFSET($AT$2,0,0,ROW()-1,40),ROW()-1,FALSE))</f>
        <v>25162</v>
      </c>
      <c r="AD59">
        <f ca="1">IF(AND(ISNUMBER($AD$160),$B$113=1),$AD$160,HLOOKUP(INDIRECT(ADDRESS(2,COLUMN())),OFFSET($AT$2,0,0,ROW()-1,40),ROW()-1,FALSE))</f>
        <v>25821</v>
      </c>
      <c r="AE59" t="str">
        <f ca="1">IF(AND(ISNUMBER($AE$160),$B$113=1),$AE$160,HLOOKUP(INDIRECT(ADDRESS(2,COLUMN())),OFFSET($AT$2,0,0,ROW()-1,40),ROW()-1,FALSE))</f>
        <v/>
      </c>
      <c r="AF59" t="str">
        <f ca="1">IF(AND(ISNUMBER($AF$160),$B$113=1),$AF$160,HLOOKUP(INDIRECT(ADDRESS(2,COLUMN())),OFFSET($AT$2,0,0,ROW()-1,40),ROW()-1,FALSE))</f>
        <v/>
      </c>
      <c r="AG59" t="str">
        <f ca="1">IF(AND(ISNUMBER($AG$160),$B$113=1),$AG$160,HLOOKUP(INDIRECT(ADDRESS(2,COLUMN())),OFFSET($AT$2,0,0,ROW()-1,40),ROW()-1,FALSE))</f>
        <v/>
      </c>
      <c r="AH59" t="str">
        <f ca="1">IF(AND(ISNUMBER($AH$160),$B$113=1),$AH$160,HLOOKUP(INDIRECT(ADDRESS(2,COLUMN())),OFFSET($AT$2,0,0,ROW()-1,40),ROW()-1,FALSE))</f>
        <v/>
      </c>
      <c r="AI59" t="str">
        <f ca="1">IF(AND(ISNUMBER($AI$160),$B$113=1),$AI$160,HLOOKUP(INDIRECT(ADDRESS(2,COLUMN())),OFFSET($AT$2,0,0,ROW()-1,40),ROW()-1,FALSE))</f>
        <v/>
      </c>
      <c r="AJ59" t="str">
        <f ca="1">IF(AND(ISNUMBER($AJ$160),$B$113=1),$AJ$160,HLOOKUP(INDIRECT(ADDRESS(2,COLUMN())),OFFSET($AT$2,0,0,ROW()-1,40),ROW()-1,FALSE))</f>
        <v/>
      </c>
      <c r="AK59" t="str">
        <f ca="1">IF(AND(ISNUMBER($AK$160),$B$113=1),$AK$160,HLOOKUP(INDIRECT(ADDRESS(2,COLUMN())),OFFSET($AT$2,0,0,ROW()-1,40),ROW()-1,FALSE))</f>
        <v/>
      </c>
      <c r="AL59" t="str">
        <f ca="1">IF(AND(ISNUMBER($AL$160),$B$113=1),$AL$160,HLOOKUP(INDIRECT(ADDRESS(2,COLUMN())),OFFSET($AT$2,0,0,ROW()-1,40),ROW()-1,FALSE))</f>
        <v/>
      </c>
      <c r="AM59" t="str">
        <f ca="1">IF(AND(ISNUMBER($AM$160),$B$113=1),$AM$160,HLOOKUP(INDIRECT(ADDRESS(2,COLUMN())),OFFSET($AT$2,0,0,ROW()-1,40),ROW()-1,FALSE))</f>
        <v/>
      </c>
      <c r="AN59" t="str">
        <f ca="1">IF(AND(ISNUMBER($AN$160),$B$113=1),$AN$160,HLOOKUP(INDIRECT(ADDRESS(2,COLUMN())),OFFSET($AT$2,0,0,ROW()-1,40),ROW()-1,FALSE))</f>
        <v/>
      </c>
      <c r="AO59" t="str">
        <f ca="1">IF(AND(ISNUMBER($AO$160),$B$113=1),$AO$160,HLOOKUP(INDIRECT(ADDRESS(2,COLUMN())),OFFSET($AT$2,0,0,ROW()-1,40),ROW()-1,FALSE))</f>
        <v/>
      </c>
      <c r="AP59" t="str">
        <f ca="1">IF(AND(ISNUMBER($AP$160),$B$113=1),$AP$160,HLOOKUP(INDIRECT(ADDRESS(2,COLUMN())),OFFSET($AT$2,0,0,ROW()-1,40),ROW()-1,FALSE))</f>
        <v/>
      </c>
      <c r="AQ59" t="str">
        <f ca="1">IF(AND(ISNUMBER($AQ$160),$B$113=1),$AQ$160,HLOOKUP(INDIRECT(ADDRESS(2,COLUMN())),OFFSET($AT$2,0,0,ROW()-1,40),ROW()-1,FALSE))</f>
        <v/>
      </c>
      <c r="AR59" t="str">
        <f ca="1">IF(AND(ISNUMBER($AR$160),$B$113=1),$AR$160,HLOOKUP(INDIRECT(ADDRESS(2,COLUMN())),OFFSET($AT$2,0,0,ROW()-1,40),ROW()-1,FALSE))</f>
        <v/>
      </c>
      <c r="AS59" t="str">
        <f ca="1">IF(AND(ISNUMBER($AS$160),$B$113=1),$AS$160,HLOOKUP(INDIRECT(ADDRESS(2,COLUMN())),OFFSET($AT$2,0,0,ROW()-1,40),ROW()-1,FALSE))</f>
        <v/>
      </c>
      <c r="AT59">
        <f>27895</f>
        <v>27895</v>
      </c>
      <c r="AU59">
        <f>33217</f>
        <v>33217</v>
      </c>
      <c r="AV59">
        <f>28653</f>
        <v>28653</v>
      </c>
      <c r="AW59">
        <f>26930</f>
        <v>26930</v>
      </c>
      <c r="AX59">
        <f>26620</f>
        <v>26620</v>
      </c>
      <c r="AY59">
        <f>26672</f>
        <v>26672</v>
      </c>
      <c r="AZ59">
        <f>26297</f>
        <v>26297</v>
      </c>
      <c r="BA59">
        <f>26760</f>
        <v>26760</v>
      </c>
      <c r="BB59">
        <f>26673</f>
        <v>26673</v>
      </c>
      <c r="BC59">
        <f>28152</f>
        <v>28152</v>
      </c>
      <c r="BD59">
        <f>26681</f>
        <v>26681</v>
      </c>
      <c r="BE59">
        <f>25882</f>
        <v>25882</v>
      </c>
      <c r="BF59">
        <f>26387</f>
        <v>26387</v>
      </c>
      <c r="BG59">
        <f>27341</f>
        <v>27341</v>
      </c>
      <c r="BH59">
        <f>26665</f>
        <v>26665</v>
      </c>
      <c r="BI59">
        <f>24053</f>
        <v>24053</v>
      </c>
      <c r="BJ59">
        <f>23747</f>
        <v>23747</v>
      </c>
      <c r="BK59">
        <f>23931</f>
        <v>23931</v>
      </c>
      <c r="BL59">
        <f>22710</f>
        <v>22710</v>
      </c>
      <c r="BM59">
        <f>23257</f>
        <v>23257</v>
      </c>
      <c r="BN59">
        <f>23199</f>
        <v>23199</v>
      </c>
      <c r="BO59">
        <f>25723</f>
        <v>25723</v>
      </c>
      <c r="BP59">
        <f>24971</f>
        <v>24971</v>
      </c>
      <c r="BQ59">
        <f>25162</f>
        <v>25162</v>
      </c>
      <c r="BR59">
        <f>25821</f>
        <v>25821</v>
      </c>
      <c r="BS59" t="str">
        <f>""</f>
        <v/>
      </c>
      <c r="BT59" t="str">
        <f>""</f>
        <v/>
      </c>
      <c r="BU59" t="str">
        <f>""</f>
        <v/>
      </c>
      <c r="BV59" t="str">
        <f>""</f>
        <v/>
      </c>
      <c r="BW59" t="str">
        <f>""</f>
        <v/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</row>
    <row r="60" spans="1:85" x14ac:dyDescent="0.2">
      <c r="A60" t="str">
        <f>"        Railways"</f>
        <v xml:space="preserve">        Railways</v>
      </c>
      <c r="B60" t="str">
        <f>"RTBARANU Index"</f>
        <v>RTBARANU Index</v>
      </c>
      <c r="C60" t="str">
        <f>"PX385"</f>
        <v>PX385</v>
      </c>
      <c r="D60" t="str">
        <f>"INTERVAL_SUM"</f>
        <v>INTERVAL_SUM</v>
      </c>
      <c r="E60" t="str">
        <f>"Dynamic"</f>
        <v>Dynamic</v>
      </c>
      <c r="F60">
        <f ca="1">IF(AND(ISNUMBER($F$161),$B$113=1),$F$161,HLOOKUP(INDIRECT(ADDRESS(2,COLUMN())),OFFSET($AT$2,0,0,ROW()-1,40),ROW()-1,FALSE))</f>
        <v>149</v>
      </c>
      <c r="G60">
        <f ca="1">IF(AND(ISNUMBER($G$161),$B$113=1),$G$161,HLOOKUP(INDIRECT(ADDRESS(2,COLUMN())),OFFSET($AT$2,0,0,ROW()-1,40),ROW()-1,FALSE))</f>
        <v>189</v>
      </c>
      <c r="H60">
        <f ca="1">IF(AND(ISNUMBER($H$161),$B$113=1),$H$161,HLOOKUP(INDIRECT(ADDRESS(2,COLUMN())),OFFSET($AT$2,0,0,ROW()-1,40),ROW()-1,FALSE))</f>
        <v>158</v>
      </c>
      <c r="I60">
        <f ca="1">IF(AND(ISNUMBER($I$161),$B$113=1),$I$161,HLOOKUP(INDIRECT(ADDRESS(2,COLUMN())),OFFSET($AT$2,0,0,ROW()-1,40),ROW()-1,FALSE))</f>
        <v>194</v>
      </c>
      <c r="J60">
        <f ca="1">IF(AND(ISNUMBER($J$161),$B$113=1),$J$161,HLOOKUP(INDIRECT(ADDRESS(2,COLUMN())),OFFSET($AT$2,0,0,ROW()-1,40),ROW()-1,FALSE))</f>
        <v>163</v>
      </c>
      <c r="K60">
        <f ca="1">IF(AND(ISNUMBER($K$161),$B$113=1),$K$161,HLOOKUP(INDIRECT(ADDRESS(2,COLUMN())),OFFSET($AT$2,0,0,ROW()-1,40),ROW()-1,FALSE))</f>
        <v>206</v>
      </c>
      <c r="L60">
        <f ca="1">IF(AND(ISNUMBER($L$161),$B$113=1),$L$161,HLOOKUP(INDIRECT(ADDRESS(2,COLUMN())),OFFSET($AT$2,0,0,ROW()-1,40),ROW()-1,FALSE))</f>
        <v>254</v>
      </c>
      <c r="M60">
        <f ca="1">IF(AND(ISNUMBER($M$161),$B$113=1),$M$161,HLOOKUP(INDIRECT(ADDRESS(2,COLUMN())),OFFSET($AT$2,0,0,ROW()-1,40),ROW()-1,FALSE))</f>
        <v>188</v>
      </c>
      <c r="N60">
        <f ca="1">IF(AND(ISNUMBER($N$161),$B$113=1),$N$161,HLOOKUP(INDIRECT(ADDRESS(2,COLUMN())),OFFSET($AT$2,0,0,ROW()-1,40),ROW()-1,FALSE))</f>
        <v>239</v>
      </c>
      <c r="O60">
        <f ca="1">IF(AND(ISNUMBER($O$161),$B$113=1),$O$161,HLOOKUP(INDIRECT(ADDRESS(2,COLUMN())),OFFSET($AT$2,0,0,ROW()-1,40),ROW()-1,FALSE))</f>
        <v>255</v>
      </c>
      <c r="P60">
        <f ca="1">IF(AND(ISNUMBER($P$161),$B$113=1),$P$161,HLOOKUP(INDIRECT(ADDRESS(2,COLUMN())),OFFSET($AT$2,0,0,ROW()-1,40),ROW()-1,FALSE))</f>
        <v>260</v>
      </c>
      <c r="Q60">
        <f ca="1">IF(AND(ISNUMBER($Q$161),$B$113=1),$Q$161,HLOOKUP(INDIRECT(ADDRESS(2,COLUMN())),OFFSET($AT$2,0,0,ROW()-1,40),ROW()-1,FALSE))</f>
        <v>241</v>
      </c>
      <c r="R60">
        <f ca="1">IF(AND(ISNUMBER($R$161),$B$113=1),$R$161,HLOOKUP(INDIRECT(ADDRESS(2,COLUMN())),OFFSET($AT$2,0,0,ROW()-1,40),ROW()-1,FALSE))</f>
        <v>176</v>
      </c>
      <c r="S60">
        <f ca="1">IF(AND(ISNUMBER($S$161),$B$113=1),$S$161,HLOOKUP(INDIRECT(ADDRESS(2,COLUMN())),OFFSET($AT$2,0,0,ROW()-1,40),ROW()-1,FALSE))</f>
        <v>241</v>
      </c>
      <c r="T60">
        <f ca="1">IF(AND(ISNUMBER($T$161),$B$113=1),$T$161,HLOOKUP(INDIRECT(ADDRESS(2,COLUMN())),OFFSET($AT$2,0,0,ROW()-1,40),ROW()-1,FALSE))</f>
        <v>197</v>
      </c>
      <c r="U60">
        <f ca="1">IF(AND(ISNUMBER($U$161),$B$113=1),$U$161,HLOOKUP(INDIRECT(ADDRESS(2,COLUMN())),OFFSET($AT$2,0,0,ROW()-1,40),ROW()-1,FALSE))</f>
        <v>194</v>
      </c>
      <c r="V60">
        <f ca="1">IF(AND(ISNUMBER($V$161),$B$113=1),$V$161,HLOOKUP(INDIRECT(ADDRESS(2,COLUMN())),OFFSET($AT$2,0,0,ROW()-1,40),ROW()-1,FALSE))</f>
        <v>184</v>
      </c>
      <c r="W60">
        <f ca="1">IF(AND(ISNUMBER($W$161),$B$113=1),$W$161,HLOOKUP(INDIRECT(ADDRESS(2,COLUMN())),OFFSET($AT$2,0,0,ROW()-1,40),ROW()-1,FALSE))</f>
        <v>195</v>
      </c>
      <c r="X60">
        <f ca="1">IF(AND(ISNUMBER($X$161),$B$113=1),$X$161,HLOOKUP(INDIRECT(ADDRESS(2,COLUMN())),OFFSET($AT$2,0,0,ROW()-1,40),ROW()-1,FALSE))</f>
        <v>168</v>
      </c>
      <c r="Y60">
        <f ca="1">IF(AND(ISNUMBER($Y$161),$B$113=1),$Y$161,HLOOKUP(INDIRECT(ADDRESS(2,COLUMN())),OFFSET($AT$2,0,0,ROW()-1,40),ROW()-1,FALSE))</f>
        <v>159</v>
      </c>
      <c r="Z60">
        <f ca="1">IF(AND(ISNUMBER($Z$161),$B$113=1),$Z$161,HLOOKUP(INDIRECT(ADDRESS(2,COLUMN())),OFFSET($AT$2,0,0,ROW()-1,40),ROW()-1,FALSE))</f>
        <v>187</v>
      </c>
      <c r="AA60">
        <f ca="1">IF(AND(ISNUMBER($AA$161),$B$113=1),$AA$161,HLOOKUP(INDIRECT(ADDRESS(2,COLUMN())),OFFSET($AT$2,0,0,ROW()-1,40),ROW()-1,FALSE))</f>
        <v>203</v>
      </c>
      <c r="AB60">
        <f ca="1">IF(AND(ISNUMBER($AB$161),$B$113=1),$AB$161,HLOOKUP(INDIRECT(ADDRESS(2,COLUMN())),OFFSET($AT$2,0,0,ROW()-1,40),ROW()-1,FALSE))</f>
        <v>224</v>
      </c>
      <c r="AC60">
        <f ca="1">IF(AND(ISNUMBER($AC$161),$B$113=1),$AC$161,HLOOKUP(INDIRECT(ADDRESS(2,COLUMN())),OFFSET($AT$2,0,0,ROW()-1,40),ROW()-1,FALSE))</f>
        <v>214</v>
      </c>
      <c r="AD60">
        <f ca="1">IF(AND(ISNUMBER($AD$161),$B$113=1),$AD$161,HLOOKUP(INDIRECT(ADDRESS(2,COLUMN())),OFFSET($AT$2,0,0,ROW()-1,40),ROW()-1,FALSE))</f>
        <v>219</v>
      </c>
      <c r="AE60" t="str">
        <f ca="1">IF(AND(ISNUMBER($AE$161),$B$113=1),$AE$161,HLOOKUP(INDIRECT(ADDRESS(2,COLUMN())),OFFSET($AT$2,0,0,ROW()-1,40),ROW()-1,FALSE))</f>
        <v/>
      </c>
      <c r="AF60" t="str">
        <f ca="1">IF(AND(ISNUMBER($AF$161),$B$113=1),$AF$161,HLOOKUP(INDIRECT(ADDRESS(2,COLUMN())),OFFSET($AT$2,0,0,ROW()-1,40),ROW()-1,FALSE))</f>
        <v/>
      </c>
      <c r="AG60" t="str">
        <f ca="1">IF(AND(ISNUMBER($AG$161),$B$113=1),$AG$161,HLOOKUP(INDIRECT(ADDRESS(2,COLUMN())),OFFSET($AT$2,0,0,ROW()-1,40),ROW()-1,FALSE))</f>
        <v/>
      </c>
      <c r="AH60" t="str">
        <f ca="1">IF(AND(ISNUMBER($AH$161),$B$113=1),$AH$161,HLOOKUP(INDIRECT(ADDRESS(2,COLUMN())),OFFSET($AT$2,0,0,ROW()-1,40),ROW()-1,FALSE))</f>
        <v/>
      </c>
      <c r="AI60" t="str">
        <f ca="1">IF(AND(ISNUMBER($AI$161),$B$113=1),$AI$161,HLOOKUP(INDIRECT(ADDRESS(2,COLUMN())),OFFSET($AT$2,0,0,ROW()-1,40),ROW()-1,FALSE))</f>
        <v/>
      </c>
      <c r="AJ60" t="str">
        <f ca="1">IF(AND(ISNUMBER($AJ$161),$B$113=1),$AJ$161,HLOOKUP(INDIRECT(ADDRESS(2,COLUMN())),OFFSET($AT$2,0,0,ROW()-1,40),ROW()-1,FALSE))</f>
        <v/>
      </c>
      <c r="AK60" t="str">
        <f ca="1">IF(AND(ISNUMBER($AK$161),$B$113=1),$AK$161,HLOOKUP(INDIRECT(ADDRESS(2,COLUMN())),OFFSET($AT$2,0,0,ROW()-1,40),ROW()-1,FALSE))</f>
        <v/>
      </c>
      <c r="AL60" t="str">
        <f ca="1">IF(AND(ISNUMBER($AL$161),$B$113=1),$AL$161,HLOOKUP(INDIRECT(ADDRESS(2,COLUMN())),OFFSET($AT$2,0,0,ROW()-1,40),ROW()-1,FALSE))</f>
        <v/>
      </c>
      <c r="AM60" t="str">
        <f ca="1">IF(AND(ISNUMBER($AM$161),$B$113=1),$AM$161,HLOOKUP(INDIRECT(ADDRESS(2,COLUMN())),OFFSET($AT$2,0,0,ROW()-1,40),ROW()-1,FALSE))</f>
        <v/>
      </c>
      <c r="AN60" t="str">
        <f ca="1">IF(AND(ISNUMBER($AN$161),$B$113=1),$AN$161,HLOOKUP(INDIRECT(ADDRESS(2,COLUMN())),OFFSET($AT$2,0,0,ROW()-1,40),ROW()-1,FALSE))</f>
        <v/>
      </c>
      <c r="AO60" t="str">
        <f ca="1">IF(AND(ISNUMBER($AO$161),$B$113=1),$AO$161,HLOOKUP(INDIRECT(ADDRESS(2,COLUMN())),OFFSET($AT$2,0,0,ROW()-1,40),ROW()-1,FALSE))</f>
        <v/>
      </c>
      <c r="AP60" t="str">
        <f ca="1">IF(AND(ISNUMBER($AP$161),$B$113=1),$AP$161,HLOOKUP(INDIRECT(ADDRESS(2,COLUMN())),OFFSET($AT$2,0,0,ROW()-1,40),ROW()-1,FALSE))</f>
        <v/>
      </c>
      <c r="AQ60" t="str">
        <f ca="1">IF(AND(ISNUMBER($AQ$161),$B$113=1),$AQ$161,HLOOKUP(INDIRECT(ADDRESS(2,COLUMN())),OFFSET($AT$2,0,0,ROW()-1,40),ROW()-1,FALSE))</f>
        <v/>
      </c>
      <c r="AR60" t="str">
        <f ca="1">IF(AND(ISNUMBER($AR$161),$B$113=1),$AR$161,HLOOKUP(INDIRECT(ADDRESS(2,COLUMN())),OFFSET($AT$2,0,0,ROW()-1,40),ROW()-1,FALSE))</f>
        <v/>
      </c>
      <c r="AS60" t="str">
        <f ca="1">IF(AND(ISNUMBER($AS$161),$B$113=1),$AS$161,HLOOKUP(INDIRECT(ADDRESS(2,COLUMN())),OFFSET($AT$2,0,0,ROW()-1,40),ROW()-1,FALSE))</f>
        <v/>
      </c>
      <c r="AT60">
        <f>149</f>
        <v>149</v>
      </c>
      <c r="AU60">
        <f>189</f>
        <v>189</v>
      </c>
      <c r="AV60">
        <f>158</f>
        <v>158</v>
      </c>
      <c r="AW60">
        <f>194</f>
        <v>194</v>
      </c>
      <c r="AX60">
        <f>163</f>
        <v>163</v>
      </c>
      <c r="AY60">
        <f>206</f>
        <v>206</v>
      </c>
      <c r="AZ60">
        <f>254</f>
        <v>254</v>
      </c>
      <c r="BA60">
        <f>188</f>
        <v>188</v>
      </c>
      <c r="BB60">
        <f>239</f>
        <v>239</v>
      </c>
      <c r="BC60">
        <f>255</f>
        <v>255</v>
      </c>
      <c r="BD60">
        <f>260</f>
        <v>260</v>
      </c>
      <c r="BE60">
        <f>241</f>
        <v>241</v>
      </c>
      <c r="BF60">
        <f>176</f>
        <v>176</v>
      </c>
      <c r="BG60">
        <f>241</f>
        <v>241</v>
      </c>
      <c r="BH60">
        <f>197</f>
        <v>197</v>
      </c>
      <c r="BI60">
        <f>194</f>
        <v>194</v>
      </c>
      <c r="BJ60">
        <f>184</f>
        <v>184</v>
      </c>
      <c r="BK60">
        <f>195</f>
        <v>195</v>
      </c>
      <c r="BL60">
        <f>168</f>
        <v>168</v>
      </c>
      <c r="BM60">
        <f>159</f>
        <v>159</v>
      </c>
      <c r="BN60">
        <f>187</f>
        <v>187</v>
      </c>
      <c r="BO60">
        <f>203</f>
        <v>203</v>
      </c>
      <c r="BP60">
        <f>224</f>
        <v>224</v>
      </c>
      <c r="BQ60">
        <f>214</f>
        <v>214</v>
      </c>
      <c r="BR60">
        <f>219</f>
        <v>219</v>
      </c>
      <c r="BS60" t="str">
        <f>""</f>
        <v/>
      </c>
      <c r="BT60" t="str">
        <f>""</f>
        <v/>
      </c>
      <c r="BU60" t="str">
        <f>""</f>
        <v/>
      </c>
      <c r="BV60" t="str">
        <f>""</f>
        <v/>
      </c>
      <c r="BW60" t="str">
        <f>""</f>
        <v/>
      </c>
      <c r="BX60" t="str">
        <f>""</f>
        <v/>
      </c>
      <c r="BY60" t="str">
        <f>""</f>
        <v/>
      </c>
      <c r="BZ60" t="str">
        <f>""</f>
        <v/>
      </c>
      <c r="CA60" t="str">
        <f>""</f>
        <v/>
      </c>
      <c r="CB60" t="str">
        <f>""</f>
        <v/>
      </c>
      <c r="CC60" t="str">
        <f>""</f>
        <v/>
      </c>
      <c r="CD60" t="str">
        <f>""</f>
        <v/>
      </c>
      <c r="CE60" t="str">
        <f>""</f>
        <v/>
      </c>
      <c r="CF60" t="str">
        <f>""</f>
        <v/>
      </c>
      <c r="CG60" t="str">
        <f>""</f>
        <v/>
      </c>
    </row>
    <row r="61" spans="1:85" x14ac:dyDescent="0.2">
      <c r="A61" t="str">
        <f>"    "</f>
        <v xml:space="preserve">    </v>
      </c>
      <c r="B61" t="str">
        <f>""</f>
        <v/>
      </c>
      <c r="E61" t="str">
        <f>"Static"</f>
        <v>Static</v>
      </c>
      <c r="F61" t="str">
        <f t="shared" ref="F61:AS61" ca="1" si="16">HLOOKUP(INDIRECT(ADDRESS(2,COLUMN())),OFFSET($AT$2,0,0,ROW()-1,40),ROW()-1,FALSE)</f>
        <v/>
      </c>
      <c r="G61" t="str">
        <f t="shared" ca="1" si="16"/>
        <v/>
      </c>
      <c r="H61" t="str">
        <f t="shared" ca="1" si="16"/>
        <v/>
      </c>
      <c r="I61" t="str">
        <f t="shared" ca="1" si="16"/>
        <v/>
      </c>
      <c r="J61" t="str">
        <f t="shared" ca="1" si="16"/>
        <v/>
      </c>
      <c r="K61" t="str">
        <f t="shared" ca="1" si="16"/>
        <v/>
      </c>
      <c r="L61" t="str">
        <f t="shared" ca="1" si="16"/>
        <v/>
      </c>
      <c r="M61" t="str">
        <f t="shared" ca="1" si="16"/>
        <v/>
      </c>
      <c r="N61" t="str">
        <f t="shared" ca="1" si="16"/>
        <v/>
      </c>
      <c r="O61" t="str">
        <f t="shared" ca="1" si="16"/>
        <v/>
      </c>
      <c r="P61" t="str">
        <f t="shared" ca="1" si="16"/>
        <v/>
      </c>
      <c r="Q61" t="str">
        <f t="shared" ca="1" si="16"/>
        <v/>
      </c>
      <c r="R61" t="str">
        <f t="shared" ca="1" si="16"/>
        <v/>
      </c>
      <c r="S61" t="str">
        <f t="shared" ca="1" si="16"/>
        <v/>
      </c>
      <c r="T61" t="str">
        <f t="shared" ca="1" si="16"/>
        <v/>
      </c>
      <c r="U61" t="str">
        <f t="shared" ca="1" si="16"/>
        <v/>
      </c>
      <c r="V61" t="str">
        <f t="shared" ca="1" si="16"/>
        <v/>
      </c>
      <c r="W61" t="str">
        <f t="shared" ca="1" si="16"/>
        <v/>
      </c>
      <c r="X61" t="str">
        <f t="shared" ca="1" si="16"/>
        <v/>
      </c>
      <c r="Y61" t="str">
        <f t="shared" ca="1" si="16"/>
        <v/>
      </c>
      <c r="Z61" t="str">
        <f t="shared" ca="1" si="16"/>
        <v/>
      </c>
      <c r="AA61" t="str">
        <f t="shared" ca="1" si="16"/>
        <v/>
      </c>
      <c r="AB61" t="str">
        <f t="shared" ca="1" si="16"/>
        <v/>
      </c>
      <c r="AC61" t="str">
        <f t="shared" ca="1" si="16"/>
        <v/>
      </c>
      <c r="AD61" t="str">
        <f t="shared" ca="1" si="16"/>
        <v/>
      </c>
      <c r="AE61" t="str">
        <f t="shared" ca="1" si="16"/>
        <v/>
      </c>
      <c r="AF61" t="str">
        <f t="shared" ca="1" si="16"/>
        <v/>
      </c>
      <c r="AG61" t="str">
        <f t="shared" ca="1" si="16"/>
        <v/>
      </c>
      <c r="AH61" t="str">
        <f t="shared" ca="1" si="16"/>
        <v/>
      </c>
      <c r="AI61" t="str">
        <f t="shared" ca="1" si="16"/>
        <v/>
      </c>
      <c r="AJ61" t="str">
        <f t="shared" ca="1" si="16"/>
        <v/>
      </c>
      <c r="AK61" t="str">
        <f t="shared" ca="1" si="16"/>
        <v/>
      </c>
      <c r="AL61" t="str">
        <f t="shared" ca="1" si="16"/>
        <v/>
      </c>
      <c r="AM61" t="str">
        <f t="shared" ca="1" si="16"/>
        <v/>
      </c>
      <c r="AN61" t="str">
        <f t="shared" ca="1" si="16"/>
        <v/>
      </c>
      <c r="AO61" t="str">
        <f t="shared" ca="1" si="16"/>
        <v/>
      </c>
      <c r="AP61" t="str">
        <f t="shared" ca="1" si="16"/>
        <v/>
      </c>
      <c r="AQ61" t="str">
        <f t="shared" ca="1" si="16"/>
        <v/>
      </c>
      <c r="AR61" t="str">
        <f t="shared" ca="1" si="16"/>
        <v/>
      </c>
      <c r="AS61" t="str">
        <f t="shared" ca="1" si="16"/>
        <v/>
      </c>
      <c r="AT61" t="str">
        <f>""</f>
        <v/>
      </c>
      <c r="AU61" t="str">
        <f>""</f>
        <v/>
      </c>
      <c r="AV61" t="str">
        <f>""</f>
        <v/>
      </c>
      <c r="AW61" t="str">
        <f>""</f>
        <v/>
      </c>
      <c r="AX61" t="str">
        <f>""</f>
        <v/>
      </c>
      <c r="AY61" t="str">
        <f>""</f>
        <v/>
      </c>
      <c r="AZ61" t="str">
        <f>""</f>
        <v/>
      </c>
      <c r="BA61" t="str">
        <f>""</f>
        <v/>
      </c>
      <c r="BB61" t="str">
        <f>""</f>
        <v/>
      </c>
      <c r="BC61" t="str">
        <f>""</f>
        <v/>
      </c>
      <c r="BD61" t="str">
        <f>""</f>
        <v/>
      </c>
      <c r="BE61" t="str">
        <f>""</f>
        <v/>
      </c>
      <c r="BF61" t="str">
        <f>""</f>
        <v/>
      </c>
      <c r="BG61" t="str">
        <f>""</f>
        <v/>
      </c>
      <c r="BH61" t="str">
        <f>""</f>
        <v/>
      </c>
      <c r="BI61" t="str">
        <f>""</f>
        <v/>
      </c>
      <c r="BJ61" t="str">
        <f>""</f>
        <v/>
      </c>
      <c r="BK61" t="str">
        <f>""</f>
        <v/>
      </c>
      <c r="BL61" t="str">
        <f>""</f>
        <v/>
      </c>
      <c r="BM61" t="str">
        <f>""</f>
        <v/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</row>
    <row r="62" spans="1:85" x14ac:dyDescent="0.2">
      <c r="A62" t="str">
        <f>"    Source: ARTBA, U.S. Census Bureau"</f>
        <v xml:space="preserve">    Source: ARTBA, U.S. Census Bureau</v>
      </c>
      <c r="B62" t="str">
        <f>""</f>
        <v/>
      </c>
      <c r="E62" t="str">
        <f>"Heading"</f>
        <v>Heading</v>
      </c>
      <c r="AT62" t="str">
        <f>""</f>
        <v/>
      </c>
      <c r="AU62" t="str">
        <f>""</f>
        <v/>
      </c>
      <c r="AV62" t="str">
        <f>""</f>
        <v/>
      </c>
      <c r="AW62" t="str">
        <f>""</f>
        <v/>
      </c>
      <c r="AX62" t="str">
        <f>""</f>
        <v/>
      </c>
      <c r="AY62" t="str">
        <f>""</f>
        <v/>
      </c>
      <c r="AZ62" t="str">
        <f>""</f>
        <v/>
      </c>
      <c r="BA62" t="str">
        <f>""</f>
        <v/>
      </c>
      <c r="BB62" t="str">
        <f>""</f>
        <v/>
      </c>
      <c r="BC62" t="str">
        <f>""</f>
        <v/>
      </c>
      <c r="BD62" t="str">
        <f>""</f>
        <v/>
      </c>
      <c r="BE62" t="str">
        <f>""</f>
        <v/>
      </c>
      <c r="BF62" t="str">
        <f>""</f>
        <v/>
      </c>
      <c r="BG62" t="str">
        <f>""</f>
        <v/>
      </c>
      <c r="BH62" t="str">
        <f>""</f>
        <v/>
      </c>
      <c r="BI62" t="str">
        <f>""</f>
        <v/>
      </c>
      <c r="BJ62" t="str">
        <f>""</f>
        <v/>
      </c>
      <c r="BK62" t="str">
        <f>""</f>
        <v/>
      </c>
      <c r="BL62" t="str">
        <f>""</f>
        <v/>
      </c>
      <c r="BM62" t="str">
        <f>""</f>
        <v/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</row>
    <row r="63" spans="1:85" x14ac:dyDescent="0.2">
      <c r="A63" t="str">
        <f>"    "</f>
        <v xml:space="preserve">    </v>
      </c>
      <c r="B63" t="str">
        <f>""</f>
        <v/>
      </c>
      <c r="E63" t="str">
        <f>"Static"</f>
        <v>Static</v>
      </c>
      <c r="F63" t="str">
        <f t="shared" ref="F63:O64" ca="1" si="17">HLOOKUP(INDIRECT(ADDRESS(2,COLUMN())),OFFSET($AT$2,0,0,ROW()-1,40),ROW()-1,FALSE)</f>
        <v/>
      </c>
      <c r="G63" t="str">
        <f t="shared" ca="1" si="17"/>
        <v/>
      </c>
      <c r="H63" t="str">
        <f t="shared" ca="1" si="17"/>
        <v/>
      </c>
      <c r="I63" t="str">
        <f t="shared" ca="1" si="17"/>
        <v/>
      </c>
      <c r="J63" t="str">
        <f t="shared" ca="1" si="17"/>
        <v/>
      </c>
      <c r="K63" t="str">
        <f t="shared" ca="1" si="17"/>
        <v/>
      </c>
      <c r="L63" t="str">
        <f t="shared" ca="1" si="17"/>
        <v/>
      </c>
      <c r="M63" t="str">
        <f t="shared" ca="1" si="17"/>
        <v/>
      </c>
      <c r="N63" t="str">
        <f t="shared" ca="1" si="17"/>
        <v/>
      </c>
      <c r="O63" t="str">
        <f t="shared" ca="1" si="17"/>
        <v/>
      </c>
      <c r="P63" t="str">
        <f t="shared" ref="P63:Y64" ca="1" si="18">HLOOKUP(INDIRECT(ADDRESS(2,COLUMN())),OFFSET($AT$2,0,0,ROW()-1,40),ROW()-1,FALSE)</f>
        <v/>
      </c>
      <c r="Q63" t="str">
        <f t="shared" ca="1" si="18"/>
        <v/>
      </c>
      <c r="R63" t="str">
        <f t="shared" ca="1" si="18"/>
        <v/>
      </c>
      <c r="S63" t="str">
        <f t="shared" ca="1" si="18"/>
        <v/>
      </c>
      <c r="T63" t="str">
        <f t="shared" ca="1" si="18"/>
        <v/>
      </c>
      <c r="U63" t="str">
        <f t="shared" ca="1" si="18"/>
        <v/>
      </c>
      <c r="V63" t="str">
        <f t="shared" ca="1" si="18"/>
        <v/>
      </c>
      <c r="W63" t="str">
        <f t="shared" ca="1" si="18"/>
        <v/>
      </c>
      <c r="X63" t="str">
        <f t="shared" ca="1" si="18"/>
        <v/>
      </c>
      <c r="Y63" t="str">
        <f t="shared" ca="1" si="18"/>
        <v/>
      </c>
      <c r="Z63" t="str">
        <f t="shared" ref="Z63:AI64" ca="1" si="19">HLOOKUP(INDIRECT(ADDRESS(2,COLUMN())),OFFSET($AT$2,0,0,ROW()-1,40),ROW()-1,FALSE)</f>
        <v/>
      </c>
      <c r="AA63" t="str">
        <f t="shared" ca="1" si="19"/>
        <v/>
      </c>
      <c r="AB63" t="str">
        <f t="shared" ca="1" si="19"/>
        <v/>
      </c>
      <c r="AC63" t="str">
        <f t="shared" ca="1" si="19"/>
        <v/>
      </c>
      <c r="AD63" t="str">
        <f t="shared" ca="1" si="19"/>
        <v/>
      </c>
      <c r="AE63" t="str">
        <f t="shared" ca="1" si="19"/>
        <v/>
      </c>
      <c r="AF63" t="str">
        <f t="shared" ca="1" si="19"/>
        <v/>
      </c>
      <c r="AG63" t="str">
        <f t="shared" ca="1" si="19"/>
        <v/>
      </c>
      <c r="AH63" t="str">
        <f t="shared" ca="1" si="19"/>
        <v/>
      </c>
      <c r="AI63" t="str">
        <f t="shared" ca="1" si="19"/>
        <v/>
      </c>
      <c r="AJ63" t="str">
        <f t="shared" ref="AJ63:AS64" ca="1" si="20">HLOOKUP(INDIRECT(ADDRESS(2,COLUMN())),OFFSET($AT$2,0,0,ROW()-1,40),ROW()-1,FALSE)</f>
        <v/>
      </c>
      <c r="AK63" t="str">
        <f t="shared" ca="1" si="20"/>
        <v/>
      </c>
      <c r="AL63" t="str">
        <f t="shared" ca="1" si="20"/>
        <v/>
      </c>
      <c r="AM63" t="str">
        <f t="shared" ca="1" si="20"/>
        <v/>
      </c>
      <c r="AN63" t="str">
        <f t="shared" ca="1" si="20"/>
        <v/>
      </c>
      <c r="AO63" t="str">
        <f t="shared" ca="1" si="20"/>
        <v/>
      </c>
      <c r="AP63" t="str">
        <f t="shared" ca="1" si="20"/>
        <v/>
      </c>
      <c r="AQ63" t="str">
        <f t="shared" ca="1" si="20"/>
        <v/>
      </c>
      <c r="AR63" t="str">
        <f t="shared" ca="1" si="20"/>
        <v/>
      </c>
      <c r="AS63" t="str">
        <f t="shared" ca="1" si="20"/>
        <v/>
      </c>
      <c r="AT63" t="str">
        <f>""</f>
        <v/>
      </c>
      <c r="AU63" t="str">
        <f>""</f>
        <v/>
      </c>
      <c r="AV63" t="str">
        <f>""</f>
        <v/>
      </c>
      <c r="AW63" t="str">
        <f>""</f>
        <v/>
      </c>
      <c r="AX63" t="str">
        <f>""</f>
        <v/>
      </c>
      <c r="AY63" t="str">
        <f>""</f>
        <v/>
      </c>
      <c r="AZ63" t="str">
        <f>""</f>
        <v/>
      </c>
      <c r="BA63" t="str">
        <f>""</f>
        <v/>
      </c>
      <c r="BB63" t="str">
        <f>""</f>
        <v/>
      </c>
      <c r="BC63" t="str">
        <f>""</f>
        <v/>
      </c>
      <c r="BD63" t="str">
        <f>""</f>
        <v/>
      </c>
      <c r="BE63" t="str">
        <f>""</f>
        <v/>
      </c>
      <c r="BF63" t="str">
        <f>""</f>
        <v/>
      </c>
      <c r="BG63" t="str">
        <f>""</f>
        <v/>
      </c>
      <c r="BH63" t="str">
        <f>""</f>
        <v/>
      </c>
      <c r="BI63" t="str">
        <f>""</f>
        <v/>
      </c>
      <c r="BJ63" t="str">
        <f>""</f>
        <v/>
      </c>
      <c r="BK63" t="str">
        <f>""</f>
        <v/>
      </c>
      <c r="BL63" t="str">
        <f>""</f>
        <v/>
      </c>
      <c r="BM63" t="str">
        <f>""</f>
        <v/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  <c r="BT63" t="str">
        <f>""</f>
        <v/>
      </c>
      <c r="BU63" t="str">
        <f>""</f>
        <v/>
      </c>
      <c r="BV63" t="str">
        <f>""</f>
        <v/>
      </c>
      <c r="BW63" t="str">
        <f>""</f>
        <v/>
      </c>
      <c r="BX63" t="str">
        <f>""</f>
        <v/>
      </c>
      <c r="BY63" t="str">
        <f>""</f>
        <v/>
      </c>
      <c r="BZ63" t="str">
        <f>""</f>
        <v/>
      </c>
      <c r="CA63" t="str">
        <f>""</f>
        <v/>
      </c>
      <c r="CB63" t="str">
        <f>""</f>
        <v/>
      </c>
      <c r="CC63" t="str">
        <f>""</f>
        <v/>
      </c>
      <c r="CD63" t="str">
        <f>""</f>
        <v/>
      </c>
      <c r="CE63" t="str">
        <f>""</f>
        <v/>
      </c>
      <c r="CF63" t="str">
        <f>""</f>
        <v/>
      </c>
      <c r="CG63" t="str">
        <f>""</f>
        <v/>
      </c>
    </row>
    <row r="64" spans="1:85" x14ac:dyDescent="0.2">
      <c r="A64" t="str">
        <f>"    "</f>
        <v xml:space="preserve">    </v>
      </c>
      <c r="B64" t="str">
        <f>""</f>
        <v/>
      </c>
      <c r="E64" t="str">
        <f>"Static"</f>
        <v>Static</v>
      </c>
      <c r="F64" t="str">
        <f t="shared" ca="1" si="17"/>
        <v/>
      </c>
      <c r="G64" t="str">
        <f t="shared" ca="1" si="17"/>
        <v/>
      </c>
      <c r="H64" t="str">
        <f t="shared" ca="1" si="17"/>
        <v/>
      </c>
      <c r="I64" t="str">
        <f t="shared" ca="1" si="17"/>
        <v/>
      </c>
      <c r="J64" t="str">
        <f t="shared" ca="1" si="17"/>
        <v/>
      </c>
      <c r="K64" t="str">
        <f t="shared" ca="1" si="17"/>
        <v/>
      </c>
      <c r="L64" t="str">
        <f t="shared" ca="1" si="17"/>
        <v/>
      </c>
      <c r="M64" t="str">
        <f t="shared" ca="1" si="17"/>
        <v/>
      </c>
      <c r="N64" t="str">
        <f t="shared" ca="1" si="17"/>
        <v/>
      </c>
      <c r="O64" t="str">
        <f t="shared" ca="1" si="17"/>
        <v/>
      </c>
      <c r="P64" t="str">
        <f t="shared" ca="1" si="18"/>
        <v/>
      </c>
      <c r="Q64" t="str">
        <f t="shared" ca="1" si="18"/>
        <v/>
      </c>
      <c r="R64" t="str">
        <f t="shared" ca="1" si="18"/>
        <v/>
      </c>
      <c r="S64" t="str">
        <f t="shared" ca="1" si="18"/>
        <v/>
      </c>
      <c r="T64" t="str">
        <f t="shared" ca="1" si="18"/>
        <v/>
      </c>
      <c r="U64" t="str">
        <f t="shared" ca="1" si="18"/>
        <v/>
      </c>
      <c r="V64" t="str">
        <f t="shared" ca="1" si="18"/>
        <v/>
      </c>
      <c r="W64" t="str">
        <f t="shared" ca="1" si="18"/>
        <v/>
      </c>
      <c r="X64" t="str">
        <f t="shared" ca="1" si="18"/>
        <v/>
      </c>
      <c r="Y64" t="str">
        <f t="shared" ca="1" si="18"/>
        <v/>
      </c>
      <c r="Z64" t="str">
        <f t="shared" ca="1" si="19"/>
        <v/>
      </c>
      <c r="AA64" t="str">
        <f t="shared" ca="1" si="19"/>
        <v/>
      </c>
      <c r="AB64" t="str">
        <f t="shared" ca="1" si="19"/>
        <v/>
      </c>
      <c r="AC64" t="str">
        <f t="shared" ca="1" si="19"/>
        <v/>
      </c>
      <c r="AD64" t="str">
        <f t="shared" ca="1" si="19"/>
        <v/>
      </c>
      <c r="AE64" t="str">
        <f t="shared" ca="1" si="19"/>
        <v/>
      </c>
      <c r="AF64" t="str">
        <f t="shared" ca="1" si="19"/>
        <v/>
      </c>
      <c r="AG64" t="str">
        <f t="shared" ca="1" si="19"/>
        <v/>
      </c>
      <c r="AH64" t="str">
        <f t="shared" ca="1" si="19"/>
        <v/>
      </c>
      <c r="AI64" t="str">
        <f t="shared" ca="1" si="19"/>
        <v/>
      </c>
      <c r="AJ64" t="str">
        <f t="shared" ca="1" si="20"/>
        <v/>
      </c>
      <c r="AK64" t="str">
        <f t="shared" ca="1" si="20"/>
        <v/>
      </c>
      <c r="AL64" t="str">
        <f t="shared" ca="1" si="20"/>
        <v/>
      </c>
      <c r="AM64" t="str">
        <f t="shared" ca="1" si="20"/>
        <v/>
      </c>
      <c r="AN64" t="str">
        <f t="shared" ca="1" si="20"/>
        <v/>
      </c>
      <c r="AO64" t="str">
        <f t="shared" ca="1" si="20"/>
        <v/>
      </c>
      <c r="AP64" t="str">
        <f t="shared" ca="1" si="20"/>
        <v/>
      </c>
      <c r="AQ64" t="str">
        <f t="shared" ca="1" si="20"/>
        <v/>
      </c>
      <c r="AR64" t="str">
        <f t="shared" ca="1" si="20"/>
        <v/>
      </c>
      <c r="AS64" t="str">
        <f t="shared" ca="1" si="20"/>
        <v/>
      </c>
      <c r="AT64" t="str">
        <f>""</f>
        <v/>
      </c>
      <c r="AU64" t="str">
        <f>""</f>
        <v/>
      </c>
      <c r="AV64" t="str">
        <f>""</f>
        <v/>
      </c>
      <c r="AW64" t="str">
        <f>""</f>
        <v/>
      </c>
      <c r="AX64" t="str">
        <f>""</f>
        <v/>
      </c>
      <c r="AY64" t="str">
        <f>""</f>
        <v/>
      </c>
      <c r="AZ64" t="str">
        <f>""</f>
        <v/>
      </c>
      <c r="BA64" t="str">
        <f>""</f>
        <v/>
      </c>
      <c r="BB64" t="str">
        <f>""</f>
        <v/>
      </c>
      <c r="BC64" t="str">
        <f>""</f>
        <v/>
      </c>
      <c r="BD64" t="str">
        <f>""</f>
        <v/>
      </c>
      <c r="BE64" t="str">
        <f>""</f>
        <v/>
      </c>
      <c r="BF64" t="str">
        <f>""</f>
        <v/>
      </c>
      <c r="BG64" t="str">
        <f>""</f>
        <v/>
      </c>
      <c r="BH64" t="str">
        <f>""</f>
        <v/>
      </c>
      <c r="BI64" t="str">
        <f>""</f>
        <v/>
      </c>
      <c r="BJ64" t="str">
        <f>""</f>
        <v/>
      </c>
      <c r="BK64" t="str">
        <f>""</f>
        <v/>
      </c>
      <c r="BL64" t="str">
        <f>""</f>
        <v/>
      </c>
      <c r="BM64" t="str">
        <f>""</f>
        <v/>
      </c>
      <c r="BN64" t="str">
        <f>""</f>
        <v/>
      </c>
      <c r="BO64" t="str">
        <f>""</f>
        <v/>
      </c>
      <c r="BP64" t="str">
        <f>""</f>
        <v/>
      </c>
      <c r="BQ64" t="str">
        <f>""</f>
        <v/>
      </c>
      <c r="BR64" t="str">
        <f>""</f>
        <v/>
      </c>
      <c r="BS64" t="str">
        <f>""</f>
        <v/>
      </c>
      <c r="BT64" t="str">
        <f>""</f>
        <v/>
      </c>
      <c r="BU64" t="str">
        <f>""</f>
        <v/>
      </c>
      <c r="BV64" t="str">
        <f>""</f>
        <v/>
      </c>
      <c r="BW64" t="str">
        <f>""</f>
        <v/>
      </c>
      <c r="BX64" t="str">
        <f>""</f>
        <v/>
      </c>
      <c r="BY64" t="str">
        <f>""</f>
        <v/>
      </c>
      <c r="BZ64" t="str">
        <f>""</f>
        <v/>
      </c>
      <c r="CA64" t="str">
        <f>""</f>
        <v/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</row>
    <row r="65" spans="1:85" x14ac:dyDescent="0.2">
      <c r="A65" t="str">
        <f>"    U.S. Real Estate Data"</f>
        <v xml:space="preserve">    U.S. Real Estate Data</v>
      </c>
      <c r="B65" t="str">
        <f>""</f>
        <v/>
      </c>
      <c r="E65" t="str">
        <f>"Heading"</f>
        <v>Heading</v>
      </c>
      <c r="AT65" t="str">
        <f>""</f>
        <v/>
      </c>
      <c r="AU65" t="str">
        <f>""</f>
        <v/>
      </c>
      <c r="AV65" t="str">
        <f>""</f>
        <v/>
      </c>
      <c r="AW65" t="str">
        <f>""</f>
        <v/>
      </c>
      <c r="AX65" t="str">
        <f>""</f>
        <v/>
      </c>
      <c r="AY65" t="str">
        <f>""</f>
        <v/>
      </c>
      <c r="AZ65" t="str">
        <f>""</f>
        <v/>
      </c>
      <c r="BA65" t="str">
        <f>""</f>
        <v/>
      </c>
      <c r="BB65" t="str">
        <f>""</f>
        <v/>
      </c>
      <c r="BC65" t="str">
        <f>""</f>
        <v/>
      </c>
      <c r="BD65" t="str">
        <f>""</f>
        <v/>
      </c>
      <c r="BE65" t="str">
        <f>""</f>
        <v/>
      </c>
      <c r="BF65" t="str">
        <f>""</f>
        <v/>
      </c>
      <c r="BG65" t="str">
        <f>""</f>
        <v/>
      </c>
      <c r="BH65" t="str">
        <f>""</f>
        <v/>
      </c>
      <c r="BI65" t="str">
        <f>""</f>
        <v/>
      </c>
      <c r="BJ65" t="str">
        <f>""</f>
        <v/>
      </c>
      <c r="BK65" t="str">
        <f>""</f>
        <v/>
      </c>
      <c r="BL65" t="str">
        <f>""</f>
        <v/>
      </c>
      <c r="BM65" t="str">
        <f>""</f>
        <v/>
      </c>
      <c r="BN65" t="str">
        <f>""</f>
        <v/>
      </c>
      <c r="BO65" t="str">
        <f>""</f>
        <v/>
      </c>
      <c r="BP65" t="str">
        <f>""</f>
        <v/>
      </c>
      <c r="BQ65" t="str">
        <f>""</f>
        <v/>
      </c>
      <c r="BR65" t="str">
        <f>""</f>
        <v/>
      </c>
      <c r="BS65" t="str">
        <f>""</f>
        <v/>
      </c>
      <c r="BT65" t="str">
        <f>""</f>
        <v/>
      </c>
      <c r="BU65" t="str">
        <f>""</f>
        <v/>
      </c>
      <c r="BV65" t="str">
        <f>""</f>
        <v/>
      </c>
      <c r="BW65" t="str">
        <f>""</f>
        <v/>
      </c>
      <c r="BX65" t="str">
        <f>""</f>
        <v/>
      </c>
      <c r="BY65" t="str">
        <f>""</f>
        <v/>
      </c>
      <c r="BZ65" t="str">
        <f>""</f>
        <v/>
      </c>
      <c r="CA65" t="str">
        <f>""</f>
        <v/>
      </c>
      <c r="CB65" t="str">
        <f>""</f>
        <v/>
      </c>
      <c r="CC65" t="str">
        <f>""</f>
        <v/>
      </c>
      <c r="CD65" t="str">
        <f>""</f>
        <v/>
      </c>
      <c r="CE65" t="str">
        <f>""</f>
        <v/>
      </c>
      <c r="CF65" t="str">
        <f>""</f>
        <v/>
      </c>
      <c r="CG65" t="str">
        <f>""</f>
        <v/>
      </c>
    </row>
    <row r="66" spans="1:85" x14ac:dyDescent="0.2">
      <c r="A66" t="str">
        <f>"        U.S. Housing Starts ('000 Units)"</f>
        <v xml:space="preserve">        U.S. Housing Starts ('000 Units)</v>
      </c>
      <c r="B66" t="str">
        <f>"NHSPSTOT Index"</f>
        <v>NHSPSTOT Index</v>
      </c>
      <c r="C66" t="str">
        <f>"PR005"</f>
        <v>PR005</v>
      </c>
      <c r="D66" t="str">
        <f>"PX_LAST"</f>
        <v>PX_LAST</v>
      </c>
      <c r="E66" t="str">
        <f>"Dynamic"</f>
        <v>Dynamic</v>
      </c>
      <c r="F66">
        <f ca="1">IF(AND(ISNUMBER($F$162),$B$113=1),$F$162,HLOOKUP(INDIRECT(ADDRESS(2,COLUMN())),OFFSET($AT$2,0,0,ROW()-1,40),ROW()-1,FALSE))</f>
        <v>1372</v>
      </c>
      <c r="G66">
        <f ca="1">IF(AND(ISNUMBER($G$162),$B$113=1),$G$162,HLOOKUP(INDIRECT(ADDRESS(2,COLUMN())),OFFSET($AT$2,0,0,ROW()-1,40),ROW()-1,FALSE))</f>
        <v>1357</v>
      </c>
      <c r="H66">
        <f ca="1">IF(AND(ISNUMBER($H$162),$B$113=1),$H$162,HLOOKUP(INDIRECT(ADDRESS(2,COLUMN())),OFFSET($AT$2,0,0,ROW()-1,40),ROW()-1,FALSE))</f>
        <v>1787</v>
      </c>
      <c r="I66">
        <f ca="1">IF(AND(ISNUMBER($I$162),$B$113=1),$I$162,HLOOKUP(INDIRECT(ADDRESS(2,COLUMN())),OFFSET($AT$2,0,0,ROW()-1,40),ROW()-1,FALSE))</f>
        <v>1663</v>
      </c>
      <c r="J66">
        <f ca="1">IF(AND(ISNUMBER($J$162),$B$113=1),$J$162,HLOOKUP(INDIRECT(ADDRESS(2,COLUMN())),OFFSET($AT$2,0,0,ROW()-1,40),ROW()-1,FALSE))</f>
        <v>1551</v>
      </c>
      <c r="K66">
        <f ca="1">IF(AND(ISNUMBER($K$162),$B$113=1),$K$162,HLOOKUP(INDIRECT(ADDRESS(2,COLUMN())),OFFSET($AT$2,0,0,ROW()-1,40),ROW()-1,FALSE))</f>
        <v>1095</v>
      </c>
      <c r="L66">
        <f ca="1">IF(AND(ISNUMBER($L$162),$B$113=1),$L$162,HLOOKUP(INDIRECT(ADDRESS(2,COLUMN())),OFFSET($AT$2,0,0,ROW()-1,40),ROW()-1,FALSE))</f>
        <v>1177</v>
      </c>
      <c r="M66">
        <f ca="1">IF(AND(ISNUMBER($M$162),$B$113=1),$M$162,HLOOKUP(INDIRECT(ADDRESS(2,COLUMN())),OFFSET($AT$2,0,0,ROW()-1,40),ROW()-1,FALSE))</f>
        <v>1252</v>
      </c>
      <c r="N66">
        <f ca="1">IF(AND(ISNUMBER($N$162),$B$113=1),$N$162,HLOOKUP(INDIRECT(ADDRESS(2,COLUMN())),OFFSET($AT$2,0,0,ROW()-1,40),ROW()-1,FALSE))</f>
        <v>1146</v>
      </c>
      <c r="O66">
        <f ca="1">IF(AND(ISNUMBER($O$162),$B$113=1),$O$162,HLOOKUP(INDIRECT(ADDRESS(2,COLUMN())),OFFSET($AT$2,0,0,ROW()-1,40),ROW()-1,FALSE))</f>
        <v>1073</v>
      </c>
      <c r="P66">
        <f ca="1">IF(AND(ISNUMBER($P$162),$B$113=1),$P$162,HLOOKUP(INDIRECT(ADDRESS(2,COLUMN())),OFFSET($AT$2,0,0,ROW()-1,40),ROW()-1,FALSE))</f>
        <v>1002</v>
      </c>
      <c r="Q66">
        <f ca="1">IF(AND(ISNUMBER($Q$162),$B$113=1),$Q$162,HLOOKUP(INDIRECT(ADDRESS(2,COLUMN())),OFFSET($AT$2,0,0,ROW()-1,40),ROW()-1,FALSE))</f>
        <v>976</v>
      </c>
      <c r="R66">
        <f ca="1">IF(AND(ISNUMBER($R$162),$B$113=1),$R$162,HLOOKUP(INDIRECT(ADDRESS(2,COLUMN())),OFFSET($AT$2,0,0,ROW()-1,40),ROW()-1,FALSE))</f>
        <v>694</v>
      </c>
      <c r="S66">
        <f ca="1">IF(AND(ISNUMBER($S$162),$B$113=1),$S$162,HLOOKUP(INDIRECT(ADDRESS(2,COLUMN())),OFFSET($AT$2,0,0,ROW()-1,40),ROW()-1,FALSE))</f>
        <v>539</v>
      </c>
      <c r="T66">
        <f ca="1">IF(AND(ISNUMBER($T$162),$B$113=1),$T$162,HLOOKUP(INDIRECT(ADDRESS(2,COLUMN())),OFFSET($AT$2,0,0,ROW()-1,40),ROW()-1,FALSE))</f>
        <v>581</v>
      </c>
      <c r="U66">
        <f ca="1">IF(AND(ISNUMBER($U$162),$B$113=1),$U$162,HLOOKUP(INDIRECT(ADDRESS(2,COLUMN())),OFFSET($AT$2,0,0,ROW()-1,40),ROW()-1,FALSE))</f>
        <v>560</v>
      </c>
      <c r="V66">
        <f ca="1">IF(AND(ISNUMBER($V$162),$B$113=1),$V$162,HLOOKUP(INDIRECT(ADDRESS(2,COLUMN())),OFFSET($AT$2,0,0,ROW()-1,40),ROW()-1,FALSE))</f>
        <v>1037</v>
      </c>
      <c r="W66">
        <f ca="1">IF(AND(ISNUMBER($W$162),$B$113=1),$W$162,HLOOKUP(INDIRECT(ADDRESS(2,COLUMN())),OFFSET($AT$2,0,0,ROW()-1,40),ROW()-1,FALSE))</f>
        <v>1649</v>
      </c>
      <c r="X66">
        <f ca="1">IF(AND(ISNUMBER($X$162),$B$113=1),$X$162,HLOOKUP(INDIRECT(ADDRESS(2,COLUMN())),OFFSET($AT$2,0,0,ROW()-1,40),ROW()-1,FALSE))</f>
        <v>1994</v>
      </c>
      <c r="Y66">
        <f ca="1">IF(AND(ISNUMBER($Y$162),$B$113=1),$Y$162,HLOOKUP(INDIRECT(ADDRESS(2,COLUMN())),OFFSET($AT$2,0,0,ROW()-1,40),ROW()-1,FALSE))</f>
        <v>2042</v>
      </c>
      <c r="Z66">
        <f ca="1">IF(AND(ISNUMBER($Z$162),$B$113=1),$Z$162,HLOOKUP(INDIRECT(ADDRESS(2,COLUMN())),OFFSET($AT$2,0,0,ROW()-1,40),ROW()-1,FALSE))</f>
        <v>2057</v>
      </c>
      <c r="AA66">
        <f ca="1">IF(AND(ISNUMBER($AA$162),$B$113=1),$AA$162,HLOOKUP(INDIRECT(ADDRESS(2,COLUMN())),OFFSET($AT$2,0,0,ROW()-1,40),ROW()-1,FALSE))</f>
        <v>1788</v>
      </c>
      <c r="AB66">
        <f ca="1">IF(AND(ISNUMBER($AB$162),$B$113=1),$AB$162,HLOOKUP(INDIRECT(ADDRESS(2,COLUMN())),OFFSET($AT$2,0,0,ROW()-1,40),ROW()-1,FALSE))</f>
        <v>1568</v>
      </c>
      <c r="AC66">
        <f ca="1">IF(AND(ISNUMBER($AC$162),$B$113=1),$AC$162,HLOOKUP(INDIRECT(ADDRESS(2,COLUMN())),OFFSET($AT$2,0,0,ROW()-1,40),ROW()-1,FALSE))</f>
        <v>1532</v>
      </c>
      <c r="AD66">
        <f ca="1">IF(AND(ISNUMBER($AD$162),$B$113=1),$AD$162,HLOOKUP(INDIRECT(ADDRESS(2,COLUMN())),OFFSET($AT$2,0,0,ROW()-1,40),ROW()-1,FALSE))</f>
        <v>1708</v>
      </c>
      <c r="AE66">
        <f ca="1">IF(AND(ISNUMBER($AE$162),$B$113=1),$AE$162,HLOOKUP(INDIRECT(ADDRESS(2,COLUMN())),OFFSET($AT$2,0,0,ROW()-1,40),ROW()-1,FALSE))</f>
        <v>1792</v>
      </c>
      <c r="AF66">
        <f ca="1">IF(AND(ISNUMBER($AF$162),$B$113=1),$AF$162,HLOOKUP(INDIRECT(ADDRESS(2,COLUMN())),OFFSET($AT$2,0,0,ROW()-1,40),ROW()-1,FALSE))</f>
        <v>1566</v>
      </c>
      <c r="AG66">
        <f ca="1">IF(AND(ISNUMBER($AG$162),$B$113=1),$AG$162,HLOOKUP(INDIRECT(ADDRESS(2,COLUMN())),OFFSET($AT$2,0,0,ROW()-1,40),ROW()-1,FALSE))</f>
        <v>1370</v>
      </c>
      <c r="AH66">
        <f ca="1">IF(AND(ISNUMBER($AH$162),$B$113=1),$AH$162,HLOOKUP(INDIRECT(ADDRESS(2,COLUMN())),OFFSET($AT$2,0,0,ROW()-1,40),ROW()-1,FALSE))</f>
        <v>1431</v>
      </c>
      <c r="AI66">
        <f ca="1">IF(AND(ISNUMBER($AI$162),$B$113=1),$AI$162,HLOOKUP(INDIRECT(ADDRESS(2,COLUMN())),OFFSET($AT$2,0,0,ROW()-1,40),ROW()-1,FALSE))</f>
        <v>1455</v>
      </c>
      <c r="AJ66">
        <f ca="1">IF(AND(ISNUMBER($AJ$162),$B$113=1),$AJ$162,HLOOKUP(INDIRECT(ADDRESS(2,COLUMN())),OFFSET($AT$2,0,0,ROW()-1,40),ROW()-1,FALSE))</f>
        <v>1533</v>
      </c>
      <c r="AK66">
        <f ca="1">IF(AND(ISNUMBER($AK$162),$B$113=1),$AK$162,HLOOKUP(INDIRECT(ADDRESS(2,COLUMN())),OFFSET($AT$2,0,0,ROW()-1,40),ROW()-1,FALSE))</f>
        <v>1227</v>
      </c>
      <c r="AL66">
        <f ca="1">IF(AND(ISNUMBER($AL$162),$B$113=1),$AL$162,HLOOKUP(INDIRECT(ADDRESS(2,COLUMN())),OFFSET($AT$2,0,0,ROW()-1,40),ROW()-1,FALSE))</f>
        <v>1079</v>
      </c>
      <c r="AM66">
        <f ca="1">IF(AND(ISNUMBER($AM$162),$B$113=1),$AM$162,HLOOKUP(INDIRECT(ADDRESS(2,COLUMN())),OFFSET($AT$2,0,0,ROW()-1,40),ROW()-1,FALSE))</f>
        <v>969</v>
      </c>
      <c r="AN66">
        <f ca="1">IF(AND(ISNUMBER($AN$162),$B$113=1),$AN$162,HLOOKUP(INDIRECT(ADDRESS(2,COLUMN())),OFFSET($AT$2,0,0,ROW()-1,40),ROW()-1,FALSE))</f>
        <v>1251</v>
      </c>
      <c r="AO66">
        <f ca="1">IF(AND(ISNUMBER($AO$162),$B$113=1),$AO$162,HLOOKUP(INDIRECT(ADDRESS(2,COLUMN())),OFFSET($AT$2,0,0,ROW()-1,40),ROW()-1,FALSE))</f>
        <v>1563</v>
      </c>
      <c r="AP66">
        <f ca="1">IF(AND(ISNUMBER($AP$162),$B$113=1),$AP$162,HLOOKUP(INDIRECT(ADDRESS(2,COLUMN())),OFFSET($AT$2,0,0,ROW()-1,40),ROW()-1,FALSE))</f>
        <v>1400</v>
      </c>
      <c r="AQ66">
        <f ca="1">IF(AND(ISNUMBER($AQ$162),$B$113=1),$AQ$162,HLOOKUP(INDIRECT(ADDRESS(2,COLUMN())),OFFSET($AT$2,0,0,ROW()-1,40),ROW()-1,FALSE))</f>
        <v>1833</v>
      </c>
      <c r="AR66">
        <f ca="1">IF(AND(ISNUMBER($AR$162),$B$113=1),$AR$162,HLOOKUP(INDIRECT(ADDRESS(2,COLUMN())),OFFSET($AT$2,0,0,ROW()-1,40),ROW()-1,FALSE))</f>
        <v>1942</v>
      </c>
      <c r="AS66">
        <f ca="1">IF(AND(ISNUMBER($AS$162),$B$113=1),$AS$162,HLOOKUP(INDIRECT(ADDRESS(2,COLUMN())),OFFSET($AT$2,0,0,ROW()-1,40),ROW()-1,FALSE))</f>
        <v>1612</v>
      </c>
      <c r="AT66">
        <f>1372</f>
        <v>1372</v>
      </c>
      <c r="AU66">
        <f>1357</f>
        <v>1357</v>
      </c>
      <c r="AV66">
        <f>1787</f>
        <v>1787</v>
      </c>
      <c r="AW66">
        <f>1663</f>
        <v>1663</v>
      </c>
      <c r="AX66">
        <f>1551</f>
        <v>1551</v>
      </c>
      <c r="AY66">
        <f>1095</f>
        <v>1095</v>
      </c>
      <c r="AZ66">
        <f>1177</f>
        <v>1177</v>
      </c>
      <c r="BA66">
        <f>1252</f>
        <v>1252</v>
      </c>
      <c r="BB66">
        <f>1146</f>
        <v>1146</v>
      </c>
      <c r="BC66">
        <f>1073</f>
        <v>1073</v>
      </c>
      <c r="BD66">
        <f>1002</f>
        <v>1002</v>
      </c>
      <c r="BE66">
        <f>976</f>
        <v>976</v>
      </c>
      <c r="BF66">
        <f>694</f>
        <v>694</v>
      </c>
      <c r="BG66">
        <f>539</f>
        <v>539</v>
      </c>
      <c r="BH66">
        <f>581</f>
        <v>581</v>
      </c>
      <c r="BI66">
        <f>560</f>
        <v>560</v>
      </c>
      <c r="BJ66">
        <f>1037</f>
        <v>1037</v>
      </c>
      <c r="BK66">
        <f>1649</f>
        <v>1649</v>
      </c>
      <c r="BL66">
        <f>1994</f>
        <v>1994</v>
      </c>
      <c r="BM66">
        <f>2042</f>
        <v>2042</v>
      </c>
      <c r="BN66">
        <f>2057</f>
        <v>2057</v>
      </c>
      <c r="BO66">
        <f>1788</f>
        <v>1788</v>
      </c>
      <c r="BP66">
        <f>1568</f>
        <v>1568</v>
      </c>
      <c r="BQ66">
        <f>1532</f>
        <v>1532</v>
      </c>
      <c r="BR66">
        <f>1708</f>
        <v>1708</v>
      </c>
      <c r="BS66">
        <f>1792</f>
        <v>1792</v>
      </c>
      <c r="BT66">
        <f>1566</f>
        <v>1566</v>
      </c>
      <c r="BU66">
        <f>1370</f>
        <v>1370</v>
      </c>
      <c r="BV66">
        <f>1431</f>
        <v>1431</v>
      </c>
      <c r="BW66">
        <f>1455</f>
        <v>1455</v>
      </c>
      <c r="BX66">
        <f>1533</f>
        <v>1533</v>
      </c>
      <c r="BY66">
        <f>1227</f>
        <v>1227</v>
      </c>
      <c r="BZ66">
        <f>1079</f>
        <v>1079</v>
      </c>
      <c r="CA66">
        <f>969</f>
        <v>969</v>
      </c>
      <c r="CB66">
        <f>1251</f>
        <v>1251</v>
      </c>
      <c r="CC66">
        <f>1563</f>
        <v>1563</v>
      </c>
      <c r="CD66">
        <f>1400</f>
        <v>1400</v>
      </c>
      <c r="CE66">
        <f>1833</f>
        <v>1833</v>
      </c>
      <c r="CF66">
        <f>1942</f>
        <v>1942</v>
      </c>
      <c r="CG66">
        <f>1612</f>
        <v>1612</v>
      </c>
    </row>
    <row r="67" spans="1:85" x14ac:dyDescent="0.2">
      <c r="A67" t="str">
        <f>"        U.S. Residential Building Permits (SAAR) ('000 Units)"</f>
        <v xml:space="preserve">        U.S. Residential Building Permits (SAAR) ('000 Units)</v>
      </c>
      <c r="B67" t="str">
        <f>"NHSPATOT Index"</f>
        <v>NHSPATOT Index</v>
      </c>
      <c r="C67" t="str">
        <f>"PR005"</f>
        <v>PR005</v>
      </c>
      <c r="D67" t="str">
        <f>"PX_LAST"</f>
        <v>PX_LAST</v>
      </c>
      <c r="E67" t="str">
        <f>"Dynamic"</f>
        <v>Dynamic</v>
      </c>
      <c r="F67">
        <f ca="1">IF(AND(ISNUMBER($F$163),$B$113=1),$F$163,HLOOKUP(INDIRECT(ADDRESS(2,COLUMN())),OFFSET($AT$2,0,0,ROW()-1,40),ROW()-1,FALSE))</f>
        <v>1487</v>
      </c>
      <c r="G67">
        <f ca="1">IF(AND(ISNUMBER($G$163),$B$113=1),$G$163,HLOOKUP(INDIRECT(ADDRESS(2,COLUMN())),OFFSET($AT$2,0,0,ROW()-1,40),ROW()-1,FALSE))</f>
        <v>1409</v>
      </c>
      <c r="H67">
        <f ca="1">IF(AND(ISNUMBER($H$163),$B$113=1),$H$163,HLOOKUP(INDIRECT(ADDRESS(2,COLUMN())),OFFSET($AT$2,0,0,ROW()-1,40),ROW()-1,FALSE))</f>
        <v>1948</v>
      </c>
      <c r="I67">
        <f ca="1">IF(AND(ISNUMBER($I$163),$B$113=1),$I$163,HLOOKUP(INDIRECT(ADDRESS(2,COLUMN())),OFFSET($AT$2,0,0,ROW()-1,40),ROW()-1,FALSE))</f>
        <v>1760</v>
      </c>
      <c r="J67">
        <f ca="1">IF(AND(ISNUMBER($J$163),$B$113=1),$J$163,HLOOKUP(INDIRECT(ADDRESS(2,COLUMN())),OFFSET($AT$2,0,0,ROW()-1,40),ROW()-1,FALSE))</f>
        <v>1461</v>
      </c>
      <c r="K67">
        <f ca="1">IF(AND(ISNUMBER($K$163),$B$113=1),$K$163,HLOOKUP(INDIRECT(ADDRESS(2,COLUMN())),OFFSET($AT$2,0,0,ROW()-1,40),ROW()-1,FALSE))</f>
        <v>1320</v>
      </c>
      <c r="L67">
        <f ca="1">IF(AND(ISNUMBER($L$163),$B$113=1),$L$163,HLOOKUP(INDIRECT(ADDRESS(2,COLUMN())),OFFSET($AT$2,0,0,ROW()-1,40),ROW()-1,FALSE))</f>
        <v>1312</v>
      </c>
      <c r="M67">
        <f ca="1">IF(AND(ISNUMBER($M$163),$B$113=1),$M$163,HLOOKUP(INDIRECT(ADDRESS(2,COLUMN())),OFFSET($AT$2,0,0,ROW()-1,40),ROW()-1,FALSE))</f>
        <v>1248</v>
      </c>
      <c r="N67">
        <f ca="1">IF(AND(ISNUMBER($N$163),$B$113=1),$N$163,HLOOKUP(INDIRECT(ADDRESS(2,COLUMN())),OFFSET($AT$2,0,0,ROW()-1,40),ROW()-1,FALSE))</f>
        <v>1211</v>
      </c>
      <c r="O67">
        <f ca="1">IF(AND(ISNUMBER($O$163),$B$113=1),$O$163,HLOOKUP(INDIRECT(ADDRESS(2,COLUMN())),OFFSET($AT$2,0,0,ROW()-1,40),ROW()-1,FALSE))</f>
        <v>1072</v>
      </c>
      <c r="P67">
        <f ca="1">IF(AND(ISNUMBER($P$163),$B$113=1),$P$163,HLOOKUP(INDIRECT(ADDRESS(2,COLUMN())),OFFSET($AT$2,0,0,ROW()-1,40),ROW()-1,FALSE))</f>
        <v>1005</v>
      </c>
      <c r="Q67">
        <f ca="1">IF(AND(ISNUMBER($Q$163),$B$113=1),$Q$163,HLOOKUP(INDIRECT(ADDRESS(2,COLUMN())),OFFSET($AT$2,0,0,ROW()-1,40),ROW()-1,FALSE))</f>
        <v>941</v>
      </c>
      <c r="R67">
        <f ca="1">IF(AND(ISNUMBER($R$163),$B$113=1),$R$163,HLOOKUP(INDIRECT(ADDRESS(2,COLUMN())),OFFSET($AT$2,0,0,ROW()-1,40),ROW()-1,FALSE))</f>
        <v>697</v>
      </c>
      <c r="S67">
        <f ca="1">IF(AND(ISNUMBER($S$163),$B$113=1),$S$163,HLOOKUP(INDIRECT(ADDRESS(2,COLUMN())),OFFSET($AT$2,0,0,ROW()-1,40),ROW()-1,FALSE))</f>
        <v>632</v>
      </c>
      <c r="T67">
        <f ca="1">IF(AND(ISNUMBER($T$163),$B$113=1),$T$163,HLOOKUP(INDIRECT(ADDRESS(2,COLUMN())),OFFSET($AT$2,0,0,ROW()-1,40),ROW()-1,FALSE))</f>
        <v>664</v>
      </c>
      <c r="U67">
        <f ca="1">IF(AND(ISNUMBER($U$163),$B$113=1),$U$163,HLOOKUP(INDIRECT(ADDRESS(2,COLUMN())),OFFSET($AT$2,0,0,ROW()-1,40),ROW()-1,FALSE))</f>
        <v>554</v>
      </c>
      <c r="V67">
        <f ca="1">IF(AND(ISNUMBER($V$163),$B$113=1),$V$163,HLOOKUP(INDIRECT(ADDRESS(2,COLUMN())),OFFSET($AT$2,0,0,ROW()-1,40),ROW()-1,FALSE))</f>
        <v>1149</v>
      </c>
      <c r="W67">
        <f ca="1">IF(AND(ISNUMBER($W$163),$B$113=1),$W$163,HLOOKUP(INDIRECT(ADDRESS(2,COLUMN())),OFFSET($AT$2,0,0,ROW()-1,40),ROW()-1,FALSE))</f>
        <v>1638</v>
      </c>
      <c r="X67">
        <f ca="1">IF(AND(ISNUMBER($X$163),$B$113=1),$X$163,HLOOKUP(INDIRECT(ADDRESS(2,COLUMN())),OFFSET($AT$2,0,0,ROW()-1,40),ROW()-1,FALSE))</f>
        <v>2120</v>
      </c>
      <c r="Y67">
        <f ca="1">IF(AND(ISNUMBER($Y$163),$B$113=1),$Y$163,HLOOKUP(INDIRECT(ADDRESS(2,COLUMN())),OFFSET($AT$2,0,0,ROW()-1,40),ROW()-1,FALSE))</f>
        <v>2082</v>
      </c>
      <c r="Z67">
        <f ca="1">IF(AND(ISNUMBER($Z$163),$B$113=1),$Z$163,HLOOKUP(INDIRECT(ADDRESS(2,COLUMN())),OFFSET($AT$2,0,0,ROW()-1,40),ROW()-1,FALSE))</f>
        <v>1987</v>
      </c>
      <c r="AA67">
        <f ca="1">IF(AND(ISNUMBER($AA$163),$B$113=1),$AA$163,HLOOKUP(INDIRECT(ADDRESS(2,COLUMN())),OFFSET($AT$2,0,0,ROW()-1,40),ROW()-1,FALSE))</f>
        <v>1896</v>
      </c>
      <c r="AB67">
        <f ca="1">IF(AND(ISNUMBER($AB$163),$B$113=1),$AB$163,HLOOKUP(INDIRECT(ADDRESS(2,COLUMN())),OFFSET($AT$2,0,0,ROW()-1,40),ROW()-1,FALSE))</f>
        <v>1680</v>
      </c>
      <c r="AC67">
        <f ca="1">IF(AND(ISNUMBER($AC$163),$B$113=1),$AC$163,HLOOKUP(INDIRECT(ADDRESS(2,COLUMN())),OFFSET($AT$2,0,0,ROW()-1,40),ROW()-1,FALSE))</f>
        <v>1543</v>
      </c>
      <c r="AD67">
        <f ca="1">IF(AND(ISNUMBER($AD$163),$B$113=1),$AD$163,HLOOKUP(INDIRECT(ADDRESS(2,COLUMN())),OFFSET($AT$2,0,0,ROW()-1,40),ROW()-1,FALSE))</f>
        <v>1683</v>
      </c>
      <c r="AE67">
        <f ca="1">IF(AND(ISNUMBER($AE$163),$B$113=1),$AE$163,HLOOKUP(INDIRECT(ADDRESS(2,COLUMN())),OFFSET($AT$2,0,0,ROW()-1,40),ROW()-1,FALSE))</f>
        <v>1742</v>
      </c>
      <c r="AF67">
        <f ca="1">IF(AND(ISNUMBER($AF$163),$B$113=1),$AF$163,HLOOKUP(INDIRECT(ADDRESS(2,COLUMN())),OFFSET($AT$2,0,0,ROW()-1,40),ROW()-1,FALSE))</f>
        <v>1456</v>
      </c>
      <c r="AG67">
        <f ca="1">IF(AND(ISNUMBER($AG$163),$B$113=1),$AG$163,HLOOKUP(INDIRECT(ADDRESS(2,COLUMN())),OFFSET($AT$2,0,0,ROW()-1,40),ROW()-1,FALSE))</f>
        <v>1411</v>
      </c>
      <c r="AH67">
        <f ca="1">IF(AND(ISNUMBER($AH$163),$B$113=1),$AH$163,HLOOKUP(INDIRECT(ADDRESS(2,COLUMN())),OFFSET($AT$2,0,0,ROW()-1,40),ROW()-1,FALSE))</f>
        <v>1442</v>
      </c>
      <c r="AI67">
        <f ca="1">IF(AND(ISNUMBER($AI$163),$B$113=1),$AI$163,HLOOKUP(INDIRECT(ADDRESS(2,COLUMN())),OFFSET($AT$2,0,0,ROW()-1,40),ROW()-1,FALSE))</f>
        <v>1396</v>
      </c>
      <c r="AJ67">
        <f ca="1">IF(AND(ISNUMBER($AJ$163),$B$113=1),$AJ$163,HLOOKUP(INDIRECT(ADDRESS(2,COLUMN())),OFFSET($AT$2,0,0,ROW()-1,40),ROW()-1,FALSE))</f>
        <v>1461</v>
      </c>
      <c r="AK67">
        <f ca="1">IF(AND(ISNUMBER($AK$163),$B$113=1),$AK$163,HLOOKUP(INDIRECT(ADDRESS(2,COLUMN())),OFFSET($AT$2,0,0,ROW()-1,40),ROW()-1,FALSE))</f>
        <v>1176</v>
      </c>
      <c r="AL67">
        <f ca="1">IF(AND(ISNUMBER($AL$163),$B$113=1),$AL$163,HLOOKUP(INDIRECT(ADDRESS(2,COLUMN())),OFFSET($AT$2,0,0,ROW()-1,40),ROW()-1,FALSE))</f>
        <v>1061</v>
      </c>
      <c r="AM67">
        <f ca="1">IF(AND(ISNUMBER($AM$163),$B$113=1),$AM$163,HLOOKUP(INDIRECT(ADDRESS(2,COLUMN())),OFFSET($AT$2,0,0,ROW()-1,40),ROW()-1,FALSE))</f>
        <v>861</v>
      </c>
      <c r="AN67">
        <f ca="1">IF(AND(ISNUMBER($AN$163),$B$113=1),$AN$163,HLOOKUP(INDIRECT(ADDRESS(2,COLUMN())),OFFSET($AT$2,0,0,ROW()-1,40),ROW()-1,FALSE))</f>
        <v>1422</v>
      </c>
      <c r="AO67">
        <f ca="1">IF(AND(ISNUMBER($AO$163),$B$113=1),$AO$163,HLOOKUP(INDIRECT(ADDRESS(2,COLUMN())),OFFSET($AT$2,0,0,ROW()-1,40),ROW()-1,FALSE))</f>
        <v>1501</v>
      </c>
      <c r="AP67">
        <f ca="1">IF(AND(ISNUMBER($AP$163),$B$113=1),$AP$163,HLOOKUP(INDIRECT(ADDRESS(2,COLUMN())),OFFSET($AT$2,0,0,ROW()-1,40),ROW()-1,FALSE))</f>
        <v>1345</v>
      </c>
      <c r="AQ67">
        <f ca="1">IF(AND(ISNUMBER($AQ$163),$B$113=1),$AQ$163,HLOOKUP(INDIRECT(ADDRESS(2,COLUMN())),OFFSET($AT$2,0,0,ROW()-1,40),ROW()-1,FALSE))</f>
        <v>1903</v>
      </c>
      <c r="AR67">
        <f ca="1">IF(AND(ISNUMBER($AR$163),$B$113=1),$AR$163,HLOOKUP(INDIRECT(ADDRESS(2,COLUMN())),OFFSET($AT$2,0,0,ROW()-1,40),ROW()-1,FALSE))</f>
        <v>1794</v>
      </c>
      <c r="AS67">
        <f ca="1">IF(AND(ISNUMBER($AS$163),$B$113=1),$AS$163,HLOOKUP(INDIRECT(ADDRESS(2,COLUMN())),OFFSET($AT$2,0,0,ROW()-1,40),ROW()-1,FALSE))</f>
        <v>1626</v>
      </c>
      <c r="AT67">
        <f>1487</f>
        <v>1487</v>
      </c>
      <c r="AU67">
        <f>1409</f>
        <v>1409</v>
      </c>
      <c r="AV67">
        <f>1948</f>
        <v>1948</v>
      </c>
      <c r="AW67">
        <f>1760</f>
        <v>1760</v>
      </c>
      <c r="AX67">
        <f>1461</f>
        <v>1461</v>
      </c>
      <c r="AY67">
        <f>1320</f>
        <v>1320</v>
      </c>
      <c r="AZ67">
        <f>1312</f>
        <v>1312</v>
      </c>
      <c r="BA67">
        <f>1248</f>
        <v>1248</v>
      </c>
      <c r="BB67">
        <f>1211</f>
        <v>1211</v>
      </c>
      <c r="BC67">
        <f>1072</f>
        <v>1072</v>
      </c>
      <c r="BD67">
        <f>1005</f>
        <v>1005</v>
      </c>
      <c r="BE67">
        <f>941</f>
        <v>941</v>
      </c>
      <c r="BF67">
        <f>697</f>
        <v>697</v>
      </c>
      <c r="BG67">
        <f>632</f>
        <v>632</v>
      </c>
      <c r="BH67">
        <f>664</f>
        <v>664</v>
      </c>
      <c r="BI67">
        <f>554</f>
        <v>554</v>
      </c>
      <c r="BJ67">
        <f>1149</f>
        <v>1149</v>
      </c>
      <c r="BK67">
        <f>1638</f>
        <v>1638</v>
      </c>
      <c r="BL67">
        <f>2120</f>
        <v>2120</v>
      </c>
      <c r="BM67">
        <f>2082</f>
        <v>2082</v>
      </c>
      <c r="BN67">
        <f>1987</f>
        <v>1987</v>
      </c>
      <c r="BO67">
        <f>1896</f>
        <v>1896</v>
      </c>
      <c r="BP67">
        <f>1680</f>
        <v>1680</v>
      </c>
      <c r="BQ67">
        <f>1543</f>
        <v>1543</v>
      </c>
      <c r="BR67">
        <f>1683</f>
        <v>1683</v>
      </c>
      <c r="BS67">
        <f>1742</f>
        <v>1742</v>
      </c>
      <c r="BT67">
        <f>1456</f>
        <v>1456</v>
      </c>
      <c r="BU67">
        <f>1411</f>
        <v>1411</v>
      </c>
      <c r="BV67">
        <f>1442</f>
        <v>1442</v>
      </c>
      <c r="BW67">
        <f>1396</f>
        <v>1396</v>
      </c>
      <c r="BX67">
        <f>1461</f>
        <v>1461</v>
      </c>
      <c r="BY67">
        <f>1176</f>
        <v>1176</v>
      </c>
      <c r="BZ67">
        <f>1061</f>
        <v>1061</v>
      </c>
      <c r="CA67">
        <f>861</f>
        <v>861</v>
      </c>
      <c r="CB67">
        <f>1422</f>
        <v>1422</v>
      </c>
      <c r="CC67">
        <f>1501</f>
        <v>1501</v>
      </c>
      <c r="CD67">
        <f>1345</f>
        <v>1345</v>
      </c>
      <c r="CE67">
        <f>1903</f>
        <v>1903</v>
      </c>
      <c r="CF67">
        <f>1794</f>
        <v>1794</v>
      </c>
      <c r="CG67">
        <f>1626</f>
        <v>1626</v>
      </c>
    </row>
    <row r="68" spans="1:85" x14ac:dyDescent="0.2">
      <c r="A68" t="str">
        <f>"        U.S. New Home Sales ('000 Units)"</f>
        <v xml:space="preserve">        U.S. New Home Sales ('000 Units)</v>
      </c>
      <c r="B68" t="str">
        <f>"NHSLTOT Index"</f>
        <v>NHSLTOT Index</v>
      </c>
      <c r="C68" t="str">
        <f>"PR005"</f>
        <v>PR005</v>
      </c>
      <c r="D68" t="str">
        <f>"PX_LAST"</f>
        <v>PX_LAST</v>
      </c>
      <c r="E68" t="str">
        <f>"Dynamic"</f>
        <v>Dynamic</v>
      </c>
      <c r="F68">
        <f ca="1">IF(AND(ISNUMBER($F$164),$B$113=1),$F$164,HLOOKUP(INDIRECT(ADDRESS(2,COLUMN())),OFFSET($AT$2,0,0,ROW()-1,40),ROW()-1,FALSE))</f>
        <v>679</v>
      </c>
      <c r="G68">
        <f ca="1">IF(AND(ISNUMBER($G$164),$B$113=1),$G$164,HLOOKUP(INDIRECT(ADDRESS(2,COLUMN())),OFFSET($AT$2,0,0,ROW()-1,40),ROW()-1,FALSE))</f>
        <v>636</v>
      </c>
      <c r="H68">
        <f ca="1">IF(AND(ISNUMBER($H$164),$B$113=1),$H$164,HLOOKUP(INDIRECT(ADDRESS(2,COLUMN())),OFFSET($AT$2,0,0,ROW()-1,40),ROW()-1,FALSE))</f>
        <v>830</v>
      </c>
      <c r="I68">
        <f ca="1">IF(AND(ISNUMBER($I$164),$B$113=1),$I$164,HLOOKUP(INDIRECT(ADDRESS(2,COLUMN())),OFFSET($AT$2,0,0,ROW()-1,40),ROW()-1,FALSE))</f>
        <v>873</v>
      </c>
      <c r="J68">
        <f ca="1">IF(AND(ISNUMBER($J$164),$B$113=1),$J$164,HLOOKUP(INDIRECT(ADDRESS(2,COLUMN())),OFFSET($AT$2,0,0,ROW()-1,40),ROW()-1,FALSE))</f>
        <v>693</v>
      </c>
      <c r="K68">
        <f ca="1">IF(AND(ISNUMBER($K$164),$B$113=1),$K$164,HLOOKUP(INDIRECT(ADDRESS(2,COLUMN())),OFFSET($AT$2,0,0,ROW()-1,40),ROW()-1,FALSE))</f>
        <v>546</v>
      </c>
      <c r="L68">
        <f ca="1">IF(AND(ISNUMBER($L$164),$B$113=1),$L$164,HLOOKUP(INDIRECT(ADDRESS(2,COLUMN())),OFFSET($AT$2,0,0,ROW()-1,40),ROW()-1,FALSE))</f>
        <v>630</v>
      </c>
      <c r="M68">
        <f ca="1">IF(AND(ISNUMBER($M$164),$B$113=1),$M$164,HLOOKUP(INDIRECT(ADDRESS(2,COLUMN())),OFFSET($AT$2,0,0,ROW()-1,40),ROW()-1,FALSE))</f>
        <v>561</v>
      </c>
      <c r="N68">
        <f ca="1">IF(AND(ISNUMBER($N$164),$B$113=1),$N$164,HLOOKUP(INDIRECT(ADDRESS(2,COLUMN())),OFFSET($AT$2,0,0,ROW()-1,40),ROW()-1,FALSE))</f>
        <v>546</v>
      </c>
      <c r="O68">
        <f ca="1">IF(AND(ISNUMBER($O$164),$B$113=1),$O$164,HLOOKUP(INDIRECT(ADDRESS(2,COLUMN())),OFFSET($AT$2,0,0,ROW()-1,40),ROW()-1,FALSE))</f>
        <v>497</v>
      </c>
      <c r="P68">
        <f ca="1">IF(AND(ISNUMBER($P$164),$B$113=1),$P$164,HLOOKUP(INDIRECT(ADDRESS(2,COLUMN())),OFFSET($AT$2,0,0,ROW()-1,40),ROW()-1,FALSE))</f>
        <v>433</v>
      </c>
      <c r="Q68">
        <f ca="1">IF(AND(ISNUMBER($Q$164),$B$113=1),$Q$164,HLOOKUP(INDIRECT(ADDRESS(2,COLUMN())),OFFSET($AT$2,0,0,ROW()-1,40),ROW()-1,FALSE))</f>
        <v>399</v>
      </c>
      <c r="R68">
        <f ca="1">IF(AND(ISNUMBER($R$164),$B$113=1),$R$164,HLOOKUP(INDIRECT(ADDRESS(2,COLUMN())),OFFSET($AT$2,0,0,ROW()-1,40),ROW()-1,FALSE))</f>
        <v>341</v>
      </c>
      <c r="S68">
        <f ca="1">IF(AND(ISNUMBER($S$164),$B$113=1),$S$164,HLOOKUP(INDIRECT(ADDRESS(2,COLUMN())),OFFSET($AT$2,0,0,ROW()-1,40),ROW()-1,FALSE))</f>
        <v>326</v>
      </c>
      <c r="T68">
        <f ca="1">IF(AND(ISNUMBER($T$164),$B$113=1),$T$164,HLOOKUP(INDIRECT(ADDRESS(2,COLUMN())),OFFSET($AT$2,0,0,ROW()-1,40),ROW()-1,FALSE))</f>
        <v>352</v>
      </c>
      <c r="U68">
        <f ca="1">IF(AND(ISNUMBER($U$164),$B$113=1),$U$164,HLOOKUP(INDIRECT(ADDRESS(2,COLUMN())),OFFSET($AT$2,0,0,ROW()-1,40),ROW()-1,FALSE))</f>
        <v>377</v>
      </c>
      <c r="V68">
        <f ca="1">IF(AND(ISNUMBER($V$164),$B$113=1),$V$164,HLOOKUP(INDIRECT(ADDRESS(2,COLUMN())),OFFSET($AT$2,0,0,ROW()-1,40),ROW()-1,FALSE))</f>
        <v>619</v>
      </c>
      <c r="W68">
        <f ca="1">IF(AND(ISNUMBER($W$164),$B$113=1),$W$164,HLOOKUP(INDIRECT(ADDRESS(2,COLUMN())),OFFSET($AT$2,0,0,ROW()-1,40),ROW()-1,FALSE))</f>
        <v>998</v>
      </c>
      <c r="X68">
        <f ca="1">IF(AND(ISNUMBER($X$164),$B$113=1),$X$164,HLOOKUP(INDIRECT(ADDRESS(2,COLUMN())),OFFSET($AT$2,0,0,ROW()-1,40),ROW()-1,FALSE))</f>
        <v>1239</v>
      </c>
      <c r="Y68">
        <f ca="1">IF(AND(ISNUMBER($Y$164),$B$113=1),$Y$164,HLOOKUP(INDIRECT(ADDRESS(2,COLUMN())),OFFSET($AT$2,0,0,ROW()-1,40),ROW()-1,FALSE))</f>
        <v>1242</v>
      </c>
      <c r="Z68">
        <f ca="1">IF(AND(ISNUMBER($Z$164),$B$113=1),$Z$164,HLOOKUP(INDIRECT(ADDRESS(2,COLUMN())),OFFSET($AT$2,0,0,ROW()-1,40),ROW()-1,FALSE))</f>
        <v>1129</v>
      </c>
      <c r="AA68">
        <f ca="1">IF(AND(ISNUMBER($AA$164),$B$113=1),$AA$164,HLOOKUP(INDIRECT(ADDRESS(2,COLUMN())),OFFSET($AT$2,0,0,ROW()-1,40),ROW()-1,FALSE))</f>
        <v>1048</v>
      </c>
      <c r="AB68">
        <f ca="1">IF(AND(ISNUMBER($AB$164),$B$113=1),$AB$164,HLOOKUP(INDIRECT(ADDRESS(2,COLUMN())),OFFSET($AT$2,0,0,ROW()-1,40),ROW()-1,FALSE))</f>
        <v>979</v>
      </c>
      <c r="AC68">
        <f ca="1">IF(AND(ISNUMBER($AC$164),$B$113=1),$AC$164,HLOOKUP(INDIRECT(ADDRESS(2,COLUMN())),OFFSET($AT$2,0,0,ROW()-1,40),ROW()-1,FALSE))</f>
        <v>983</v>
      </c>
      <c r="AD68">
        <f ca="1">IF(AND(ISNUMBER($AD$164),$B$113=1),$AD$164,HLOOKUP(INDIRECT(ADDRESS(2,COLUMN())),OFFSET($AT$2,0,0,ROW()-1,40),ROW()-1,FALSE))</f>
        <v>873</v>
      </c>
      <c r="AE68">
        <f ca="1">IF(AND(ISNUMBER($AE$164),$B$113=1),$AE$164,HLOOKUP(INDIRECT(ADDRESS(2,COLUMN())),OFFSET($AT$2,0,0,ROW()-1,40),ROW()-1,FALSE))</f>
        <v>949</v>
      </c>
      <c r="AF68">
        <f ca="1">IF(AND(ISNUMBER($AF$164),$B$113=1),$AF$164,HLOOKUP(INDIRECT(ADDRESS(2,COLUMN())),OFFSET($AT$2,0,0,ROW()-1,40),ROW()-1,FALSE))</f>
        <v>793</v>
      </c>
      <c r="AG68">
        <f ca="1">IF(AND(ISNUMBER($AG$164),$B$113=1),$AG$164,HLOOKUP(INDIRECT(ADDRESS(2,COLUMN())),OFFSET($AT$2,0,0,ROW()-1,40),ROW()-1,FALSE))</f>
        <v>805</v>
      </c>
      <c r="AH68">
        <f ca="1">IF(AND(ISNUMBER($AH$164),$B$113=1),$AH$164,HLOOKUP(INDIRECT(ADDRESS(2,COLUMN())),OFFSET($AT$2,0,0,ROW()-1,40),ROW()-1,FALSE))</f>
        <v>709</v>
      </c>
      <c r="AI68">
        <f ca="1">IF(AND(ISNUMBER($AI$164),$B$113=1),$AI$164,HLOOKUP(INDIRECT(ADDRESS(2,COLUMN())),OFFSET($AT$2,0,0,ROW()-1,40),ROW()-1,FALSE))</f>
        <v>629</v>
      </c>
      <c r="AJ68">
        <f ca="1">IF(AND(ISNUMBER($AJ$164),$B$113=1),$AJ$164,HLOOKUP(INDIRECT(ADDRESS(2,COLUMN())),OFFSET($AT$2,0,0,ROW()-1,40),ROW()-1,FALSE))</f>
        <v>812</v>
      </c>
      <c r="AK68">
        <f ca="1">IF(AND(ISNUMBER($AK$164),$B$113=1),$AK$164,HLOOKUP(INDIRECT(ADDRESS(2,COLUMN())),OFFSET($AT$2,0,0,ROW()-1,40),ROW()-1,FALSE))</f>
        <v>650</v>
      </c>
      <c r="AL68">
        <f ca="1">IF(AND(ISNUMBER($AL$164),$B$113=1),$AL$164,HLOOKUP(INDIRECT(ADDRESS(2,COLUMN())),OFFSET($AT$2,0,0,ROW()-1,40),ROW()-1,FALSE))</f>
        <v>558</v>
      </c>
      <c r="AM68">
        <f ca="1">IF(AND(ISNUMBER($AM$164),$B$113=1),$AM$164,HLOOKUP(INDIRECT(ADDRESS(2,COLUMN())),OFFSET($AT$2,0,0,ROW()-1,40),ROW()-1,FALSE))</f>
        <v>464</v>
      </c>
      <c r="AN68">
        <f ca="1">IF(AND(ISNUMBER($AN$164),$B$113=1),$AN$164,HLOOKUP(INDIRECT(ADDRESS(2,COLUMN())),OFFSET($AT$2,0,0,ROW()-1,40),ROW()-1,FALSE))</f>
        <v>630</v>
      </c>
      <c r="AO68">
        <f ca="1">IF(AND(ISNUMBER($AO$164),$B$113=1),$AO$164,HLOOKUP(INDIRECT(ADDRESS(2,COLUMN())),OFFSET($AT$2,0,0,ROW()-1,40),ROW()-1,FALSE))</f>
        <v>658</v>
      </c>
      <c r="AP68">
        <f ca="1">IF(AND(ISNUMBER($AP$164),$B$113=1),$AP$164,HLOOKUP(INDIRECT(ADDRESS(2,COLUMN())),OFFSET($AT$2,0,0,ROW()-1,40),ROW()-1,FALSE))</f>
        <v>595</v>
      </c>
      <c r="AQ68">
        <f ca="1">IF(AND(ISNUMBER($AQ$164),$B$113=1),$AQ$164,HLOOKUP(INDIRECT(ADDRESS(2,COLUMN())),OFFSET($AT$2,0,0,ROW()-1,40),ROW()-1,FALSE))</f>
        <v>784</v>
      </c>
      <c r="AR68">
        <f ca="1">IF(AND(ISNUMBER($AR$164),$B$113=1),$AR$164,HLOOKUP(INDIRECT(ADDRESS(2,COLUMN())),OFFSET($AT$2,0,0,ROW()-1,40),ROW()-1,FALSE))</f>
        <v>721</v>
      </c>
      <c r="AS68">
        <f ca="1">IF(AND(ISNUMBER($AS$164),$B$113=1),$AS$164,HLOOKUP(INDIRECT(ADDRESS(2,COLUMN())),OFFSET($AT$2,0,0,ROW()-1,40),ROW()-1,FALSE))</f>
        <v>597</v>
      </c>
      <c r="AT68">
        <f>679</f>
        <v>679</v>
      </c>
      <c r="AU68">
        <f>636</f>
        <v>636</v>
      </c>
      <c r="AV68">
        <f>830</f>
        <v>830</v>
      </c>
      <c r="AW68">
        <f>873</f>
        <v>873</v>
      </c>
      <c r="AX68">
        <f>693</f>
        <v>693</v>
      </c>
      <c r="AY68">
        <f>546</f>
        <v>546</v>
      </c>
      <c r="AZ68">
        <f>630</f>
        <v>630</v>
      </c>
      <c r="BA68">
        <f>561</f>
        <v>561</v>
      </c>
      <c r="BB68">
        <f>546</f>
        <v>546</v>
      </c>
      <c r="BC68">
        <f>497</f>
        <v>497</v>
      </c>
      <c r="BD68">
        <f>433</f>
        <v>433</v>
      </c>
      <c r="BE68">
        <f>399</f>
        <v>399</v>
      </c>
      <c r="BF68">
        <f>341</f>
        <v>341</v>
      </c>
      <c r="BG68">
        <f>326</f>
        <v>326</v>
      </c>
      <c r="BH68">
        <f>352</f>
        <v>352</v>
      </c>
      <c r="BI68">
        <f>377</f>
        <v>377</v>
      </c>
      <c r="BJ68">
        <f>619</f>
        <v>619</v>
      </c>
      <c r="BK68">
        <f>998</f>
        <v>998</v>
      </c>
      <c r="BL68">
        <f>1239</f>
        <v>1239</v>
      </c>
      <c r="BM68">
        <f>1242</f>
        <v>1242</v>
      </c>
      <c r="BN68">
        <f>1129</f>
        <v>1129</v>
      </c>
      <c r="BO68">
        <f>1048</f>
        <v>1048</v>
      </c>
      <c r="BP68">
        <f>979</f>
        <v>979</v>
      </c>
      <c r="BQ68">
        <f>983</f>
        <v>983</v>
      </c>
      <c r="BR68">
        <f>873</f>
        <v>873</v>
      </c>
      <c r="BS68">
        <f>949</f>
        <v>949</v>
      </c>
      <c r="BT68">
        <f>793</f>
        <v>793</v>
      </c>
      <c r="BU68">
        <f>805</f>
        <v>805</v>
      </c>
      <c r="BV68">
        <f>709</f>
        <v>709</v>
      </c>
      <c r="BW68">
        <f>629</f>
        <v>629</v>
      </c>
      <c r="BX68">
        <f>812</f>
        <v>812</v>
      </c>
      <c r="BY68">
        <f>650</f>
        <v>650</v>
      </c>
      <c r="BZ68">
        <f>558</f>
        <v>558</v>
      </c>
      <c r="CA68">
        <f>464</f>
        <v>464</v>
      </c>
      <c r="CB68">
        <f>630</f>
        <v>630</v>
      </c>
      <c r="CC68">
        <f>658</f>
        <v>658</v>
      </c>
      <c r="CD68">
        <f>595</f>
        <v>595</v>
      </c>
      <c r="CE68">
        <f>784</f>
        <v>784</v>
      </c>
      <c r="CF68">
        <f>721</f>
        <v>721</v>
      </c>
      <c r="CG68">
        <f>597</f>
        <v>597</v>
      </c>
    </row>
    <row r="69" spans="1:85" x14ac:dyDescent="0.2">
      <c r="A69" t="str">
        <f>"        U.S. New Home Months Supply"</f>
        <v xml:space="preserve">        U.S. New Home Months Supply</v>
      </c>
      <c r="B69" t="str">
        <f>"NHSLSUPP Index"</f>
        <v>NHSLSUPP Index</v>
      </c>
      <c r="C69" t="str">
        <f>"PR005"</f>
        <v>PR005</v>
      </c>
      <c r="D69" t="str">
        <f>"PX_LAST"</f>
        <v>PX_LAST</v>
      </c>
      <c r="E69" t="str">
        <f>"Dynamic"</f>
        <v>Dynamic</v>
      </c>
      <c r="F69">
        <f ca="1">IF(AND(ISNUMBER($F$165),$B$113=1),$F$165,HLOOKUP(INDIRECT(ADDRESS(2,COLUMN())),OFFSET($AT$2,0,0,ROW()-1,40),ROW()-1,FALSE))</f>
        <v>6.9</v>
      </c>
      <c r="G69">
        <f ca="1">IF(AND(ISNUMBER($G$165),$B$113=1),$G$165,HLOOKUP(INDIRECT(ADDRESS(2,COLUMN())),OFFSET($AT$2,0,0,ROW()-1,40),ROW()-1,FALSE))</f>
        <v>8.5</v>
      </c>
      <c r="H69">
        <f ca="1">IF(AND(ISNUMBER($H$165),$B$113=1),$H$165,HLOOKUP(INDIRECT(ADDRESS(2,COLUMN())),OFFSET($AT$2,0,0,ROW()-1,40),ROW()-1,FALSE))</f>
        <v>5.6</v>
      </c>
      <c r="I69">
        <f ca="1">IF(AND(ISNUMBER($I$165),$B$113=1),$I$165,HLOOKUP(INDIRECT(ADDRESS(2,COLUMN())),OFFSET($AT$2,0,0,ROW()-1,40),ROW()-1,FALSE))</f>
        <v>4.0999999999999996</v>
      </c>
      <c r="J69">
        <f ca="1">IF(AND(ISNUMBER($J$165),$B$113=1),$J$165,HLOOKUP(INDIRECT(ADDRESS(2,COLUMN())),OFFSET($AT$2,0,0,ROW()-1,40),ROW()-1,FALSE))</f>
        <v>5.6</v>
      </c>
      <c r="K69">
        <f ca="1">IF(AND(ISNUMBER($K$165),$B$113=1),$K$165,HLOOKUP(INDIRECT(ADDRESS(2,COLUMN())),OFFSET($AT$2,0,0,ROW()-1,40),ROW()-1,FALSE))</f>
        <v>7.6</v>
      </c>
      <c r="L69">
        <f ca="1">IF(AND(ISNUMBER($L$165),$B$113=1),$L$165,HLOOKUP(INDIRECT(ADDRESS(2,COLUMN())),OFFSET($AT$2,0,0,ROW()-1,40),ROW()-1,FALSE))</f>
        <v>5.6</v>
      </c>
      <c r="M69">
        <f ca="1">IF(AND(ISNUMBER($M$165),$B$113=1),$M$165,HLOOKUP(INDIRECT(ADDRESS(2,COLUMN())),OFFSET($AT$2,0,0,ROW()-1,40),ROW()-1,FALSE))</f>
        <v>5.4</v>
      </c>
      <c r="N69">
        <f ca="1">IF(AND(ISNUMBER($N$165),$B$113=1),$N$165,HLOOKUP(INDIRECT(ADDRESS(2,COLUMN())),OFFSET($AT$2,0,0,ROW()-1,40),ROW()-1,FALSE))</f>
        <v>5.0999999999999996</v>
      </c>
      <c r="O69">
        <f ca="1">IF(AND(ISNUMBER($O$165),$B$113=1),$O$165,HLOOKUP(INDIRECT(ADDRESS(2,COLUMN())),OFFSET($AT$2,0,0,ROW()-1,40),ROW()-1,FALSE))</f>
        <v>5.0999999999999996</v>
      </c>
      <c r="P69">
        <f ca="1">IF(AND(ISNUMBER($P$165),$B$113=1),$P$165,HLOOKUP(INDIRECT(ADDRESS(2,COLUMN())),OFFSET($AT$2,0,0,ROW()-1,40),ROW()-1,FALSE))</f>
        <v>5.2</v>
      </c>
      <c r="Q69">
        <f ca="1">IF(AND(ISNUMBER($Q$165),$B$113=1),$Q$165,HLOOKUP(INDIRECT(ADDRESS(2,COLUMN())),OFFSET($AT$2,0,0,ROW()-1,40),ROW()-1,FALSE))</f>
        <v>4.5</v>
      </c>
      <c r="R69">
        <f ca="1">IF(AND(ISNUMBER($R$165),$B$113=1),$R$165,HLOOKUP(INDIRECT(ADDRESS(2,COLUMN())),OFFSET($AT$2,0,0,ROW()-1,40),ROW()-1,FALSE))</f>
        <v>5.3</v>
      </c>
      <c r="S69">
        <f ca="1">IF(AND(ISNUMBER($S$165),$B$113=1),$S$165,HLOOKUP(INDIRECT(ADDRESS(2,COLUMN())),OFFSET($AT$2,0,0,ROW()-1,40),ROW()-1,FALSE))</f>
        <v>7</v>
      </c>
      <c r="T69">
        <f ca="1">IF(AND(ISNUMBER($T$165),$B$113=1),$T$165,HLOOKUP(INDIRECT(ADDRESS(2,COLUMN())),OFFSET($AT$2,0,0,ROW()-1,40),ROW()-1,FALSE))</f>
        <v>8</v>
      </c>
      <c r="U69">
        <f ca="1">IF(AND(ISNUMBER($U$165),$B$113=1),$U$165,HLOOKUP(INDIRECT(ADDRESS(2,COLUMN())),OFFSET($AT$2,0,0,ROW()-1,40),ROW()-1,FALSE))</f>
        <v>11.2</v>
      </c>
      <c r="V69">
        <f ca="1">IF(AND(ISNUMBER($V$165),$B$113=1),$V$165,HLOOKUP(INDIRECT(ADDRESS(2,COLUMN())),OFFSET($AT$2,0,0,ROW()-1,40),ROW()-1,FALSE))</f>
        <v>9.6</v>
      </c>
      <c r="W69">
        <f ca="1">IF(AND(ISNUMBER($W$165),$B$113=1),$W$165,HLOOKUP(INDIRECT(ADDRESS(2,COLUMN())),OFFSET($AT$2,0,0,ROW()-1,40),ROW()-1,FALSE))</f>
        <v>6.5</v>
      </c>
      <c r="X69">
        <f ca="1">IF(AND(ISNUMBER($X$165),$B$113=1),$X$165,HLOOKUP(INDIRECT(ADDRESS(2,COLUMN())),OFFSET($AT$2,0,0,ROW()-1,40),ROW()-1,FALSE))</f>
        <v>4.9000000000000004</v>
      </c>
      <c r="Y69">
        <f ca="1">IF(AND(ISNUMBER($Y$165),$B$113=1),$Y$165,HLOOKUP(INDIRECT(ADDRESS(2,COLUMN())),OFFSET($AT$2,0,0,ROW()-1,40),ROW()-1,FALSE))</f>
        <v>4.0999999999999996</v>
      </c>
      <c r="Z69">
        <f ca="1">IF(AND(ISNUMBER($Z$165),$B$113=1),$Z$165,HLOOKUP(INDIRECT(ADDRESS(2,COLUMN())),OFFSET($AT$2,0,0,ROW()-1,40),ROW()-1,FALSE))</f>
        <v>4</v>
      </c>
      <c r="AA69">
        <f ca="1">IF(AND(ISNUMBER($AA$165),$B$113=1),$AA$165,HLOOKUP(INDIRECT(ADDRESS(2,COLUMN())),OFFSET($AT$2,0,0,ROW()-1,40),ROW()-1,FALSE))</f>
        <v>4</v>
      </c>
      <c r="AB69">
        <f ca="1">IF(AND(ISNUMBER($AB$165),$B$113=1),$AB$165,HLOOKUP(INDIRECT(ADDRESS(2,COLUMN())),OFFSET($AT$2,0,0,ROW()-1,40),ROW()-1,FALSE))</f>
        <v>3.8</v>
      </c>
      <c r="AC69">
        <f ca="1">IF(AND(ISNUMBER($AC$165),$B$113=1),$AC$165,HLOOKUP(INDIRECT(ADDRESS(2,COLUMN())),OFFSET($AT$2,0,0,ROW()-1,40),ROW()-1,FALSE))</f>
        <v>3.6</v>
      </c>
      <c r="AD69">
        <f ca="1">IF(AND(ISNUMBER($AD$165),$B$113=1),$AD$165,HLOOKUP(INDIRECT(ADDRESS(2,COLUMN())),OFFSET($AT$2,0,0,ROW()-1,40),ROW()-1,FALSE))</f>
        <v>4.3</v>
      </c>
      <c r="AE69">
        <f ca="1">IF(AND(ISNUMBER($AE$165),$B$113=1),$AE$165,HLOOKUP(INDIRECT(ADDRESS(2,COLUMN())),OFFSET($AT$2,0,0,ROW()-1,40),ROW()-1,FALSE))</f>
        <v>3.8</v>
      </c>
      <c r="AF69">
        <f ca="1">IF(AND(ISNUMBER($AF$165),$B$113=1),$AF$165,HLOOKUP(INDIRECT(ADDRESS(2,COLUMN())),OFFSET($AT$2,0,0,ROW()-1,40),ROW()-1,FALSE))</f>
        <v>4.4000000000000004</v>
      </c>
      <c r="AG69">
        <f ca="1">IF(AND(ISNUMBER($AG$165),$B$113=1),$AG$165,HLOOKUP(INDIRECT(ADDRESS(2,COLUMN())),OFFSET($AT$2,0,0,ROW()-1,40),ROW()-1,FALSE))</f>
        <v>5</v>
      </c>
      <c r="AH69">
        <f ca="1">IF(AND(ISNUMBER($AH$165),$B$113=1),$AH$165,HLOOKUP(INDIRECT(ADDRESS(2,COLUMN())),OFFSET($AT$2,0,0,ROW()-1,40),ROW()-1,FALSE))</f>
        <v>6.4</v>
      </c>
      <c r="AI69">
        <f ca="1">IF(AND(ISNUMBER($AI$165),$B$113=1),$AI$165,HLOOKUP(INDIRECT(ADDRESS(2,COLUMN())),OFFSET($AT$2,0,0,ROW()-1,40),ROW()-1,FALSE))</f>
        <v>6.6</v>
      </c>
      <c r="AJ69">
        <f ca="1">IF(AND(ISNUMBER($AJ$165),$B$113=1),$AJ$165,HLOOKUP(INDIRECT(ADDRESS(2,COLUMN())),OFFSET($AT$2,0,0,ROW()-1,40),ROW()-1,FALSE))</f>
        <v>4.5</v>
      </c>
      <c r="AK69">
        <f ca="1">IF(AND(ISNUMBER($AK$165),$B$113=1),$AK$165,HLOOKUP(INDIRECT(ADDRESS(2,COLUMN())),OFFSET($AT$2,0,0,ROW()-1,40),ROW()-1,FALSE))</f>
        <v>5</v>
      </c>
      <c r="AL69">
        <f ca="1">IF(AND(ISNUMBER($AL$165),$B$113=1),$AL$165,HLOOKUP(INDIRECT(ADDRESS(2,COLUMN())),OFFSET($AT$2,0,0,ROW()-1,40),ROW()-1,FALSE))</f>
        <v>6.2</v>
      </c>
      <c r="AM69">
        <f ca="1">IF(AND(ISNUMBER($AM$165),$B$113=1),$AM$165,HLOOKUP(INDIRECT(ADDRESS(2,COLUMN())),OFFSET($AT$2,0,0,ROW()-1,40),ROW()-1,FALSE))</f>
        <v>8.5</v>
      </c>
      <c r="AN69">
        <f ca="1">IF(AND(ISNUMBER($AN$165),$B$113=1),$AN$165,HLOOKUP(INDIRECT(ADDRESS(2,COLUMN())),OFFSET($AT$2,0,0,ROW()-1,40),ROW()-1,FALSE))</f>
        <v>7</v>
      </c>
      <c r="AO69">
        <f ca="1">IF(AND(ISNUMBER($AO$165),$B$113=1),$AO$165,HLOOKUP(INDIRECT(ADDRESS(2,COLUMN())),OFFSET($AT$2,0,0,ROW()-1,40),ROW()-1,FALSE))</f>
        <v>6.8</v>
      </c>
      <c r="AP69">
        <f ca="1">IF(AND(ISNUMBER($AP$165),$B$113=1),$AP$165,HLOOKUP(INDIRECT(ADDRESS(2,COLUMN())),OFFSET($AT$2,0,0,ROW()-1,40),ROW()-1,FALSE))</f>
        <v>7.6</v>
      </c>
      <c r="AQ69">
        <f ca="1">IF(AND(ISNUMBER($AQ$165),$B$113=1),$AQ$165,HLOOKUP(INDIRECT(ADDRESS(2,COLUMN())),OFFSET($AT$2,0,0,ROW()-1,40),ROW()-1,FALSE))</f>
        <v>5.5</v>
      </c>
      <c r="AR69">
        <f ca="1">IF(AND(ISNUMBER($AR$165),$B$113=1),$AR$165,HLOOKUP(INDIRECT(ADDRESS(2,COLUMN())),OFFSET($AT$2,0,0,ROW()-1,40),ROW()-1,FALSE))</f>
        <v>5.8</v>
      </c>
      <c r="AS69">
        <f ca="1">IF(AND(ISNUMBER($AS$165),$B$113=1),$AS$165,HLOOKUP(INDIRECT(ADDRESS(2,COLUMN())),OFFSET($AT$2,0,0,ROW()-1,40),ROW()-1,FALSE))</f>
        <v>7.3</v>
      </c>
      <c r="AT69">
        <f>6.9</f>
        <v>6.9</v>
      </c>
      <c r="AU69">
        <f>8.5</f>
        <v>8.5</v>
      </c>
      <c r="AV69">
        <f>5.6</f>
        <v>5.6</v>
      </c>
      <c r="AW69">
        <f>4.1</f>
        <v>4.0999999999999996</v>
      </c>
      <c r="AX69">
        <f>5.6</f>
        <v>5.6</v>
      </c>
      <c r="AY69">
        <f>7.6</f>
        <v>7.6</v>
      </c>
      <c r="AZ69">
        <f>5.6</f>
        <v>5.6</v>
      </c>
      <c r="BA69">
        <f>5.4</f>
        <v>5.4</v>
      </c>
      <c r="BB69">
        <f>5.1</f>
        <v>5.0999999999999996</v>
      </c>
      <c r="BC69">
        <f>5.1</f>
        <v>5.0999999999999996</v>
      </c>
      <c r="BD69">
        <f>5.2</f>
        <v>5.2</v>
      </c>
      <c r="BE69">
        <f>4.5</f>
        <v>4.5</v>
      </c>
      <c r="BF69">
        <f>5.3</f>
        <v>5.3</v>
      </c>
      <c r="BG69">
        <f>7</f>
        <v>7</v>
      </c>
      <c r="BH69">
        <f>8</f>
        <v>8</v>
      </c>
      <c r="BI69">
        <f>11.2</f>
        <v>11.2</v>
      </c>
      <c r="BJ69">
        <f>9.6</f>
        <v>9.6</v>
      </c>
      <c r="BK69">
        <f>6.5</f>
        <v>6.5</v>
      </c>
      <c r="BL69">
        <f>4.9</f>
        <v>4.9000000000000004</v>
      </c>
      <c r="BM69">
        <f>4.1</f>
        <v>4.0999999999999996</v>
      </c>
      <c r="BN69">
        <f>4</f>
        <v>4</v>
      </c>
      <c r="BO69">
        <f>4</f>
        <v>4</v>
      </c>
      <c r="BP69">
        <f>3.8</f>
        <v>3.8</v>
      </c>
      <c r="BQ69">
        <f>3.6</f>
        <v>3.6</v>
      </c>
      <c r="BR69">
        <f>4.3</f>
        <v>4.3</v>
      </c>
      <c r="BS69">
        <f>3.8</f>
        <v>3.8</v>
      </c>
      <c r="BT69">
        <f>4.4</f>
        <v>4.4000000000000004</v>
      </c>
      <c r="BU69">
        <f>5</f>
        <v>5</v>
      </c>
      <c r="BV69">
        <f>6.4</f>
        <v>6.4</v>
      </c>
      <c r="BW69">
        <f>6.6</f>
        <v>6.6</v>
      </c>
      <c r="BX69">
        <f>4.5</f>
        <v>4.5</v>
      </c>
      <c r="BY69">
        <f>5</f>
        <v>5</v>
      </c>
      <c r="BZ69">
        <f>6.2</f>
        <v>6.2</v>
      </c>
      <c r="CA69">
        <f>8.5</f>
        <v>8.5</v>
      </c>
      <c r="CB69">
        <f>7</f>
        <v>7</v>
      </c>
      <c r="CC69">
        <f>6.8</f>
        <v>6.8</v>
      </c>
      <c r="CD69">
        <f>7.6</f>
        <v>7.6</v>
      </c>
      <c r="CE69">
        <f>5.5</f>
        <v>5.5</v>
      </c>
      <c r="CF69">
        <f>5.8</f>
        <v>5.8</v>
      </c>
      <c r="CG69">
        <f>7.3</f>
        <v>7.3</v>
      </c>
    </row>
    <row r="70" spans="1:85" x14ac:dyDescent="0.2">
      <c r="A70" t="str">
        <f>"        U.S. New Home Median Price ($)"</f>
        <v xml:space="preserve">        U.S. New Home Median Price ($)</v>
      </c>
      <c r="B70" t="str">
        <f>"NHSLAVSL Index"</f>
        <v>NHSLAVSL Index</v>
      </c>
      <c r="E70" t="str">
        <f>"Expression"</f>
        <v>Expression</v>
      </c>
      <c r="F70" t="e">
        <f ca="1">IF(AND($B$113=1,LEN($F$117)&gt;0),$F$117*1000,HLOOKUP(INDIRECT(ADDRESS(2,COLUMN())),OFFSET($AT$2,0,0,ROW()-1,40),ROW()-1,FALSE))</f>
        <v>#NAME?</v>
      </c>
      <c r="G70">
        <f ca="1">IF(AND($B$113=1,LEN($G$117)&gt;0),$G$117*1000,HLOOKUP(INDIRECT(ADDRESS(2,COLUMN())),OFFSET($AT$2,0,0,ROW()-1,40),ROW()-1,FALSE))</f>
        <v>457800</v>
      </c>
      <c r="H70">
        <f ca="1">IF(AND($B$113=1,LEN($H$117)&gt;0),$H$117*1000,HLOOKUP(INDIRECT(ADDRESS(2,COLUMN())),OFFSET($AT$2,0,0,ROW()-1,40),ROW()-1,FALSE))</f>
        <v>397100</v>
      </c>
      <c r="I70">
        <f ca="1">IF(AND($B$113=1,LEN($I$117)&gt;0),$I$117*1000,HLOOKUP(INDIRECT(ADDRESS(2,COLUMN())),OFFSET($AT$2,0,0,ROW()-1,40),ROW()-1,FALSE))</f>
        <v>336900</v>
      </c>
      <c r="J70">
        <f ca="1">IF(AND($B$113=1,LEN($J$117)&gt;0),$J$117*1000,HLOOKUP(INDIRECT(ADDRESS(2,COLUMN())),OFFSET($AT$2,0,0,ROW()-1,40),ROW()-1,FALSE))</f>
        <v>321500</v>
      </c>
      <c r="K70">
        <f ca="1">IF(AND($B$113=1,LEN($K$117)&gt;0),$K$117*1000,HLOOKUP(INDIRECT(ADDRESS(2,COLUMN())),OFFSET($AT$2,0,0,ROW()-1,40),ROW()-1,FALSE))</f>
        <v>326400</v>
      </c>
      <c r="L70">
        <f ca="1">IF(AND($B$113=1,LEN($L$117)&gt;0),$L$117*1000,HLOOKUP(INDIRECT(ADDRESS(2,COLUMN())),OFFSET($AT$2,0,0,ROW()-1,40),ROW()-1,FALSE))</f>
        <v>323100</v>
      </c>
      <c r="M70">
        <f ca="1">IF(AND($B$113=1,LEN($M$117)&gt;0),$M$117*1000,HLOOKUP(INDIRECT(ADDRESS(2,COLUMN())),OFFSET($AT$2,0,0,ROW()-1,40),ROW()-1,FALSE))</f>
        <v>307800</v>
      </c>
      <c r="N70">
        <f ca="1">IF(AND($B$113=1,LEN($N$117)&gt;0),$N$117*1000,HLOOKUP(INDIRECT(ADDRESS(2,COLUMN())),OFFSET($AT$2,0,0,ROW()-1,40),ROW()-1,FALSE))</f>
        <v>294200</v>
      </c>
      <c r="O70">
        <f ca="1">IF(AND($B$113=1,LEN($O$117)&gt;0),$O$117*1000,HLOOKUP(INDIRECT(ADDRESS(2,COLUMN())),OFFSET($AT$2,0,0,ROW()-1,40),ROW()-1,FALSE))</f>
        <v>288500</v>
      </c>
      <c r="P70">
        <f ca="1">IF(AND($B$113=1,LEN($P$117)&gt;0),$P$117*1000,HLOOKUP(INDIRECT(ADDRESS(2,COLUMN())),OFFSET($AT$2,0,0,ROW()-1,40),ROW()-1,FALSE))</f>
        <v>268900</v>
      </c>
      <c r="Q70">
        <f ca="1">IF(AND($B$113=1,LEN($Q$117)&gt;0),$Q$117*1000,HLOOKUP(INDIRECT(ADDRESS(2,COLUMN())),OFFSET($AT$2,0,0,ROW()-1,40),ROW()-1,FALSE))</f>
        <v>245200</v>
      </c>
      <c r="R70">
        <f ca="1">IF(AND($B$113=1,LEN($R$117)&gt;0),$R$117*1000,HLOOKUP(INDIRECT(ADDRESS(2,COLUMN())),OFFSET($AT$2,0,0,ROW()-1,40),ROW()-1,FALSE))</f>
        <v>227200</v>
      </c>
      <c r="S70">
        <f ca="1">IF(AND($B$113=1,LEN($S$117)&gt;0),$S$117*1000,HLOOKUP(INDIRECT(ADDRESS(2,COLUMN())),OFFSET($AT$2,0,0,ROW()-1,40),ROW()-1,FALSE))</f>
        <v>221800</v>
      </c>
      <c r="T70">
        <f ca="1">IF(AND($B$113=1,LEN($T$117)&gt;0),$T$117*1000,HLOOKUP(INDIRECT(ADDRESS(2,COLUMN())),OFFSET($AT$2,0,0,ROW()-1,40),ROW()-1,FALSE))</f>
        <v>216700</v>
      </c>
      <c r="U70">
        <f ca="1">IF(AND($B$113=1,LEN($U$117)&gt;0),$U$117*1000,HLOOKUP(INDIRECT(ADDRESS(2,COLUMN())),OFFSET($AT$2,0,0,ROW()-1,40),ROW()-1,FALSE))</f>
        <v>232100</v>
      </c>
      <c r="V70">
        <f ca="1">IF(AND($B$113=1,LEN($V$117)&gt;0),$V$117*1000,HLOOKUP(INDIRECT(ADDRESS(2,COLUMN())),OFFSET($AT$2,0,0,ROW()-1,40),ROW()-1,FALSE))</f>
        <v>247900</v>
      </c>
      <c r="W70">
        <f ca="1">IF(AND($B$113=1,LEN($W$117)&gt;0),$W$117*1000,HLOOKUP(INDIRECT(ADDRESS(2,COLUMN())),OFFSET($AT$2,0,0,ROW()-1,40),ROW()-1,FALSE))</f>
        <v>246500</v>
      </c>
      <c r="X70">
        <f ca="1">IF(AND($B$113=1,LEN($X$117)&gt;0),$X$117*1000,HLOOKUP(INDIRECT(ADDRESS(2,COLUMN())),OFFSET($AT$2,0,0,ROW()-1,40),ROW()-1,FALSE))</f>
        <v>240900</v>
      </c>
      <c r="Y70">
        <f ca="1">IF(AND($B$113=1,LEN($Y$117)&gt;0),$Y$117*1000,HLOOKUP(INDIRECT(ADDRESS(2,COLUMN())),OFFSET($AT$2,0,0,ROW()-1,40),ROW()-1,FALSE))</f>
        <v>221000</v>
      </c>
      <c r="Z70">
        <f ca="1">IF(AND($B$113=1,LEN($Z$117)&gt;0),$Z$117*1000,HLOOKUP(INDIRECT(ADDRESS(2,COLUMN())),OFFSET($AT$2,0,0,ROW()-1,40),ROW()-1,FALSE))</f>
        <v>195000</v>
      </c>
      <c r="AA70">
        <f ca="1">IF(AND($B$113=1,LEN($AA$117)&gt;0),$AA$117*1000,HLOOKUP(INDIRECT(ADDRESS(2,COLUMN())),OFFSET($AT$2,0,0,ROW()-1,40),ROW()-1,FALSE))</f>
        <v>187600</v>
      </c>
      <c r="AB70">
        <f ca="1">IF(AND($B$113=1,LEN($AB$117)&gt;0),$AB$117*1000,HLOOKUP(INDIRECT(ADDRESS(2,COLUMN())),OFFSET($AT$2,0,0,ROW()-1,40),ROW()-1,FALSE))</f>
        <v>175200</v>
      </c>
      <c r="AC70">
        <f ca="1">IF(AND($B$113=1,LEN($AC$117)&gt;0),$AC$117*1000,HLOOKUP(INDIRECT(ADDRESS(2,COLUMN())),OFFSET($AT$2,0,0,ROW()-1,40),ROW()-1,FALSE))</f>
        <v>169000</v>
      </c>
      <c r="AD70">
        <f ca="1">IF(AND($B$113=1,LEN($AD$117)&gt;0),$AD$117*1000,HLOOKUP(INDIRECT(ADDRESS(2,COLUMN())),OFFSET($AT$2,0,0,ROW()-1,40),ROW()-1,FALSE))</f>
        <v>161000</v>
      </c>
      <c r="AE70">
        <f ca="1">IF(AND($B$113=1,LEN($AE$117)&gt;0),$AE$117*1000,HLOOKUP(INDIRECT(ADDRESS(2,COLUMN())),OFFSET($AT$2,0,0,ROW()-1,40),ROW()-1,FALSE))</f>
        <v>152500</v>
      </c>
      <c r="AF70">
        <f ca="1">IF(AND($B$113=1,LEN($AF$117)&gt;0),$AF$117*1000,HLOOKUP(INDIRECT(ADDRESS(2,COLUMN())),OFFSET($AT$2,0,0,ROW()-1,40),ROW()-1,FALSE))</f>
        <v>146000</v>
      </c>
      <c r="AG70">
        <f ca="1">IF(AND($B$113=1,LEN($AG$117)&gt;0),$AG$117*1000,HLOOKUP(INDIRECT(ADDRESS(2,COLUMN())),OFFSET($AT$2,0,0,ROW()-1,40),ROW()-1,FALSE))</f>
        <v>140000</v>
      </c>
      <c r="AH70">
        <f ca="1">IF(AND($B$113=1,LEN($AH$117)&gt;0),$AH$117*1000,HLOOKUP(INDIRECT(ADDRESS(2,COLUMN())),OFFSET($AT$2,0,0,ROW()-1,40),ROW()-1,FALSE))</f>
        <v>133900</v>
      </c>
      <c r="AI70">
        <f ca="1">IF(AND($B$113=1,LEN($AI$117)&gt;0),$AI$117*1000,HLOOKUP(INDIRECT(ADDRESS(2,COLUMN())),OFFSET($AT$2,0,0,ROW()-1,40),ROW()-1,FALSE))</f>
        <v>130000</v>
      </c>
      <c r="AJ70">
        <f ca="1">IF(AND($B$113=1,LEN($AJ$117)&gt;0),$AJ$117*1000,HLOOKUP(INDIRECT(ADDRESS(2,COLUMN())),OFFSET($AT$2,0,0,ROW()-1,40),ROW()-1,FALSE))</f>
        <v>126500</v>
      </c>
      <c r="AK70">
        <f ca="1">IF(AND($B$113=1,LEN($AK$117)&gt;0),$AK$117*1000,HLOOKUP(INDIRECT(ADDRESS(2,COLUMN())),OFFSET($AT$2,0,0,ROW()-1,40),ROW()-1,FALSE))</f>
        <v>121500</v>
      </c>
      <c r="AL70">
        <f ca="1">IF(AND($B$113=1,LEN($AL$117)&gt;0),$AL$117*1000,HLOOKUP(INDIRECT(ADDRESS(2,COLUMN())),OFFSET($AT$2,0,0,ROW()-1,40),ROW()-1,FALSE))</f>
        <v>120000</v>
      </c>
      <c r="AM70">
        <f ca="1">IF(AND($B$113=1,LEN($AM$117)&gt;0),$AM$117*1000,HLOOKUP(INDIRECT(ADDRESS(2,COLUMN())),OFFSET($AT$2,0,0,ROW()-1,40),ROW()-1,FALSE))</f>
        <v>122900</v>
      </c>
      <c r="AN70">
        <f ca="1">IF(AND($B$113=1,LEN($AN$117)&gt;0),$AN$117*1000,HLOOKUP(INDIRECT(ADDRESS(2,COLUMN())),OFFSET($AT$2,0,0,ROW()-1,40),ROW()-1,FALSE))</f>
        <v>120000</v>
      </c>
      <c r="AO70">
        <f ca="1">IF(AND($B$113=1,LEN($AO$117)&gt;0),$AO$117*1000,HLOOKUP(INDIRECT(ADDRESS(2,COLUMN())),OFFSET($AT$2,0,0,ROW()-1,40),ROW()-1,FALSE))</f>
        <v>112500</v>
      </c>
      <c r="AP70">
        <f ca="1">IF(AND($B$113=1,LEN($AP$117)&gt;0),$AP$117*1000,HLOOKUP(INDIRECT(ADDRESS(2,COLUMN())),OFFSET($AT$2,0,0,ROW()-1,40),ROW()-1,FALSE))</f>
        <v>104500</v>
      </c>
      <c r="AQ70">
        <f ca="1">IF(AND($B$113=1,LEN($AQ$117)&gt;0),$AQ$117*1000,HLOOKUP(INDIRECT(ADDRESS(2,COLUMN())),OFFSET($AT$2,0,0,ROW()-1,40),ROW()-1,FALSE))</f>
        <v>92000</v>
      </c>
      <c r="AR70">
        <f ca="1">IF(AND($B$113=1,LEN($AR$117)&gt;0),$AR$117*1000,HLOOKUP(INDIRECT(ADDRESS(2,COLUMN())),OFFSET($AT$2,0,0,ROW()-1,40),ROW()-1,FALSE))</f>
        <v>84300</v>
      </c>
      <c r="AS70">
        <f ca="1">IF(AND($B$113=1,LEN($AS$117)&gt;0),$AS$117*1000,HLOOKUP(INDIRECT(ADDRESS(2,COLUMN())),OFFSET($AT$2,0,0,ROW()-1,40),ROW()-1,FALSE))</f>
        <v>79900</v>
      </c>
      <c r="AT70" t="str">
        <f>""</f>
        <v/>
      </c>
      <c r="AU70">
        <f>457800</f>
        <v>457800</v>
      </c>
      <c r="AV70">
        <f>397100</f>
        <v>397100</v>
      </c>
      <c r="AW70">
        <f>336900</f>
        <v>336900</v>
      </c>
      <c r="AX70">
        <f>321500</f>
        <v>321500</v>
      </c>
      <c r="AY70">
        <f>326400</f>
        <v>326400</v>
      </c>
      <c r="AZ70">
        <f>323100</f>
        <v>323100</v>
      </c>
      <c r="BA70">
        <f>307800</f>
        <v>307800</v>
      </c>
      <c r="BB70">
        <f>294200</f>
        <v>294200</v>
      </c>
      <c r="BC70">
        <f>288500</f>
        <v>288500</v>
      </c>
      <c r="BD70">
        <f>268900</f>
        <v>268900</v>
      </c>
      <c r="BE70">
        <f>245200</f>
        <v>245200</v>
      </c>
      <c r="BF70">
        <f>227200</f>
        <v>227200</v>
      </c>
      <c r="BG70">
        <f>221800</f>
        <v>221800</v>
      </c>
      <c r="BH70">
        <f>216700</f>
        <v>216700</v>
      </c>
      <c r="BI70">
        <f>232100</f>
        <v>232100</v>
      </c>
      <c r="BJ70">
        <f>247900</f>
        <v>247900</v>
      </c>
      <c r="BK70">
        <f>246500</f>
        <v>246500</v>
      </c>
      <c r="BL70">
        <f>240900</f>
        <v>240900</v>
      </c>
      <c r="BM70">
        <f>221000</f>
        <v>221000</v>
      </c>
      <c r="BN70">
        <f>195000</f>
        <v>195000</v>
      </c>
      <c r="BO70">
        <f>187600</f>
        <v>187600</v>
      </c>
      <c r="BP70">
        <f>175200</f>
        <v>175200</v>
      </c>
      <c r="BQ70">
        <f>169000</f>
        <v>169000</v>
      </c>
      <c r="BR70">
        <f>161000</f>
        <v>161000</v>
      </c>
      <c r="BS70">
        <f>152500</f>
        <v>152500</v>
      </c>
      <c r="BT70">
        <f>146000</f>
        <v>146000</v>
      </c>
      <c r="BU70">
        <f>140000</f>
        <v>140000</v>
      </c>
      <c r="BV70">
        <f>133900</f>
        <v>133900</v>
      </c>
      <c r="BW70">
        <f>130000</f>
        <v>130000</v>
      </c>
      <c r="BX70">
        <f>126500</f>
        <v>126500</v>
      </c>
      <c r="BY70">
        <f>121500</f>
        <v>121500</v>
      </c>
      <c r="BZ70">
        <f>120000</f>
        <v>120000</v>
      </c>
      <c r="CA70">
        <f>122900</f>
        <v>122900</v>
      </c>
      <c r="CB70">
        <f>120000</f>
        <v>120000</v>
      </c>
      <c r="CC70">
        <f>112500</f>
        <v>112500</v>
      </c>
      <c r="CD70">
        <f>104500</f>
        <v>104500</v>
      </c>
      <c r="CE70">
        <f>92000</f>
        <v>92000</v>
      </c>
      <c r="CF70">
        <f>84300</f>
        <v>84300</v>
      </c>
      <c r="CG70">
        <f>79900</f>
        <v>79900</v>
      </c>
    </row>
    <row r="71" spans="1:85" x14ac:dyDescent="0.2">
      <c r="A71" t="str">
        <f>"        U.S. Existing Home Sales (M Units)"</f>
        <v xml:space="preserve">        U.S. Existing Home Sales (M Units)</v>
      </c>
      <c r="B71" t="str">
        <f>"ETSLTOTL Index"</f>
        <v>ETSLTOTL Index</v>
      </c>
      <c r="C71" t="str">
        <f>"PR005"</f>
        <v>PR005</v>
      </c>
      <c r="D71" t="str">
        <f>"PX_LAST"</f>
        <v>PX_LAST</v>
      </c>
      <c r="E71" t="str">
        <f>"Dynamic"</f>
        <v>Dynamic</v>
      </c>
      <c r="F71">
        <f ca="1">IF(AND(ISNUMBER($F$166),$B$113=1),$F$166,HLOOKUP(INDIRECT(ADDRESS(2,COLUMN())),OFFSET($AT$2,0,0,ROW()-1,40),ROW()-1,FALSE))</f>
        <v>3.79</v>
      </c>
      <c r="G71">
        <f ca="1">IF(AND(ISNUMBER($G$166),$B$113=1),$G$166,HLOOKUP(INDIRECT(ADDRESS(2,COLUMN())),OFFSET($AT$2,0,0,ROW()-1,40),ROW()-1,FALSE))</f>
        <v>4.03</v>
      </c>
      <c r="H71">
        <f ca="1">IF(AND(ISNUMBER($H$166),$B$113=1),$H$166,HLOOKUP(INDIRECT(ADDRESS(2,COLUMN())),OFFSET($AT$2,0,0,ROW()-1,40),ROW()-1,FALSE))</f>
        <v>6.11</v>
      </c>
      <c r="I71">
        <f ca="1">IF(AND(ISNUMBER($I$166),$B$113=1),$I$166,HLOOKUP(INDIRECT(ADDRESS(2,COLUMN())),OFFSET($AT$2,0,0,ROW()-1,40),ROW()-1,FALSE))</f>
        <v>6.51</v>
      </c>
      <c r="J71">
        <f ca="1">IF(AND(ISNUMBER($J$166),$B$113=1),$J$166,HLOOKUP(INDIRECT(ADDRESS(2,COLUMN())),OFFSET($AT$2,0,0,ROW()-1,40),ROW()-1,FALSE))</f>
        <v>5.45</v>
      </c>
      <c r="K71">
        <f ca="1">IF(AND(ISNUMBER($K$166),$B$113=1),$K$166,HLOOKUP(INDIRECT(ADDRESS(2,COLUMN())),OFFSET($AT$2,0,0,ROW()-1,40),ROW()-1,FALSE))</f>
        <v>5.01</v>
      </c>
      <c r="L71">
        <f ca="1">IF(AND(ISNUMBER($L$166),$B$113=1),$L$166,HLOOKUP(INDIRECT(ADDRESS(2,COLUMN())),OFFSET($AT$2,0,0,ROW()-1,40),ROW()-1,FALSE))</f>
        <v>5.57</v>
      </c>
      <c r="M71">
        <f ca="1">IF(AND(ISNUMBER($M$166),$B$113=1),$M$166,HLOOKUP(INDIRECT(ADDRESS(2,COLUMN())),OFFSET($AT$2,0,0,ROW()-1,40),ROW()-1,FALSE))</f>
        <v>5.52</v>
      </c>
      <c r="N71">
        <f ca="1">IF(AND(ISNUMBER($N$166),$B$113=1),$N$166,HLOOKUP(INDIRECT(ADDRESS(2,COLUMN())),OFFSET($AT$2,0,0,ROW()-1,40),ROW()-1,FALSE))</f>
        <v>5.44</v>
      </c>
      <c r="O71">
        <f ca="1">IF(AND(ISNUMBER($O$166),$B$113=1),$O$166,HLOOKUP(INDIRECT(ADDRESS(2,COLUMN())),OFFSET($AT$2,0,0,ROW()-1,40),ROW()-1,FALSE))</f>
        <v>5.09</v>
      </c>
      <c r="P71">
        <f ca="1">IF(AND(ISNUMBER($P$166),$B$113=1),$P$166,HLOOKUP(INDIRECT(ADDRESS(2,COLUMN())),OFFSET($AT$2,0,0,ROW()-1,40),ROW()-1,FALSE))</f>
        <v>4.8600000000000003</v>
      </c>
      <c r="Q71">
        <f ca="1">IF(AND(ISNUMBER($Q$166),$B$113=1),$Q$166,HLOOKUP(INDIRECT(ADDRESS(2,COLUMN())),OFFSET($AT$2,0,0,ROW()-1,40),ROW()-1,FALSE))</f>
        <v>4.8899999999999997</v>
      </c>
      <c r="R71">
        <f ca="1">IF(AND(ISNUMBER($R$166),$B$113=1),$R$166,HLOOKUP(INDIRECT(ADDRESS(2,COLUMN())),OFFSET($AT$2,0,0,ROW()-1,40),ROW()-1,FALSE))</f>
        <v>4.3499999999999996</v>
      </c>
      <c r="S71">
        <f ca="1">IF(AND(ISNUMBER($S$166),$B$113=1),$S$166,HLOOKUP(INDIRECT(ADDRESS(2,COLUMN())),OFFSET($AT$2,0,0,ROW()-1,40),ROW()-1,FALSE))</f>
        <v>4.2699999999999996</v>
      </c>
      <c r="T71">
        <f ca="1">IF(AND(ISNUMBER($T$166),$B$113=1),$T$166,HLOOKUP(INDIRECT(ADDRESS(2,COLUMN())),OFFSET($AT$2,0,0,ROW()-1,40),ROW()-1,FALSE))</f>
        <v>4.4000000000000004</v>
      </c>
      <c r="U71">
        <f ca="1">IF(AND(ISNUMBER($U$166),$B$113=1),$U$166,HLOOKUP(INDIRECT(ADDRESS(2,COLUMN())),OFFSET($AT$2,0,0,ROW()-1,40),ROW()-1,FALSE))</f>
        <v>4.01</v>
      </c>
      <c r="V71">
        <f ca="1">IF(AND(ISNUMBER($V$166),$B$113=1),$V$166,HLOOKUP(INDIRECT(ADDRESS(2,COLUMN())),OFFSET($AT$2,0,0,ROW()-1,40),ROW()-1,FALSE))</f>
        <v>4.41</v>
      </c>
      <c r="W71">
        <f ca="1">IF(AND(ISNUMBER($W$166),$B$113=1),$W$166,HLOOKUP(INDIRECT(ADDRESS(2,COLUMN())),OFFSET($AT$2,0,0,ROW()-1,40),ROW()-1,FALSE))</f>
        <v>6.4</v>
      </c>
      <c r="X71">
        <f ca="1">IF(AND(ISNUMBER($X$166),$B$113=1),$X$166,HLOOKUP(INDIRECT(ADDRESS(2,COLUMN())),OFFSET($AT$2,0,0,ROW()-1,40),ROW()-1,FALSE))</f>
        <v>6.84</v>
      </c>
      <c r="Y71">
        <f ca="1">IF(AND(ISNUMBER($Y$166),$B$113=1),$Y$166,HLOOKUP(INDIRECT(ADDRESS(2,COLUMN())),OFFSET($AT$2,0,0,ROW()-1,40),ROW()-1,FALSE))</f>
        <v>6.89</v>
      </c>
      <c r="Z71">
        <f ca="1">IF(AND(ISNUMBER($Z$166),$B$113=1),$Z$166,HLOOKUP(INDIRECT(ADDRESS(2,COLUMN())),OFFSET($AT$2,0,0,ROW()-1,40),ROW()-1,FALSE))</f>
        <v>6.49</v>
      </c>
      <c r="AA71">
        <f ca="1">IF(AND(ISNUMBER($AA$166),$B$113=1),$AA$166,HLOOKUP(INDIRECT(ADDRESS(2,COLUMN())),OFFSET($AT$2,0,0,ROW()-1,40),ROW()-1,FALSE))</f>
        <v>5.97</v>
      </c>
      <c r="AB71">
        <f ca="1">IF(AND(ISNUMBER($AB$166),$B$113=1),$AB$166,HLOOKUP(INDIRECT(ADDRESS(2,COLUMN())),OFFSET($AT$2,0,0,ROW()-1,40),ROW()-1,FALSE))</f>
        <v>5.49</v>
      </c>
      <c r="AC71">
        <f ca="1">IF(AND(ISNUMBER($AC$166),$B$113=1),$AC$166,HLOOKUP(INDIRECT(ADDRESS(2,COLUMN())),OFFSET($AT$2,0,0,ROW()-1,40),ROW()-1,FALSE))</f>
        <v>5.0999999999999996</v>
      </c>
      <c r="AD71">
        <f ca="1">IF(AND(ISNUMBER($AD$166),$B$113=1),$AD$166,HLOOKUP(INDIRECT(ADDRESS(2,COLUMN())),OFFSET($AT$2,0,0,ROW()-1,40),ROW()-1,FALSE))</f>
        <v>5.08</v>
      </c>
      <c r="AE71" t="str">
        <f ca="1">IF(AND(ISNUMBER($AE$166),$B$113=1),$AE$166,HLOOKUP(INDIRECT(ADDRESS(2,COLUMN())),OFFSET($AT$2,0,0,ROW()-1,40),ROW()-1,FALSE))</f>
        <v/>
      </c>
      <c r="AF71" t="str">
        <f ca="1">IF(AND(ISNUMBER($AF$166),$B$113=1),$AF$166,HLOOKUP(INDIRECT(ADDRESS(2,COLUMN())),OFFSET($AT$2,0,0,ROW()-1,40),ROW()-1,FALSE))</f>
        <v/>
      </c>
      <c r="AG71" t="str">
        <f ca="1">IF(AND(ISNUMBER($AG$166),$B$113=1),$AG$166,HLOOKUP(INDIRECT(ADDRESS(2,COLUMN())),OFFSET($AT$2,0,0,ROW()-1,40),ROW()-1,FALSE))</f>
        <v/>
      </c>
      <c r="AH71" t="str">
        <f ca="1">IF(AND(ISNUMBER($AH$166),$B$113=1),$AH$166,HLOOKUP(INDIRECT(ADDRESS(2,COLUMN())),OFFSET($AT$2,0,0,ROW()-1,40),ROW()-1,FALSE))</f>
        <v/>
      </c>
      <c r="AI71" t="str">
        <f ca="1">IF(AND(ISNUMBER($AI$166),$B$113=1),$AI$166,HLOOKUP(INDIRECT(ADDRESS(2,COLUMN())),OFFSET($AT$2,0,0,ROW()-1,40),ROW()-1,FALSE))</f>
        <v/>
      </c>
      <c r="AJ71" t="str">
        <f ca="1">IF(AND(ISNUMBER($AJ$166),$B$113=1),$AJ$166,HLOOKUP(INDIRECT(ADDRESS(2,COLUMN())),OFFSET($AT$2,0,0,ROW()-1,40),ROW()-1,FALSE))</f>
        <v/>
      </c>
      <c r="AK71" t="str">
        <f ca="1">IF(AND(ISNUMBER($AK$166),$B$113=1),$AK$166,HLOOKUP(INDIRECT(ADDRESS(2,COLUMN())),OFFSET($AT$2,0,0,ROW()-1,40),ROW()-1,FALSE))</f>
        <v/>
      </c>
      <c r="AL71" t="str">
        <f ca="1">IF(AND(ISNUMBER($AL$166),$B$113=1),$AL$166,HLOOKUP(INDIRECT(ADDRESS(2,COLUMN())),OFFSET($AT$2,0,0,ROW()-1,40),ROW()-1,FALSE))</f>
        <v/>
      </c>
      <c r="AM71" t="str">
        <f ca="1">IF(AND(ISNUMBER($AM$166),$B$113=1),$AM$166,HLOOKUP(INDIRECT(ADDRESS(2,COLUMN())),OFFSET($AT$2,0,0,ROW()-1,40),ROW()-1,FALSE))</f>
        <v/>
      </c>
      <c r="AN71" t="str">
        <f ca="1">IF(AND(ISNUMBER($AN$166),$B$113=1),$AN$166,HLOOKUP(INDIRECT(ADDRESS(2,COLUMN())),OFFSET($AT$2,0,0,ROW()-1,40),ROW()-1,FALSE))</f>
        <v/>
      </c>
      <c r="AO71" t="str">
        <f ca="1">IF(AND(ISNUMBER($AO$166),$B$113=1),$AO$166,HLOOKUP(INDIRECT(ADDRESS(2,COLUMN())),OFFSET($AT$2,0,0,ROW()-1,40),ROW()-1,FALSE))</f>
        <v/>
      </c>
      <c r="AP71" t="str">
        <f ca="1">IF(AND(ISNUMBER($AP$166),$B$113=1),$AP$166,HLOOKUP(INDIRECT(ADDRESS(2,COLUMN())),OFFSET($AT$2,0,0,ROW()-1,40),ROW()-1,FALSE))</f>
        <v/>
      </c>
      <c r="AQ71" t="str">
        <f ca="1">IF(AND(ISNUMBER($AQ$166),$B$113=1),$AQ$166,HLOOKUP(INDIRECT(ADDRESS(2,COLUMN())),OFFSET($AT$2,0,0,ROW()-1,40),ROW()-1,FALSE))</f>
        <v/>
      </c>
      <c r="AR71" t="str">
        <f ca="1">IF(AND(ISNUMBER($AR$166),$B$113=1),$AR$166,HLOOKUP(INDIRECT(ADDRESS(2,COLUMN())),OFFSET($AT$2,0,0,ROW()-1,40),ROW()-1,FALSE))</f>
        <v/>
      </c>
      <c r="AS71" t="str">
        <f ca="1">IF(AND(ISNUMBER($AS$166),$B$113=1),$AS$166,HLOOKUP(INDIRECT(ADDRESS(2,COLUMN())),OFFSET($AT$2,0,0,ROW()-1,40),ROW()-1,FALSE))</f>
        <v/>
      </c>
      <c r="AT71">
        <f>3.79</f>
        <v>3.79</v>
      </c>
      <c r="AU71">
        <f>4.03</f>
        <v>4.03</v>
      </c>
      <c r="AV71">
        <f>6.11</f>
        <v>6.11</v>
      </c>
      <c r="AW71">
        <f>6.51</f>
        <v>6.51</v>
      </c>
      <c r="AX71">
        <f>5.45</f>
        <v>5.45</v>
      </c>
      <c r="AY71">
        <f>5.01</f>
        <v>5.01</v>
      </c>
      <c r="AZ71">
        <f>5.57</f>
        <v>5.57</v>
      </c>
      <c r="BA71">
        <f>5.52</f>
        <v>5.52</v>
      </c>
      <c r="BB71">
        <f>5.44</f>
        <v>5.44</v>
      </c>
      <c r="BC71">
        <f>5.09</f>
        <v>5.09</v>
      </c>
      <c r="BD71">
        <f>4.86</f>
        <v>4.8600000000000003</v>
      </c>
      <c r="BE71">
        <f>4.89</f>
        <v>4.8899999999999997</v>
      </c>
      <c r="BF71">
        <f>4.35</f>
        <v>4.3499999999999996</v>
      </c>
      <c r="BG71">
        <f>4.27</f>
        <v>4.2699999999999996</v>
      </c>
      <c r="BH71">
        <f>4.4</f>
        <v>4.4000000000000004</v>
      </c>
      <c r="BI71">
        <f>4.01</f>
        <v>4.01</v>
      </c>
      <c r="BJ71">
        <f>4.41</f>
        <v>4.41</v>
      </c>
      <c r="BK71">
        <f>6.4</f>
        <v>6.4</v>
      </c>
      <c r="BL71">
        <f>6.84</f>
        <v>6.84</v>
      </c>
      <c r="BM71">
        <f>6.89</f>
        <v>6.89</v>
      </c>
      <c r="BN71">
        <f>6.49</f>
        <v>6.49</v>
      </c>
      <c r="BO71">
        <f>5.97</f>
        <v>5.97</v>
      </c>
      <c r="BP71">
        <f>5.49</f>
        <v>5.49</v>
      </c>
      <c r="BQ71">
        <f>5.1</f>
        <v>5.0999999999999996</v>
      </c>
      <c r="BR71">
        <f>5.08</f>
        <v>5.08</v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</row>
    <row r="72" spans="1:85" x14ac:dyDescent="0.2">
      <c r="A72" t="str">
        <f>"        U.S. Existing Home Sales Months Supply"</f>
        <v xml:space="preserve">        U.S. Existing Home Sales Months Supply</v>
      </c>
      <c r="B72" t="str">
        <f>"ETSLMSUP Index"</f>
        <v>ETSLMSUP Index</v>
      </c>
      <c r="C72" t="str">
        <f>"PR005"</f>
        <v>PR005</v>
      </c>
      <c r="D72" t="str">
        <f>"PX_LAST"</f>
        <v>PX_LAST</v>
      </c>
      <c r="E72" t="str">
        <f>"Dynamic"</f>
        <v>Dynamic</v>
      </c>
      <c r="F72">
        <f ca="1">IF(AND(ISNUMBER($F$167),$B$113=1),$F$167,HLOOKUP(INDIRECT(ADDRESS(2,COLUMN())),OFFSET($AT$2,0,0,ROW()-1,40),ROW()-1,FALSE))</f>
        <v>3.4</v>
      </c>
      <c r="G72">
        <f ca="1">IF(AND(ISNUMBER($G$167),$B$113=1),$G$167,HLOOKUP(INDIRECT(ADDRESS(2,COLUMN())),OFFSET($AT$2,0,0,ROW()-1,40),ROW()-1,FALSE))</f>
        <v>2.9</v>
      </c>
      <c r="H72">
        <f ca="1">IF(AND(ISNUMBER($H$167),$B$113=1),$H$167,HLOOKUP(INDIRECT(ADDRESS(2,COLUMN())),OFFSET($AT$2,0,0,ROW()-1,40),ROW()-1,FALSE))</f>
        <v>1.7</v>
      </c>
      <c r="I72">
        <f ca="1">IF(AND(ISNUMBER($I$167),$B$113=1),$I$167,HLOOKUP(INDIRECT(ADDRESS(2,COLUMN())),OFFSET($AT$2,0,0,ROW()-1,40),ROW()-1,FALSE))</f>
        <v>2</v>
      </c>
      <c r="J72">
        <f ca="1">IF(AND(ISNUMBER($J$167),$B$113=1),$J$167,HLOOKUP(INDIRECT(ADDRESS(2,COLUMN())),OFFSET($AT$2,0,0,ROW()-1,40),ROW()-1,FALSE))</f>
        <v>3.1</v>
      </c>
      <c r="K72">
        <f ca="1">IF(AND(ISNUMBER($K$167),$B$113=1),$K$167,HLOOKUP(INDIRECT(ADDRESS(2,COLUMN())),OFFSET($AT$2,0,0,ROW()-1,40),ROW()-1,FALSE))</f>
        <v>3.7</v>
      </c>
      <c r="L72">
        <f ca="1">IF(AND(ISNUMBER($L$167),$B$113=1),$L$167,HLOOKUP(INDIRECT(ADDRESS(2,COLUMN())),OFFSET($AT$2,0,0,ROW()-1,40),ROW()-1,FALSE))</f>
        <v>3.1</v>
      </c>
      <c r="M72">
        <f ca="1">IF(AND(ISNUMBER($M$167),$B$113=1),$M$167,HLOOKUP(INDIRECT(ADDRESS(2,COLUMN())),OFFSET($AT$2,0,0,ROW()-1,40),ROW()-1,FALSE))</f>
        <v>3.6</v>
      </c>
      <c r="N72">
        <f ca="1">IF(AND(ISNUMBER($N$167),$B$113=1),$N$167,HLOOKUP(INDIRECT(ADDRESS(2,COLUMN())),OFFSET($AT$2,0,0,ROW()-1,40),ROW()-1,FALSE))</f>
        <v>3.9</v>
      </c>
      <c r="O72">
        <f ca="1">IF(AND(ISNUMBER($O$167),$B$113=1),$O$167,HLOOKUP(INDIRECT(ADDRESS(2,COLUMN())),OFFSET($AT$2,0,0,ROW()-1,40),ROW()-1,FALSE))</f>
        <v>4.4000000000000004</v>
      </c>
      <c r="P72">
        <f ca="1">IF(AND(ISNUMBER($P$167),$B$113=1),$P$167,HLOOKUP(INDIRECT(ADDRESS(2,COLUMN())),OFFSET($AT$2,0,0,ROW()-1,40),ROW()-1,FALSE))</f>
        <v>4.5999999999999996</v>
      </c>
      <c r="Q72">
        <f ca="1">IF(AND(ISNUMBER($Q$167),$B$113=1),$Q$167,HLOOKUP(INDIRECT(ADDRESS(2,COLUMN())),OFFSET($AT$2,0,0,ROW()-1,40),ROW()-1,FALSE))</f>
        <v>4.5</v>
      </c>
      <c r="R72">
        <f ca="1">IF(AND(ISNUMBER($R$167),$B$113=1),$R$167,HLOOKUP(INDIRECT(ADDRESS(2,COLUMN())),OFFSET($AT$2,0,0,ROW()-1,40),ROW()-1,FALSE))</f>
        <v>6.4</v>
      </c>
      <c r="S72">
        <f ca="1">IF(AND(ISNUMBER($S$167),$B$113=1),$S$167,HLOOKUP(INDIRECT(ADDRESS(2,COLUMN())),OFFSET($AT$2,0,0,ROW()-1,40),ROW()-1,FALSE))</f>
        <v>8.5</v>
      </c>
      <c r="T72">
        <f ca="1">IF(AND(ISNUMBER($T$167),$B$113=1),$T$167,HLOOKUP(INDIRECT(ADDRESS(2,COLUMN())),OFFSET($AT$2,0,0,ROW()-1,40),ROW()-1,FALSE))</f>
        <v>7.5</v>
      </c>
      <c r="U72">
        <f ca="1">IF(AND(ISNUMBER($U$167),$B$113=1),$U$167,HLOOKUP(INDIRECT(ADDRESS(2,COLUMN())),OFFSET($AT$2,0,0,ROW()-1,40),ROW()-1,FALSE))</f>
        <v>9.4</v>
      </c>
      <c r="V72">
        <f ca="1">IF(AND(ISNUMBER($V$167),$B$113=1),$V$167,HLOOKUP(INDIRECT(ADDRESS(2,COLUMN())),OFFSET($AT$2,0,0,ROW()-1,40),ROW()-1,FALSE))</f>
        <v>9.6</v>
      </c>
      <c r="W72">
        <f ca="1">IF(AND(ISNUMBER($W$167),$B$113=1),$W$167,HLOOKUP(INDIRECT(ADDRESS(2,COLUMN())),OFFSET($AT$2,0,0,ROW()-1,40),ROW()-1,FALSE))</f>
        <v>6.5</v>
      </c>
      <c r="X72">
        <f ca="1">IF(AND(ISNUMBER($X$167),$B$113=1),$X$167,HLOOKUP(INDIRECT(ADDRESS(2,COLUMN())),OFFSET($AT$2,0,0,ROW()-1,40),ROW()-1,FALSE))</f>
        <v>5</v>
      </c>
      <c r="Y72">
        <f ca="1">IF(AND(ISNUMBER($Y$167),$B$113=1),$Y$167,HLOOKUP(INDIRECT(ADDRESS(2,COLUMN())),OFFSET($AT$2,0,0,ROW()-1,40),ROW()-1,FALSE))</f>
        <v>3.9</v>
      </c>
      <c r="Z72">
        <f ca="1">IF(AND(ISNUMBER($Z$167),$B$113=1),$Z$167,HLOOKUP(INDIRECT(ADDRESS(2,COLUMN())),OFFSET($AT$2,0,0,ROW()-1,40),ROW()-1,FALSE))</f>
        <v>4.2</v>
      </c>
      <c r="AA72">
        <f ca="1">IF(AND(ISNUMBER($AA$167),$B$113=1),$AA$167,HLOOKUP(INDIRECT(ADDRESS(2,COLUMN())),OFFSET($AT$2,0,0,ROW()-1,40),ROW()-1,FALSE))</f>
        <v>4.3</v>
      </c>
      <c r="AB72">
        <f ca="1">IF(AND(ISNUMBER($AB$167),$B$113=1),$AB$167,HLOOKUP(INDIRECT(ADDRESS(2,COLUMN())),OFFSET($AT$2,0,0,ROW()-1,40),ROW()-1,FALSE))</f>
        <v>4.0999999999999996</v>
      </c>
      <c r="AC72">
        <f ca="1">IF(AND(ISNUMBER($AC$167),$B$113=1),$AC$167,HLOOKUP(INDIRECT(ADDRESS(2,COLUMN())),OFFSET($AT$2,0,0,ROW()-1,40),ROW()-1,FALSE))</f>
        <v>4.4000000000000004</v>
      </c>
      <c r="AD72">
        <f ca="1">IF(AND(ISNUMBER($AD$167),$B$113=1),$AD$167,HLOOKUP(INDIRECT(ADDRESS(2,COLUMN())),OFFSET($AT$2,0,0,ROW()-1,40),ROW()-1,FALSE))</f>
        <v>4</v>
      </c>
      <c r="AE72" t="str">
        <f ca="1">IF(AND(ISNUMBER($AE$167),$B$113=1),$AE$167,HLOOKUP(INDIRECT(ADDRESS(2,COLUMN())),OFFSET($AT$2,0,0,ROW()-1,40),ROW()-1,FALSE))</f>
        <v/>
      </c>
      <c r="AF72" t="str">
        <f ca="1">IF(AND(ISNUMBER($AF$167),$B$113=1),$AF$167,HLOOKUP(INDIRECT(ADDRESS(2,COLUMN())),OFFSET($AT$2,0,0,ROW()-1,40),ROW()-1,FALSE))</f>
        <v/>
      </c>
      <c r="AG72" t="str">
        <f ca="1">IF(AND(ISNUMBER($AG$167),$B$113=1),$AG$167,HLOOKUP(INDIRECT(ADDRESS(2,COLUMN())),OFFSET($AT$2,0,0,ROW()-1,40),ROW()-1,FALSE))</f>
        <v/>
      </c>
      <c r="AH72" t="str">
        <f ca="1">IF(AND(ISNUMBER($AH$167),$B$113=1),$AH$167,HLOOKUP(INDIRECT(ADDRESS(2,COLUMN())),OFFSET($AT$2,0,0,ROW()-1,40),ROW()-1,FALSE))</f>
        <v/>
      </c>
      <c r="AI72" t="str">
        <f ca="1">IF(AND(ISNUMBER($AI$167),$B$113=1),$AI$167,HLOOKUP(INDIRECT(ADDRESS(2,COLUMN())),OFFSET($AT$2,0,0,ROW()-1,40),ROW()-1,FALSE))</f>
        <v/>
      </c>
      <c r="AJ72" t="str">
        <f ca="1">IF(AND(ISNUMBER($AJ$167),$B$113=1),$AJ$167,HLOOKUP(INDIRECT(ADDRESS(2,COLUMN())),OFFSET($AT$2,0,0,ROW()-1,40),ROW()-1,FALSE))</f>
        <v/>
      </c>
      <c r="AK72" t="str">
        <f ca="1">IF(AND(ISNUMBER($AK$167),$B$113=1),$AK$167,HLOOKUP(INDIRECT(ADDRESS(2,COLUMN())),OFFSET($AT$2,0,0,ROW()-1,40),ROW()-1,FALSE))</f>
        <v/>
      </c>
      <c r="AL72" t="str">
        <f ca="1">IF(AND(ISNUMBER($AL$167),$B$113=1),$AL$167,HLOOKUP(INDIRECT(ADDRESS(2,COLUMN())),OFFSET($AT$2,0,0,ROW()-1,40),ROW()-1,FALSE))</f>
        <v/>
      </c>
      <c r="AM72" t="str">
        <f ca="1">IF(AND(ISNUMBER($AM$167),$B$113=1),$AM$167,HLOOKUP(INDIRECT(ADDRESS(2,COLUMN())),OFFSET($AT$2,0,0,ROW()-1,40),ROW()-1,FALSE))</f>
        <v/>
      </c>
      <c r="AN72" t="str">
        <f ca="1">IF(AND(ISNUMBER($AN$167),$B$113=1),$AN$167,HLOOKUP(INDIRECT(ADDRESS(2,COLUMN())),OFFSET($AT$2,0,0,ROW()-1,40),ROW()-1,FALSE))</f>
        <v/>
      </c>
      <c r="AO72" t="str">
        <f ca="1">IF(AND(ISNUMBER($AO$167),$B$113=1),$AO$167,HLOOKUP(INDIRECT(ADDRESS(2,COLUMN())),OFFSET($AT$2,0,0,ROW()-1,40),ROW()-1,FALSE))</f>
        <v/>
      </c>
      <c r="AP72" t="str">
        <f ca="1">IF(AND(ISNUMBER($AP$167),$B$113=1),$AP$167,HLOOKUP(INDIRECT(ADDRESS(2,COLUMN())),OFFSET($AT$2,0,0,ROW()-1,40),ROW()-1,FALSE))</f>
        <v/>
      </c>
      <c r="AQ72" t="str">
        <f ca="1">IF(AND(ISNUMBER($AQ$167),$B$113=1),$AQ$167,HLOOKUP(INDIRECT(ADDRESS(2,COLUMN())),OFFSET($AT$2,0,0,ROW()-1,40),ROW()-1,FALSE))</f>
        <v/>
      </c>
      <c r="AR72" t="str">
        <f ca="1">IF(AND(ISNUMBER($AR$167),$B$113=1),$AR$167,HLOOKUP(INDIRECT(ADDRESS(2,COLUMN())),OFFSET($AT$2,0,0,ROW()-1,40),ROW()-1,FALSE))</f>
        <v/>
      </c>
      <c r="AS72" t="str">
        <f ca="1">IF(AND(ISNUMBER($AS$167),$B$113=1),$AS$167,HLOOKUP(INDIRECT(ADDRESS(2,COLUMN())),OFFSET($AT$2,0,0,ROW()-1,40),ROW()-1,FALSE))</f>
        <v/>
      </c>
      <c r="AT72">
        <f>3.4</f>
        <v>3.4</v>
      </c>
      <c r="AU72">
        <f>2.9</f>
        <v>2.9</v>
      </c>
      <c r="AV72">
        <f>1.7</f>
        <v>1.7</v>
      </c>
      <c r="AW72">
        <f>2</f>
        <v>2</v>
      </c>
      <c r="AX72">
        <f>3.1</f>
        <v>3.1</v>
      </c>
      <c r="AY72">
        <f>3.7</f>
        <v>3.7</v>
      </c>
      <c r="AZ72">
        <f>3.1</f>
        <v>3.1</v>
      </c>
      <c r="BA72">
        <f>3.6</f>
        <v>3.6</v>
      </c>
      <c r="BB72">
        <f>3.9</f>
        <v>3.9</v>
      </c>
      <c r="BC72">
        <f>4.4</f>
        <v>4.4000000000000004</v>
      </c>
      <c r="BD72">
        <f>4.6</f>
        <v>4.5999999999999996</v>
      </c>
      <c r="BE72">
        <f>4.5</f>
        <v>4.5</v>
      </c>
      <c r="BF72">
        <f>6.4</f>
        <v>6.4</v>
      </c>
      <c r="BG72">
        <f>8.5</f>
        <v>8.5</v>
      </c>
      <c r="BH72">
        <f>7.5</f>
        <v>7.5</v>
      </c>
      <c r="BI72">
        <f>9.4</f>
        <v>9.4</v>
      </c>
      <c r="BJ72">
        <f>9.6</f>
        <v>9.6</v>
      </c>
      <c r="BK72">
        <f>6.5</f>
        <v>6.5</v>
      </c>
      <c r="BL72">
        <f>5</f>
        <v>5</v>
      </c>
      <c r="BM72">
        <f>3.9</f>
        <v>3.9</v>
      </c>
      <c r="BN72">
        <f>4.2</f>
        <v>4.2</v>
      </c>
      <c r="BO72">
        <f>4.3</f>
        <v>4.3</v>
      </c>
      <c r="BP72">
        <f>4.1</f>
        <v>4.0999999999999996</v>
      </c>
      <c r="BQ72">
        <f>4.4</f>
        <v>4.4000000000000004</v>
      </c>
      <c r="BR72">
        <f>4</f>
        <v>4</v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</row>
    <row r="73" spans="1:85" x14ac:dyDescent="0.2">
      <c r="A73" t="str">
        <f>"        U.S. Existing Home Median Price ($)"</f>
        <v xml:space="preserve">        U.S. Existing Home Median Price ($)</v>
      </c>
      <c r="B73" t="str">
        <f>"ETSLMP Index"</f>
        <v>ETSLMP Index</v>
      </c>
      <c r="E73" t="str">
        <f>"Expression"</f>
        <v>Expression</v>
      </c>
      <c r="F73" t="e">
        <f ca="1">IF(AND($B$113=1,LEN($F$118)&gt;0),$F$118*1000,HLOOKUP(INDIRECT(ADDRESS(2,COLUMN())),OFFSET($AT$2,0,0,ROW()-1,40),ROW()-1,FALSE))</f>
        <v>#NAME?</v>
      </c>
      <c r="G73">
        <f ca="1">IF(AND($B$113=1,LEN($G$118)&gt;0),$G$118*1000,HLOOKUP(INDIRECT(ADDRESS(2,COLUMN())),OFFSET($AT$2,0,0,ROW()-1,40),ROW()-1,FALSE))</f>
        <v>366500</v>
      </c>
      <c r="H73">
        <f ca="1">IF(AND($B$113=1,LEN($H$118)&gt;0),$H$118*1000,HLOOKUP(INDIRECT(ADDRESS(2,COLUMN())),OFFSET($AT$2,0,0,ROW()-1,40),ROW()-1,FALSE))</f>
        <v>358800</v>
      </c>
      <c r="I73">
        <f ca="1">IF(AND($B$113=1,LEN($I$118)&gt;0),$I$118*1000,HLOOKUP(INDIRECT(ADDRESS(2,COLUMN())),OFFSET($AT$2,0,0,ROW()-1,40),ROW()-1,FALSE))</f>
        <v>309200</v>
      </c>
      <c r="J73">
        <f ca="1">IF(AND($B$113=1,LEN($J$118)&gt;0),$J$118*1000,HLOOKUP(INDIRECT(ADDRESS(2,COLUMN())),OFFSET($AT$2,0,0,ROW()-1,40),ROW()-1,FALSE))</f>
        <v>274500</v>
      </c>
      <c r="K73">
        <f ca="1">IF(AND($B$113=1,LEN($K$118)&gt;0),$K$118*1000,HLOOKUP(INDIRECT(ADDRESS(2,COLUMN())),OFFSET($AT$2,0,0,ROW()-1,40),ROW()-1,FALSE))</f>
        <v>254700</v>
      </c>
      <c r="L73">
        <f ca="1">IF(AND($B$113=1,LEN($L$118)&gt;0),$L$118*1000,HLOOKUP(INDIRECT(ADDRESS(2,COLUMN())),OFFSET($AT$2,0,0,ROW()-1,40),ROW()-1,FALSE))</f>
        <v>246500</v>
      </c>
      <c r="M73">
        <f ca="1">IF(AND($B$113=1,LEN($M$118)&gt;0),$M$118*1000,HLOOKUP(INDIRECT(ADDRESS(2,COLUMN())),OFFSET($AT$2,0,0,ROW()-1,40),ROW()-1,FALSE))</f>
        <v>233300</v>
      </c>
      <c r="N73">
        <f ca="1">IF(AND($B$113=1,LEN($N$118)&gt;0),$N$118*1000,HLOOKUP(INDIRECT(ADDRESS(2,COLUMN())),OFFSET($AT$2,0,0,ROW()-1,40),ROW()-1,FALSE))</f>
        <v>223200</v>
      </c>
      <c r="O73">
        <f ca="1">IF(AND($B$113=1,LEN($O$118)&gt;0),$O$118*1000,HLOOKUP(INDIRECT(ADDRESS(2,COLUMN())),OFFSET($AT$2,0,0,ROW()-1,40),ROW()-1,FALSE))</f>
        <v>208200</v>
      </c>
      <c r="P73">
        <f ca="1">IF(AND($B$113=1,LEN($P$118)&gt;0),$P$118*1000,HLOOKUP(INDIRECT(ADDRESS(2,COLUMN())),OFFSET($AT$2,0,0,ROW()-1,40),ROW()-1,FALSE))</f>
        <v>197700</v>
      </c>
      <c r="Q73">
        <f ca="1">IF(AND($B$113=1,LEN($Q$118)&gt;0),$Q$118*1000,HLOOKUP(INDIRECT(ADDRESS(2,COLUMN())),OFFSET($AT$2,0,0,ROW()-1,40),ROW()-1,FALSE))</f>
        <v>180200</v>
      </c>
      <c r="R73">
        <f ca="1">IF(AND($B$113=1,LEN($R$118)&gt;0),$R$118*1000,HLOOKUP(INDIRECT(ADDRESS(2,COLUMN())),OFFSET($AT$2,0,0,ROW()-1,40),ROW()-1,FALSE))</f>
        <v>162200</v>
      </c>
      <c r="S73">
        <f ca="1">IF(AND($B$113=1,LEN($S$118)&gt;0),$S$118*1000,HLOOKUP(INDIRECT(ADDRESS(2,COLUMN())),OFFSET($AT$2,0,0,ROW()-1,40),ROW()-1,FALSE))</f>
        <v>168800</v>
      </c>
      <c r="T73">
        <f ca="1">IF(AND($B$113=1,LEN($T$118)&gt;0),$T$118*1000,HLOOKUP(INDIRECT(ADDRESS(2,COLUMN())),OFFSET($AT$2,0,0,ROW()-1,40),ROW()-1,FALSE))</f>
        <v>170700</v>
      </c>
      <c r="U73">
        <f ca="1">IF(AND($B$113=1,LEN($U$118)&gt;0),$U$118*1000,HLOOKUP(INDIRECT(ADDRESS(2,COLUMN())),OFFSET($AT$2,0,0,ROW()-1,40),ROW()-1,FALSE))</f>
        <v>175700</v>
      </c>
      <c r="V73">
        <f ca="1">IF(AND($B$113=1,LEN($V$118)&gt;0),$V$118*1000,HLOOKUP(INDIRECT(ADDRESS(2,COLUMN())),OFFSET($AT$2,0,0,ROW()-1,40),ROW()-1,FALSE))</f>
        <v>206900</v>
      </c>
      <c r="W73">
        <f ca="1">IF(AND($B$113=1,LEN($W$118)&gt;0),$W$118*1000,HLOOKUP(INDIRECT(ADDRESS(2,COLUMN())),OFFSET($AT$2,0,0,ROW()-1,40),ROW()-1,FALSE))</f>
        <v>221800</v>
      </c>
      <c r="X73">
        <f ca="1">IF(AND($B$113=1,LEN($X$118)&gt;0),$X$118*1000,HLOOKUP(INDIRECT(ADDRESS(2,COLUMN())),OFFSET($AT$2,0,0,ROW()-1,40),ROW()-1,FALSE))</f>
        <v>222300</v>
      </c>
      <c r="Y73">
        <f ca="1">IF(AND($B$113=1,LEN($Y$118)&gt;0),$Y$118*1000,HLOOKUP(INDIRECT(ADDRESS(2,COLUMN())),OFFSET($AT$2,0,0,ROW()-1,40),ROW()-1,FALSE))</f>
        <v>201300</v>
      </c>
      <c r="Z73">
        <f ca="1">IF(AND($B$113=1,LEN($Z$118)&gt;0),$Z$118*1000,HLOOKUP(INDIRECT(ADDRESS(2,COLUMN())),OFFSET($AT$2,0,0,ROW()-1,40),ROW()-1,FALSE))</f>
        <v>184800</v>
      </c>
      <c r="AA73">
        <f ca="1">IF(AND($B$113=1,LEN($AA$118)&gt;0),$AA$118*1000,HLOOKUP(INDIRECT(ADDRESS(2,COLUMN())),OFFSET($AT$2,0,0,ROW()-1,40),ROW()-1,FALSE))</f>
        <v>170800</v>
      </c>
      <c r="AB73">
        <f ca="1">IF(AND($B$113=1,LEN($AB$118)&gt;0),$AB$118*1000,HLOOKUP(INDIRECT(ADDRESS(2,COLUMN())),OFFSET($AT$2,0,0,ROW()-1,40),ROW()-1,FALSE))</f>
        <v>159300</v>
      </c>
      <c r="AC73">
        <f ca="1">IF(AND($B$113=1,LEN($AC$118)&gt;0),$AC$118*1000,HLOOKUP(INDIRECT(ADDRESS(2,COLUMN())),OFFSET($AT$2,0,0,ROW()-1,40),ROW()-1,FALSE))</f>
        <v>144500</v>
      </c>
      <c r="AD73">
        <f ca="1">IF(AND($B$113=1,LEN($AD$118)&gt;0),$AD$118*1000,HLOOKUP(INDIRECT(ADDRESS(2,COLUMN())),OFFSET($AT$2,0,0,ROW()-1,40),ROW()-1,FALSE))</f>
        <v>138400</v>
      </c>
      <c r="AE73" t="str">
        <f ca="1">IF(AND($B$113=1,LEN($AE$118)&gt;0),$AE$118*1000,HLOOKUP(INDIRECT(ADDRESS(2,COLUMN())),OFFSET($AT$2,0,0,ROW()-1,40),ROW()-1,FALSE))</f>
        <v/>
      </c>
      <c r="AF73" t="str">
        <f ca="1">IF(AND($B$113=1,LEN($AF$118)&gt;0),$AF$118*1000,HLOOKUP(INDIRECT(ADDRESS(2,COLUMN())),OFFSET($AT$2,0,0,ROW()-1,40),ROW()-1,FALSE))</f>
        <v/>
      </c>
      <c r="AG73" t="str">
        <f ca="1">IF(AND($B$113=1,LEN($AG$118)&gt;0),$AG$118*1000,HLOOKUP(INDIRECT(ADDRESS(2,COLUMN())),OFFSET($AT$2,0,0,ROW()-1,40),ROW()-1,FALSE))</f>
        <v/>
      </c>
      <c r="AH73" t="str">
        <f ca="1">IF(AND($B$113=1,LEN($AH$118)&gt;0),$AH$118*1000,HLOOKUP(INDIRECT(ADDRESS(2,COLUMN())),OFFSET($AT$2,0,0,ROW()-1,40),ROW()-1,FALSE))</f>
        <v/>
      </c>
      <c r="AI73" t="str">
        <f ca="1">IF(AND($B$113=1,LEN($AI$118)&gt;0),$AI$118*1000,HLOOKUP(INDIRECT(ADDRESS(2,COLUMN())),OFFSET($AT$2,0,0,ROW()-1,40),ROW()-1,FALSE))</f>
        <v/>
      </c>
      <c r="AJ73" t="str">
        <f ca="1">IF(AND($B$113=1,LEN($AJ$118)&gt;0),$AJ$118*1000,HLOOKUP(INDIRECT(ADDRESS(2,COLUMN())),OFFSET($AT$2,0,0,ROW()-1,40),ROW()-1,FALSE))</f>
        <v/>
      </c>
      <c r="AK73" t="str">
        <f ca="1">IF(AND($B$113=1,LEN($AK$118)&gt;0),$AK$118*1000,HLOOKUP(INDIRECT(ADDRESS(2,COLUMN())),OFFSET($AT$2,0,0,ROW()-1,40),ROW()-1,FALSE))</f>
        <v/>
      </c>
      <c r="AL73" t="str">
        <f ca="1">IF(AND($B$113=1,LEN($AL$118)&gt;0),$AL$118*1000,HLOOKUP(INDIRECT(ADDRESS(2,COLUMN())),OFFSET($AT$2,0,0,ROW()-1,40),ROW()-1,FALSE))</f>
        <v/>
      </c>
      <c r="AM73" t="str">
        <f ca="1">IF(AND($B$113=1,LEN($AM$118)&gt;0),$AM$118*1000,HLOOKUP(INDIRECT(ADDRESS(2,COLUMN())),OFFSET($AT$2,0,0,ROW()-1,40),ROW()-1,FALSE))</f>
        <v/>
      </c>
      <c r="AN73" t="str">
        <f ca="1">IF(AND($B$113=1,LEN($AN$118)&gt;0),$AN$118*1000,HLOOKUP(INDIRECT(ADDRESS(2,COLUMN())),OFFSET($AT$2,0,0,ROW()-1,40),ROW()-1,FALSE))</f>
        <v/>
      </c>
      <c r="AO73" t="str">
        <f ca="1">IF(AND($B$113=1,LEN($AO$118)&gt;0),$AO$118*1000,HLOOKUP(INDIRECT(ADDRESS(2,COLUMN())),OFFSET($AT$2,0,0,ROW()-1,40),ROW()-1,FALSE))</f>
        <v/>
      </c>
      <c r="AP73" t="str">
        <f ca="1">IF(AND($B$113=1,LEN($AP$118)&gt;0),$AP$118*1000,HLOOKUP(INDIRECT(ADDRESS(2,COLUMN())),OFFSET($AT$2,0,0,ROW()-1,40),ROW()-1,FALSE))</f>
        <v/>
      </c>
      <c r="AQ73" t="str">
        <f ca="1">IF(AND($B$113=1,LEN($AQ$118)&gt;0),$AQ$118*1000,HLOOKUP(INDIRECT(ADDRESS(2,COLUMN())),OFFSET($AT$2,0,0,ROW()-1,40),ROW()-1,FALSE))</f>
        <v/>
      </c>
      <c r="AR73" t="str">
        <f ca="1">IF(AND($B$113=1,LEN($AR$118)&gt;0),$AR$118*1000,HLOOKUP(INDIRECT(ADDRESS(2,COLUMN())),OFFSET($AT$2,0,0,ROW()-1,40),ROW()-1,FALSE))</f>
        <v/>
      </c>
      <c r="AS73" t="str">
        <f ca="1">IF(AND($B$113=1,LEN($AS$118)&gt;0),$AS$118*1000,HLOOKUP(INDIRECT(ADDRESS(2,COLUMN())),OFFSET($AT$2,0,0,ROW()-1,40),ROW()-1,FALSE))</f>
        <v/>
      </c>
      <c r="AT73">
        <f>391800</f>
        <v>391800</v>
      </c>
      <c r="AU73">
        <f>366500</f>
        <v>366500</v>
      </c>
      <c r="AV73">
        <f>358800</f>
        <v>358800</v>
      </c>
      <c r="AW73">
        <f>309200</f>
        <v>309200</v>
      </c>
      <c r="AX73">
        <f>274500</f>
        <v>274500</v>
      </c>
      <c r="AY73">
        <f>254700</f>
        <v>254700</v>
      </c>
      <c r="AZ73">
        <f>246500</f>
        <v>246500</v>
      </c>
      <c r="BA73">
        <f>233300</f>
        <v>233300</v>
      </c>
      <c r="BB73">
        <f>223200</f>
        <v>223200</v>
      </c>
      <c r="BC73">
        <f>208200</f>
        <v>208200</v>
      </c>
      <c r="BD73">
        <f>197700</f>
        <v>197700</v>
      </c>
      <c r="BE73">
        <f>180200</f>
        <v>180200</v>
      </c>
      <c r="BF73">
        <f>162200</f>
        <v>162200</v>
      </c>
      <c r="BG73">
        <f>168800</f>
        <v>168800</v>
      </c>
      <c r="BH73">
        <f>170700</f>
        <v>170700</v>
      </c>
      <c r="BI73">
        <f>175700</f>
        <v>175700</v>
      </c>
      <c r="BJ73">
        <f>206900</f>
        <v>206900</v>
      </c>
      <c r="BK73">
        <f>221800</f>
        <v>221800</v>
      </c>
      <c r="BL73">
        <f>222300</f>
        <v>222300</v>
      </c>
      <c r="BM73">
        <f>201300</f>
        <v>201300</v>
      </c>
      <c r="BN73">
        <f>184800</f>
        <v>184800</v>
      </c>
      <c r="BO73">
        <f>170800</f>
        <v>170800</v>
      </c>
      <c r="BP73">
        <f>159300</f>
        <v>159300</v>
      </c>
      <c r="BQ73">
        <f>144500</f>
        <v>144500</v>
      </c>
      <c r="BR73">
        <f>138400</f>
        <v>138400</v>
      </c>
      <c r="BS73" t="str">
        <f>""</f>
        <v/>
      </c>
      <c r="BT73" t="str">
        <f>""</f>
        <v/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</row>
    <row r="74" spans="1:85" x14ac:dyDescent="0.2">
      <c r="A74" t="str">
        <f>"        NAHB Market Index"</f>
        <v xml:space="preserve">        NAHB Market Index</v>
      </c>
      <c r="B74" t="str">
        <f>"USHBMIDX Index"</f>
        <v>USHBMIDX Index</v>
      </c>
      <c r="C74" t="str">
        <f>"PR005"</f>
        <v>PR005</v>
      </c>
      <c r="D74" t="str">
        <f>"PX_LAST"</f>
        <v>PX_LAST</v>
      </c>
      <c r="E74" t="str">
        <f>"Dynamic"</f>
        <v>Dynamic</v>
      </c>
      <c r="F74">
        <f ca="1">IF(AND(ISNUMBER($F$168),$B$113=1),$F$168,HLOOKUP(INDIRECT(ADDRESS(2,COLUMN())),OFFSET($AT$2,0,0,ROW()-1,40),ROW()-1,FALSE))</f>
        <v>34</v>
      </c>
      <c r="G74">
        <f ca="1">IF(AND(ISNUMBER($G$168),$B$113=1),$G$168,HLOOKUP(INDIRECT(ADDRESS(2,COLUMN())),OFFSET($AT$2,0,0,ROW()-1,40),ROW()-1,FALSE))</f>
        <v>31</v>
      </c>
      <c r="H74">
        <f ca="1">IF(AND(ISNUMBER($H$168),$B$113=1),$H$168,HLOOKUP(INDIRECT(ADDRESS(2,COLUMN())),OFFSET($AT$2,0,0,ROW()-1,40),ROW()-1,FALSE))</f>
        <v>84</v>
      </c>
      <c r="I74">
        <f ca="1">IF(AND(ISNUMBER($I$168),$B$113=1),$I$168,HLOOKUP(INDIRECT(ADDRESS(2,COLUMN())),OFFSET($AT$2,0,0,ROW()-1,40),ROW()-1,FALSE))</f>
        <v>86</v>
      </c>
      <c r="J74">
        <f ca="1">IF(AND(ISNUMBER($J$168),$B$113=1),$J$168,HLOOKUP(INDIRECT(ADDRESS(2,COLUMN())),OFFSET($AT$2,0,0,ROW()-1,40),ROW()-1,FALSE))</f>
        <v>76</v>
      </c>
      <c r="K74">
        <f ca="1">IF(AND(ISNUMBER($K$168),$B$113=1),$K$168,HLOOKUP(INDIRECT(ADDRESS(2,COLUMN())),OFFSET($AT$2,0,0,ROW()-1,40),ROW()-1,FALSE))</f>
        <v>56</v>
      </c>
      <c r="L74">
        <f ca="1">IF(AND(ISNUMBER($L$168),$B$113=1),$L$168,HLOOKUP(INDIRECT(ADDRESS(2,COLUMN())),OFFSET($AT$2,0,0,ROW()-1,40),ROW()-1,FALSE))</f>
        <v>74</v>
      </c>
      <c r="M74">
        <f ca="1">IF(AND(ISNUMBER($M$168),$B$113=1),$M$168,HLOOKUP(INDIRECT(ADDRESS(2,COLUMN())),OFFSET($AT$2,0,0,ROW()-1,40),ROW()-1,FALSE))</f>
        <v>69</v>
      </c>
      <c r="N74">
        <f ca="1">IF(AND(ISNUMBER($N$168),$B$113=1),$N$168,HLOOKUP(INDIRECT(ADDRESS(2,COLUMN())),OFFSET($AT$2,0,0,ROW()-1,40),ROW()-1,FALSE))</f>
        <v>60</v>
      </c>
      <c r="O74">
        <f ca="1">IF(AND(ISNUMBER($O$168),$B$113=1),$O$168,HLOOKUP(INDIRECT(ADDRESS(2,COLUMN())),OFFSET($AT$2,0,0,ROW()-1,40),ROW()-1,FALSE))</f>
        <v>58</v>
      </c>
      <c r="P74">
        <f ca="1">IF(AND(ISNUMBER($P$168),$B$113=1),$P$168,HLOOKUP(INDIRECT(ADDRESS(2,COLUMN())),OFFSET($AT$2,0,0,ROW()-1,40),ROW()-1,FALSE))</f>
        <v>57</v>
      </c>
      <c r="Q74">
        <f ca="1">IF(AND(ISNUMBER($Q$168),$B$113=1),$Q$168,HLOOKUP(INDIRECT(ADDRESS(2,COLUMN())),OFFSET($AT$2,0,0,ROW()-1,40),ROW()-1,FALSE))</f>
        <v>47</v>
      </c>
      <c r="R74">
        <f ca="1">IF(AND(ISNUMBER($R$168),$B$113=1),$R$168,HLOOKUP(INDIRECT(ADDRESS(2,COLUMN())),OFFSET($AT$2,0,0,ROW()-1,40),ROW()-1,FALSE))</f>
        <v>21</v>
      </c>
      <c r="S74">
        <f ca="1">IF(AND(ISNUMBER($S$168),$B$113=1),$S$168,HLOOKUP(INDIRECT(ADDRESS(2,COLUMN())),OFFSET($AT$2,0,0,ROW()-1,40),ROW()-1,FALSE))</f>
        <v>16</v>
      </c>
      <c r="T74">
        <f ca="1">IF(AND(ISNUMBER($T$168),$B$113=1),$T$168,HLOOKUP(INDIRECT(ADDRESS(2,COLUMN())),OFFSET($AT$2,0,0,ROW()-1,40),ROW()-1,FALSE))</f>
        <v>16</v>
      </c>
      <c r="U74">
        <f ca="1">IF(AND(ISNUMBER($U$168),$B$113=1),$U$168,HLOOKUP(INDIRECT(ADDRESS(2,COLUMN())),OFFSET($AT$2,0,0,ROW()-1,40),ROW()-1,FALSE))</f>
        <v>9</v>
      </c>
      <c r="V74">
        <f ca="1">IF(AND(ISNUMBER($V$168),$B$113=1),$V$168,HLOOKUP(INDIRECT(ADDRESS(2,COLUMN())),OFFSET($AT$2,0,0,ROW()-1,40),ROW()-1,FALSE))</f>
        <v>18</v>
      </c>
      <c r="W74">
        <f ca="1">IF(AND(ISNUMBER($W$168),$B$113=1),$W$168,HLOOKUP(INDIRECT(ADDRESS(2,COLUMN())),OFFSET($AT$2,0,0,ROW()-1,40),ROW()-1,FALSE))</f>
        <v>33</v>
      </c>
      <c r="X74">
        <f ca="1">IF(AND(ISNUMBER($X$168),$B$113=1),$X$168,HLOOKUP(INDIRECT(ADDRESS(2,COLUMN())),OFFSET($AT$2,0,0,ROW()-1,40),ROW()-1,FALSE))</f>
        <v>57</v>
      </c>
      <c r="Y74">
        <f ca="1">IF(AND(ISNUMBER($Y$168),$B$113=1),$Y$168,HLOOKUP(INDIRECT(ADDRESS(2,COLUMN())),OFFSET($AT$2,0,0,ROW()-1,40),ROW()-1,FALSE))</f>
        <v>71</v>
      </c>
      <c r="Z74">
        <f ca="1">IF(AND(ISNUMBER($Z$168),$B$113=1),$Z$168,HLOOKUP(INDIRECT(ADDRESS(2,COLUMN())),OFFSET($AT$2,0,0,ROW()-1,40),ROW()-1,FALSE))</f>
        <v>69</v>
      </c>
      <c r="AA74">
        <f ca="1">IF(AND(ISNUMBER($AA$168),$B$113=1),$AA$168,HLOOKUP(INDIRECT(ADDRESS(2,COLUMN())),OFFSET($AT$2,0,0,ROW()-1,40),ROW()-1,FALSE))</f>
        <v>63</v>
      </c>
      <c r="AB74">
        <f ca="1">IF(AND(ISNUMBER($AB$168),$B$113=1),$AB$168,HLOOKUP(INDIRECT(ADDRESS(2,COLUMN())),OFFSET($AT$2,0,0,ROW()-1,40),ROW()-1,FALSE))</f>
        <v>55</v>
      </c>
      <c r="AC74">
        <f ca="1">IF(AND(ISNUMBER($AC$168),$B$113=1),$AC$168,HLOOKUP(INDIRECT(ADDRESS(2,COLUMN())),OFFSET($AT$2,0,0,ROW()-1,40),ROW()-1,FALSE))</f>
        <v>57</v>
      </c>
      <c r="AD74">
        <f ca="1">IF(AND(ISNUMBER($AD$168),$B$113=1),$AD$168,HLOOKUP(INDIRECT(ADDRESS(2,COLUMN())),OFFSET($AT$2,0,0,ROW()-1,40),ROW()-1,FALSE))</f>
        <v>70</v>
      </c>
      <c r="AE74">
        <f ca="1">IF(AND(ISNUMBER($AE$168),$B$113=1),$AE$168,HLOOKUP(INDIRECT(ADDRESS(2,COLUMN())),OFFSET($AT$2,0,0,ROW()-1,40),ROW()-1,FALSE))</f>
        <v>78</v>
      </c>
      <c r="AF74">
        <f ca="1">IF(AND(ISNUMBER($AF$168),$B$113=1),$AF$168,HLOOKUP(INDIRECT(ADDRESS(2,COLUMN())),OFFSET($AT$2,0,0,ROW()-1,40),ROW()-1,FALSE))</f>
        <v>60</v>
      </c>
      <c r="AG74">
        <f ca="1">IF(AND(ISNUMBER($AG$168),$B$113=1),$AG$168,HLOOKUP(INDIRECT(ADDRESS(2,COLUMN())),OFFSET($AT$2,0,0,ROW()-1,40),ROW()-1,FALSE))</f>
        <v>55</v>
      </c>
      <c r="AH74">
        <f ca="1">IF(AND(ISNUMBER($AH$168),$B$113=1),$AH$168,HLOOKUP(INDIRECT(ADDRESS(2,COLUMN())),OFFSET($AT$2,0,0,ROW()-1,40),ROW()-1,FALSE))</f>
        <v>53</v>
      </c>
      <c r="AI74">
        <f ca="1">IF(AND(ISNUMBER($AI$168),$B$113=1),$AI$168,HLOOKUP(INDIRECT(ADDRESS(2,COLUMN())),OFFSET($AT$2,0,0,ROW()-1,40),ROW()-1,FALSE))</f>
        <v>43</v>
      </c>
      <c r="AJ74">
        <f ca="1">IF(AND(ISNUMBER($AJ$168),$B$113=1),$AJ$168,HLOOKUP(INDIRECT(ADDRESS(2,COLUMN())),OFFSET($AT$2,0,0,ROW()-1,40),ROW()-1,FALSE))</f>
        <v>71</v>
      </c>
      <c r="AK74">
        <f ca="1">IF(AND(ISNUMBER($AK$168),$B$113=1),$AK$168,HLOOKUP(INDIRECT(ADDRESS(2,COLUMN())),OFFSET($AT$2,0,0,ROW()-1,40),ROW()-1,FALSE))</f>
        <v>56</v>
      </c>
      <c r="AL74">
        <f ca="1">IF(AND(ISNUMBER($AL$168),$B$113=1),$AL$168,HLOOKUP(INDIRECT(ADDRESS(2,COLUMN())),OFFSET($AT$2,0,0,ROW()-1,40),ROW()-1,FALSE))</f>
        <v>35</v>
      </c>
      <c r="AM74">
        <f ca="1">IF(AND(ISNUMBER($AM$168),$B$113=1),$AM$168,HLOOKUP(INDIRECT(ADDRESS(2,COLUMN())),OFFSET($AT$2,0,0,ROW()-1,40),ROW()-1,FALSE))</f>
        <v>22</v>
      </c>
      <c r="AN74">
        <f ca="1">IF(AND(ISNUMBER($AN$168),$B$113=1),$AN$168,HLOOKUP(INDIRECT(ADDRESS(2,COLUMN())),OFFSET($AT$2,0,0,ROW()-1,40),ROW()-1,FALSE))</f>
        <v>43</v>
      </c>
      <c r="AO74">
        <f ca="1">IF(AND(ISNUMBER($AO$168),$B$113=1),$AO$168,HLOOKUP(INDIRECT(ADDRESS(2,COLUMN())),OFFSET($AT$2,0,0,ROW()-1,40),ROW()-1,FALSE))</f>
        <v>60</v>
      </c>
      <c r="AP74">
        <f ca="1">IF(AND(ISNUMBER($AP$168),$B$113=1),$AP$168,HLOOKUP(INDIRECT(ADDRESS(2,COLUMN())),OFFSET($AT$2,0,0,ROW()-1,40),ROW()-1,FALSE))</f>
        <v>51</v>
      </c>
      <c r="AQ74">
        <f ca="1">IF(AND(ISNUMBER($AQ$168),$B$113=1),$AQ$168,HLOOKUP(INDIRECT(ADDRESS(2,COLUMN())),OFFSET($AT$2,0,0,ROW()-1,40),ROW()-1,FALSE))</f>
        <v>64</v>
      </c>
      <c r="AR74">
        <f ca="1">IF(AND(ISNUMBER($AR$168),$B$113=1),$AR$168,HLOOKUP(INDIRECT(ADDRESS(2,COLUMN())),OFFSET($AT$2,0,0,ROW()-1,40),ROW()-1,FALSE))</f>
        <v>57</v>
      </c>
      <c r="AS74" t="str">
        <f ca="1">IF(AND(ISNUMBER($AS$168),$B$113=1),$AS$168,HLOOKUP(INDIRECT(ADDRESS(2,COLUMN())),OFFSET($AT$2,0,0,ROW()-1,40),ROW()-1,FALSE))</f>
        <v/>
      </c>
      <c r="AT74">
        <f>34</f>
        <v>34</v>
      </c>
      <c r="AU74">
        <f>31</f>
        <v>31</v>
      </c>
      <c r="AV74">
        <f>84</f>
        <v>84</v>
      </c>
      <c r="AW74">
        <f>86</f>
        <v>86</v>
      </c>
      <c r="AX74">
        <f>76</f>
        <v>76</v>
      </c>
      <c r="AY74">
        <f>56</f>
        <v>56</v>
      </c>
      <c r="AZ74">
        <f>74</f>
        <v>74</v>
      </c>
      <c r="BA74">
        <f>69</f>
        <v>69</v>
      </c>
      <c r="BB74">
        <f>60</f>
        <v>60</v>
      </c>
      <c r="BC74">
        <f>58</f>
        <v>58</v>
      </c>
      <c r="BD74">
        <f>57</f>
        <v>57</v>
      </c>
      <c r="BE74">
        <f>47</f>
        <v>47</v>
      </c>
      <c r="BF74">
        <f>21</f>
        <v>21</v>
      </c>
      <c r="BG74">
        <f>16</f>
        <v>16</v>
      </c>
      <c r="BH74">
        <f>16</f>
        <v>16</v>
      </c>
      <c r="BI74">
        <f>9</f>
        <v>9</v>
      </c>
      <c r="BJ74">
        <f>18</f>
        <v>18</v>
      </c>
      <c r="BK74">
        <f>33</f>
        <v>33</v>
      </c>
      <c r="BL74">
        <f>57</f>
        <v>57</v>
      </c>
      <c r="BM74">
        <f>71</f>
        <v>71</v>
      </c>
      <c r="BN74">
        <f>69</f>
        <v>69</v>
      </c>
      <c r="BO74">
        <f>63</f>
        <v>63</v>
      </c>
      <c r="BP74">
        <f>55</f>
        <v>55</v>
      </c>
      <c r="BQ74">
        <f>57</f>
        <v>57</v>
      </c>
      <c r="BR74">
        <f>70</f>
        <v>70</v>
      </c>
      <c r="BS74">
        <f>78</f>
        <v>78</v>
      </c>
      <c r="BT74">
        <f>60</f>
        <v>60</v>
      </c>
      <c r="BU74">
        <f>55</f>
        <v>55</v>
      </c>
      <c r="BV74">
        <f>53</f>
        <v>53</v>
      </c>
      <c r="BW74">
        <f>43</f>
        <v>43</v>
      </c>
      <c r="BX74">
        <f>71</f>
        <v>71</v>
      </c>
      <c r="BY74">
        <f>56</f>
        <v>56</v>
      </c>
      <c r="BZ74">
        <f>35</f>
        <v>35</v>
      </c>
      <c r="CA74">
        <f>22</f>
        <v>22</v>
      </c>
      <c r="CB74">
        <f>43</f>
        <v>43</v>
      </c>
      <c r="CC74">
        <f>60</f>
        <v>60</v>
      </c>
      <c r="CD74">
        <f>51</f>
        <v>51</v>
      </c>
      <c r="CE74">
        <f>64</f>
        <v>64</v>
      </c>
      <c r="CF74">
        <f>57</f>
        <v>57</v>
      </c>
      <c r="CG74" t="str">
        <f>""</f>
        <v/>
      </c>
    </row>
    <row r="75" spans="1:85" x14ac:dyDescent="0.2">
      <c r="A75" t="str">
        <f>"        U.S. Mortgage Rates"</f>
        <v xml:space="preserve">        U.S. Mortgage Rates</v>
      </c>
      <c r="B75" t="str">
        <f>""</f>
        <v/>
      </c>
      <c r="E75" t="str">
        <f>"Static"</f>
        <v>Static</v>
      </c>
      <c r="F75" t="str">
        <f t="shared" ref="F75:O76" ca="1" si="21">HLOOKUP(INDIRECT(ADDRESS(2,COLUMN())),OFFSET($AT$2,0,0,ROW()-1,40),ROW()-1,FALSE)</f>
        <v/>
      </c>
      <c r="G75" t="str">
        <f t="shared" ca="1" si="21"/>
        <v/>
      </c>
      <c r="H75" t="str">
        <f t="shared" ca="1" si="21"/>
        <v/>
      </c>
      <c r="I75" t="str">
        <f t="shared" ca="1" si="21"/>
        <v/>
      </c>
      <c r="J75" t="str">
        <f t="shared" ca="1" si="21"/>
        <v/>
      </c>
      <c r="K75" t="str">
        <f t="shared" ca="1" si="21"/>
        <v/>
      </c>
      <c r="L75" t="str">
        <f t="shared" ca="1" si="21"/>
        <v/>
      </c>
      <c r="M75" t="str">
        <f t="shared" ca="1" si="21"/>
        <v/>
      </c>
      <c r="N75" t="str">
        <f t="shared" ca="1" si="21"/>
        <v/>
      </c>
      <c r="O75" t="str">
        <f t="shared" ca="1" si="21"/>
        <v/>
      </c>
      <c r="P75" t="str">
        <f t="shared" ref="P75:Y76" ca="1" si="22">HLOOKUP(INDIRECT(ADDRESS(2,COLUMN())),OFFSET($AT$2,0,0,ROW()-1,40),ROW()-1,FALSE)</f>
        <v/>
      </c>
      <c r="Q75" t="str">
        <f t="shared" ca="1" si="22"/>
        <v/>
      </c>
      <c r="R75" t="str">
        <f t="shared" ca="1" si="22"/>
        <v/>
      </c>
      <c r="S75" t="str">
        <f t="shared" ca="1" si="22"/>
        <v/>
      </c>
      <c r="T75" t="str">
        <f t="shared" ca="1" si="22"/>
        <v/>
      </c>
      <c r="U75" t="str">
        <f t="shared" ca="1" si="22"/>
        <v/>
      </c>
      <c r="V75" t="str">
        <f t="shared" ca="1" si="22"/>
        <v/>
      </c>
      <c r="W75" t="str">
        <f t="shared" ca="1" si="22"/>
        <v/>
      </c>
      <c r="X75" t="str">
        <f t="shared" ca="1" si="22"/>
        <v/>
      </c>
      <c r="Y75" t="str">
        <f t="shared" ca="1" si="22"/>
        <v/>
      </c>
      <c r="Z75" t="str">
        <f t="shared" ref="Z75:AI76" ca="1" si="23">HLOOKUP(INDIRECT(ADDRESS(2,COLUMN())),OFFSET($AT$2,0,0,ROW()-1,40),ROW()-1,FALSE)</f>
        <v/>
      </c>
      <c r="AA75" t="str">
        <f t="shared" ca="1" si="23"/>
        <v/>
      </c>
      <c r="AB75" t="str">
        <f t="shared" ca="1" si="23"/>
        <v/>
      </c>
      <c r="AC75" t="str">
        <f t="shared" ca="1" si="23"/>
        <v/>
      </c>
      <c r="AD75" t="str">
        <f t="shared" ca="1" si="23"/>
        <v/>
      </c>
      <c r="AE75" t="str">
        <f t="shared" ca="1" si="23"/>
        <v/>
      </c>
      <c r="AF75" t="str">
        <f t="shared" ca="1" si="23"/>
        <v/>
      </c>
      <c r="AG75" t="str">
        <f t="shared" ca="1" si="23"/>
        <v/>
      </c>
      <c r="AH75" t="str">
        <f t="shared" ca="1" si="23"/>
        <v/>
      </c>
      <c r="AI75" t="str">
        <f t="shared" ca="1" si="23"/>
        <v/>
      </c>
      <c r="AJ75" t="str">
        <f t="shared" ref="AJ75:AS76" ca="1" si="24">HLOOKUP(INDIRECT(ADDRESS(2,COLUMN())),OFFSET($AT$2,0,0,ROW()-1,40),ROW()-1,FALSE)</f>
        <v/>
      </c>
      <c r="AK75" t="str">
        <f t="shared" ca="1" si="24"/>
        <v/>
      </c>
      <c r="AL75" t="str">
        <f t="shared" ca="1" si="24"/>
        <v/>
      </c>
      <c r="AM75" t="str">
        <f t="shared" ca="1" si="24"/>
        <v/>
      </c>
      <c r="AN75" t="str">
        <f t="shared" ca="1" si="24"/>
        <v/>
      </c>
      <c r="AO75" t="str">
        <f t="shared" ca="1" si="24"/>
        <v/>
      </c>
      <c r="AP75" t="str">
        <f t="shared" ca="1" si="24"/>
        <v/>
      </c>
      <c r="AQ75" t="str">
        <f t="shared" ca="1" si="24"/>
        <v/>
      </c>
      <c r="AR75" t="str">
        <f t="shared" ca="1" si="24"/>
        <v/>
      </c>
      <c r="AS75" t="str">
        <f t="shared" ca="1" si="24"/>
        <v/>
      </c>
      <c r="AT75" t="str">
        <f>""</f>
        <v/>
      </c>
      <c r="AU75" t="str">
        <f>""</f>
        <v/>
      </c>
      <c r="AV75" t="str">
        <f>""</f>
        <v/>
      </c>
      <c r="AW75" t="str">
        <f>""</f>
        <v/>
      </c>
      <c r="AX75" t="str">
        <f>""</f>
        <v/>
      </c>
      <c r="AY75" t="str">
        <f>""</f>
        <v/>
      </c>
      <c r="AZ75" t="str">
        <f>""</f>
        <v/>
      </c>
      <c r="BA75" t="str">
        <f>""</f>
        <v/>
      </c>
      <c r="BB75" t="str">
        <f>""</f>
        <v/>
      </c>
      <c r="BC75" t="str">
        <f>""</f>
        <v/>
      </c>
      <c r="BD75" t="str">
        <f>""</f>
        <v/>
      </c>
      <c r="BE75" t="str">
        <f>""</f>
        <v/>
      </c>
      <c r="BF75" t="str">
        <f>""</f>
        <v/>
      </c>
      <c r="BG75" t="str">
        <f>""</f>
        <v/>
      </c>
      <c r="BH75" t="str">
        <f>""</f>
        <v/>
      </c>
      <c r="BI75" t="str">
        <f>""</f>
        <v/>
      </c>
      <c r="BJ75" t="str">
        <f>""</f>
        <v/>
      </c>
      <c r="BK75" t="str">
        <f>""</f>
        <v/>
      </c>
      <c r="BL75" t="str">
        <f>""</f>
        <v/>
      </c>
      <c r="BM75" t="str">
        <f>""</f>
        <v/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</row>
    <row r="76" spans="1:85" x14ac:dyDescent="0.2">
      <c r="A76" t="str">
        <f>"        "</f>
        <v xml:space="preserve">        </v>
      </c>
      <c r="B76" t="str">
        <f>""</f>
        <v/>
      </c>
      <c r="E76" t="str">
        <f>"Static"</f>
        <v>Static</v>
      </c>
      <c r="F76" t="str">
        <f t="shared" ca="1" si="21"/>
        <v/>
      </c>
      <c r="G76" t="str">
        <f t="shared" ca="1" si="21"/>
        <v/>
      </c>
      <c r="H76" t="str">
        <f t="shared" ca="1" si="21"/>
        <v/>
      </c>
      <c r="I76" t="str">
        <f t="shared" ca="1" si="21"/>
        <v/>
      </c>
      <c r="J76" t="str">
        <f t="shared" ca="1" si="21"/>
        <v/>
      </c>
      <c r="K76" t="str">
        <f t="shared" ca="1" si="21"/>
        <v/>
      </c>
      <c r="L76" t="str">
        <f t="shared" ca="1" si="21"/>
        <v/>
      </c>
      <c r="M76" t="str">
        <f t="shared" ca="1" si="21"/>
        <v/>
      </c>
      <c r="N76" t="str">
        <f t="shared" ca="1" si="21"/>
        <v/>
      </c>
      <c r="O76" t="str">
        <f t="shared" ca="1" si="21"/>
        <v/>
      </c>
      <c r="P76" t="str">
        <f t="shared" ca="1" si="22"/>
        <v/>
      </c>
      <c r="Q76" t="str">
        <f t="shared" ca="1" si="22"/>
        <v/>
      </c>
      <c r="R76" t="str">
        <f t="shared" ca="1" si="22"/>
        <v/>
      </c>
      <c r="S76" t="str">
        <f t="shared" ca="1" si="22"/>
        <v/>
      </c>
      <c r="T76" t="str">
        <f t="shared" ca="1" si="22"/>
        <v/>
      </c>
      <c r="U76" t="str">
        <f t="shared" ca="1" si="22"/>
        <v/>
      </c>
      <c r="V76" t="str">
        <f t="shared" ca="1" si="22"/>
        <v/>
      </c>
      <c r="W76" t="str">
        <f t="shared" ca="1" si="22"/>
        <v/>
      </c>
      <c r="X76" t="str">
        <f t="shared" ca="1" si="22"/>
        <v/>
      </c>
      <c r="Y76" t="str">
        <f t="shared" ca="1" si="22"/>
        <v/>
      </c>
      <c r="Z76" t="str">
        <f t="shared" ca="1" si="23"/>
        <v/>
      </c>
      <c r="AA76" t="str">
        <f t="shared" ca="1" si="23"/>
        <v/>
      </c>
      <c r="AB76" t="str">
        <f t="shared" ca="1" si="23"/>
        <v/>
      </c>
      <c r="AC76" t="str">
        <f t="shared" ca="1" si="23"/>
        <v/>
      </c>
      <c r="AD76" t="str">
        <f t="shared" ca="1" si="23"/>
        <v/>
      </c>
      <c r="AE76" t="str">
        <f t="shared" ca="1" si="23"/>
        <v/>
      </c>
      <c r="AF76" t="str">
        <f t="shared" ca="1" si="23"/>
        <v/>
      </c>
      <c r="AG76" t="str">
        <f t="shared" ca="1" si="23"/>
        <v/>
      </c>
      <c r="AH76" t="str">
        <f t="shared" ca="1" si="23"/>
        <v/>
      </c>
      <c r="AI76" t="str">
        <f t="shared" ca="1" si="23"/>
        <v/>
      </c>
      <c r="AJ76" t="str">
        <f t="shared" ca="1" si="24"/>
        <v/>
      </c>
      <c r="AK76" t="str">
        <f t="shared" ca="1" si="24"/>
        <v/>
      </c>
      <c r="AL76" t="str">
        <f t="shared" ca="1" si="24"/>
        <v/>
      </c>
      <c r="AM76" t="str">
        <f t="shared" ca="1" si="24"/>
        <v/>
      </c>
      <c r="AN76" t="str">
        <f t="shared" ca="1" si="24"/>
        <v/>
      </c>
      <c r="AO76" t="str">
        <f t="shared" ca="1" si="24"/>
        <v/>
      </c>
      <c r="AP76" t="str">
        <f t="shared" ca="1" si="24"/>
        <v/>
      </c>
      <c r="AQ76" t="str">
        <f t="shared" ca="1" si="24"/>
        <v/>
      </c>
      <c r="AR76" t="str">
        <f t="shared" ca="1" si="24"/>
        <v/>
      </c>
      <c r="AS76" t="str">
        <f t="shared" ca="1" si="24"/>
        <v/>
      </c>
      <c r="AT76" t="str">
        <f>""</f>
        <v/>
      </c>
      <c r="AU76" t="str">
        <f>""</f>
        <v/>
      </c>
      <c r="AV76" t="str">
        <f>""</f>
        <v/>
      </c>
      <c r="AW76" t="str">
        <f>""</f>
        <v/>
      </c>
      <c r="AX76" t="str">
        <f>""</f>
        <v/>
      </c>
      <c r="AY76" t="str">
        <f>""</f>
        <v/>
      </c>
      <c r="AZ76" t="str">
        <f>""</f>
        <v/>
      </c>
      <c r="BA76" t="str">
        <f>""</f>
        <v/>
      </c>
      <c r="BB76" t="str">
        <f>""</f>
        <v/>
      </c>
      <c r="BC76" t="str">
        <f>""</f>
        <v/>
      </c>
      <c r="BD76" t="str">
        <f>""</f>
        <v/>
      </c>
      <c r="BE76" t="str">
        <f>""</f>
        <v/>
      </c>
      <c r="BF76" t="str">
        <f>""</f>
        <v/>
      </c>
      <c r="BG76" t="str">
        <f>""</f>
        <v/>
      </c>
      <c r="BH76" t="str">
        <f>""</f>
        <v/>
      </c>
      <c r="BI76" t="str">
        <f>""</f>
        <v/>
      </c>
      <c r="BJ76" t="str">
        <f>""</f>
        <v/>
      </c>
      <c r="BK76" t="str">
        <f>""</f>
        <v/>
      </c>
      <c r="BL76" t="str">
        <f>""</f>
        <v/>
      </c>
      <c r="BM76" t="str">
        <f>""</f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</row>
    <row r="77" spans="1:85" x14ac:dyDescent="0.2">
      <c r="A77" t="str">
        <f>"        U.S. Constant Quality House Price Index (2005=100)"</f>
        <v xml:space="preserve">        U.S. Constant Quality House Price Index (2005=100)</v>
      </c>
      <c r="B77" t="str">
        <f>"CQHPINDX Index"</f>
        <v>CQHPINDX Index</v>
      </c>
      <c r="C77" t="str">
        <f>"PR005"</f>
        <v>PR005</v>
      </c>
      <c r="D77" t="str">
        <f>"PX_LAST"</f>
        <v>PX_LAST</v>
      </c>
      <c r="E77" t="str">
        <f>"Dynamic"</f>
        <v>Dynamic</v>
      </c>
      <c r="F77">
        <f ca="1">IF(AND(ISNUMBER($F$169),$B$113=1),$F$169,HLOOKUP(INDIRECT(ADDRESS(2,COLUMN())),OFFSET($AT$2,0,0,ROW()-1,40),ROW()-1,FALSE))</f>
        <v>196.5</v>
      </c>
      <c r="G77">
        <f ca="1">IF(AND(ISNUMBER($G$169),$B$113=1),$G$169,HLOOKUP(INDIRECT(ADDRESS(2,COLUMN())),OFFSET($AT$2,0,0,ROW()-1,40),ROW()-1,FALSE))</f>
        <v>195.8</v>
      </c>
      <c r="H77">
        <f ca="1">IF(AND(ISNUMBER($H$169),$B$113=1),$H$169,HLOOKUP(INDIRECT(ADDRESS(2,COLUMN())),OFFSET($AT$2,0,0,ROW()-1,40),ROW()-1,FALSE))</f>
        <v>175.8</v>
      </c>
      <c r="I77">
        <f ca="1">IF(AND(ISNUMBER($I$169),$B$113=1),$I$169,HLOOKUP(INDIRECT(ADDRESS(2,COLUMN())),OFFSET($AT$2,0,0,ROW()-1,40),ROW()-1,FALSE))</f>
        <v>144.6</v>
      </c>
      <c r="J77">
        <f ca="1">IF(AND(ISNUMBER($J$169),$B$113=1),$J$169,HLOOKUP(INDIRECT(ADDRESS(2,COLUMN())),OFFSET($AT$2,0,0,ROW()-1,40),ROW()-1,FALSE))</f>
        <v>137.1</v>
      </c>
      <c r="K77">
        <f ca="1">IF(AND(ISNUMBER($K$169),$B$113=1),$K$169,HLOOKUP(INDIRECT(ADDRESS(2,COLUMN())),OFFSET($AT$2,0,0,ROW()-1,40),ROW()-1,FALSE))</f>
        <v>135.1</v>
      </c>
      <c r="L77">
        <f ca="1">IF(AND(ISNUMBER($L$169),$B$113=1),$L$169,HLOOKUP(INDIRECT(ADDRESS(2,COLUMN())),OFFSET($AT$2,0,0,ROW()-1,40),ROW()-1,FALSE))</f>
        <v>127.8</v>
      </c>
      <c r="M77">
        <f ca="1">IF(AND(ISNUMBER($M$169),$B$113=1),$M$169,HLOOKUP(INDIRECT(ADDRESS(2,COLUMN())),OFFSET($AT$2,0,0,ROW()-1,40),ROW()-1,FALSE))</f>
        <v>123.7</v>
      </c>
      <c r="N77">
        <f ca="1">IF(AND(ISNUMBER($N$169),$B$113=1),$N$169,HLOOKUP(INDIRECT(ADDRESS(2,COLUMN())),OFFSET($AT$2,0,0,ROW()-1,40),ROW()-1,FALSE))</f>
        <v>116.9</v>
      </c>
      <c r="O77">
        <f ca="1">IF(AND(ISNUMBER($O$169),$B$113=1),$O$169,HLOOKUP(INDIRECT(ADDRESS(2,COLUMN())),OFFSET($AT$2,0,0,ROW()-1,40),ROW()-1,FALSE))</f>
        <v>114.4</v>
      </c>
      <c r="P77">
        <f ca="1">IF(AND(ISNUMBER($P$169),$B$113=1),$P$169,HLOOKUP(INDIRECT(ADDRESS(2,COLUMN())),OFFSET($AT$2,0,0,ROW()-1,40),ROW()-1,FALSE))</f>
        <v>105.8</v>
      </c>
      <c r="Q77">
        <f ca="1">IF(AND(ISNUMBER($Q$169),$B$113=1),$Q$169,HLOOKUP(INDIRECT(ADDRESS(2,COLUMN())),OFFSET($AT$2,0,0,ROW()-1,40),ROW()-1,FALSE))</f>
        <v>100</v>
      </c>
      <c r="R77">
        <f ca="1">IF(AND(ISNUMBER($R$169),$B$113=1),$R$169,HLOOKUP(INDIRECT(ADDRESS(2,COLUMN())),OFFSET($AT$2,0,0,ROW()-1,40),ROW()-1,FALSE))</f>
        <v>94</v>
      </c>
      <c r="S77">
        <f ca="1">IF(AND(ISNUMBER($S$169),$B$113=1),$S$169,HLOOKUP(INDIRECT(ADDRESS(2,COLUMN())),OFFSET($AT$2,0,0,ROW()-1,40),ROW()-1,FALSE))</f>
        <v>96.3</v>
      </c>
      <c r="T77">
        <f ca="1">IF(AND(ISNUMBER($T$169),$B$113=1),$T$169,HLOOKUP(INDIRECT(ADDRESS(2,COLUMN())),OFFSET($AT$2,0,0,ROW()-1,40),ROW()-1,FALSE))</f>
        <v>96.2</v>
      </c>
      <c r="U77">
        <f ca="1">IF(AND(ISNUMBER($U$169),$B$113=1),$U$169,HLOOKUP(INDIRECT(ADDRESS(2,COLUMN())),OFFSET($AT$2,0,0,ROW()-1,40),ROW()-1,FALSE))</f>
        <v>95.7</v>
      </c>
      <c r="V77">
        <f ca="1">IF(AND(ISNUMBER($V$169),$B$113=1),$V$169,HLOOKUP(INDIRECT(ADDRESS(2,COLUMN())),OFFSET($AT$2,0,0,ROW()-1,40),ROW()-1,FALSE))</f>
        <v>102.1</v>
      </c>
      <c r="W77">
        <f ca="1">IF(AND(ISNUMBER($W$169),$B$113=1),$W$169,HLOOKUP(INDIRECT(ADDRESS(2,COLUMN())),OFFSET($AT$2,0,0,ROW()-1,40),ROW()-1,FALSE))</f>
        <v>103.8</v>
      </c>
      <c r="X77">
        <f ca="1">IF(AND(ISNUMBER($X$169),$B$113=1),$X$169,HLOOKUP(INDIRECT(ADDRESS(2,COLUMN())),OFFSET($AT$2,0,0,ROW()-1,40),ROW()-1,FALSE))</f>
        <v>103.9</v>
      </c>
      <c r="Y77">
        <f ca="1">IF(AND(ISNUMBER($Y$169),$B$113=1),$Y$169,HLOOKUP(INDIRECT(ADDRESS(2,COLUMN())),OFFSET($AT$2,0,0,ROW()-1,40),ROW()-1,FALSE))</f>
        <v>95</v>
      </c>
      <c r="Z77">
        <f ca="1">IF(AND(ISNUMBER($Z$169),$B$113=1),$Z$169,HLOOKUP(INDIRECT(ADDRESS(2,COLUMN())),OFFSET($AT$2,0,0,ROW()-1,40),ROW()-1,FALSE))</f>
        <v>88.5</v>
      </c>
      <c r="AA77">
        <f ca="1">IF(AND(ISNUMBER($AA$169),$B$113=1),$AA$169,HLOOKUP(INDIRECT(ADDRESS(2,COLUMN())),OFFSET($AT$2,0,0,ROW()-1,40),ROW()-1,FALSE))</f>
        <v>83.8</v>
      </c>
      <c r="AB77">
        <f ca="1">IF(AND(ISNUMBER($AB$169),$B$113=1),$AB$169,HLOOKUP(INDIRECT(ADDRESS(2,COLUMN())),OFFSET($AT$2,0,0,ROW()-1,40),ROW()-1,FALSE))</f>
        <v>79.099999999999994</v>
      </c>
      <c r="AC77">
        <f ca="1">IF(AND(ISNUMBER($AC$169),$B$113=1),$AC$169,HLOOKUP(INDIRECT(ADDRESS(2,COLUMN())),OFFSET($AT$2,0,0,ROW()-1,40),ROW()-1,FALSE))</f>
        <v>76.2</v>
      </c>
      <c r="AD77">
        <f ca="1">IF(AND(ISNUMBER($AD$169),$B$113=1),$AD$169,HLOOKUP(INDIRECT(ADDRESS(2,COLUMN())),OFFSET($AT$2,0,0,ROW()-1,40),ROW()-1,FALSE))</f>
        <v>73</v>
      </c>
      <c r="AE77">
        <f ca="1">IF(AND(ISNUMBER($AE$169),$B$113=1),$AE$169,HLOOKUP(INDIRECT(ADDRESS(2,COLUMN())),OFFSET($AT$2,0,0,ROW()-1,40),ROW()-1,FALSE))</f>
        <v>70.099999999999994</v>
      </c>
      <c r="AF77">
        <f ca="1">IF(AND(ISNUMBER($AF$169),$B$113=1),$AF$169,HLOOKUP(INDIRECT(ADDRESS(2,COLUMN())),OFFSET($AT$2,0,0,ROW()-1,40),ROW()-1,FALSE))</f>
        <v>67.099999999999994</v>
      </c>
      <c r="AG77">
        <f ca="1">IF(AND(ISNUMBER($AG$169),$B$113=1),$AG$169,HLOOKUP(INDIRECT(ADDRESS(2,COLUMN())),OFFSET($AT$2,0,0,ROW()-1,40),ROW()-1,FALSE))</f>
        <v>65.599999999999994</v>
      </c>
      <c r="AH77">
        <f ca="1">IF(AND(ISNUMBER($AH$169),$B$113=1),$AH$169,HLOOKUP(INDIRECT(ADDRESS(2,COLUMN())),OFFSET($AT$2,0,0,ROW()-1,40),ROW()-1,FALSE))</f>
        <v>63.6</v>
      </c>
      <c r="AI77">
        <f ca="1">IF(AND(ISNUMBER($AI$169),$B$113=1),$AI$169,HLOOKUP(INDIRECT(ADDRESS(2,COLUMN())),OFFSET($AT$2,0,0,ROW()-1,40),ROW()-1,FALSE))</f>
        <v>63.4</v>
      </c>
      <c r="AJ77">
        <f ca="1">IF(AND(ISNUMBER($AJ$169),$B$113=1),$AJ$169,HLOOKUP(INDIRECT(ADDRESS(2,COLUMN())),OFFSET($AT$2,0,0,ROW()-1,40),ROW()-1,FALSE))</f>
        <v>59.6</v>
      </c>
      <c r="AK77">
        <f ca="1">IF(AND(ISNUMBER($AK$169),$B$113=1),$AK$169,HLOOKUP(INDIRECT(ADDRESS(2,COLUMN())),OFFSET($AT$2,0,0,ROW()-1,40),ROW()-1,FALSE))</f>
        <v>58.2</v>
      </c>
      <c r="AL77">
        <f ca="1">IF(AND(ISNUMBER($AL$169),$B$113=1),$AL$169,HLOOKUP(INDIRECT(ADDRESS(2,COLUMN())),OFFSET($AT$2,0,0,ROW()-1,40),ROW()-1,FALSE))</f>
        <v>56.18</v>
      </c>
      <c r="AM77">
        <f ca="1">IF(AND(ISNUMBER($AM$169),$B$113=1),$AM$169,HLOOKUP(INDIRECT(ADDRESS(2,COLUMN())),OFFSET($AT$2,0,0,ROW()-1,40),ROW()-1,FALSE))</f>
        <v>55.72</v>
      </c>
      <c r="AN77">
        <f ca="1">IF(AND(ISNUMBER($AN$169),$B$113=1),$AN$169,HLOOKUP(INDIRECT(ADDRESS(2,COLUMN())),OFFSET($AT$2,0,0,ROW()-1,40),ROW()-1,FALSE))</f>
        <v>54.94</v>
      </c>
      <c r="AO77">
        <f ca="1">IF(AND(ISNUMBER($AO$169),$B$113=1),$AO$169,HLOOKUP(INDIRECT(ADDRESS(2,COLUMN())),OFFSET($AT$2,0,0,ROW()-1,40),ROW()-1,FALSE))</f>
        <v>53.11</v>
      </c>
      <c r="AP77">
        <f ca="1">IF(AND(ISNUMBER($AP$169),$B$113=1),$AP$169,HLOOKUP(INDIRECT(ADDRESS(2,COLUMN())),OFFSET($AT$2,0,0,ROW()-1,40),ROW()-1,FALSE))</f>
        <v>51.67</v>
      </c>
      <c r="AQ77">
        <f ca="1">IF(AND(ISNUMBER($AQ$169),$B$113=1),$AQ$169,HLOOKUP(INDIRECT(ADDRESS(2,COLUMN())),OFFSET($AT$2,0,0,ROW()-1,40),ROW()-1,FALSE))</f>
        <v>48.66</v>
      </c>
      <c r="AR77">
        <f ca="1">IF(AND(ISNUMBER($AR$169),$B$113=1),$AR$169,HLOOKUP(INDIRECT(ADDRESS(2,COLUMN())),OFFSET($AT$2,0,0,ROW()-1,40),ROW()-1,FALSE))</f>
        <v>46.89</v>
      </c>
      <c r="AS77">
        <f ca="1">IF(AND(ISNUMBER($AS$169),$B$113=1),$AS$169,HLOOKUP(INDIRECT(ADDRESS(2,COLUMN())),OFFSET($AT$2,0,0,ROW()-1,40),ROW()-1,FALSE))</f>
        <v>46.76</v>
      </c>
      <c r="AT77">
        <f>196.5</f>
        <v>196.5</v>
      </c>
      <c r="AU77">
        <f>195.8</f>
        <v>195.8</v>
      </c>
      <c r="AV77">
        <f>175.8</f>
        <v>175.8</v>
      </c>
      <c r="AW77">
        <f>144.6</f>
        <v>144.6</v>
      </c>
      <c r="AX77">
        <f>137.1</f>
        <v>137.1</v>
      </c>
      <c r="AY77">
        <f>135.1</f>
        <v>135.1</v>
      </c>
      <c r="AZ77">
        <f>127.8</f>
        <v>127.8</v>
      </c>
      <c r="BA77">
        <f>123.7</f>
        <v>123.7</v>
      </c>
      <c r="BB77">
        <f>116.9</f>
        <v>116.9</v>
      </c>
      <c r="BC77">
        <f>114.4</f>
        <v>114.4</v>
      </c>
      <c r="BD77">
        <f>105.8</f>
        <v>105.8</v>
      </c>
      <c r="BE77">
        <f>100</f>
        <v>100</v>
      </c>
      <c r="BF77">
        <f>94</f>
        <v>94</v>
      </c>
      <c r="BG77">
        <f>96.3</f>
        <v>96.3</v>
      </c>
      <c r="BH77">
        <f>96.2</f>
        <v>96.2</v>
      </c>
      <c r="BI77">
        <f>95.7</f>
        <v>95.7</v>
      </c>
      <c r="BJ77">
        <f>102.1</f>
        <v>102.1</v>
      </c>
      <c r="BK77">
        <f>103.8</f>
        <v>103.8</v>
      </c>
      <c r="BL77">
        <f>103.9</f>
        <v>103.9</v>
      </c>
      <c r="BM77">
        <f>95</f>
        <v>95</v>
      </c>
      <c r="BN77">
        <f>88.5</f>
        <v>88.5</v>
      </c>
      <c r="BO77">
        <f>83.8</f>
        <v>83.8</v>
      </c>
      <c r="BP77">
        <f>79.1</f>
        <v>79.099999999999994</v>
      </c>
      <c r="BQ77">
        <f>76.2</f>
        <v>76.2</v>
      </c>
      <c r="BR77">
        <f>73</f>
        <v>73</v>
      </c>
      <c r="BS77">
        <f>70.1</f>
        <v>70.099999999999994</v>
      </c>
      <c r="BT77">
        <f>67.1</f>
        <v>67.099999999999994</v>
      </c>
      <c r="BU77">
        <f>65.6</f>
        <v>65.599999999999994</v>
      </c>
      <c r="BV77">
        <f>63.6</f>
        <v>63.6</v>
      </c>
      <c r="BW77">
        <f>63.4</f>
        <v>63.4</v>
      </c>
      <c r="BX77">
        <f>59.6</f>
        <v>59.6</v>
      </c>
      <c r="BY77">
        <f>58.2</f>
        <v>58.2</v>
      </c>
      <c r="BZ77">
        <f>56.18</f>
        <v>56.18</v>
      </c>
      <c r="CA77">
        <f>55.72</f>
        <v>55.72</v>
      </c>
      <c r="CB77">
        <f>54.94</f>
        <v>54.94</v>
      </c>
      <c r="CC77">
        <f>53.11</f>
        <v>53.11</v>
      </c>
      <c r="CD77">
        <f>51.67</f>
        <v>51.67</v>
      </c>
      <c r="CE77">
        <f>48.66</f>
        <v>48.66</v>
      </c>
      <c r="CF77">
        <f>46.89</f>
        <v>46.89</v>
      </c>
      <c r="CG77">
        <f>46.76</f>
        <v>46.76</v>
      </c>
    </row>
    <row r="78" spans="1:85" x14ac:dyDescent="0.2">
      <c r="A78" t="str">
        <f>"            YoY %"</f>
        <v xml:space="preserve">            YoY %</v>
      </c>
      <c r="B78" t="str">
        <f>"CQHPYOY Index"</f>
        <v>CQHPYOY Index</v>
      </c>
      <c r="C78" t="str">
        <f>"PR005"</f>
        <v>PR005</v>
      </c>
      <c r="D78" t="str">
        <f>"PX_LAST"</f>
        <v>PX_LAST</v>
      </c>
      <c r="E78" t="str">
        <f>"Dynamic"</f>
        <v>Dynamic</v>
      </c>
      <c r="F78">
        <f ca="1">IF(AND(ISNUMBER($F$170),$B$113=1),$F$170,HLOOKUP(INDIRECT(ADDRESS(2,COLUMN())),OFFSET($AT$2,0,0,ROW()-1,40),ROW()-1,FALSE))</f>
        <v>1.1322700000000001</v>
      </c>
      <c r="G78">
        <f ca="1">IF(AND(ISNUMBER($G$170),$B$113=1),$G$170,HLOOKUP(INDIRECT(ADDRESS(2,COLUMN())),OFFSET($AT$2,0,0,ROW()-1,40),ROW()-1,FALSE))</f>
        <v>11.37656</v>
      </c>
      <c r="H78">
        <f ca="1">IF(AND(ISNUMBER($H$170),$B$113=1),$H$170,HLOOKUP(INDIRECT(ADDRESS(2,COLUMN())),OFFSET($AT$2,0,0,ROW()-1,40),ROW()-1,FALSE))</f>
        <v>21.57676</v>
      </c>
      <c r="I78">
        <f ca="1">IF(AND(ISNUMBER($I$170),$B$113=1),$I$170,HLOOKUP(INDIRECT(ADDRESS(2,COLUMN())),OFFSET($AT$2,0,0,ROW()-1,40),ROW()-1,FALSE))</f>
        <v>5.4704600000000001</v>
      </c>
      <c r="J78">
        <f ca="1">IF(AND(ISNUMBER($J$170),$B$113=1),$J$170,HLOOKUP(INDIRECT(ADDRESS(2,COLUMN())),OFFSET($AT$2,0,0,ROW()-1,40),ROW()-1,FALSE))</f>
        <v>1.48038</v>
      </c>
      <c r="K78">
        <f ca="1">IF(AND(ISNUMBER($K$170),$B$113=1),$K$170,HLOOKUP(INDIRECT(ADDRESS(2,COLUMN())),OFFSET($AT$2,0,0,ROW()-1,40),ROW()-1,FALSE))</f>
        <v>5.7120499999999996</v>
      </c>
      <c r="L78">
        <f ca="1">IF(AND(ISNUMBER($L$170),$B$113=1),$L$170,HLOOKUP(INDIRECT(ADDRESS(2,COLUMN())),OFFSET($AT$2,0,0,ROW()-1,40),ROW()-1,FALSE))</f>
        <v>3.3144800000000001</v>
      </c>
      <c r="M78">
        <f ca="1">IF(AND(ISNUMBER($M$170),$B$113=1),$M$170,HLOOKUP(INDIRECT(ADDRESS(2,COLUMN())),OFFSET($AT$2,0,0,ROW()-1,40),ROW()-1,FALSE))</f>
        <v>5.8169300000000002</v>
      </c>
      <c r="N78">
        <f ca="1">IF(AND(ISNUMBER($N$170),$B$113=1),$N$170,HLOOKUP(INDIRECT(ADDRESS(2,COLUMN())),OFFSET($AT$2,0,0,ROW()-1,40),ROW()-1,FALSE))</f>
        <v>2.1853099999999999</v>
      </c>
      <c r="O78">
        <f ca="1">IF(AND(ISNUMBER($O$170),$B$113=1),$O$170,HLOOKUP(INDIRECT(ADDRESS(2,COLUMN())),OFFSET($AT$2,0,0,ROW()-1,40),ROW()-1,FALSE))</f>
        <v>8.1285399999999992</v>
      </c>
      <c r="P78">
        <f ca="1">IF(AND(ISNUMBER($P$170),$B$113=1),$P$170,HLOOKUP(INDIRECT(ADDRESS(2,COLUMN())),OFFSET($AT$2,0,0,ROW()-1,40),ROW()-1,FALSE))</f>
        <v>5.8</v>
      </c>
      <c r="Q78">
        <f ca="1">IF(AND(ISNUMBER($Q$170),$B$113=1),$Q$170,HLOOKUP(INDIRECT(ADDRESS(2,COLUMN())),OFFSET($AT$2,0,0,ROW()-1,40),ROW()-1,FALSE))</f>
        <v>6.3829799999999999</v>
      </c>
      <c r="R78">
        <f ca="1">IF(AND(ISNUMBER($R$170),$B$113=1),$R$170,HLOOKUP(INDIRECT(ADDRESS(2,COLUMN())),OFFSET($AT$2,0,0,ROW()-1,40),ROW()-1,FALSE))</f>
        <v>-2.3883700000000001</v>
      </c>
      <c r="S78">
        <f ca="1">IF(AND(ISNUMBER($S$170),$B$113=1),$S$170,HLOOKUP(INDIRECT(ADDRESS(2,COLUMN())),OFFSET($AT$2,0,0,ROW()-1,40),ROW()-1,FALSE))</f>
        <v>0.10396</v>
      </c>
      <c r="T78">
        <f ca="1">IF(AND(ISNUMBER($T$170),$B$113=1),$T$170,HLOOKUP(INDIRECT(ADDRESS(2,COLUMN())),OFFSET($AT$2,0,0,ROW()-1,40),ROW()-1,FALSE))</f>
        <v>0.52246999999999999</v>
      </c>
      <c r="U78">
        <f ca="1">IF(AND(ISNUMBER($U$170),$B$113=1),$U$170,HLOOKUP(INDIRECT(ADDRESS(2,COLUMN())),OFFSET($AT$2,0,0,ROW()-1,40),ROW()-1,FALSE))</f>
        <v>-6.26837</v>
      </c>
      <c r="V78">
        <f ca="1">IF(AND(ISNUMBER($V$170),$B$113=1),$V$170,HLOOKUP(INDIRECT(ADDRESS(2,COLUMN())),OFFSET($AT$2,0,0,ROW()-1,40),ROW()-1,FALSE))</f>
        <v>-1.6377699999999999</v>
      </c>
      <c r="W78">
        <f ca="1">IF(AND(ISNUMBER($W$170),$B$113=1),$W$170,HLOOKUP(INDIRECT(ADDRESS(2,COLUMN())),OFFSET($AT$2,0,0,ROW()-1,40),ROW()-1,FALSE))</f>
        <v>-9.6240000000000006E-2</v>
      </c>
      <c r="X78">
        <f ca="1">IF(AND(ISNUMBER($X$170),$B$113=1),$X$170,HLOOKUP(INDIRECT(ADDRESS(2,COLUMN())),OFFSET($AT$2,0,0,ROW()-1,40),ROW()-1,FALSE))</f>
        <v>9.3684200000000004</v>
      </c>
      <c r="Y78">
        <f ca="1">IF(AND(ISNUMBER($Y$170),$B$113=1),$Y$170,HLOOKUP(INDIRECT(ADDRESS(2,COLUMN())),OFFSET($AT$2,0,0,ROW()-1,40),ROW()-1,FALSE))</f>
        <v>7.3446300000000004</v>
      </c>
      <c r="Z78">
        <f ca="1">IF(AND(ISNUMBER($Z$170),$B$113=1),$Z$170,HLOOKUP(INDIRECT(ADDRESS(2,COLUMN())),OFFSET($AT$2,0,0,ROW()-1,40),ROW()-1,FALSE))</f>
        <v>5.6085900000000004</v>
      </c>
      <c r="AA78">
        <f ca="1">IF(AND(ISNUMBER($AA$170),$B$113=1),$AA$170,HLOOKUP(INDIRECT(ADDRESS(2,COLUMN())),OFFSET($AT$2,0,0,ROW()-1,40),ROW()-1,FALSE))</f>
        <v>5.9418499999999996</v>
      </c>
      <c r="AB78">
        <f ca="1">IF(AND(ISNUMBER($AB$170),$B$113=1),$AB$170,HLOOKUP(INDIRECT(ADDRESS(2,COLUMN())),OFFSET($AT$2,0,0,ROW()-1,40),ROW()-1,FALSE))</f>
        <v>3.8057799999999999</v>
      </c>
      <c r="AC78">
        <f ca="1">IF(AND(ISNUMBER($AC$170),$B$113=1),$AC$170,HLOOKUP(INDIRECT(ADDRESS(2,COLUMN())),OFFSET($AT$2,0,0,ROW()-1,40),ROW()-1,FALSE))</f>
        <v>4.3835600000000001</v>
      </c>
      <c r="AD78">
        <f ca="1">IF(AND(ISNUMBER($AD$170),$B$113=1),$AD$170,HLOOKUP(INDIRECT(ADDRESS(2,COLUMN())),OFFSET($AT$2,0,0,ROW()-1,40),ROW()-1,FALSE))</f>
        <v>4.1369495399999998</v>
      </c>
      <c r="AE78">
        <f ca="1">IF(AND(ISNUMBER($AE$170),$B$113=1),$AE$170,HLOOKUP(INDIRECT(ADDRESS(2,COLUMN())),OFFSET($AT$2,0,0,ROW()-1,40),ROW()-1,FALSE))</f>
        <v>4.4709399999999997</v>
      </c>
      <c r="AF78">
        <f ca="1">IF(AND(ISNUMBER($AF$170),$B$113=1),$AF$170,HLOOKUP(INDIRECT(ADDRESS(2,COLUMN())),OFFSET($AT$2,0,0,ROW()-1,40),ROW()-1,FALSE))</f>
        <v>2.2865899999999999</v>
      </c>
      <c r="AG78">
        <f ca="1">IF(AND(ISNUMBER($AG$170),$B$113=1),$AG$170,HLOOKUP(INDIRECT(ADDRESS(2,COLUMN())),OFFSET($AT$2,0,0,ROW()-1,40),ROW()-1,FALSE))</f>
        <v>3.1446499999999999</v>
      </c>
      <c r="AH78">
        <f ca="1">IF(AND(ISNUMBER($AH$170),$B$113=1),$AH$170,HLOOKUP(INDIRECT(ADDRESS(2,COLUMN())),OFFSET($AT$2,0,0,ROW()-1,40),ROW()-1,FALSE))</f>
        <v>0.31545000000000001</v>
      </c>
      <c r="AI78">
        <f ca="1">IF(AND(ISNUMBER($AI$170),$B$113=1),$AI$170,HLOOKUP(INDIRECT(ADDRESS(2,COLUMN())),OFFSET($AT$2,0,0,ROW()-1,40),ROW()-1,FALSE))</f>
        <v>6.3758400000000002</v>
      </c>
      <c r="AJ78">
        <f ca="1">IF(AND(ISNUMBER($AJ$170),$B$113=1),$AJ$170,HLOOKUP(INDIRECT(ADDRESS(2,COLUMN())),OFFSET($AT$2,0,0,ROW()-1,40),ROW()-1,FALSE))</f>
        <v>2.4054899999999999</v>
      </c>
      <c r="AK78">
        <f ca="1">IF(AND(ISNUMBER($AK$170),$B$113=1),$AK$170,HLOOKUP(INDIRECT(ADDRESS(2,COLUMN())),OFFSET($AT$2,0,0,ROW()-1,40),ROW()-1,FALSE))</f>
        <v>3.5955900000000001</v>
      </c>
      <c r="AL78">
        <f ca="1">IF(AND(ISNUMBER($AL$170),$B$113=1),$AL$170,HLOOKUP(INDIRECT(ADDRESS(2,COLUMN())),OFFSET($AT$2,0,0,ROW()-1,40),ROW()-1,FALSE))</f>
        <v>0.82555000000000001</v>
      </c>
      <c r="AM78">
        <f ca="1">IF(AND(ISNUMBER($AM$170),$B$113=1),$AM$170,HLOOKUP(INDIRECT(ADDRESS(2,COLUMN())),OFFSET($AT$2,0,0,ROW()-1,40),ROW()-1,FALSE))</f>
        <v>1.41974</v>
      </c>
      <c r="AN78">
        <f ca="1">IF(AND(ISNUMBER($AN$170),$B$113=1),$AN$170,HLOOKUP(INDIRECT(ADDRESS(2,COLUMN())),OFFSET($AT$2,0,0,ROW()-1,40),ROW()-1,FALSE))</f>
        <v>3.4456699999999998</v>
      </c>
      <c r="AO78">
        <f ca="1">IF(AND(ISNUMBER($AO$170),$B$113=1),$AO$170,HLOOKUP(INDIRECT(ADDRESS(2,COLUMN())),OFFSET($AT$2,0,0,ROW()-1,40),ROW()-1,FALSE))</f>
        <v>2.7869199999999998</v>
      </c>
      <c r="AP78">
        <f ca="1">IF(AND(ISNUMBER($AP$170),$B$113=1),$AP$170,HLOOKUP(INDIRECT(ADDRESS(2,COLUMN())),OFFSET($AT$2,0,0,ROW()-1,40),ROW()-1,FALSE))</f>
        <v>6.1857800000000003</v>
      </c>
      <c r="AQ78">
        <f ca="1">IF(AND(ISNUMBER($AQ$170),$B$113=1),$AQ$170,HLOOKUP(INDIRECT(ADDRESS(2,COLUMN())),OFFSET($AT$2,0,0,ROW()-1,40),ROW()-1,FALSE))</f>
        <v>3.7747899999999999</v>
      </c>
      <c r="AR78">
        <f ca="1">IF(AND(ISNUMBER($AR$170),$B$113=1),$AR$170,HLOOKUP(INDIRECT(ADDRESS(2,COLUMN())),OFFSET($AT$2,0,0,ROW()-1,40),ROW()-1,FALSE))</f>
        <v>0.27801999999999999</v>
      </c>
      <c r="AS78">
        <f ca="1">IF(AND(ISNUMBER($AS$170),$B$113=1),$AS$170,HLOOKUP(INDIRECT(ADDRESS(2,COLUMN())),OFFSET($AT$2,0,0,ROW()-1,40),ROW()-1,FALSE))</f>
        <v>5.1495300000000004</v>
      </c>
      <c r="AT78">
        <f>1.13227</f>
        <v>1.1322700000000001</v>
      </c>
      <c r="AU78">
        <f>11.37656</f>
        <v>11.37656</v>
      </c>
      <c r="AV78">
        <f>21.57676</f>
        <v>21.57676</v>
      </c>
      <c r="AW78">
        <f>5.47046</f>
        <v>5.4704600000000001</v>
      </c>
      <c r="AX78">
        <f>1.48038</f>
        <v>1.48038</v>
      </c>
      <c r="AY78">
        <f>5.71205</f>
        <v>5.7120499999999996</v>
      </c>
      <c r="AZ78">
        <f>3.31448</f>
        <v>3.3144800000000001</v>
      </c>
      <c r="BA78">
        <f>5.81693</f>
        <v>5.8169300000000002</v>
      </c>
      <c r="BB78">
        <f>2.18531</f>
        <v>2.1853099999999999</v>
      </c>
      <c r="BC78">
        <f>8.12854</f>
        <v>8.1285399999999992</v>
      </c>
      <c r="BD78">
        <f>5.8</f>
        <v>5.8</v>
      </c>
      <c r="BE78">
        <f>6.38298</f>
        <v>6.3829799999999999</v>
      </c>
      <c r="BF78">
        <f>-2.38837</f>
        <v>-2.3883700000000001</v>
      </c>
      <c r="BG78">
        <f>0.10396</f>
        <v>0.10396</v>
      </c>
      <c r="BH78">
        <f>0.52247</f>
        <v>0.52246999999999999</v>
      </c>
      <c r="BI78">
        <f>-6.26837</f>
        <v>-6.26837</v>
      </c>
      <c r="BJ78">
        <f>-1.63777</f>
        <v>-1.6377699999999999</v>
      </c>
      <c r="BK78">
        <f>-0.09624</f>
        <v>-9.6240000000000006E-2</v>
      </c>
      <c r="BL78">
        <f>9.36842</f>
        <v>9.3684200000000004</v>
      </c>
      <c r="BM78">
        <f>7.34463</f>
        <v>7.3446300000000004</v>
      </c>
      <c r="BN78">
        <f>5.60859</f>
        <v>5.6085900000000004</v>
      </c>
      <c r="BO78">
        <f>5.94185</f>
        <v>5.9418499999999996</v>
      </c>
      <c r="BP78">
        <f>3.80578</f>
        <v>3.8057799999999999</v>
      </c>
      <c r="BQ78">
        <f>4.38356</f>
        <v>4.3835600000000001</v>
      </c>
      <c r="BR78">
        <f>4.13694954</f>
        <v>4.1369495399999998</v>
      </c>
      <c r="BS78">
        <f>4.47094</f>
        <v>4.4709399999999997</v>
      </c>
      <c r="BT78">
        <f>2.28659</f>
        <v>2.2865899999999999</v>
      </c>
      <c r="BU78">
        <f>3.14465</f>
        <v>3.1446499999999999</v>
      </c>
      <c r="BV78">
        <f>0.31545</f>
        <v>0.31545000000000001</v>
      </c>
      <c r="BW78">
        <f>6.37584</f>
        <v>6.3758400000000002</v>
      </c>
      <c r="BX78">
        <f>2.40549</f>
        <v>2.4054899999999999</v>
      </c>
      <c r="BY78">
        <f>3.59559</f>
        <v>3.5955900000000001</v>
      </c>
      <c r="BZ78">
        <f>0.82555</f>
        <v>0.82555000000000001</v>
      </c>
      <c r="CA78">
        <f>1.41974</f>
        <v>1.41974</v>
      </c>
      <c r="CB78">
        <f>3.44567</f>
        <v>3.4456699999999998</v>
      </c>
      <c r="CC78">
        <f>2.78692</f>
        <v>2.7869199999999998</v>
      </c>
      <c r="CD78">
        <f>6.18578</f>
        <v>6.1857800000000003</v>
      </c>
      <c r="CE78">
        <f>3.77479</f>
        <v>3.7747899999999999</v>
      </c>
      <c r="CF78">
        <f>0.27802</f>
        <v>0.27801999999999999</v>
      </c>
      <c r="CG78">
        <f>5.14953</f>
        <v>5.1495300000000004</v>
      </c>
    </row>
    <row r="79" spans="1:85" x14ac:dyDescent="0.2">
      <c r="A79" t="str">
        <f>"        "</f>
        <v xml:space="preserve">        </v>
      </c>
      <c r="B79" t="str">
        <f>""</f>
        <v/>
      </c>
      <c r="E79" t="str">
        <f>"Static"</f>
        <v>Static</v>
      </c>
      <c r="F79" t="str">
        <f t="shared" ref="F79:AS79" ca="1" si="25">HLOOKUP(INDIRECT(ADDRESS(2,COLUMN())),OFFSET($AT$2,0,0,ROW()-1,40),ROW()-1,FALSE)</f>
        <v/>
      </c>
      <c r="G79" t="str">
        <f t="shared" ca="1" si="25"/>
        <v/>
      </c>
      <c r="H79" t="str">
        <f t="shared" ca="1" si="25"/>
        <v/>
      </c>
      <c r="I79" t="str">
        <f t="shared" ca="1" si="25"/>
        <v/>
      </c>
      <c r="J79" t="str">
        <f t="shared" ca="1" si="25"/>
        <v/>
      </c>
      <c r="K79" t="str">
        <f t="shared" ca="1" si="25"/>
        <v/>
      </c>
      <c r="L79" t="str">
        <f t="shared" ca="1" si="25"/>
        <v/>
      </c>
      <c r="M79" t="str">
        <f t="shared" ca="1" si="25"/>
        <v/>
      </c>
      <c r="N79" t="str">
        <f t="shared" ca="1" si="25"/>
        <v/>
      </c>
      <c r="O79" t="str">
        <f t="shared" ca="1" si="25"/>
        <v/>
      </c>
      <c r="P79" t="str">
        <f t="shared" ca="1" si="25"/>
        <v/>
      </c>
      <c r="Q79" t="str">
        <f t="shared" ca="1" si="25"/>
        <v/>
      </c>
      <c r="R79" t="str">
        <f t="shared" ca="1" si="25"/>
        <v/>
      </c>
      <c r="S79" t="str">
        <f t="shared" ca="1" si="25"/>
        <v/>
      </c>
      <c r="T79" t="str">
        <f t="shared" ca="1" si="25"/>
        <v/>
      </c>
      <c r="U79" t="str">
        <f t="shared" ca="1" si="25"/>
        <v/>
      </c>
      <c r="V79" t="str">
        <f t="shared" ca="1" si="25"/>
        <v/>
      </c>
      <c r="W79" t="str">
        <f t="shared" ca="1" si="25"/>
        <v/>
      </c>
      <c r="X79" t="str">
        <f t="shared" ca="1" si="25"/>
        <v/>
      </c>
      <c r="Y79" t="str">
        <f t="shared" ca="1" si="25"/>
        <v/>
      </c>
      <c r="Z79" t="str">
        <f t="shared" ca="1" si="25"/>
        <v/>
      </c>
      <c r="AA79" t="str">
        <f t="shared" ca="1" si="25"/>
        <v/>
      </c>
      <c r="AB79" t="str">
        <f t="shared" ca="1" si="25"/>
        <v/>
      </c>
      <c r="AC79" t="str">
        <f t="shared" ca="1" si="25"/>
        <v/>
      </c>
      <c r="AD79" t="str">
        <f t="shared" ca="1" si="25"/>
        <v/>
      </c>
      <c r="AE79" t="str">
        <f t="shared" ca="1" si="25"/>
        <v/>
      </c>
      <c r="AF79" t="str">
        <f t="shared" ca="1" si="25"/>
        <v/>
      </c>
      <c r="AG79" t="str">
        <f t="shared" ca="1" si="25"/>
        <v/>
      </c>
      <c r="AH79" t="str">
        <f t="shared" ca="1" si="25"/>
        <v/>
      </c>
      <c r="AI79" t="str">
        <f t="shared" ca="1" si="25"/>
        <v/>
      </c>
      <c r="AJ79" t="str">
        <f t="shared" ca="1" si="25"/>
        <v/>
      </c>
      <c r="AK79" t="str">
        <f t="shared" ca="1" si="25"/>
        <v/>
      </c>
      <c r="AL79" t="str">
        <f t="shared" ca="1" si="25"/>
        <v/>
      </c>
      <c r="AM79" t="str">
        <f t="shared" ca="1" si="25"/>
        <v/>
      </c>
      <c r="AN79" t="str">
        <f t="shared" ca="1" si="25"/>
        <v/>
      </c>
      <c r="AO79" t="str">
        <f t="shared" ca="1" si="25"/>
        <v/>
      </c>
      <c r="AP79" t="str">
        <f t="shared" ca="1" si="25"/>
        <v/>
      </c>
      <c r="AQ79" t="str">
        <f t="shared" ca="1" si="25"/>
        <v/>
      </c>
      <c r="AR79" t="str">
        <f t="shared" ca="1" si="25"/>
        <v/>
      </c>
      <c r="AS79" t="str">
        <f t="shared" ca="1" si="25"/>
        <v/>
      </c>
      <c r="AT79" t="str">
        <f>""</f>
        <v/>
      </c>
      <c r="AU79" t="str">
        <f>""</f>
        <v/>
      </c>
      <c r="AV79" t="str">
        <f>""</f>
        <v/>
      </c>
      <c r="AW79" t="str">
        <f>""</f>
        <v/>
      </c>
      <c r="AX79" t="str">
        <f>""</f>
        <v/>
      </c>
      <c r="AY79" t="str">
        <f>""</f>
        <v/>
      </c>
      <c r="AZ79" t="str">
        <f>""</f>
        <v/>
      </c>
      <c r="BA79" t="str">
        <f>""</f>
        <v/>
      </c>
      <c r="BB79" t="str">
        <f>""</f>
        <v/>
      </c>
      <c r="BC79" t="str">
        <f>""</f>
        <v/>
      </c>
      <c r="BD79" t="str">
        <f>""</f>
        <v/>
      </c>
      <c r="BE79" t="str">
        <f>""</f>
        <v/>
      </c>
      <c r="BF79" t="str">
        <f>""</f>
        <v/>
      </c>
      <c r="BG79" t="str">
        <f>""</f>
        <v/>
      </c>
      <c r="BH79" t="str">
        <f>""</f>
        <v/>
      </c>
      <c r="BI79" t="str">
        <f>""</f>
        <v/>
      </c>
      <c r="BJ79" t="str">
        <f>""</f>
        <v/>
      </c>
      <c r="BK79" t="str">
        <f>""</f>
        <v/>
      </c>
      <c r="BL79" t="str">
        <f>""</f>
        <v/>
      </c>
      <c r="BM79" t="str">
        <f>""</f>
        <v/>
      </c>
      <c r="BN79" t="str">
        <f>""</f>
        <v/>
      </c>
      <c r="BO79" t="str">
        <f>""</f>
        <v/>
      </c>
      <c r="BP79" t="str">
        <f>""</f>
        <v/>
      </c>
      <c r="BQ79" t="str">
        <f>""</f>
        <v/>
      </c>
      <c r="BR79" t="str">
        <f>""</f>
        <v/>
      </c>
      <c r="BS79" t="str">
        <f>""</f>
        <v/>
      </c>
      <c r="BT79" t="str">
        <f>""</f>
        <v/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</row>
    <row r="80" spans="1:85" x14ac:dyDescent="0.2">
      <c r="A80" t="str">
        <f>"        Source: U.S. Census Bureau"</f>
        <v xml:space="preserve">        Source: U.S. Census Bureau</v>
      </c>
      <c r="B80" t="str">
        <f>""</f>
        <v/>
      </c>
      <c r="E80" t="str">
        <f>"Heading"</f>
        <v>Heading</v>
      </c>
      <c r="AT80" t="str">
        <f>""</f>
        <v/>
      </c>
      <c r="AU80" t="str">
        <f>""</f>
        <v/>
      </c>
      <c r="AV80" t="str">
        <f>""</f>
        <v/>
      </c>
      <c r="AW80" t="str">
        <f>""</f>
        <v/>
      </c>
      <c r="AX80" t="str">
        <f>""</f>
        <v/>
      </c>
      <c r="AY80" t="str">
        <f>""</f>
        <v/>
      </c>
      <c r="AZ80" t="str">
        <f>""</f>
        <v/>
      </c>
      <c r="BA80" t="str">
        <f>""</f>
        <v/>
      </c>
      <c r="BB80" t="str">
        <f>""</f>
        <v/>
      </c>
      <c r="BC80" t="str">
        <f>""</f>
        <v/>
      </c>
      <c r="BD80" t="str">
        <f>""</f>
        <v/>
      </c>
      <c r="BE80" t="str">
        <f>""</f>
        <v/>
      </c>
      <c r="BF80" t="str">
        <f>""</f>
        <v/>
      </c>
      <c r="BG80" t="str">
        <f>""</f>
        <v/>
      </c>
      <c r="BH80" t="str">
        <f>""</f>
        <v/>
      </c>
      <c r="BI80" t="str">
        <f>""</f>
        <v/>
      </c>
      <c r="BJ80" t="str">
        <f>""</f>
        <v/>
      </c>
      <c r="BK80" t="str">
        <f>""</f>
        <v/>
      </c>
      <c r="BL80" t="str">
        <f>""</f>
        <v/>
      </c>
      <c r="BM80" t="str">
        <f>""</f>
        <v/>
      </c>
      <c r="BN80" t="str">
        <f>""</f>
        <v/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  <c r="BT80" t="str">
        <f>""</f>
        <v/>
      </c>
      <c r="BU80" t="str">
        <f>""</f>
        <v/>
      </c>
      <c r="BV80" t="str">
        <f>""</f>
        <v/>
      </c>
      <c r="BW80" t="str">
        <f>""</f>
        <v/>
      </c>
      <c r="BX80" t="str">
        <f>""</f>
        <v/>
      </c>
      <c r="BY80" t="str">
        <f>""</f>
        <v/>
      </c>
      <c r="BZ80" t="str">
        <f>""</f>
        <v/>
      </c>
      <c r="CA80" t="str">
        <f>""</f>
        <v/>
      </c>
      <c r="CB80" t="str">
        <f>""</f>
        <v/>
      </c>
      <c r="CC80" t="str">
        <f>""</f>
        <v/>
      </c>
      <c r="CD80" t="str">
        <f>""</f>
        <v/>
      </c>
      <c r="CE80" t="str">
        <f>""</f>
        <v/>
      </c>
      <c r="CF80" t="str">
        <f>""</f>
        <v/>
      </c>
      <c r="CG80" t="str">
        <f>""</f>
        <v/>
      </c>
    </row>
    <row r="81" spans="1:85" x14ac:dyDescent="0.2">
      <c r="A81" t="str">
        <f>"        "</f>
        <v xml:space="preserve">        </v>
      </c>
      <c r="B81" t="str">
        <f>""</f>
        <v/>
      </c>
      <c r="E81" t="str">
        <f>"Static"</f>
        <v>Static</v>
      </c>
      <c r="F81" t="str">
        <f t="shared" ref="F81:AS81" ca="1" si="26">HLOOKUP(INDIRECT(ADDRESS(2,COLUMN())),OFFSET($AT$2,0,0,ROW()-1,40),ROW()-1,FALSE)</f>
        <v/>
      </c>
      <c r="G81" t="str">
        <f t="shared" ca="1" si="26"/>
        <v/>
      </c>
      <c r="H81" t="str">
        <f t="shared" ca="1" si="26"/>
        <v/>
      </c>
      <c r="I81" t="str">
        <f t="shared" ca="1" si="26"/>
        <v/>
      </c>
      <c r="J81" t="str">
        <f t="shared" ca="1" si="26"/>
        <v/>
      </c>
      <c r="K81" t="str">
        <f t="shared" ca="1" si="26"/>
        <v/>
      </c>
      <c r="L81" t="str">
        <f t="shared" ca="1" si="26"/>
        <v/>
      </c>
      <c r="M81" t="str">
        <f t="shared" ca="1" si="26"/>
        <v/>
      </c>
      <c r="N81" t="str">
        <f t="shared" ca="1" si="26"/>
        <v/>
      </c>
      <c r="O81" t="str">
        <f t="shared" ca="1" si="26"/>
        <v/>
      </c>
      <c r="P81" t="str">
        <f t="shared" ca="1" si="26"/>
        <v/>
      </c>
      <c r="Q81" t="str">
        <f t="shared" ca="1" si="26"/>
        <v/>
      </c>
      <c r="R81" t="str">
        <f t="shared" ca="1" si="26"/>
        <v/>
      </c>
      <c r="S81" t="str">
        <f t="shared" ca="1" si="26"/>
        <v/>
      </c>
      <c r="T81" t="str">
        <f t="shared" ca="1" si="26"/>
        <v/>
      </c>
      <c r="U81" t="str">
        <f t="shared" ca="1" si="26"/>
        <v/>
      </c>
      <c r="V81" t="str">
        <f t="shared" ca="1" si="26"/>
        <v/>
      </c>
      <c r="W81" t="str">
        <f t="shared" ca="1" si="26"/>
        <v/>
      </c>
      <c r="X81" t="str">
        <f t="shared" ca="1" si="26"/>
        <v/>
      </c>
      <c r="Y81" t="str">
        <f t="shared" ca="1" si="26"/>
        <v/>
      </c>
      <c r="Z81" t="str">
        <f t="shared" ca="1" si="26"/>
        <v/>
      </c>
      <c r="AA81" t="str">
        <f t="shared" ca="1" si="26"/>
        <v/>
      </c>
      <c r="AB81" t="str">
        <f t="shared" ca="1" si="26"/>
        <v/>
      </c>
      <c r="AC81" t="str">
        <f t="shared" ca="1" si="26"/>
        <v/>
      </c>
      <c r="AD81" t="str">
        <f t="shared" ca="1" si="26"/>
        <v/>
      </c>
      <c r="AE81" t="str">
        <f t="shared" ca="1" si="26"/>
        <v/>
      </c>
      <c r="AF81" t="str">
        <f t="shared" ca="1" si="26"/>
        <v/>
      </c>
      <c r="AG81" t="str">
        <f t="shared" ca="1" si="26"/>
        <v/>
      </c>
      <c r="AH81" t="str">
        <f t="shared" ca="1" si="26"/>
        <v/>
      </c>
      <c r="AI81" t="str">
        <f t="shared" ca="1" si="26"/>
        <v/>
      </c>
      <c r="AJ81" t="str">
        <f t="shared" ca="1" si="26"/>
        <v/>
      </c>
      <c r="AK81" t="str">
        <f t="shared" ca="1" si="26"/>
        <v/>
      </c>
      <c r="AL81" t="str">
        <f t="shared" ca="1" si="26"/>
        <v/>
      </c>
      <c r="AM81" t="str">
        <f t="shared" ca="1" si="26"/>
        <v/>
      </c>
      <c r="AN81" t="str">
        <f t="shared" ca="1" si="26"/>
        <v/>
      </c>
      <c r="AO81" t="str">
        <f t="shared" ca="1" si="26"/>
        <v/>
      </c>
      <c r="AP81" t="str">
        <f t="shared" ca="1" si="26"/>
        <v/>
      </c>
      <c r="AQ81" t="str">
        <f t="shared" ca="1" si="26"/>
        <v/>
      </c>
      <c r="AR81" t="str">
        <f t="shared" ca="1" si="26"/>
        <v/>
      </c>
      <c r="AS81" t="str">
        <f t="shared" ca="1" si="26"/>
        <v/>
      </c>
      <c r="AT81" t="str">
        <f>""</f>
        <v/>
      </c>
      <c r="AU81" t="str">
        <f>""</f>
        <v/>
      </c>
      <c r="AV81" t="str">
        <f>""</f>
        <v/>
      </c>
      <c r="AW81" t="str">
        <f>""</f>
        <v/>
      </c>
      <c r="AX81" t="str">
        <f>""</f>
        <v/>
      </c>
      <c r="AY81" t="str">
        <f>""</f>
        <v/>
      </c>
      <c r="AZ81" t="str">
        <f>""</f>
        <v/>
      </c>
      <c r="BA81" t="str">
        <f>""</f>
        <v/>
      </c>
      <c r="BB81" t="str">
        <f>""</f>
        <v/>
      </c>
      <c r="BC81" t="str">
        <f>""</f>
        <v/>
      </c>
      <c r="BD81" t="str">
        <f>""</f>
        <v/>
      </c>
      <c r="BE81" t="str">
        <f>""</f>
        <v/>
      </c>
      <c r="BF81" t="str">
        <f>""</f>
        <v/>
      </c>
      <c r="BG81" t="str">
        <f>""</f>
        <v/>
      </c>
      <c r="BH81" t="str">
        <f>""</f>
        <v/>
      </c>
      <c r="BI81" t="str">
        <f>""</f>
        <v/>
      </c>
      <c r="BJ81" t="str">
        <f>""</f>
        <v/>
      </c>
      <c r="BK81" t="str">
        <f>""</f>
        <v/>
      </c>
      <c r="BL81" t="str">
        <f>""</f>
        <v/>
      </c>
      <c r="BM81" t="str">
        <f>""</f>
        <v/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</row>
    <row r="82" spans="1:85" x14ac:dyDescent="0.2">
      <c r="A82" t="str">
        <f>"Canada"</f>
        <v>Canada</v>
      </c>
      <c r="B82" t="str">
        <f>""</f>
        <v/>
      </c>
      <c r="E82" t="str">
        <f>"Heading"</f>
        <v>Heading</v>
      </c>
      <c r="AT82" t="str">
        <f>""</f>
        <v/>
      </c>
      <c r="AU82" t="str">
        <f>""</f>
        <v/>
      </c>
      <c r="AV82" t="str">
        <f>""</f>
        <v/>
      </c>
      <c r="AW82" t="str">
        <f>""</f>
        <v/>
      </c>
      <c r="AX82" t="str">
        <f>""</f>
        <v/>
      </c>
      <c r="AY82" t="str">
        <f>""</f>
        <v/>
      </c>
      <c r="AZ82" t="str">
        <f>""</f>
        <v/>
      </c>
      <c r="BA82" t="str">
        <f>""</f>
        <v/>
      </c>
      <c r="BB82" t="str">
        <f>""</f>
        <v/>
      </c>
      <c r="BC82" t="str">
        <f>""</f>
        <v/>
      </c>
      <c r="BD82" t="str">
        <f>""</f>
        <v/>
      </c>
      <c r="BE82" t="str">
        <f>""</f>
        <v/>
      </c>
      <c r="BF82" t="str">
        <f>""</f>
        <v/>
      </c>
      <c r="BG82" t="str">
        <f>""</f>
        <v/>
      </c>
      <c r="BH82" t="str">
        <f>""</f>
        <v/>
      </c>
      <c r="BI82" t="str">
        <f>""</f>
        <v/>
      </c>
      <c r="BJ82" t="str">
        <f>""</f>
        <v/>
      </c>
      <c r="BK82" t="str">
        <f>""</f>
        <v/>
      </c>
      <c r="BL82" t="str">
        <f>""</f>
        <v/>
      </c>
      <c r="BM82" t="str">
        <f>""</f>
        <v/>
      </c>
      <c r="BN82" t="str">
        <f>""</f>
        <v/>
      </c>
      <c r="BO82" t="str">
        <f>""</f>
        <v/>
      </c>
      <c r="BP82" t="str">
        <f>""</f>
        <v/>
      </c>
      <c r="BQ82" t="str">
        <f>""</f>
        <v/>
      </c>
      <c r="BR82" t="str">
        <f>""</f>
        <v/>
      </c>
      <c r="BS82" t="str">
        <f>""</f>
        <v/>
      </c>
      <c r="BT82" t="str">
        <f>""</f>
        <v/>
      </c>
      <c r="BU82" t="str">
        <f>""</f>
        <v/>
      </c>
      <c r="BV82" t="str">
        <f>""</f>
        <v/>
      </c>
      <c r="BW82" t="str">
        <f>""</f>
        <v/>
      </c>
      <c r="BX82" t="str">
        <f>""</f>
        <v/>
      </c>
      <c r="BY82" t="str">
        <f>""</f>
        <v/>
      </c>
      <c r="BZ82" t="str">
        <f>""</f>
        <v/>
      </c>
      <c r="CA82" t="str">
        <f>""</f>
        <v/>
      </c>
      <c r="CB82" t="str">
        <f>""</f>
        <v/>
      </c>
      <c r="CC82" t="str">
        <f>""</f>
        <v/>
      </c>
      <c r="CD82" t="str">
        <f>""</f>
        <v/>
      </c>
      <c r="CE82" t="str">
        <f>""</f>
        <v/>
      </c>
      <c r="CF82" t="str">
        <f>""</f>
        <v/>
      </c>
      <c r="CG82" t="str">
        <f>""</f>
        <v/>
      </c>
    </row>
    <row r="83" spans="1:85" x14ac:dyDescent="0.2">
      <c r="A83" t="str">
        <f>"    "</f>
        <v xml:space="preserve">    </v>
      </c>
      <c r="B83" t="str">
        <f>""</f>
        <v/>
      </c>
      <c r="E83" t="str">
        <f>"Static"</f>
        <v>Static</v>
      </c>
      <c r="F83" t="str">
        <f t="shared" ref="F83:O84" ca="1" si="27">HLOOKUP(INDIRECT(ADDRESS(2,COLUMN())),OFFSET($AT$2,0,0,ROW()-1,40),ROW()-1,FALSE)</f>
        <v/>
      </c>
      <c r="G83" t="str">
        <f t="shared" ca="1" si="27"/>
        <v/>
      </c>
      <c r="H83" t="str">
        <f t="shared" ca="1" si="27"/>
        <v/>
      </c>
      <c r="I83" t="str">
        <f t="shared" ca="1" si="27"/>
        <v/>
      </c>
      <c r="J83" t="str">
        <f t="shared" ca="1" si="27"/>
        <v/>
      </c>
      <c r="K83" t="str">
        <f t="shared" ca="1" si="27"/>
        <v/>
      </c>
      <c r="L83" t="str">
        <f t="shared" ca="1" si="27"/>
        <v/>
      </c>
      <c r="M83" t="str">
        <f t="shared" ca="1" si="27"/>
        <v/>
      </c>
      <c r="N83" t="str">
        <f t="shared" ca="1" si="27"/>
        <v/>
      </c>
      <c r="O83" t="str">
        <f t="shared" ca="1" si="27"/>
        <v/>
      </c>
      <c r="P83" t="str">
        <f t="shared" ref="P83:Y84" ca="1" si="28">HLOOKUP(INDIRECT(ADDRESS(2,COLUMN())),OFFSET($AT$2,0,0,ROW()-1,40),ROW()-1,FALSE)</f>
        <v/>
      </c>
      <c r="Q83" t="str">
        <f t="shared" ca="1" si="28"/>
        <v/>
      </c>
      <c r="R83" t="str">
        <f t="shared" ca="1" si="28"/>
        <v/>
      </c>
      <c r="S83" t="str">
        <f t="shared" ca="1" si="28"/>
        <v/>
      </c>
      <c r="T83" t="str">
        <f t="shared" ca="1" si="28"/>
        <v/>
      </c>
      <c r="U83" t="str">
        <f t="shared" ca="1" si="28"/>
        <v/>
      </c>
      <c r="V83" t="str">
        <f t="shared" ca="1" si="28"/>
        <v/>
      </c>
      <c r="W83" t="str">
        <f t="shared" ca="1" si="28"/>
        <v/>
      </c>
      <c r="X83" t="str">
        <f t="shared" ca="1" si="28"/>
        <v/>
      </c>
      <c r="Y83" t="str">
        <f t="shared" ca="1" si="28"/>
        <v/>
      </c>
      <c r="Z83" t="str">
        <f t="shared" ref="Z83:AI84" ca="1" si="29">HLOOKUP(INDIRECT(ADDRESS(2,COLUMN())),OFFSET($AT$2,0,0,ROW()-1,40),ROW()-1,FALSE)</f>
        <v/>
      </c>
      <c r="AA83" t="str">
        <f t="shared" ca="1" si="29"/>
        <v/>
      </c>
      <c r="AB83" t="str">
        <f t="shared" ca="1" si="29"/>
        <v/>
      </c>
      <c r="AC83" t="str">
        <f t="shared" ca="1" si="29"/>
        <v/>
      </c>
      <c r="AD83" t="str">
        <f t="shared" ca="1" si="29"/>
        <v/>
      </c>
      <c r="AE83" t="str">
        <f t="shared" ca="1" si="29"/>
        <v/>
      </c>
      <c r="AF83" t="str">
        <f t="shared" ca="1" si="29"/>
        <v/>
      </c>
      <c r="AG83" t="str">
        <f t="shared" ca="1" si="29"/>
        <v/>
      </c>
      <c r="AH83" t="str">
        <f t="shared" ca="1" si="29"/>
        <v/>
      </c>
      <c r="AI83" t="str">
        <f t="shared" ca="1" si="29"/>
        <v/>
      </c>
      <c r="AJ83" t="str">
        <f t="shared" ref="AJ83:AS84" ca="1" si="30">HLOOKUP(INDIRECT(ADDRESS(2,COLUMN())),OFFSET($AT$2,0,0,ROW()-1,40),ROW()-1,FALSE)</f>
        <v/>
      </c>
      <c r="AK83" t="str">
        <f t="shared" ca="1" si="30"/>
        <v/>
      </c>
      <c r="AL83" t="str">
        <f t="shared" ca="1" si="30"/>
        <v/>
      </c>
      <c r="AM83" t="str">
        <f t="shared" ca="1" si="30"/>
        <v/>
      </c>
      <c r="AN83" t="str">
        <f t="shared" ca="1" si="30"/>
        <v/>
      </c>
      <c r="AO83" t="str">
        <f t="shared" ca="1" si="30"/>
        <v/>
      </c>
      <c r="AP83" t="str">
        <f t="shared" ca="1" si="30"/>
        <v/>
      </c>
      <c r="AQ83" t="str">
        <f t="shared" ca="1" si="30"/>
        <v/>
      </c>
      <c r="AR83" t="str">
        <f t="shared" ca="1" si="30"/>
        <v/>
      </c>
      <c r="AS83" t="str">
        <f t="shared" ca="1" si="30"/>
        <v/>
      </c>
      <c r="AT83" t="str">
        <f>""</f>
        <v/>
      </c>
      <c r="AU83" t="str">
        <f>""</f>
        <v/>
      </c>
      <c r="AV83" t="str">
        <f>""</f>
        <v/>
      </c>
      <c r="AW83" t="str">
        <f>""</f>
        <v/>
      </c>
      <c r="AX83" t="str">
        <f>""</f>
        <v/>
      </c>
      <c r="AY83" t="str">
        <f>""</f>
        <v/>
      </c>
      <c r="AZ83" t="str">
        <f>""</f>
        <v/>
      </c>
      <c r="BA83" t="str">
        <f>""</f>
        <v/>
      </c>
      <c r="BB83" t="str">
        <f>""</f>
        <v/>
      </c>
      <c r="BC83" t="str">
        <f>""</f>
        <v/>
      </c>
      <c r="BD83" t="str">
        <f>""</f>
        <v/>
      </c>
      <c r="BE83" t="str">
        <f>""</f>
        <v/>
      </c>
      <c r="BF83" t="str">
        <f>""</f>
        <v/>
      </c>
      <c r="BG83" t="str">
        <f>""</f>
        <v/>
      </c>
      <c r="BH83" t="str">
        <f>""</f>
        <v/>
      </c>
      <c r="BI83" t="str">
        <f>""</f>
        <v/>
      </c>
      <c r="BJ83" t="str">
        <f>""</f>
        <v/>
      </c>
      <c r="BK83" t="str">
        <f>""</f>
        <v/>
      </c>
      <c r="BL83" t="str">
        <f>""</f>
        <v/>
      </c>
      <c r="BM83" t="str">
        <f>""</f>
        <v/>
      </c>
      <c r="BN83" t="str">
        <f>""</f>
        <v/>
      </c>
      <c r="BO83" t="str">
        <f>""</f>
        <v/>
      </c>
      <c r="BP83" t="str">
        <f>""</f>
        <v/>
      </c>
      <c r="BQ83" t="str">
        <f>""</f>
        <v/>
      </c>
      <c r="BR83" t="str">
        <f>""</f>
        <v/>
      </c>
      <c r="BS83" t="str">
        <f>""</f>
        <v/>
      </c>
      <c r="BT83" t="str">
        <f>""</f>
        <v/>
      </c>
      <c r="BU83" t="str">
        <f>""</f>
        <v/>
      </c>
      <c r="BV83" t="str">
        <f>""</f>
        <v/>
      </c>
      <c r="BW83" t="str">
        <f>""</f>
        <v/>
      </c>
      <c r="BX83" t="str">
        <f>""</f>
        <v/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 t="str">
        <f>""</f>
        <v/>
      </c>
      <c r="CD83" t="str">
        <f>""</f>
        <v/>
      </c>
      <c r="CE83" t="str">
        <f>""</f>
        <v/>
      </c>
      <c r="CF83" t="str">
        <f>""</f>
        <v/>
      </c>
      <c r="CG83" t="str">
        <f>""</f>
        <v/>
      </c>
    </row>
    <row r="84" spans="1:85" x14ac:dyDescent="0.2">
      <c r="A84" t="str">
        <f>"    Permits"</f>
        <v xml:space="preserve">    Permits</v>
      </c>
      <c r="B84" t="str">
        <f>""</f>
        <v/>
      </c>
      <c r="E84" t="str">
        <f>"Static"</f>
        <v>Static</v>
      </c>
      <c r="F84" t="str">
        <f t="shared" ca="1" si="27"/>
        <v/>
      </c>
      <c r="G84" t="str">
        <f t="shared" ca="1" si="27"/>
        <v/>
      </c>
      <c r="H84" t="str">
        <f t="shared" ca="1" si="27"/>
        <v/>
      </c>
      <c r="I84" t="str">
        <f t="shared" ca="1" si="27"/>
        <v/>
      </c>
      <c r="J84" t="str">
        <f t="shared" ca="1" si="27"/>
        <v/>
      </c>
      <c r="K84" t="str">
        <f t="shared" ca="1" si="27"/>
        <v/>
      </c>
      <c r="L84" t="str">
        <f t="shared" ca="1" si="27"/>
        <v/>
      </c>
      <c r="M84" t="str">
        <f t="shared" ca="1" si="27"/>
        <v/>
      </c>
      <c r="N84" t="str">
        <f t="shared" ca="1" si="27"/>
        <v/>
      </c>
      <c r="O84" t="str">
        <f t="shared" ca="1" si="27"/>
        <v/>
      </c>
      <c r="P84" t="str">
        <f t="shared" ca="1" si="28"/>
        <v/>
      </c>
      <c r="Q84" t="str">
        <f t="shared" ca="1" si="28"/>
        <v/>
      </c>
      <c r="R84" t="str">
        <f t="shared" ca="1" si="28"/>
        <v/>
      </c>
      <c r="S84" t="str">
        <f t="shared" ca="1" si="28"/>
        <v/>
      </c>
      <c r="T84" t="str">
        <f t="shared" ca="1" si="28"/>
        <v/>
      </c>
      <c r="U84" t="str">
        <f t="shared" ca="1" si="28"/>
        <v/>
      </c>
      <c r="V84" t="str">
        <f t="shared" ca="1" si="28"/>
        <v/>
      </c>
      <c r="W84" t="str">
        <f t="shared" ca="1" si="28"/>
        <v/>
      </c>
      <c r="X84" t="str">
        <f t="shared" ca="1" si="28"/>
        <v/>
      </c>
      <c r="Y84" t="str">
        <f t="shared" ca="1" si="28"/>
        <v/>
      </c>
      <c r="Z84" t="str">
        <f t="shared" ca="1" si="29"/>
        <v/>
      </c>
      <c r="AA84" t="str">
        <f t="shared" ca="1" si="29"/>
        <v/>
      </c>
      <c r="AB84" t="str">
        <f t="shared" ca="1" si="29"/>
        <v/>
      </c>
      <c r="AC84" t="str">
        <f t="shared" ca="1" si="29"/>
        <v/>
      </c>
      <c r="AD84" t="str">
        <f t="shared" ca="1" si="29"/>
        <v/>
      </c>
      <c r="AE84" t="str">
        <f t="shared" ca="1" si="29"/>
        <v/>
      </c>
      <c r="AF84" t="str">
        <f t="shared" ca="1" si="29"/>
        <v/>
      </c>
      <c r="AG84" t="str">
        <f t="shared" ca="1" si="29"/>
        <v/>
      </c>
      <c r="AH84" t="str">
        <f t="shared" ca="1" si="29"/>
        <v/>
      </c>
      <c r="AI84" t="str">
        <f t="shared" ca="1" si="29"/>
        <v/>
      </c>
      <c r="AJ84" t="str">
        <f t="shared" ca="1" si="30"/>
        <v/>
      </c>
      <c r="AK84" t="str">
        <f t="shared" ca="1" si="30"/>
        <v/>
      </c>
      <c r="AL84" t="str">
        <f t="shared" ca="1" si="30"/>
        <v/>
      </c>
      <c r="AM84" t="str">
        <f t="shared" ca="1" si="30"/>
        <v/>
      </c>
      <c r="AN84" t="str">
        <f t="shared" ca="1" si="30"/>
        <v/>
      </c>
      <c r="AO84" t="str">
        <f t="shared" ca="1" si="30"/>
        <v/>
      </c>
      <c r="AP84" t="str">
        <f t="shared" ca="1" si="30"/>
        <v/>
      </c>
      <c r="AQ84" t="str">
        <f t="shared" ca="1" si="30"/>
        <v/>
      </c>
      <c r="AR84" t="str">
        <f t="shared" ca="1" si="30"/>
        <v/>
      </c>
      <c r="AS84" t="str">
        <f t="shared" ca="1" si="30"/>
        <v/>
      </c>
      <c r="AT84" t="str">
        <f>""</f>
        <v/>
      </c>
      <c r="AU84" t="str">
        <f>""</f>
        <v/>
      </c>
      <c r="AV84" t="str">
        <f>""</f>
        <v/>
      </c>
      <c r="AW84" t="str">
        <f>""</f>
        <v/>
      </c>
      <c r="AX84" t="str">
        <f>""</f>
        <v/>
      </c>
      <c r="AY84" t="str">
        <f>""</f>
        <v/>
      </c>
      <c r="AZ84" t="str">
        <f>""</f>
        <v/>
      </c>
      <c r="BA84" t="str">
        <f>""</f>
        <v/>
      </c>
      <c r="BB84" t="str">
        <f>""</f>
        <v/>
      </c>
      <c r="BC84" t="str">
        <f>""</f>
        <v/>
      </c>
      <c r="BD84" t="str">
        <f>""</f>
        <v/>
      </c>
      <c r="BE84" t="str">
        <f>""</f>
        <v/>
      </c>
      <c r="BF84" t="str">
        <f>""</f>
        <v/>
      </c>
      <c r="BG84" t="str">
        <f>""</f>
        <v/>
      </c>
      <c r="BH84" t="str">
        <f>""</f>
        <v/>
      </c>
      <c r="BI84" t="str">
        <f>""</f>
        <v/>
      </c>
      <c r="BJ84" t="str">
        <f>""</f>
        <v/>
      </c>
      <c r="BK84" t="str">
        <f>""</f>
        <v/>
      </c>
      <c r="BL84" t="str">
        <f>""</f>
        <v/>
      </c>
      <c r="BM84" t="str">
        <f>""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  <c r="BT84" t="str">
        <f>""</f>
        <v/>
      </c>
      <c r="BU84" t="str">
        <f>""</f>
        <v/>
      </c>
      <c r="BV84" t="str">
        <f>""</f>
        <v/>
      </c>
      <c r="BW84" t="str">
        <f>""</f>
        <v/>
      </c>
      <c r="BX84" t="str">
        <f>""</f>
        <v/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</row>
    <row r="85" spans="1:85" x14ac:dyDescent="0.2">
      <c r="A85" t="str">
        <f>"        Canada Total Permits (Mn CAD)"</f>
        <v xml:space="preserve">        Canada Total Permits (Mn CAD)</v>
      </c>
      <c r="B85" t="str">
        <f>"CAHOPTOT Index"</f>
        <v>CAHOPTOT Index</v>
      </c>
      <c r="C85" t="str">
        <f>"PX385"</f>
        <v>PX385</v>
      </c>
      <c r="D85" t="str">
        <f>"INTERVAL_SUM"</f>
        <v>INTERVAL_SUM</v>
      </c>
      <c r="E85" t="str">
        <f>"Dynamic"</f>
        <v>Dynamic</v>
      </c>
      <c r="F85">
        <f ca="1">IF(AND(ISNUMBER($F$171),$B$113=1),$F$171,HLOOKUP(INDIRECT(ADDRESS(2,COLUMN())),OFFSET($AT$2,0,0,ROW()-1,40),ROW()-1,FALSE))</f>
        <v>101090.87699999999</v>
      </c>
      <c r="G85">
        <f ca="1">IF(AND(ISNUMBER($G$171),$B$113=1),$G$171,HLOOKUP(INDIRECT(ADDRESS(2,COLUMN())),OFFSET($AT$2,0,0,ROW()-1,40),ROW()-1,FALSE))</f>
        <v>136618.28200000001</v>
      </c>
      <c r="H85">
        <f ca="1">IF(AND(ISNUMBER($H$171),$B$113=1),$H$171,HLOOKUP(INDIRECT(ADDRESS(2,COLUMN())),OFFSET($AT$2,0,0,ROW()-1,40),ROW()-1,FALSE))</f>
        <v>127371.25199999999</v>
      </c>
      <c r="I85">
        <f ca="1">IF(AND(ISNUMBER($I$171),$B$113=1),$I$171,HLOOKUP(INDIRECT(ADDRESS(2,COLUMN())),OFFSET($AT$2,0,0,ROW()-1,40),ROW()-1,FALSE))</f>
        <v>101028.58</v>
      </c>
      <c r="J85">
        <f ca="1">IF(AND(ISNUMBER($J$171),$B$113=1),$J$171,HLOOKUP(INDIRECT(ADDRESS(2,COLUMN())),OFFSET($AT$2,0,0,ROW()-1,40),ROW()-1,FALSE))</f>
        <v>102863.567</v>
      </c>
      <c r="K85">
        <f ca="1">IF(AND(ISNUMBER($K$171),$B$113=1),$K$171,HLOOKUP(INDIRECT(ADDRESS(2,COLUMN())),OFFSET($AT$2,0,0,ROW()-1,40),ROW()-1,FALSE))</f>
        <v>99772.831999999995</v>
      </c>
      <c r="L85">
        <f ca="1">IF(AND(ISNUMBER($L$171),$B$113=1),$L$171,HLOOKUP(INDIRECT(ADDRESS(2,COLUMN())),OFFSET($AT$2,0,0,ROW()-1,40),ROW()-1,FALSE))</f>
        <v>95257.654999999999</v>
      </c>
      <c r="M85">
        <f ca="1">IF(AND(ISNUMBER($M$171),$B$113=1),$M$171,HLOOKUP(INDIRECT(ADDRESS(2,COLUMN())),OFFSET($AT$2,0,0,ROW()-1,40),ROW()-1,FALSE))</f>
        <v>85901.748999999996</v>
      </c>
      <c r="N85">
        <f ca="1">IF(AND(ISNUMBER($N$171),$B$113=1),$N$171,HLOOKUP(INDIRECT(ADDRESS(2,COLUMN())),OFFSET($AT$2,0,0,ROW()-1,40),ROW()-1,FALSE))</f>
        <v>85140.04</v>
      </c>
      <c r="O85">
        <f ca="1">IF(AND(ISNUMBER($O$171),$B$113=1),$O$171,HLOOKUP(INDIRECT(ADDRESS(2,COLUMN())),OFFSET($AT$2,0,0,ROW()-1,40),ROW()-1,FALSE))</f>
        <v>84932.078999999998</v>
      </c>
      <c r="P85">
        <f ca="1">IF(AND(ISNUMBER($P$171),$B$113=1),$P$171,HLOOKUP(INDIRECT(ADDRESS(2,COLUMN())),OFFSET($AT$2,0,0,ROW()-1,40),ROW()-1,FALSE))</f>
        <v>80840.899999999994</v>
      </c>
      <c r="Q85">
        <f ca="1">IF(AND(ISNUMBER($Q$171),$B$113=1),$Q$171,HLOOKUP(INDIRECT(ADDRESS(2,COLUMN())),OFFSET($AT$2,0,0,ROW()-1,40),ROW()-1,FALSE))</f>
        <v>80850.687000000005</v>
      </c>
      <c r="R85">
        <f ca="1">IF(AND(ISNUMBER($R$171),$B$113=1),$R$171,HLOOKUP(INDIRECT(ADDRESS(2,COLUMN())),OFFSET($AT$2,0,0,ROW()-1,40),ROW()-1,FALSE))</f>
        <v>73965.650999999998</v>
      </c>
      <c r="S85" t="str">
        <f ca="1">IF(AND(ISNUMBER($S$171),$B$113=1),$S$171,HLOOKUP(INDIRECT(ADDRESS(2,COLUMN())),OFFSET($AT$2,0,0,ROW()-1,40),ROW()-1,FALSE))</f>
        <v/>
      </c>
      <c r="T85" t="str">
        <f ca="1">IF(AND(ISNUMBER($T$171),$B$113=1),$T$171,HLOOKUP(INDIRECT(ADDRESS(2,COLUMN())),OFFSET($AT$2,0,0,ROW()-1,40),ROW()-1,FALSE))</f>
        <v/>
      </c>
      <c r="U85" t="str">
        <f ca="1">IF(AND(ISNUMBER($U$171),$B$113=1),$U$171,HLOOKUP(INDIRECT(ADDRESS(2,COLUMN())),OFFSET($AT$2,0,0,ROW()-1,40),ROW()-1,FALSE))</f>
        <v/>
      </c>
      <c r="V85" t="str">
        <f ca="1">IF(AND(ISNUMBER($V$171),$B$113=1),$V$171,HLOOKUP(INDIRECT(ADDRESS(2,COLUMN())),OFFSET($AT$2,0,0,ROW()-1,40),ROW()-1,FALSE))</f>
        <v/>
      </c>
      <c r="W85" t="str">
        <f ca="1">IF(AND(ISNUMBER($W$171),$B$113=1),$W$171,HLOOKUP(INDIRECT(ADDRESS(2,COLUMN())),OFFSET($AT$2,0,0,ROW()-1,40),ROW()-1,FALSE))</f>
        <v/>
      </c>
      <c r="X85" t="str">
        <f ca="1">IF(AND(ISNUMBER($X$171),$B$113=1),$X$171,HLOOKUP(INDIRECT(ADDRESS(2,COLUMN())),OFFSET($AT$2,0,0,ROW()-1,40),ROW()-1,FALSE))</f>
        <v/>
      </c>
      <c r="Y85" t="str">
        <f ca="1">IF(AND(ISNUMBER($Y$171),$B$113=1),$Y$171,HLOOKUP(INDIRECT(ADDRESS(2,COLUMN())),OFFSET($AT$2,0,0,ROW()-1,40),ROW()-1,FALSE))</f>
        <v/>
      </c>
      <c r="Z85" t="str">
        <f ca="1">IF(AND(ISNUMBER($Z$171),$B$113=1),$Z$171,HLOOKUP(INDIRECT(ADDRESS(2,COLUMN())),OFFSET($AT$2,0,0,ROW()-1,40),ROW()-1,FALSE))</f>
        <v/>
      </c>
      <c r="AA85" t="str">
        <f ca="1">IF(AND(ISNUMBER($AA$171),$B$113=1),$AA$171,HLOOKUP(INDIRECT(ADDRESS(2,COLUMN())),OFFSET($AT$2,0,0,ROW()-1,40),ROW()-1,FALSE))</f>
        <v/>
      </c>
      <c r="AB85" t="str">
        <f ca="1">IF(AND(ISNUMBER($AB$171),$B$113=1),$AB$171,HLOOKUP(INDIRECT(ADDRESS(2,COLUMN())),OFFSET($AT$2,0,0,ROW()-1,40),ROW()-1,FALSE))</f>
        <v/>
      </c>
      <c r="AC85" t="str">
        <f ca="1">IF(AND(ISNUMBER($AC$171),$B$113=1),$AC$171,HLOOKUP(INDIRECT(ADDRESS(2,COLUMN())),OFFSET($AT$2,0,0,ROW()-1,40),ROW()-1,FALSE))</f>
        <v/>
      </c>
      <c r="AD85" t="str">
        <f ca="1">IF(AND(ISNUMBER($AD$171),$B$113=1),$AD$171,HLOOKUP(INDIRECT(ADDRESS(2,COLUMN())),OFFSET($AT$2,0,0,ROW()-1,40),ROW()-1,FALSE))</f>
        <v/>
      </c>
      <c r="AE85" t="str">
        <f ca="1">IF(AND(ISNUMBER($AE$171),$B$113=1),$AE$171,HLOOKUP(INDIRECT(ADDRESS(2,COLUMN())),OFFSET($AT$2,0,0,ROW()-1,40),ROW()-1,FALSE))</f>
        <v/>
      </c>
      <c r="AF85" t="str">
        <f ca="1">IF(AND(ISNUMBER($AF$171),$B$113=1),$AF$171,HLOOKUP(INDIRECT(ADDRESS(2,COLUMN())),OFFSET($AT$2,0,0,ROW()-1,40),ROW()-1,FALSE))</f>
        <v/>
      </c>
      <c r="AG85" t="str">
        <f ca="1">IF(AND(ISNUMBER($AG$171),$B$113=1),$AG$171,HLOOKUP(INDIRECT(ADDRESS(2,COLUMN())),OFFSET($AT$2,0,0,ROW()-1,40),ROW()-1,FALSE))</f>
        <v/>
      </c>
      <c r="AH85" t="str">
        <f ca="1">IF(AND(ISNUMBER($AH$171),$B$113=1),$AH$171,HLOOKUP(INDIRECT(ADDRESS(2,COLUMN())),OFFSET($AT$2,0,0,ROW()-1,40),ROW()-1,FALSE))</f>
        <v/>
      </c>
      <c r="AI85" t="str">
        <f ca="1">IF(AND(ISNUMBER($AI$171),$B$113=1),$AI$171,HLOOKUP(INDIRECT(ADDRESS(2,COLUMN())),OFFSET($AT$2,0,0,ROW()-1,40),ROW()-1,FALSE))</f>
        <v/>
      </c>
      <c r="AJ85" t="str">
        <f ca="1">IF(AND(ISNUMBER($AJ$171),$B$113=1),$AJ$171,HLOOKUP(INDIRECT(ADDRESS(2,COLUMN())),OFFSET($AT$2,0,0,ROW()-1,40),ROW()-1,FALSE))</f>
        <v/>
      </c>
      <c r="AK85" t="str">
        <f ca="1">IF(AND(ISNUMBER($AK$171),$B$113=1),$AK$171,HLOOKUP(INDIRECT(ADDRESS(2,COLUMN())),OFFSET($AT$2,0,0,ROW()-1,40),ROW()-1,FALSE))</f>
        <v/>
      </c>
      <c r="AL85" t="str">
        <f ca="1">IF(AND(ISNUMBER($AL$171),$B$113=1),$AL$171,HLOOKUP(INDIRECT(ADDRESS(2,COLUMN())),OFFSET($AT$2,0,0,ROW()-1,40),ROW()-1,FALSE))</f>
        <v/>
      </c>
      <c r="AM85" t="str">
        <f ca="1">IF(AND(ISNUMBER($AM$171),$B$113=1),$AM$171,HLOOKUP(INDIRECT(ADDRESS(2,COLUMN())),OFFSET($AT$2,0,0,ROW()-1,40),ROW()-1,FALSE))</f>
        <v/>
      </c>
      <c r="AN85" t="str">
        <f ca="1">IF(AND(ISNUMBER($AN$171),$B$113=1),$AN$171,HLOOKUP(INDIRECT(ADDRESS(2,COLUMN())),OFFSET($AT$2,0,0,ROW()-1,40),ROW()-1,FALSE))</f>
        <v/>
      </c>
      <c r="AO85" t="str">
        <f ca="1">IF(AND(ISNUMBER($AO$171),$B$113=1),$AO$171,HLOOKUP(INDIRECT(ADDRESS(2,COLUMN())),OFFSET($AT$2,0,0,ROW()-1,40),ROW()-1,FALSE))</f>
        <v/>
      </c>
      <c r="AP85" t="str">
        <f ca="1">IF(AND(ISNUMBER($AP$171),$B$113=1),$AP$171,HLOOKUP(INDIRECT(ADDRESS(2,COLUMN())),OFFSET($AT$2,0,0,ROW()-1,40),ROW()-1,FALSE))</f>
        <v/>
      </c>
      <c r="AQ85" t="str">
        <f ca="1">IF(AND(ISNUMBER($AQ$171),$B$113=1),$AQ$171,HLOOKUP(INDIRECT(ADDRESS(2,COLUMN())),OFFSET($AT$2,0,0,ROW()-1,40),ROW()-1,FALSE))</f>
        <v/>
      </c>
      <c r="AR85" t="str">
        <f ca="1">IF(AND(ISNUMBER($AR$171),$B$113=1),$AR$171,HLOOKUP(INDIRECT(ADDRESS(2,COLUMN())),OFFSET($AT$2,0,0,ROW()-1,40),ROW()-1,FALSE))</f>
        <v/>
      </c>
      <c r="AS85" t="str">
        <f ca="1">IF(AND(ISNUMBER($AS$171),$B$113=1),$AS$171,HLOOKUP(INDIRECT(ADDRESS(2,COLUMN())),OFFSET($AT$2,0,0,ROW()-1,40),ROW()-1,FALSE))</f>
        <v/>
      </c>
      <c r="AT85">
        <f>101090.877</f>
        <v>101090.87699999999</v>
      </c>
      <c r="AU85">
        <f>136618.282</f>
        <v>136618.28200000001</v>
      </c>
      <c r="AV85">
        <f>127371.252</f>
        <v>127371.25199999999</v>
      </c>
      <c r="AW85">
        <f>101028.58</f>
        <v>101028.58</v>
      </c>
      <c r="AX85">
        <f>102863.567</f>
        <v>102863.567</v>
      </c>
      <c r="AY85">
        <f>99772.832</f>
        <v>99772.831999999995</v>
      </c>
      <c r="AZ85">
        <f>95257.655</f>
        <v>95257.654999999999</v>
      </c>
      <c r="BA85">
        <f>85901.749</f>
        <v>85901.748999999996</v>
      </c>
      <c r="BB85">
        <f>85140.04</f>
        <v>85140.04</v>
      </c>
      <c r="BC85">
        <f>84932.079</f>
        <v>84932.078999999998</v>
      </c>
      <c r="BD85">
        <f>80840.9</f>
        <v>80840.899999999994</v>
      </c>
      <c r="BE85">
        <f>80850.687</f>
        <v>80850.687000000005</v>
      </c>
      <c r="BF85">
        <f>73965.651</f>
        <v>73965.650999999998</v>
      </c>
      <c r="BG85" t="str">
        <f>""</f>
        <v/>
      </c>
      <c r="BH85" t="str">
        <f>""</f>
        <v/>
      </c>
      <c r="BI85" t="str">
        <f>""</f>
        <v/>
      </c>
      <c r="BJ85" t="str">
        <f>""</f>
        <v/>
      </c>
      <c r="BK85" t="str">
        <f>""</f>
        <v/>
      </c>
      <c r="BL85" t="str">
        <f>""</f>
        <v/>
      </c>
      <c r="BM85" t="str">
        <f>""</f>
        <v/>
      </c>
      <c r="BN85" t="str">
        <f>""</f>
        <v/>
      </c>
      <c r="BO85" t="str">
        <f>""</f>
        <v/>
      </c>
      <c r="BP85" t="str">
        <f>""</f>
        <v/>
      </c>
      <c r="BQ85" t="str">
        <f>""</f>
        <v/>
      </c>
      <c r="BR85" t="str">
        <f>""</f>
        <v/>
      </c>
      <c r="BS85" t="str">
        <f>""</f>
        <v/>
      </c>
      <c r="BT85" t="str">
        <f>""</f>
        <v/>
      </c>
      <c r="BU85" t="str">
        <f>""</f>
        <v/>
      </c>
      <c r="BV85" t="str">
        <f>""</f>
        <v/>
      </c>
      <c r="BW85" t="str">
        <f>""</f>
        <v/>
      </c>
      <c r="BX85" t="str">
        <f>""</f>
        <v/>
      </c>
      <c r="BY85" t="str">
        <f>""</f>
        <v/>
      </c>
      <c r="BZ85" t="str">
        <f>""</f>
        <v/>
      </c>
      <c r="CA85" t="str">
        <f>""</f>
        <v/>
      </c>
      <c r="CB85" t="str">
        <f>""</f>
        <v/>
      </c>
      <c r="CC85" t="str">
        <f>""</f>
        <v/>
      </c>
      <c r="CD85" t="str">
        <f>""</f>
        <v/>
      </c>
      <c r="CE85" t="str">
        <f>""</f>
        <v/>
      </c>
      <c r="CF85" t="str">
        <f>""</f>
        <v/>
      </c>
      <c r="CG85" t="str">
        <f>""</f>
        <v/>
      </c>
    </row>
    <row r="86" spans="1:85" x14ac:dyDescent="0.2">
      <c r="A86" t="str">
        <f>"        Residential Permits (Mn CAD)"</f>
        <v xml:space="preserve">        Residential Permits (Mn CAD)</v>
      </c>
      <c r="B86" t="str">
        <f>"CAHOPRES Index"</f>
        <v>CAHOPRES Index</v>
      </c>
      <c r="C86" t="str">
        <f>"PX385"</f>
        <v>PX385</v>
      </c>
      <c r="D86" t="str">
        <f>"INTERVAL_SUM"</f>
        <v>INTERVAL_SUM</v>
      </c>
      <c r="E86" t="str">
        <f>"Dynamic"</f>
        <v>Dynamic</v>
      </c>
      <c r="F86">
        <f ca="1">IF(AND(ISNUMBER($F$172),$B$113=1),$F$172,HLOOKUP(INDIRECT(ADDRESS(2,COLUMN())),OFFSET($AT$2,0,0,ROW()-1,40),ROW()-1,FALSE))</f>
        <v>61357.788</v>
      </c>
      <c r="G86">
        <f ca="1">IF(AND(ISNUMBER($G$172),$B$113=1),$G$172,HLOOKUP(INDIRECT(ADDRESS(2,COLUMN())),OFFSET($AT$2,0,0,ROW()-1,40),ROW()-1,FALSE))</f>
        <v>89630.798999999999</v>
      </c>
      <c r="H86">
        <f ca="1">IF(AND(ISNUMBER($H$172),$B$113=1),$H$172,HLOOKUP(INDIRECT(ADDRESS(2,COLUMN())),OFFSET($AT$2,0,0,ROW()-1,40),ROW()-1,FALSE))</f>
        <v>87395.516000000003</v>
      </c>
      <c r="I86">
        <f ca="1">IF(AND(ISNUMBER($I$172),$B$113=1),$I$172,HLOOKUP(INDIRECT(ADDRESS(2,COLUMN())),OFFSET($AT$2,0,0,ROW()-1,40),ROW()-1,FALSE))</f>
        <v>67171.732999999993</v>
      </c>
      <c r="J86">
        <f ca="1">IF(AND(ISNUMBER($J$172),$B$113=1),$J$172,HLOOKUP(INDIRECT(ADDRESS(2,COLUMN())),OFFSET($AT$2,0,0,ROW()-1,40),ROW()-1,FALSE))</f>
        <v>62112.631999999998</v>
      </c>
      <c r="K86">
        <f ca="1">IF(AND(ISNUMBER($K$172),$B$113=1),$K$172,HLOOKUP(INDIRECT(ADDRESS(2,COLUMN())),OFFSET($AT$2,0,0,ROW()-1,40),ROW()-1,FALSE))</f>
        <v>62843.377</v>
      </c>
      <c r="L86">
        <f ca="1">IF(AND(ISNUMBER($L$172),$B$113=1),$L$172,HLOOKUP(INDIRECT(ADDRESS(2,COLUMN())),OFFSET($AT$2,0,0,ROW()-1,40),ROW()-1,FALSE))</f>
        <v>59692.076000000001</v>
      </c>
      <c r="M86">
        <f ca="1">IF(AND(ISNUMBER($M$172),$B$113=1),$M$172,HLOOKUP(INDIRECT(ADDRESS(2,COLUMN())),OFFSET($AT$2,0,0,ROW()-1,40),ROW()-1,FALSE))</f>
        <v>55139.607000000004</v>
      </c>
      <c r="N86">
        <f ca="1">IF(AND(ISNUMBER($N$172),$B$113=1),$N$172,HLOOKUP(INDIRECT(ADDRESS(2,COLUMN())),OFFSET($AT$2,0,0,ROW()-1,40),ROW()-1,FALSE))</f>
        <v>53349.976000000002</v>
      </c>
      <c r="O86">
        <f ca="1">IF(AND(ISNUMBER($O$172),$B$113=1),$O$172,HLOOKUP(INDIRECT(ADDRESS(2,COLUMN())),OFFSET($AT$2,0,0,ROW()-1,40),ROW()-1,FALSE))</f>
        <v>50991.601000000002</v>
      </c>
      <c r="P86">
        <f ca="1">IF(AND(ISNUMBER($P$172),$B$113=1),$P$172,HLOOKUP(INDIRECT(ADDRESS(2,COLUMN())),OFFSET($AT$2,0,0,ROW()-1,40),ROW()-1,FALSE))</f>
        <v>48409.49</v>
      </c>
      <c r="Q86">
        <f ca="1">IF(AND(ISNUMBER($Q$172),$B$113=1),$Q$172,HLOOKUP(INDIRECT(ADDRESS(2,COLUMN())),OFFSET($AT$2,0,0,ROW()-1,40),ROW()-1,FALSE))</f>
        <v>48408.351999999999</v>
      </c>
      <c r="R86">
        <f ca="1">IF(AND(ISNUMBER($R$172),$B$113=1),$R$172,HLOOKUP(INDIRECT(ADDRESS(2,COLUMN())),OFFSET($AT$2,0,0,ROW()-1,40),ROW()-1,FALSE))</f>
        <v>44479.012000000002</v>
      </c>
      <c r="S86" t="str">
        <f ca="1">IF(AND(ISNUMBER($S$172),$B$113=1),$S$172,HLOOKUP(INDIRECT(ADDRESS(2,COLUMN())),OFFSET($AT$2,0,0,ROW()-1,40),ROW()-1,FALSE))</f>
        <v/>
      </c>
      <c r="T86" t="str">
        <f ca="1">IF(AND(ISNUMBER($T$172),$B$113=1),$T$172,HLOOKUP(INDIRECT(ADDRESS(2,COLUMN())),OFFSET($AT$2,0,0,ROW()-1,40),ROW()-1,FALSE))</f>
        <v/>
      </c>
      <c r="U86" t="str">
        <f ca="1">IF(AND(ISNUMBER($U$172),$B$113=1),$U$172,HLOOKUP(INDIRECT(ADDRESS(2,COLUMN())),OFFSET($AT$2,0,0,ROW()-1,40),ROW()-1,FALSE))</f>
        <v/>
      </c>
      <c r="V86" t="str">
        <f ca="1">IF(AND(ISNUMBER($V$172),$B$113=1),$V$172,HLOOKUP(INDIRECT(ADDRESS(2,COLUMN())),OFFSET($AT$2,0,0,ROW()-1,40),ROW()-1,FALSE))</f>
        <v/>
      </c>
      <c r="W86" t="str">
        <f ca="1">IF(AND(ISNUMBER($W$172),$B$113=1),$W$172,HLOOKUP(INDIRECT(ADDRESS(2,COLUMN())),OFFSET($AT$2,0,0,ROW()-1,40),ROW()-1,FALSE))</f>
        <v/>
      </c>
      <c r="X86" t="str">
        <f ca="1">IF(AND(ISNUMBER($X$172),$B$113=1),$X$172,HLOOKUP(INDIRECT(ADDRESS(2,COLUMN())),OFFSET($AT$2,0,0,ROW()-1,40),ROW()-1,FALSE))</f>
        <v/>
      </c>
      <c r="Y86" t="str">
        <f ca="1">IF(AND(ISNUMBER($Y$172),$B$113=1),$Y$172,HLOOKUP(INDIRECT(ADDRESS(2,COLUMN())),OFFSET($AT$2,0,0,ROW()-1,40),ROW()-1,FALSE))</f>
        <v/>
      </c>
      <c r="Z86" t="str">
        <f ca="1">IF(AND(ISNUMBER($Z$172),$B$113=1),$Z$172,HLOOKUP(INDIRECT(ADDRESS(2,COLUMN())),OFFSET($AT$2,0,0,ROW()-1,40),ROW()-1,FALSE))</f>
        <v/>
      </c>
      <c r="AA86" t="str">
        <f ca="1">IF(AND(ISNUMBER($AA$172),$B$113=1),$AA$172,HLOOKUP(INDIRECT(ADDRESS(2,COLUMN())),OFFSET($AT$2,0,0,ROW()-1,40),ROW()-1,FALSE))</f>
        <v/>
      </c>
      <c r="AB86" t="str">
        <f ca="1">IF(AND(ISNUMBER($AB$172),$B$113=1),$AB$172,HLOOKUP(INDIRECT(ADDRESS(2,COLUMN())),OFFSET($AT$2,0,0,ROW()-1,40),ROW()-1,FALSE))</f>
        <v/>
      </c>
      <c r="AC86" t="str">
        <f ca="1">IF(AND(ISNUMBER($AC$172),$B$113=1),$AC$172,HLOOKUP(INDIRECT(ADDRESS(2,COLUMN())),OFFSET($AT$2,0,0,ROW()-1,40),ROW()-1,FALSE))</f>
        <v/>
      </c>
      <c r="AD86" t="str">
        <f ca="1">IF(AND(ISNUMBER($AD$172),$B$113=1),$AD$172,HLOOKUP(INDIRECT(ADDRESS(2,COLUMN())),OFFSET($AT$2,0,0,ROW()-1,40),ROW()-1,FALSE))</f>
        <v/>
      </c>
      <c r="AE86" t="str">
        <f ca="1">IF(AND(ISNUMBER($AE$172),$B$113=1),$AE$172,HLOOKUP(INDIRECT(ADDRESS(2,COLUMN())),OFFSET($AT$2,0,0,ROW()-1,40),ROW()-1,FALSE))</f>
        <v/>
      </c>
      <c r="AF86" t="str">
        <f ca="1">IF(AND(ISNUMBER($AF$172),$B$113=1),$AF$172,HLOOKUP(INDIRECT(ADDRESS(2,COLUMN())),OFFSET($AT$2,0,0,ROW()-1,40),ROW()-1,FALSE))</f>
        <v/>
      </c>
      <c r="AG86" t="str">
        <f ca="1">IF(AND(ISNUMBER($AG$172),$B$113=1),$AG$172,HLOOKUP(INDIRECT(ADDRESS(2,COLUMN())),OFFSET($AT$2,0,0,ROW()-1,40),ROW()-1,FALSE))</f>
        <v/>
      </c>
      <c r="AH86" t="str">
        <f ca="1">IF(AND(ISNUMBER($AH$172),$B$113=1),$AH$172,HLOOKUP(INDIRECT(ADDRESS(2,COLUMN())),OFFSET($AT$2,0,0,ROW()-1,40),ROW()-1,FALSE))</f>
        <v/>
      </c>
      <c r="AI86" t="str">
        <f ca="1">IF(AND(ISNUMBER($AI$172),$B$113=1),$AI$172,HLOOKUP(INDIRECT(ADDRESS(2,COLUMN())),OFFSET($AT$2,0,0,ROW()-1,40),ROW()-1,FALSE))</f>
        <v/>
      </c>
      <c r="AJ86" t="str">
        <f ca="1">IF(AND(ISNUMBER($AJ$172),$B$113=1),$AJ$172,HLOOKUP(INDIRECT(ADDRESS(2,COLUMN())),OFFSET($AT$2,0,0,ROW()-1,40),ROW()-1,FALSE))</f>
        <v/>
      </c>
      <c r="AK86" t="str">
        <f ca="1">IF(AND(ISNUMBER($AK$172),$B$113=1),$AK$172,HLOOKUP(INDIRECT(ADDRESS(2,COLUMN())),OFFSET($AT$2,0,0,ROW()-1,40),ROW()-1,FALSE))</f>
        <v/>
      </c>
      <c r="AL86" t="str">
        <f ca="1">IF(AND(ISNUMBER($AL$172),$B$113=1),$AL$172,HLOOKUP(INDIRECT(ADDRESS(2,COLUMN())),OFFSET($AT$2,0,0,ROW()-1,40),ROW()-1,FALSE))</f>
        <v/>
      </c>
      <c r="AM86" t="str">
        <f ca="1">IF(AND(ISNUMBER($AM$172),$B$113=1),$AM$172,HLOOKUP(INDIRECT(ADDRESS(2,COLUMN())),OFFSET($AT$2,0,0,ROW()-1,40),ROW()-1,FALSE))</f>
        <v/>
      </c>
      <c r="AN86" t="str">
        <f ca="1">IF(AND(ISNUMBER($AN$172),$B$113=1),$AN$172,HLOOKUP(INDIRECT(ADDRESS(2,COLUMN())),OFFSET($AT$2,0,0,ROW()-1,40),ROW()-1,FALSE))</f>
        <v/>
      </c>
      <c r="AO86" t="str">
        <f ca="1">IF(AND(ISNUMBER($AO$172),$B$113=1),$AO$172,HLOOKUP(INDIRECT(ADDRESS(2,COLUMN())),OFFSET($AT$2,0,0,ROW()-1,40),ROW()-1,FALSE))</f>
        <v/>
      </c>
      <c r="AP86" t="str">
        <f ca="1">IF(AND(ISNUMBER($AP$172),$B$113=1),$AP$172,HLOOKUP(INDIRECT(ADDRESS(2,COLUMN())),OFFSET($AT$2,0,0,ROW()-1,40),ROW()-1,FALSE))</f>
        <v/>
      </c>
      <c r="AQ86" t="str">
        <f ca="1">IF(AND(ISNUMBER($AQ$172),$B$113=1),$AQ$172,HLOOKUP(INDIRECT(ADDRESS(2,COLUMN())),OFFSET($AT$2,0,0,ROW()-1,40),ROW()-1,FALSE))</f>
        <v/>
      </c>
      <c r="AR86" t="str">
        <f ca="1">IF(AND(ISNUMBER($AR$172),$B$113=1),$AR$172,HLOOKUP(INDIRECT(ADDRESS(2,COLUMN())),OFFSET($AT$2,0,0,ROW()-1,40),ROW()-1,FALSE))</f>
        <v/>
      </c>
      <c r="AS86" t="str">
        <f ca="1">IF(AND(ISNUMBER($AS$172),$B$113=1),$AS$172,HLOOKUP(INDIRECT(ADDRESS(2,COLUMN())),OFFSET($AT$2,0,0,ROW()-1,40),ROW()-1,FALSE))</f>
        <v/>
      </c>
      <c r="AT86">
        <f>61357.788</f>
        <v>61357.788</v>
      </c>
      <c r="AU86">
        <f>89630.799</f>
        <v>89630.798999999999</v>
      </c>
      <c r="AV86">
        <f>87395.516</f>
        <v>87395.516000000003</v>
      </c>
      <c r="AW86">
        <f>67171.733</f>
        <v>67171.732999999993</v>
      </c>
      <c r="AX86">
        <f>62112.632</f>
        <v>62112.631999999998</v>
      </c>
      <c r="AY86">
        <f>62843.377</f>
        <v>62843.377</v>
      </c>
      <c r="AZ86">
        <f>59692.076</f>
        <v>59692.076000000001</v>
      </c>
      <c r="BA86">
        <f>55139.607</f>
        <v>55139.607000000004</v>
      </c>
      <c r="BB86">
        <f>53349.976</f>
        <v>53349.976000000002</v>
      </c>
      <c r="BC86">
        <f>50991.601</f>
        <v>50991.601000000002</v>
      </c>
      <c r="BD86">
        <f>48409.49</f>
        <v>48409.49</v>
      </c>
      <c r="BE86">
        <f>48408.352</f>
        <v>48408.351999999999</v>
      </c>
      <c r="BF86">
        <f>44479.012</f>
        <v>44479.012000000002</v>
      </c>
      <c r="BG86" t="str">
        <f>""</f>
        <v/>
      </c>
      <c r="BH86" t="str">
        <f>""</f>
        <v/>
      </c>
      <c r="BI86" t="str">
        <f>""</f>
        <v/>
      </c>
      <c r="BJ86" t="str">
        <f>""</f>
        <v/>
      </c>
      <c r="BK86" t="str">
        <f>""</f>
        <v/>
      </c>
      <c r="BL86" t="str">
        <f>""</f>
        <v/>
      </c>
      <c r="BM86" t="str">
        <f>""</f>
        <v/>
      </c>
      <c r="BN86" t="str">
        <f>""</f>
        <v/>
      </c>
      <c r="BO86" t="str">
        <f>""</f>
        <v/>
      </c>
      <c r="BP86" t="str">
        <f>""</f>
        <v/>
      </c>
      <c r="BQ86" t="str">
        <f>""</f>
        <v/>
      </c>
      <c r="BR86" t="str">
        <f>""</f>
        <v/>
      </c>
      <c r="BS86" t="str">
        <f>""</f>
        <v/>
      </c>
      <c r="BT86" t="str">
        <f>""</f>
        <v/>
      </c>
      <c r="BU86" t="str">
        <f>""</f>
        <v/>
      </c>
      <c r="BV86" t="str">
        <f>""</f>
        <v/>
      </c>
      <c r="BW86" t="str">
        <f>""</f>
        <v/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</row>
    <row r="87" spans="1:85" x14ac:dyDescent="0.2">
      <c r="A87" t="str">
        <f>"        Non-Residential Permits (Mn CAD)"</f>
        <v xml:space="preserve">        Non-Residential Permits (Mn CAD)</v>
      </c>
      <c r="B87" t="str">
        <f>"CAHONRES Index"</f>
        <v>CAHONRES Index</v>
      </c>
      <c r="C87" t="str">
        <f>"PX385"</f>
        <v>PX385</v>
      </c>
      <c r="D87" t="str">
        <f>"INTERVAL_SUM"</f>
        <v>INTERVAL_SUM</v>
      </c>
      <c r="E87" t="str">
        <f>"Dynamic"</f>
        <v>Dynamic</v>
      </c>
      <c r="F87">
        <f ca="1">IF(AND(ISNUMBER($F$173),$B$113=1),$F$173,HLOOKUP(INDIRECT(ADDRESS(2,COLUMN())),OFFSET($AT$2,0,0,ROW()-1,40),ROW()-1,FALSE))</f>
        <v>39733.088000000003</v>
      </c>
      <c r="G87">
        <f ca="1">IF(AND(ISNUMBER($G$173),$B$113=1),$G$173,HLOOKUP(INDIRECT(ADDRESS(2,COLUMN())),OFFSET($AT$2,0,0,ROW()-1,40),ROW()-1,FALSE))</f>
        <v>46987.584999999999</v>
      </c>
      <c r="H87">
        <f ca="1">IF(AND(ISNUMBER($H$173),$B$113=1),$H$173,HLOOKUP(INDIRECT(ADDRESS(2,COLUMN())),OFFSET($AT$2,0,0,ROW()-1,40),ROW()-1,FALSE))</f>
        <v>39975.735000000001</v>
      </c>
      <c r="I87">
        <f ca="1">IF(AND(ISNUMBER($I$173),$B$113=1),$I$173,HLOOKUP(INDIRECT(ADDRESS(2,COLUMN())),OFFSET($AT$2,0,0,ROW()-1,40),ROW()-1,FALSE))</f>
        <v>33856.847999999904</v>
      </c>
      <c r="J87">
        <f ca="1">IF(AND(ISNUMBER($J$173),$B$113=1),$J$173,HLOOKUP(INDIRECT(ADDRESS(2,COLUMN())),OFFSET($AT$2,0,0,ROW()-1,40),ROW()-1,FALSE))</f>
        <v>40750.936000000002</v>
      </c>
      <c r="K87">
        <f ca="1">IF(AND(ISNUMBER($K$173),$B$113=1),$K$173,HLOOKUP(INDIRECT(ADDRESS(2,COLUMN())),OFFSET($AT$2,0,0,ROW()-1,40),ROW()-1,FALSE))</f>
        <v>36929.455000000002</v>
      </c>
      <c r="L87">
        <f ca="1">IF(AND(ISNUMBER($L$173),$B$113=1),$L$173,HLOOKUP(INDIRECT(ADDRESS(2,COLUMN())),OFFSET($AT$2,0,0,ROW()-1,40),ROW()-1,FALSE))</f>
        <v>35565.578000000001</v>
      </c>
      <c r="M87">
        <f ca="1">IF(AND(ISNUMBER($M$173),$B$113=1),$M$173,HLOOKUP(INDIRECT(ADDRESS(2,COLUMN())),OFFSET($AT$2,0,0,ROW()-1,40),ROW()-1,FALSE))</f>
        <v>30762.143</v>
      </c>
      <c r="N87">
        <f ca="1">IF(AND(ISNUMBER($N$173),$B$113=1),$N$173,HLOOKUP(INDIRECT(ADDRESS(2,COLUMN())),OFFSET($AT$2,0,0,ROW()-1,40),ROW()-1,FALSE))</f>
        <v>31790.064999999999</v>
      </c>
      <c r="O87">
        <f ca="1">IF(AND(ISNUMBER($O$173),$B$113=1),$O$173,HLOOKUP(INDIRECT(ADDRESS(2,COLUMN())),OFFSET($AT$2,0,0,ROW()-1,40),ROW()-1,FALSE))</f>
        <v>33940.476000000002</v>
      </c>
      <c r="P87">
        <f ca="1">IF(AND(ISNUMBER($P$173),$B$113=1),$P$173,HLOOKUP(INDIRECT(ADDRESS(2,COLUMN())),OFFSET($AT$2,0,0,ROW()-1,40),ROW()-1,FALSE))</f>
        <v>32431.409</v>
      </c>
      <c r="Q87">
        <f ca="1">IF(AND(ISNUMBER($Q$173),$B$113=1),$Q$173,HLOOKUP(INDIRECT(ADDRESS(2,COLUMN())),OFFSET($AT$2,0,0,ROW()-1,40),ROW()-1,FALSE))</f>
        <v>32442.332999999999</v>
      </c>
      <c r="R87">
        <f ca="1">IF(AND(ISNUMBER($R$173),$B$113=1),$R$173,HLOOKUP(INDIRECT(ADDRESS(2,COLUMN())),OFFSET($AT$2,0,0,ROW()-1,40),ROW()-1,FALSE))</f>
        <v>29486.642</v>
      </c>
      <c r="S87" t="str">
        <f ca="1">IF(AND(ISNUMBER($S$173),$B$113=1),$S$173,HLOOKUP(INDIRECT(ADDRESS(2,COLUMN())),OFFSET($AT$2,0,0,ROW()-1,40),ROW()-1,FALSE))</f>
        <v/>
      </c>
      <c r="T87" t="str">
        <f ca="1">IF(AND(ISNUMBER($T$173),$B$113=1),$T$173,HLOOKUP(INDIRECT(ADDRESS(2,COLUMN())),OFFSET($AT$2,0,0,ROW()-1,40),ROW()-1,FALSE))</f>
        <v/>
      </c>
      <c r="U87" t="str">
        <f ca="1">IF(AND(ISNUMBER($U$173),$B$113=1),$U$173,HLOOKUP(INDIRECT(ADDRESS(2,COLUMN())),OFFSET($AT$2,0,0,ROW()-1,40),ROW()-1,FALSE))</f>
        <v/>
      </c>
      <c r="V87" t="str">
        <f ca="1">IF(AND(ISNUMBER($V$173),$B$113=1),$V$173,HLOOKUP(INDIRECT(ADDRESS(2,COLUMN())),OFFSET($AT$2,0,0,ROW()-1,40),ROW()-1,FALSE))</f>
        <v/>
      </c>
      <c r="W87" t="str">
        <f ca="1">IF(AND(ISNUMBER($W$173),$B$113=1),$W$173,HLOOKUP(INDIRECT(ADDRESS(2,COLUMN())),OFFSET($AT$2,0,0,ROW()-1,40),ROW()-1,FALSE))</f>
        <v/>
      </c>
      <c r="X87" t="str">
        <f ca="1">IF(AND(ISNUMBER($X$173),$B$113=1),$X$173,HLOOKUP(INDIRECT(ADDRESS(2,COLUMN())),OFFSET($AT$2,0,0,ROW()-1,40),ROW()-1,FALSE))</f>
        <v/>
      </c>
      <c r="Y87" t="str">
        <f ca="1">IF(AND(ISNUMBER($Y$173),$B$113=1),$Y$173,HLOOKUP(INDIRECT(ADDRESS(2,COLUMN())),OFFSET($AT$2,0,0,ROW()-1,40),ROW()-1,FALSE))</f>
        <v/>
      </c>
      <c r="Z87" t="str">
        <f ca="1">IF(AND(ISNUMBER($Z$173),$B$113=1),$Z$173,HLOOKUP(INDIRECT(ADDRESS(2,COLUMN())),OFFSET($AT$2,0,0,ROW()-1,40),ROW()-1,FALSE))</f>
        <v/>
      </c>
      <c r="AA87" t="str">
        <f ca="1">IF(AND(ISNUMBER($AA$173),$B$113=1),$AA$173,HLOOKUP(INDIRECT(ADDRESS(2,COLUMN())),OFFSET($AT$2,0,0,ROW()-1,40),ROW()-1,FALSE))</f>
        <v/>
      </c>
      <c r="AB87" t="str">
        <f ca="1">IF(AND(ISNUMBER($AB$173),$B$113=1),$AB$173,HLOOKUP(INDIRECT(ADDRESS(2,COLUMN())),OFFSET($AT$2,0,0,ROW()-1,40),ROW()-1,FALSE))</f>
        <v/>
      </c>
      <c r="AC87" t="str">
        <f ca="1">IF(AND(ISNUMBER($AC$173),$B$113=1),$AC$173,HLOOKUP(INDIRECT(ADDRESS(2,COLUMN())),OFFSET($AT$2,0,0,ROW()-1,40),ROW()-1,FALSE))</f>
        <v/>
      </c>
      <c r="AD87" t="str">
        <f ca="1">IF(AND(ISNUMBER($AD$173),$B$113=1),$AD$173,HLOOKUP(INDIRECT(ADDRESS(2,COLUMN())),OFFSET($AT$2,0,0,ROW()-1,40),ROW()-1,FALSE))</f>
        <v/>
      </c>
      <c r="AE87" t="str">
        <f ca="1">IF(AND(ISNUMBER($AE$173),$B$113=1),$AE$173,HLOOKUP(INDIRECT(ADDRESS(2,COLUMN())),OFFSET($AT$2,0,0,ROW()-1,40),ROW()-1,FALSE))</f>
        <v/>
      </c>
      <c r="AF87" t="str">
        <f ca="1">IF(AND(ISNUMBER($AF$173),$B$113=1),$AF$173,HLOOKUP(INDIRECT(ADDRESS(2,COLUMN())),OFFSET($AT$2,0,0,ROW()-1,40),ROW()-1,FALSE))</f>
        <v/>
      </c>
      <c r="AG87" t="str">
        <f ca="1">IF(AND(ISNUMBER($AG$173),$B$113=1),$AG$173,HLOOKUP(INDIRECT(ADDRESS(2,COLUMN())),OFFSET($AT$2,0,0,ROW()-1,40),ROW()-1,FALSE))</f>
        <v/>
      </c>
      <c r="AH87" t="str">
        <f ca="1">IF(AND(ISNUMBER($AH$173),$B$113=1),$AH$173,HLOOKUP(INDIRECT(ADDRESS(2,COLUMN())),OFFSET($AT$2,0,0,ROW()-1,40),ROW()-1,FALSE))</f>
        <v/>
      </c>
      <c r="AI87" t="str">
        <f ca="1">IF(AND(ISNUMBER($AI$173),$B$113=1),$AI$173,HLOOKUP(INDIRECT(ADDRESS(2,COLUMN())),OFFSET($AT$2,0,0,ROW()-1,40),ROW()-1,FALSE))</f>
        <v/>
      </c>
      <c r="AJ87" t="str">
        <f ca="1">IF(AND(ISNUMBER($AJ$173),$B$113=1),$AJ$173,HLOOKUP(INDIRECT(ADDRESS(2,COLUMN())),OFFSET($AT$2,0,0,ROW()-1,40),ROW()-1,FALSE))</f>
        <v/>
      </c>
      <c r="AK87" t="str">
        <f ca="1">IF(AND(ISNUMBER($AK$173),$B$113=1),$AK$173,HLOOKUP(INDIRECT(ADDRESS(2,COLUMN())),OFFSET($AT$2,0,0,ROW()-1,40),ROW()-1,FALSE))</f>
        <v/>
      </c>
      <c r="AL87" t="str">
        <f ca="1">IF(AND(ISNUMBER($AL$173),$B$113=1),$AL$173,HLOOKUP(INDIRECT(ADDRESS(2,COLUMN())),OFFSET($AT$2,0,0,ROW()-1,40),ROW()-1,FALSE))</f>
        <v/>
      </c>
      <c r="AM87" t="str">
        <f ca="1">IF(AND(ISNUMBER($AM$173),$B$113=1),$AM$173,HLOOKUP(INDIRECT(ADDRESS(2,COLUMN())),OFFSET($AT$2,0,0,ROW()-1,40),ROW()-1,FALSE))</f>
        <v/>
      </c>
      <c r="AN87" t="str">
        <f ca="1">IF(AND(ISNUMBER($AN$173),$B$113=1),$AN$173,HLOOKUP(INDIRECT(ADDRESS(2,COLUMN())),OFFSET($AT$2,0,0,ROW()-1,40),ROW()-1,FALSE))</f>
        <v/>
      </c>
      <c r="AO87" t="str">
        <f ca="1">IF(AND(ISNUMBER($AO$173),$B$113=1),$AO$173,HLOOKUP(INDIRECT(ADDRESS(2,COLUMN())),OFFSET($AT$2,0,0,ROW()-1,40),ROW()-1,FALSE))</f>
        <v/>
      </c>
      <c r="AP87" t="str">
        <f ca="1">IF(AND(ISNUMBER($AP$173),$B$113=1),$AP$173,HLOOKUP(INDIRECT(ADDRESS(2,COLUMN())),OFFSET($AT$2,0,0,ROW()-1,40),ROW()-1,FALSE))</f>
        <v/>
      </c>
      <c r="AQ87" t="str">
        <f ca="1">IF(AND(ISNUMBER($AQ$173),$B$113=1),$AQ$173,HLOOKUP(INDIRECT(ADDRESS(2,COLUMN())),OFFSET($AT$2,0,0,ROW()-1,40),ROW()-1,FALSE))</f>
        <v/>
      </c>
      <c r="AR87" t="str">
        <f ca="1">IF(AND(ISNUMBER($AR$173),$B$113=1),$AR$173,HLOOKUP(INDIRECT(ADDRESS(2,COLUMN())),OFFSET($AT$2,0,0,ROW()-1,40),ROW()-1,FALSE))</f>
        <v/>
      </c>
      <c r="AS87" t="str">
        <f ca="1">IF(AND(ISNUMBER($AS$173),$B$113=1),$AS$173,HLOOKUP(INDIRECT(ADDRESS(2,COLUMN())),OFFSET($AT$2,0,0,ROW()-1,40),ROW()-1,FALSE))</f>
        <v/>
      </c>
      <c r="AT87">
        <f>39733.088</f>
        <v>39733.088000000003</v>
      </c>
      <c r="AU87">
        <f>46987.585</f>
        <v>46987.584999999999</v>
      </c>
      <c r="AV87">
        <f>39975.735</f>
        <v>39975.735000000001</v>
      </c>
      <c r="AW87">
        <f>33856.8479999999</f>
        <v>33856.847999999904</v>
      </c>
      <c r="AX87">
        <f>40750.936</f>
        <v>40750.936000000002</v>
      </c>
      <c r="AY87">
        <f>36929.455</f>
        <v>36929.455000000002</v>
      </c>
      <c r="AZ87">
        <f>35565.578</f>
        <v>35565.578000000001</v>
      </c>
      <c r="BA87">
        <f>30762.143</f>
        <v>30762.143</v>
      </c>
      <c r="BB87">
        <f>31790.065</f>
        <v>31790.064999999999</v>
      </c>
      <c r="BC87">
        <f>33940.476</f>
        <v>33940.476000000002</v>
      </c>
      <c r="BD87">
        <f>32431.409</f>
        <v>32431.409</v>
      </c>
      <c r="BE87">
        <f>32442.333</f>
        <v>32442.332999999999</v>
      </c>
      <c r="BF87">
        <f>29486.642</f>
        <v>29486.642</v>
      </c>
      <c r="BG87" t="str">
        <f>""</f>
        <v/>
      </c>
      <c r="BH87" t="str">
        <f>""</f>
        <v/>
      </c>
      <c r="BI87" t="str">
        <f>""</f>
        <v/>
      </c>
      <c r="BJ87" t="str">
        <f>""</f>
        <v/>
      </c>
      <c r="BK87" t="str">
        <f>""</f>
        <v/>
      </c>
      <c r="BL87" t="str">
        <f>""</f>
        <v/>
      </c>
      <c r="BM87" t="str">
        <f>""</f>
        <v/>
      </c>
      <c r="BN87" t="str">
        <f>""</f>
        <v/>
      </c>
      <c r="BO87" t="str">
        <f>""</f>
        <v/>
      </c>
      <c r="BP87" t="str">
        <f>""</f>
        <v/>
      </c>
      <c r="BQ87" t="str">
        <f>""</f>
        <v/>
      </c>
      <c r="BR87" t="str">
        <f>""</f>
        <v/>
      </c>
      <c r="BS87" t="str">
        <f>""</f>
        <v/>
      </c>
      <c r="BT87" t="str">
        <f>""</f>
        <v/>
      </c>
      <c r="BU87" t="str">
        <f>""</f>
        <v/>
      </c>
      <c r="BV87" t="str">
        <f>""</f>
        <v/>
      </c>
      <c r="BW87" t="str">
        <f>""</f>
        <v/>
      </c>
      <c r="BX87" t="str">
        <f>""</f>
        <v/>
      </c>
      <c r="BY87" t="str">
        <f>""</f>
        <v/>
      </c>
      <c r="BZ87" t="str">
        <f>""</f>
        <v/>
      </c>
      <c r="CA87" t="str">
        <f>""</f>
        <v/>
      </c>
      <c r="CB87" t="str">
        <f>""</f>
        <v/>
      </c>
      <c r="CC87" t="str">
        <f>""</f>
        <v/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</row>
    <row r="88" spans="1:85" x14ac:dyDescent="0.2">
      <c r="A88" t="str">
        <f>"    "</f>
        <v xml:space="preserve">    </v>
      </c>
      <c r="B88" t="str">
        <f>""</f>
        <v/>
      </c>
      <c r="E88" t="str">
        <f>"Static"</f>
        <v>Static</v>
      </c>
      <c r="F88" t="str">
        <f t="shared" ref="F88:O89" ca="1" si="31">HLOOKUP(INDIRECT(ADDRESS(2,COLUMN())),OFFSET($AT$2,0,0,ROW()-1,40),ROW()-1,FALSE)</f>
        <v/>
      </c>
      <c r="G88" t="str">
        <f t="shared" ca="1" si="31"/>
        <v/>
      </c>
      <c r="H88" t="str">
        <f t="shared" ca="1" si="31"/>
        <v/>
      </c>
      <c r="I88" t="str">
        <f t="shared" ca="1" si="31"/>
        <v/>
      </c>
      <c r="J88" t="str">
        <f t="shared" ca="1" si="31"/>
        <v/>
      </c>
      <c r="K88" t="str">
        <f t="shared" ca="1" si="31"/>
        <v/>
      </c>
      <c r="L88" t="str">
        <f t="shared" ca="1" si="31"/>
        <v/>
      </c>
      <c r="M88" t="str">
        <f t="shared" ca="1" si="31"/>
        <v/>
      </c>
      <c r="N88" t="str">
        <f t="shared" ca="1" si="31"/>
        <v/>
      </c>
      <c r="O88" t="str">
        <f t="shared" ca="1" si="31"/>
        <v/>
      </c>
      <c r="P88" t="str">
        <f t="shared" ref="P88:Y89" ca="1" si="32">HLOOKUP(INDIRECT(ADDRESS(2,COLUMN())),OFFSET($AT$2,0,0,ROW()-1,40),ROW()-1,FALSE)</f>
        <v/>
      </c>
      <c r="Q88" t="str">
        <f t="shared" ca="1" si="32"/>
        <v/>
      </c>
      <c r="R88" t="str">
        <f t="shared" ca="1" si="32"/>
        <v/>
      </c>
      <c r="S88" t="str">
        <f t="shared" ca="1" si="32"/>
        <v/>
      </c>
      <c r="T88" t="str">
        <f t="shared" ca="1" si="32"/>
        <v/>
      </c>
      <c r="U88" t="str">
        <f t="shared" ca="1" si="32"/>
        <v/>
      </c>
      <c r="V88" t="str">
        <f t="shared" ca="1" si="32"/>
        <v/>
      </c>
      <c r="W88" t="str">
        <f t="shared" ca="1" si="32"/>
        <v/>
      </c>
      <c r="X88" t="str">
        <f t="shared" ca="1" si="32"/>
        <v/>
      </c>
      <c r="Y88" t="str">
        <f t="shared" ca="1" si="32"/>
        <v/>
      </c>
      <c r="Z88" t="str">
        <f t="shared" ref="Z88:AI89" ca="1" si="33">HLOOKUP(INDIRECT(ADDRESS(2,COLUMN())),OFFSET($AT$2,0,0,ROW()-1,40),ROW()-1,FALSE)</f>
        <v/>
      </c>
      <c r="AA88" t="str">
        <f t="shared" ca="1" si="33"/>
        <v/>
      </c>
      <c r="AB88" t="str">
        <f t="shared" ca="1" si="33"/>
        <v/>
      </c>
      <c r="AC88" t="str">
        <f t="shared" ca="1" si="33"/>
        <v/>
      </c>
      <c r="AD88" t="str">
        <f t="shared" ca="1" si="33"/>
        <v/>
      </c>
      <c r="AE88" t="str">
        <f t="shared" ca="1" si="33"/>
        <v/>
      </c>
      <c r="AF88" t="str">
        <f t="shared" ca="1" si="33"/>
        <v/>
      </c>
      <c r="AG88" t="str">
        <f t="shared" ca="1" si="33"/>
        <v/>
      </c>
      <c r="AH88" t="str">
        <f t="shared" ca="1" si="33"/>
        <v/>
      </c>
      <c r="AI88" t="str">
        <f t="shared" ca="1" si="33"/>
        <v/>
      </c>
      <c r="AJ88" t="str">
        <f t="shared" ref="AJ88:AS89" ca="1" si="34">HLOOKUP(INDIRECT(ADDRESS(2,COLUMN())),OFFSET($AT$2,0,0,ROW()-1,40),ROW()-1,FALSE)</f>
        <v/>
      </c>
      <c r="AK88" t="str">
        <f t="shared" ca="1" si="34"/>
        <v/>
      </c>
      <c r="AL88" t="str">
        <f t="shared" ca="1" si="34"/>
        <v/>
      </c>
      <c r="AM88" t="str">
        <f t="shared" ca="1" si="34"/>
        <v/>
      </c>
      <c r="AN88" t="str">
        <f t="shared" ca="1" si="34"/>
        <v/>
      </c>
      <c r="AO88" t="str">
        <f t="shared" ca="1" si="34"/>
        <v/>
      </c>
      <c r="AP88" t="str">
        <f t="shared" ca="1" si="34"/>
        <v/>
      </c>
      <c r="AQ88" t="str">
        <f t="shared" ca="1" si="34"/>
        <v/>
      </c>
      <c r="AR88" t="str">
        <f t="shared" ca="1" si="34"/>
        <v/>
      </c>
      <c r="AS88" t="str">
        <f t="shared" ca="1" si="34"/>
        <v/>
      </c>
      <c r="AT88" t="str">
        <f>""</f>
        <v/>
      </c>
      <c r="AU88" t="str">
        <f>""</f>
        <v/>
      </c>
      <c r="AV88" t="str">
        <f>""</f>
        <v/>
      </c>
      <c r="AW88" t="str">
        <f>""</f>
        <v/>
      </c>
      <c r="AX88" t="str">
        <f>""</f>
        <v/>
      </c>
      <c r="AY88" t="str">
        <f>""</f>
        <v/>
      </c>
      <c r="AZ88" t="str">
        <f>""</f>
        <v/>
      </c>
      <c r="BA88" t="str">
        <f>""</f>
        <v/>
      </c>
      <c r="BB88" t="str">
        <f>""</f>
        <v/>
      </c>
      <c r="BC88" t="str">
        <f>""</f>
        <v/>
      </c>
      <c r="BD88" t="str">
        <f>""</f>
        <v/>
      </c>
      <c r="BE88" t="str">
        <f>""</f>
        <v/>
      </c>
      <c r="BF88" t="str">
        <f>""</f>
        <v/>
      </c>
      <c r="BG88" t="str">
        <f>""</f>
        <v/>
      </c>
      <c r="BH88" t="str">
        <f>""</f>
        <v/>
      </c>
      <c r="BI88" t="str">
        <f>""</f>
        <v/>
      </c>
      <c r="BJ88" t="str">
        <f>""</f>
        <v/>
      </c>
      <c r="BK88" t="str">
        <f>""</f>
        <v/>
      </c>
      <c r="BL88" t="str">
        <f>""</f>
        <v/>
      </c>
      <c r="BM88" t="str">
        <f>""</f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  <c r="BT88" t="str">
        <f>""</f>
        <v/>
      </c>
      <c r="BU88" t="str">
        <f>""</f>
        <v/>
      </c>
      <c r="BV88" t="str">
        <f>""</f>
        <v/>
      </c>
      <c r="BW88" t="str">
        <f>""</f>
        <v/>
      </c>
      <c r="BX88" t="str">
        <f>""</f>
        <v/>
      </c>
      <c r="BY88" t="str">
        <f>""</f>
        <v/>
      </c>
      <c r="BZ88" t="str">
        <f>""</f>
        <v/>
      </c>
      <c r="CA88" t="str">
        <f>""</f>
        <v/>
      </c>
      <c r="CB88" t="str">
        <f>""</f>
        <v/>
      </c>
      <c r="CC88" t="str">
        <f>""</f>
        <v/>
      </c>
      <c r="CD88" t="str">
        <f>""</f>
        <v/>
      </c>
      <c r="CE88" t="str">
        <f>""</f>
        <v/>
      </c>
      <c r="CF88" t="str">
        <f>""</f>
        <v/>
      </c>
      <c r="CG88" t="str">
        <f>""</f>
        <v/>
      </c>
    </row>
    <row r="89" spans="1:85" x14ac:dyDescent="0.2">
      <c r="A89" t="str">
        <f>"    Housing Starts"</f>
        <v xml:space="preserve">    Housing Starts</v>
      </c>
      <c r="B89" t="str">
        <f>""</f>
        <v/>
      </c>
      <c r="E89" t="str">
        <f>"Static"</f>
        <v>Static</v>
      </c>
      <c r="F89" t="str">
        <f t="shared" ca="1" si="31"/>
        <v/>
      </c>
      <c r="G89" t="str">
        <f t="shared" ca="1" si="31"/>
        <v/>
      </c>
      <c r="H89" t="str">
        <f t="shared" ca="1" si="31"/>
        <v/>
      </c>
      <c r="I89" t="str">
        <f t="shared" ca="1" si="31"/>
        <v/>
      </c>
      <c r="J89" t="str">
        <f t="shared" ca="1" si="31"/>
        <v/>
      </c>
      <c r="K89" t="str">
        <f t="shared" ca="1" si="31"/>
        <v/>
      </c>
      <c r="L89" t="str">
        <f t="shared" ca="1" si="31"/>
        <v/>
      </c>
      <c r="M89" t="str">
        <f t="shared" ca="1" si="31"/>
        <v/>
      </c>
      <c r="N89" t="str">
        <f t="shared" ca="1" si="31"/>
        <v/>
      </c>
      <c r="O89" t="str">
        <f t="shared" ca="1" si="31"/>
        <v/>
      </c>
      <c r="P89" t="str">
        <f t="shared" ca="1" si="32"/>
        <v/>
      </c>
      <c r="Q89" t="str">
        <f t="shared" ca="1" si="32"/>
        <v/>
      </c>
      <c r="R89" t="str">
        <f t="shared" ca="1" si="32"/>
        <v/>
      </c>
      <c r="S89" t="str">
        <f t="shared" ca="1" si="32"/>
        <v/>
      </c>
      <c r="T89" t="str">
        <f t="shared" ca="1" si="32"/>
        <v/>
      </c>
      <c r="U89" t="str">
        <f t="shared" ca="1" si="32"/>
        <v/>
      </c>
      <c r="V89" t="str">
        <f t="shared" ca="1" si="32"/>
        <v/>
      </c>
      <c r="W89" t="str">
        <f t="shared" ca="1" si="32"/>
        <v/>
      </c>
      <c r="X89" t="str">
        <f t="shared" ca="1" si="32"/>
        <v/>
      </c>
      <c r="Y89" t="str">
        <f t="shared" ca="1" si="32"/>
        <v/>
      </c>
      <c r="Z89" t="str">
        <f t="shared" ca="1" si="33"/>
        <v/>
      </c>
      <c r="AA89" t="str">
        <f t="shared" ca="1" si="33"/>
        <v/>
      </c>
      <c r="AB89" t="str">
        <f t="shared" ca="1" si="33"/>
        <v/>
      </c>
      <c r="AC89" t="str">
        <f t="shared" ca="1" si="33"/>
        <v/>
      </c>
      <c r="AD89" t="str">
        <f t="shared" ca="1" si="33"/>
        <v/>
      </c>
      <c r="AE89" t="str">
        <f t="shared" ca="1" si="33"/>
        <v/>
      </c>
      <c r="AF89" t="str">
        <f t="shared" ca="1" si="33"/>
        <v/>
      </c>
      <c r="AG89" t="str">
        <f t="shared" ca="1" si="33"/>
        <v/>
      </c>
      <c r="AH89" t="str">
        <f t="shared" ca="1" si="33"/>
        <v/>
      </c>
      <c r="AI89" t="str">
        <f t="shared" ca="1" si="33"/>
        <v/>
      </c>
      <c r="AJ89" t="str">
        <f t="shared" ca="1" si="34"/>
        <v/>
      </c>
      <c r="AK89" t="str">
        <f t="shared" ca="1" si="34"/>
        <v/>
      </c>
      <c r="AL89" t="str">
        <f t="shared" ca="1" si="34"/>
        <v/>
      </c>
      <c r="AM89" t="str">
        <f t="shared" ca="1" si="34"/>
        <v/>
      </c>
      <c r="AN89" t="str">
        <f t="shared" ca="1" si="34"/>
        <v/>
      </c>
      <c r="AO89" t="str">
        <f t="shared" ca="1" si="34"/>
        <v/>
      </c>
      <c r="AP89" t="str">
        <f t="shared" ca="1" si="34"/>
        <v/>
      </c>
      <c r="AQ89" t="str">
        <f t="shared" ca="1" si="34"/>
        <v/>
      </c>
      <c r="AR89" t="str">
        <f t="shared" ca="1" si="34"/>
        <v/>
      </c>
      <c r="AS89" t="str">
        <f t="shared" ca="1" si="34"/>
        <v/>
      </c>
      <c r="AT89" t="str">
        <f>""</f>
        <v/>
      </c>
      <c r="AU89" t="str">
        <f>""</f>
        <v/>
      </c>
      <c r="AV89" t="str">
        <f>""</f>
        <v/>
      </c>
      <c r="AW89" t="str">
        <f>""</f>
        <v/>
      </c>
      <c r="AX89" t="str">
        <f>""</f>
        <v/>
      </c>
      <c r="AY89" t="str">
        <f>""</f>
        <v/>
      </c>
      <c r="AZ89" t="str">
        <f>""</f>
        <v/>
      </c>
      <c r="BA89" t="str">
        <f>""</f>
        <v/>
      </c>
      <c r="BB89" t="str">
        <f>""</f>
        <v/>
      </c>
      <c r="BC89" t="str">
        <f>""</f>
        <v/>
      </c>
      <c r="BD89" t="str">
        <f>""</f>
        <v/>
      </c>
      <c r="BE89" t="str">
        <f>""</f>
        <v/>
      </c>
      <c r="BF89" t="str">
        <f>""</f>
        <v/>
      </c>
      <c r="BG89" t="str">
        <f>""</f>
        <v/>
      </c>
      <c r="BH89" t="str">
        <f>""</f>
        <v/>
      </c>
      <c r="BI89" t="str">
        <f>""</f>
        <v/>
      </c>
      <c r="BJ89" t="str">
        <f>""</f>
        <v/>
      </c>
      <c r="BK89" t="str">
        <f>""</f>
        <v/>
      </c>
      <c r="BL89" t="str">
        <f>""</f>
        <v/>
      </c>
      <c r="BM89" t="str">
        <f>""</f>
        <v/>
      </c>
      <c r="BN89" t="str">
        <f>""</f>
        <v/>
      </c>
      <c r="BO89" t="str">
        <f>""</f>
        <v/>
      </c>
      <c r="BP89" t="str">
        <f>""</f>
        <v/>
      </c>
      <c r="BQ89" t="str">
        <f>""</f>
        <v/>
      </c>
      <c r="BR89" t="str">
        <f>""</f>
        <v/>
      </c>
      <c r="BS89" t="str">
        <f>""</f>
        <v/>
      </c>
      <c r="BT89" t="str">
        <f>""</f>
        <v/>
      </c>
      <c r="BU89" t="str">
        <f>""</f>
        <v/>
      </c>
      <c r="BV89" t="str">
        <f>""</f>
        <v/>
      </c>
      <c r="BW89" t="str">
        <f>""</f>
        <v/>
      </c>
      <c r="BX89" t="str">
        <f>""</f>
        <v/>
      </c>
      <c r="BY89" t="str">
        <f>""</f>
        <v/>
      </c>
      <c r="BZ89" t="str">
        <f>""</f>
        <v/>
      </c>
      <c r="CA89" t="str">
        <f>""</f>
        <v/>
      </c>
      <c r="CB89" t="str">
        <f>""</f>
        <v/>
      </c>
      <c r="CC89" t="str">
        <f>""</f>
        <v/>
      </c>
      <c r="CD89" t="str">
        <f>""</f>
        <v/>
      </c>
      <c r="CE89" t="str">
        <f>""</f>
        <v/>
      </c>
      <c r="CF89" t="str">
        <f>""</f>
        <v/>
      </c>
      <c r="CG89" t="str">
        <f>""</f>
        <v/>
      </c>
    </row>
    <row r="90" spans="1:85" x14ac:dyDescent="0.2">
      <c r="A90" t="str">
        <f>"        Canada Total Housing New Starts SAAR (000's)"</f>
        <v xml:space="preserve">        Canada Total Housing New Starts SAAR (000's)</v>
      </c>
      <c r="B90" t="str">
        <f>"CAHSTOTL Index"</f>
        <v>CAHSTOTL Index</v>
      </c>
      <c r="C90" t="str">
        <f>"PR005"</f>
        <v>PR005</v>
      </c>
      <c r="D90" t="str">
        <f>"PX_LAST"</f>
        <v>PX_LAST</v>
      </c>
      <c r="E90" t="str">
        <f>"Dynamic"</f>
        <v>Dynamic</v>
      </c>
      <c r="F90">
        <f ca="1">IF(AND(ISNUMBER($F$174),$B$113=1),$F$174,HLOOKUP(INDIRECT(ADDRESS(2,COLUMN())),OFFSET($AT$2,0,0,ROW()-1,40),ROW()-1,FALSE))</f>
        <v>274.68099999999998</v>
      </c>
      <c r="G90">
        <f ca="1">IF(AND(ISNUMBER($G$174),$B$113=1),$G$174,HLOOKUP(INDIRECT(ADDRESS(2,COLUMN())),OFFSET($AT$2,0,0,ROW()-1,40),ROW()-1,FALSE))</f>
        <v>248.648</v>
      </c>
      <c r="H90">
        <f ca="1">IF(AND(ISNUMBER($H$174),$B$113=1),$H$174,HLOOKUP(INDIRECT(ADDRESS(2,COLUMN())),OFFSET($AT$2,0,0,ROW()-1,40),ROW()-1,FALSE))</f>
        <v>245.20500000000001</v>
      </c>
      <c r="I90">
        <f ca="1">IF(AND(ISNUMBER($I$174),$B$113=1),$I$174,HLOOKUP(INDIRECT(ADDRESS(2,COLUMN())),OFFSET($AT$2,0,0,ROW()-1,40),ROW()-1,FALSE))</f>
        <v>240.42099999999999</v>
      </c>
      <c r="J90">
        <f ca="1">IF(AND(ISNUMBER($J$174),$B$113=1),$J$174,HLOOKUP(INDIRECT(ADDRESS(2,COLUMN())),OFFSET($AT$2,0,0,ROW()-1,40),ROW()-1,FALSE))</f>
        <v>199.55500000000001</v>
      </c>
      <c r="K90">
        <f ca="1">IF(AND(ISNUMBER($K$174),$B$113=1),$K$174,HLOOKUP(INDIRECT(ADDRESS(2,COLUMN())),OFFSET($AT$2,0,0,ROW()-1,40),ROW()-1,FALSE))</f>
        <v>214.99</v>
      </c>
      <c r="L90">
        <f ca="1">IF(AND(ISNUMBER($L$174),$B$113=1),$L$174,HLOOKUP(INDIRECT(ADDRESS(2,COLUMN())),OFFSET($AT$2,0,0,ROW()-1,40),ROW()-1,FALSE))</f>
        <v>214.309</v>
      </c>
      <c r="M90">
        <f ca="1">IF(AND(ISNUMBER($M$174),$B$113=1),$M$174,HLOOKUP(INDIRECT(ADDRESS(2,COLUMN())),OFFSET($AT$2,0,0,ROW()-1,40),ROW()-1,FALSE))</f>
        <v>202.69300000000001</v>
      </c>
      <c r="N90">
        <f ca="1">IF(AND(ISNUMBER($N$174),$B$113=1),$N$174,HLOOKUP(INDIRECT(ADDRESS(2,COLUMN())),OFFSET($AT$2,0,0,ROW()-1,40),ROW()-1,FALSE))</f>
        <v>171.24799999999999</v>
      </c>
      <c r="O90">
        <f ca="1">IF(AND(ISNUMBER($O$174),$B$113=1),$O$174,HLOOKUP(INDIRECT(ADDRESS(2,COLUMN())),OFFSET($AT$2,0,0,ROW()-1,40),ROW()-1,FALSE))</f>
        <v>177.29599999999999</v>
      </c>
      <c r="P90">
        <f ca="1">IF(AND(ISNUMBER($P$174),$B$113=1),$P$174,HLOOKUP(INDIRECT(ADDRESS(2,COLUMN())),OFFSET($AT$2,0,0,ROW()-1,40),ROW()-1,FALSE))</f>
        <v>185.52099999999999</v>
      </c>
      <c r="Q90">
        <f ca="1">IF(AND(ISNUMBER($Q$174),$B$113=1),$Q$174,HLOOKUP(INDIRECT(ADDRESS(2,COLUMN())),OFFSET($AT$2,0,0,ROW()-1,40),ROW()-1,FALSE))</f>
        <v>200.005</v>
      </c>
      <c r="R90">
        <f ca="1">IF(AND(ISNUMBER($R$174),$B$113=1),$R$174,HLOOKUP(INDIRECT(ADDRESS(2,COLUMN())),OFFSET($AT$2,0,0,ROW()-1,40),ROW()-1,FALSE))</f>
        <v>200.18899999999999</v>
      </c>
      <c r="S90">
        <f ca="1">IF(AND(ISNUMBER($S$174),$B$113=1),$S$174,HLOOKUP(INDIRECT(ADDRESS(2,COLUMN())),OFFSET($AT$2,0,0,ROW()-1,40),ROW()-1,FALSE))</f>
        <v>166.82300000000001</v>
      </c>
      <c r="T90">
        <f ca="1">IF(AND(ISNUMBER($T$174),$B$113=1),$T$174,HLOOKUP(INDIRECT(ADDRESS(2,COLUMN())),OFFSET($AT$2,0,0,ROW()-1,40),ROW()-1,FALSE))</f>
        <v>173.15199999999999</v>
      </c>
      <c r="U90">
        <f ca="1">IF(AND(ISNUMBER($U$174),$B$113=1),$U$174,HLOOKUP(INDIRECT(ADDRESS(2,COLUMN())),OFFSET($AT$2,0,0,ROW()-1,40),ROW()-1,FALSE))</f>
        <v>150.30500000000001</v>
      </c>
      <c r="V90">
        <f ca="1">IF(AND(ISNUMBER($V$174),$B$113=1),$V$174,HLOOKUP(INDIRECT(ADDRESS(2,COLUMN())),OFFSET($AT$2,0,0,ROW()-1,40),ROW()-1,FALSE))</f>
        <v>175.36799999999999</v>
      </c>
      <c r="W90">
        <f ca="1">IF(AND(ISNUMBER($W$174),$B$113=1),$W$174,HLOOKUP(INDIRECT(ADDRESS(2,COLUMN())),OFFSET($AT$2,0,0,ROW()-1,40),ROW()-1,FALSE))</f>
        <v>210.977</v>
      </c>
      <c r="X90">
        <f ca="1">IF(AND(ISNUMBER($X$174),$B$113=1),$X$174,HLOOKUP(INDIRECT(ADDRESS(2,COLUMN())),OFFSET($AT$2,0,0,ROW()-1,40),ROW()-1,FALSE))</f>
        <v>233.376</v>
      </c>
      <c r="Y90">
        <f ca="1">IF(AND(ISNUMBER($Y$174),$B$113=1),$Y$174,HLOOKUP(INDIRECT(ADDRESS(2,COLUMN())),OFFSET($AT$2,0,0,ROW()-1,40),ROW()-1,FALSE))</f>
        <v>229.102</v>
      </c>
      <c r="Z90">
        <f ca="1">IF(AND(ISNUMBER($Z$174),$B$113=1),$Z$174,HLOOKUP(INDIRECT(ADDRESS(2,COLUMN())),OFFSET($AT$2,0,0,ROW()-1,40),ROW()-1,FALSE))</f>
        <v>216.33799999999999</v>
      </c>
      <c r="AA90">
        <f ca="1">IF(AND(ISNUMBER($AA$174),$B$113=1),$AA$174,HLOOKUP(INDIRECT(ADDRESS(2,COLUMN())),OFFSET($AT$2,0,0,ROW()-1,40),ROW()-1,FALSE))</f>
        <v>197.56399999999999</v>
      </c>
      <c r="AB90">
        <f ca="1">IF(AND(ISNUMBER($AB$174),$B$113=1),$AB$174,HLOOKUP(INDIRECT(ADDRESS(2,COLUMN())),OFFSET($AT$2,0,0,ROW()-1,40),ROW()-1,FALSE))</f>
        <v>177.44399999999999</v>
      </c>
      <c r="AC90">
        <f ca="1">IF(AND(ISNUMBER($AC$174),$B$113=1),$AC$174,HLOOKUP(INDIRECT(ADDRESS(2,COLUMN())),OFFSET($AT$2,0,0,ROW()-1,40),ROW()-1,FALSE))</f>
        <v>144.483</v>
      </c>
      <c r="AD90">
        <f ca="1">IF(AND(ISNUMBER($AD$174),$B$113=1),$AD$174,HLOOKUP(INDIRECT(ADDRESS(2,COLUMN())),OFFSET($AT$2,0,0,ROW()-1,40),ROW()-1,FALSE))</f>
        <v>161.52600000000001</v>
      </c>
      <c r="AE90">
        <f ca="1">IF(AND(ISNUMBER($AE$174),$B$113=1),$AE$174,HLOOKUP(INDIRECT(ADDRESS(2,COLUMN())),OFFSET($AT$2,0,0,ROW()-1,40),ROW()-1,FALSE))</f>
        <v>141.95699999999999</v>
      </c>
      <c r="AF90">
        <f ca="1">IF(AND(ISNUMBER($AF$174),$B$113=1),$AF$174,HLOOKUP(INDIRECT(ADDRESS(2,COLUMN())),OFFSET($AT$2,0,0,ROW()-1,40),ROW()-1,FALSE))</f>
        <v>148.47900000000001</v>
      </c>
      <c r="AG90">
        <f ca="1">IF(AND(ISNUMBER($AG$174),$B$113=1),$AG$174,HLOOKUP(INDIRECT(ADDRESS(2,COLUMN())),OFFSET($AT$2,0,0,ROW()-1,40),ROW()-1,FALSE))</f>
        <v>137.32499999999999</v>
      </c>
      <c r="AH90">
        <f ca="1">IF(AND(ISNUMBER($AH$174),$B$113=1),$AH$174,HLOOKUP(INDIRECT(ADDRESS(2,COLUMN())),OFFSET($AT$2,0,0,ROW()-1,40),ROW()-1,FALSE))</f>
        <v>119.395</v>
      </c>
      <c r="AI90">
        <f ca="1">IF(AND(ISNUMBER($AI$174),$B$113=1),$AI$174,HLOOKUP(INDIRECT(ADDRESS(2,COLUMN())),OFFSET($AT$2,0,0,ROW()-1,40),ROW()-1,FALSE))</f>
        <v>125.041</v>
      </c>
      <c r="AJ90">
        <f ca="1">IF(AND(ISNUMBER($AJ$174),$B$113=1),$AJ$174,HLOOKUP(INDIRECT(ADDRESS(2,COLUMN())),OFFSET($AT$2,0,0,ROW()-1,40),ROW()-1,FALSE))</f>
        <v>161.59700000000001</v>
      </c>
      <c r="AK90">
        <f ca="1">IF(AND(ISNUMBER($AK$174),$B$113=1),$AK$174,HLOOKUP(INDIRECT(ADDRESS(2,COLUMN())),OFFSET($AT$2,0,0,ROW()-1,40),ROW()-1,FALSE))</f>
        <v>168.173</v>
      </c>
      <c r="AL90">
        <f ca="1">IF(AND(ISNUMBER($AL$174),$B$113=1),$AL$174,HLOOKUP(INDIRECT(ADDRESS(2,COLUMN())),OFFSET($AT$2,0,0,ROW()-1,40),ROW()-1,FALSE))</f>
        <v>165.67699999999999</v>
      </c>
      <c r="AM90">
        <f ca="1">IF(AND(ISNUMBER($AM$174),$B$113=1),$AM$174,HLOOKUP(INDIRECT(ADDRESS(2,COLUMN())),OFFSET($AT$2,0,0,ROW()-1,40),ROW()-1,FALSE))</f>
        <v>142.41</v>
      </c>
      <c r="AN90">
        <f ca="1">IF(AND(ISNUMBER($AN$174),$B$113=1),$AN$174,HLOOKUP(INDIRECT(ADDRESS(2,COLUMN())),OFFSET($AT$2,0,0,ROW()-1,40),ROW()-1,FALSE))</f>
        <v>221.1</v>
      </c>
      <c r="AO90">
        <f ca="1">IF(AND(ISNUMBER($AO$174),$B$113=1),$AO$174,HLOOKUP(INDIRECT(ADDRESS(2,COLUMN())),OFFSET($AT$2,0,0,ROW()-1,40),ROW()-1,FALSE))</f>
        <v>225</v>
      </c>
      <c r="AP90">
        <f ca="1">IF(AND(ISNUMBER($AP$174),$B$113=1),$AP$174,HLOOKUP(INDIRECT(ADDRESS(2,COLUMN())),OFFSET($AT$2,0,0,ROW()-1,40),ROW()-1,FALSE))</f>
        <v>220.3</v>
      </c>
      <c r="AQ90">
        <f ca="1">IF(AND(ISNUMBER($AQ$174),$B$113=1),$AQ$174,HLOOKUP(INDIRECT(ADDRESS(2,COLUMN())),OFFSET($AT$2,0,0,ROW()-1,40),ROW()-1,FALSE))</f>
        <v>214.5</v>
      </c>
      <c r="AR90">
        <f ca="1">IF(AND(ISNUMBER($AR$174),$B$113=1),$AR$174,HLOOKUP(INDIRECT(ADDRESS(2,COLUMN())),OFFSET($AT$2,0,0,ROW()-1,40),ROW()-1,FALSE))</f>
        <v>190.6</v>
      </c>
      <c r="AS90">
        <f ca="1">IF(AND(ISNUMBER($AS$174),$B$113=1),$AS$174,HLOOKUP(INDIRECT(ADDRESS(2,COLUMN())),OFFSET($AT$2,0,0,ROW()-1,40),ROW()-1,FALSE))</f>
        <v>129.9</v>
      </c>
      <c r="AT90">
        <f>274.681</f>
        <v>274.68099999999998</v>
      </c>
      <c r="AU90">
        <f>248.648</f>
        <v>248.648</v>
      </c>
      <c r="AV90">
        <f>245.205</f>
        <v>245.20500000000001</v>
      </c>
      <c r="AW90">
        <f>240.421</f>
        <v>240.42099999999999</v>
      </c>
      <c r="AX90">
        <f>199.555</f>
        <v>199.55500000000001</v>
      </c>
      <c r="AY90">
        <f>214.99</f>
        <v>214.99</v>
      </c>
      <c r="AZ90">
        <f>214.309</f>
        <v>214.309</v>
      </c>
      <c r="BA90">
        <f>202.693</f>
        <v>202.69300000000001</v>
      </c>
      <c r="BB90">
        <f>171.248</f>
        <v>171.24799999999999</v>
      </c>
      <c r="BC90">
        <f>177.296</f>
        <v>177.29599999999999</v>
      </c>
      <c r="BD90">
        <f>185.521</f>
        <v>185.52099999999999</v>
      </c>
      <c r="BE90">
        <f>200.005</f>
        <v>200.005</v>
      </c>
      <c r="BF90">
        <f>200.189</f>
        <v>200.18899999999999</v>
      </c>
      <c r="BG90">
        <f>166.823</f>
        <v>166.82300000000001</v>
      </c>
      <c r="BH90">
        <f>173.152</f>
        <v>173.15199999999999</v>
      </c>
      <c r="BI90">
        <f>150.305</f>
        <v>150.30500000000001</v>
      </c>
      <c r="BJ90">
        <f>175.368</f>
        <v>175.36799999999999</v>
      </c>
      <c r="BK90">
        <f>210.977</f>
        <v>210.977</v>
      </c>
      <c r="BL90">
        <f>233.376</f>
        <v>233.376</v>
      </c>
      <c r="BM90">
        <f>229.102</f>
        <v>229.102</v>
      </c>
      <c r="BN90">
        <f>216.338</f>
        <v>216.33799999999999</v>
      </c>
      <c r="BO90">
        <f>197.564</f>
        <v>197.56399999999999</v>
      </c>
      <c r="BP90">
        <f>177.444</f>
        <v>177.44399999999999</v>
      </c>
      <c r="BQ90">
        <f>144.483</f>
        <v>144.483</v>
      </c>
      <c r="BR90">
        <f>161.526</f>
        <v>161.52600000000001</v>
      </c>
      <c r="BS90">
        <f>141.957</f>
        <v>141.95699999999999</v>
      </c>
      <c r="BT90">
        <f>148.479</f>
        <v>148.47900000000001</v>
      </c>
      <c r="BU90">
        <f>137.325</f>
        <v>137.32499999999999</v>
      </c>
      <c r="BV90">
        <f>119.395</f>
        <v>119.395</v>
      </c>
      <c r="BW90">
        <f>125.041</f>
        <v>125.041</v>
      </c>
      <c r="BX90">
        <f>161.597</f>
        <v>161.59700000000001</v>
      </c>
      <c r="BY90">
        <f>168.173</f>
        <v>168.173</v>
      </c>
      <c r="BZ90">
        <f>165.677</f>
        <v>165.67699999999999</v>
      </c>
      <c r="CA90">
        <f>142.41</f>
        <v>142.41</v>
      </c>
      <c r="CB90">
        <f>221.1</f>
        <v>221.1</v>
      </c>
      <c r="CC90">
        <f>225</f>
        <v>225</v>
      </c>
      <c r="CD90">
        <f>220.3</f>
        <v>220.3</v>
      </c>
      <c r="CE90">
        <f>214.5</f>
        <v>214.5</v>
      </c>
      <c r="CF90">
        <f>190.6</f>
        <v>190.6</v>
      </c>
      <c r="CG90">
        <f>129.9</f>
        <v>129.9</v>
      </c>
    </row>
    <row r="91" spans="1:85" x14ac:dyDescent="0.2">
      <c r="A91" t="str">
        <f>"        New Starts - Urban Area SAAR (000's)"</f>
        <v xml:space="preserve">        New Starts - Urban Area SAAR (000's)</v>
      </c>
      <c r="B91" t="str">
        <f>"CAHSURBA Index"</f>
        <v>CAHSURBA Index</v>
      </c>
      <c r="C91" t="str">
        <f>"PR005"</f>
        <v>PR005</v>
      </c>
      <c r="D91" t="str">
        <f>"PX_LAST"</f>
        <v>PX_LAST</v>
      </c>
      <c r="E91" t="str">
        <f>"Dynamic"</f>
        <v>Dynamic</v>
      </c>
      <c r="F91" t="str">
        <f ca="1">IF(AND(ISNUMBER($F$175),$B$113=1),$F$175,HLOOKUP(INDIRECT(ADDRESS(2,COLUMN())),OFFSET($AT$2,0,0,ROW()-1,40),ROW()-1,FALSE))</f>
        <v/>
      </c>
      <c r="G91" t="str">
        <f ca="1">IF(AND(ISNUMBER($G$175),$B$113=1),$G$175,HLOOKUP(INDIRECT(ADDRESS(2,COLUMN())),OFFSET($AT$2,0,0,ROW()-1,40),ROW()-1,FALSE))</f>
        <v/>
      </c>
      <c r="H91" t="str">
        <f ca="1">IF(AND(ISNUMBER($H$175),$B$113=1),$H$175,HLOOKUP(INDIRECT(ADDRESS(2,COLUMN())),OFFSET($AT$2,0,0,ROW()-1,40),ROW()-1,FALSE))</f>
        <v/>
      </c>
      <c r="I91" t="str">
        <f ca="1">IF(AND(ISNUMBER($I$175),$B$113=1),$I$175,HLOOKUP(INDIRECT(ADDRESS(2,COLUMN())),OFFSET($AT$2,0,0,ROW()-1,40),ROW()-1,FALSE))</f>
        <v/>
      </c>
      <c r="J91" t="str">
        <f ca="1">IF(AND(ISNUMBER($J$175),$B$113=1),$J$175,HLOOKUP(INDIRECT(ADDRESS(2,COLUMN())),OFFSET($AT$2,0,0,ROW()-1,40),ROW()-1,FALSE))</f>
        <v/>
      </c>
      <c r="K91" t="str">
        <f ca="1">IF(AND(ISNUMBER($K$175),$B$113=1),$K$175,HLOOKUP(INDIRECT(ADDRESS(2,COLUMN())),OFFSET($AT$2,0,0,ROW()-1,40),ROW()-1,FALSE))</f>
        <v/>
      </c>
      <c r="L91" t="str">
        <f ca="1">IF(AND(ISNUMBER($L$175),$B$113=1),$L$175,HLOOKUP(INDIRECT(ADDRESS(2,COLUMN())),OFFSET($AT$2,0,0,ROW()-1,40),ROW()-1,FALSE))</f>
        <v/>
      </c>
      <c r="M91" t="str">
        <f ca="1">IF(AND(ISNUMBER($M$175),$B$113=1),$M$175,HLOOKUP(INDIRECT(ADDRESS(2,COLUMN())),OFFSET($AT$2,0,0,ROW()-1,40),ROW()-1,FALSE))</f>
        <v/>
      </c>
      <c r="N91" t="str">
        <f ca="1">IF(AND(ISNUMBER($N$175),$B$113=1),$N$175,HLOOKUP(INDIRECT(ADDRESS(2,COLUMN())),OFFSET($AT$2,0,0,ROW()-1,40),ROW()-1,FALSE))</f>
        <v/>
      </c>
      <c r="O91" t="str">
        <f ca="1">IF(AND(ISNUMBER($O$175),$B$113=1),$O$175,HLOOKUP(INDIRECT(ADDRESS(2,COLUMN())),OFFSET($AT$2,0,0,ROW()-1,40),ROW()-1,FALSE))</f>
        <v/>
      </c>
      <c r="P91" t="str">
        <f ca="1">IF(AND(ISNUMBER($P$175),$B$113=1),$P$175,HLOOKUP(INDIRECT(ADDRESS(2,COLUMN())),OFFSET($AT$2,0,0,ROW()-1,40),ROW()-1,FALSE))</f>
        <v/>
      </c>
      <c r="Q91" t="str">
        <f ca="1">IF(AND(ISNUMBER($Q$175),$B$113=1),$Q$175,HLOOKUP(INDIRECT(ADDRESS(2,COLUMN())),OFFSET($AT$2,0,0,ROW()-1,40),ROW()-1,FALSE))</f>
        <v/>
      </c>
      <c r="R91" t="str">
        <f ca="1">IF(AND(ISNUMBER($R$175),$B$113=1),$R$175,HLOOKUP(INDIRECT(ADDRESS(2,COLUMN())),OFFSET($AT$2,0,0,ROW()-1,40),ROW()-1,FALSE))</f>
        <v/>
      </c>
      <c r="S91" t="str">
        <f ca="1">IF(AND(ISNUMBER($S$175),$B$113=1),$S$175,HLOOKUP(INDIRECT(ADDRESS(2,COLUMN())),OFFSET($AT$2,0,0,ROW()-1,40),ROW()-1,FALSE))</f>
        <v/>
      </c>
      <c r="T91" t="str">
        <f ca="1">IF(AND(ISNUMBER($T$175),$B$113=1),$T$175,HLOOKUP(INDIRECT(ADDRESS(2,COLUMN())),OFFSET($AT$2,0,0,ROW()-1,40),ROW()-1,FALSE))</f>
        <v/>
      </c>
      <c r="U91" t="str">
        <f ca="1">IF(AND(ISNUMBER($U$175),$B$113=1),$U$175,HLOOKUP(INDIRECT(ADDRESS(2,COLUMN())),OFFSET($AT$2,0,0,ROW()-1,40),ROW()-1,FALSE))</f>
        <v/>
      </c>
      <c r="V91" t="str">
        <f ca="1">IF(AND(ISNUMBER($V$175),$B$113=1),$V$175,HLOOKUP(INDIRECT(ADDRESS(2,COLUMN())),OFFSET($AT$2,0,0,ROW()-1,40),ROW()-1,FALSE))</f>
        <v/>
      </c>
      <c r="W91" t="str">
        <f ca="1">IF(AND(ISNUMBER($W$175),$B$113=1),$W$175,HLOOKUP(INDIRECT(ADDRESS(2,COLUMN())),OFFSET($AT$2,0,0,ROW()-1,40),ROW()-1,FALSE))</f>
        <v/>
      </c>
      <c r="X91" t="str">
        <f ca="1">IF(AND(ISNUMBER($X$175),$B$113=1),$X$175,HLOOKUP(INDIRECT(ADDRESS(2,COLUMN())),OFFSET($AT$2,0,0,ROW()-1,40),ROW()-1,FALSE))</f>
        <v/>
      </c>
      <c r="Y91" t="str">
        <f ca="1">IF(AND(ISNUMBER($Y$175),$B$113=1),$Y$175,HLOOKUP(INDIRECT(ADDRESS(2,COLUMN())),OFFSET($AT$2,0,0,ROW()-1,40),ROW()-1,FALSE))</f>
        <v/>
      </c>
      <c r="Z91">
        <f ca="1">IF(AND(ISNUMBER($Z$175),$B$113=1),$Z$175,HLOOKUP(INDIRECT(ADDRESS(2,COLUMN())),OFFSET($AT$2,0,0,ROW()-1,40),ROW()-1,FALSE))</f>
        <v>224.69900000000001</v>
      </c>
      <c r="AA91">
        <f ca="1">IF(AND(ISNUMBER($AA$175),$B$113=1),$AA$175,HLOOKUP(INDIRECT(ADDRESS(2,COLUMN())),OFFSET($AT$2,0,0,ROW()-1,40),ROW()-1,FALSE))</f>
        <v>189.6</v>
      </c>
      <c r="AB91" t="str">
        <f ca="1">IF(AND(ISNUMBER($AB$175),$B$113=1),$AB$175,HLOOKUP(INDIRECT(ADDRESS(2,COLUMN())),OFFSET($AT$2,0,0,ROW()-1,40),ROW()-1,FALSE))</f>
        <v/>
      </c>
      <c r="AC91" t="str">
        <f ca="1">IF(AND(ISNUMBER($AC$175),$B$113=1),$AC$175,HLOOKUP(INDIRECT(ADDRESS(2,COLUMN())),OFFSET($AT$2,0,0,ROW()-1,40),ROW()-1,FALSE))</f>
        <v/>
      </c>
      <c r="AD91" t="str">
        <f ca="1">IF(AND(ISNUMBER($AD$175),$B$113=1),$AD$175,HLOOKUP(INDIRECT(ADDRESS(2,COLUMN())),OFFSET($AT$2,0,0,ROW()-1,40),ROW()-1,FALSE))</f>
        <v/>
      </c>
      <c r="AE91" t="str">
        <f ca="1">IF(AND(ISNUMBER($AE$175),$B$113=1),$AE$175,HLOOKUP(INDIRECT(ADDRESS(2,COLUMN())),OFFSET($AT$2,0,0,ROW()-1,40),ROW()-1,FALSE))</f>
        <v/>
      </c>
      <c r="AF91" t="str">
        <f ca="1">IF(AND(ISNUMBER($AF$175),$B$113=1),$AF$175,HLOOKUP(INDIRECT(ADDRESS(2,COLUMN())),OFFSET($AT$2,0,0,ROW()-1,40),ROW()-1,FALSE))</f>
        <v/>
      </c>
      <c r="AG91" t="str">
        <f ca="1">IF(AND(ISNUMBER($AG$175),$B$113=1),$AG$175,HLOOKUP(INDIRECT(ADDRESS(2,COLUMN())),OFFSET($AT$2,0,0,ROW()-1,40),ROW()-1,FALSE))</f>
        <v/>
      </c>
      <c r="AH91" t="str">
        <f ca="1">IF(AND(ISNUMBER($AH$175),$B$113=1),$AH$175,HLOOKUP(INDIRECT(ADDRESS(2,COLUMN())),OFFSET($AT$2,0,0,ROW()-1,40),ROW()-1,FALSE))</f>
        <v/>
      </c>
      <c r="AI91" t="str">
        <f ca="1">IF(AND(ISNUMBER($AI$175),$B$113=1),$AI$175,HLOOKUP(INDIRECT(ADDRESS(2,COLUMN())),OFFSET($AT$2,0,0,ROW()-1,40),ROW()-1,FALSE))</f>
        <v/>
      </c>
      <c r="AJ91" t="str">
        <f ca="1">IF(AND(ISNUMBER($AJ$175),$B$113=1),$AJ$175,HLOOKUP(INDIRECT(ADDRESS(2,COLUMN())),OFFSET($AT$2,0,0,ROW()-1,40),ROW()-1,FALSE))</f>
        <v/>
      </c>
      <c r="AK91" t="str">
        <f ca="1">IF(AND(ISNUMBER($AK$175),$B$113=1),$AK$175,HLOOKUP(INDIRECT(ADDRESS(2,COLUMN())),OFFSET($AT$2,0,0,ROW()-1,40),ROW()-1,FALSE))</f>
        <v/>
      </c>
      <c r="AL91" t="str">
        <f ca="1">IF(AND(ISNUMBER($AL$175),$B$113=1),$AL$175,HLOOKUP(INDIRECT(ADDRESS(2,COLUMN())),OFFSET($AT$2,0,0,ROW()-1,40),ROW()-1,FALSE))</f>
        <v/>
      </c>
      <c r="AM91" t="str">
        <f ca="1">IF(AND(ISNUMBER($AM$175),$B$113=1),$AM$175,HLOOKUP(INDIRECT(ADDRESS(2,COLUMN())),OFFSET($AT$2,0,0,ROW()-1,40),ROW()-1,FALSE))</f>
        <v/>
      </c>
      <c r="AN91" t="str">
        <f ca="1">IF(AND(ISNUMBER($AN$175),$B$113=1),$AN$175,HLOOKUP(INDIRECT(ADDRESS(2,COLUMN())),OFFSET($AT$2,0,0,ROW()-1,40),ROW()-1,FALSE))</f>
        <v/>
      </c>
      <c r="AO91" t="str">
        <f ca="1">IF(AND(ISNUMBER($AO$175),$B$113=1),$AO$175,HLOOKUP(INDIRECT(ADDRESS(2,COLUMN())),OFFSET($AT$2,0,0,ROW()-1,40),ROW()-1,FALSE))</f>
        <v/>
      </c>
      <c r="AP91" t="str">
        <f ca="1">IF(AND(ISNUMBER($AP$175),$B$113=1),$AP$175,HLOOKUP(INDIRECT(ADDRESS(2,COLUMN())),OFFSET($AT$2,0,0,ROW()-1,40),ROW()-1,FALSE))</f>
        <v/>
      </c>
      <c r="AQ91" t="str">
        <f ca="1">IF(AND(ISNUMBER($AQ$175),$B$113=1),$AQ$175,HLOOKUP(INDIRECT(ADDRESS(2,COLUMN())),OFFSET($AT$2,0,0,ROW()-1,40),ROW()-1,FALSE))</f>
        <v/>
      </c>
      <c r="AR91" t="str">
        <f ca="1">IF(AND(ISNUMBER($AR$175),$B$113=1),$AR$175,HLOOKUP(INDIRECT(ADDRESS(2,COLUMN())),OFFSET($AT$2,0,0,ROW()-1,40),ROW()-1,FALSE))</f>
        <v/>
      </c>
      <c r="AS91" t="str">
        <f ca="1">IF(AND(ISNUMBER($AS$175),$B$113=1),$AS$175,HLOOKUP(INDIRECT(ADDRESS(2,COLUMN())),OFFSET($AT$2,0,0,ROW()-1,40),ROW()-1,FALSE))</f>
        <v/>
      </c>
      <c r="AT91" t="str">
        <f>""</f>
        <v/>
      </c>
      <c r="AU91" t="str">
        <f>""</f>
        <v/>
      </c>
      <c r="AV91" t="str">
        <f>""</f>
        <v/>
      </c>
      <c r="AW91" t="str">
        <f>""</f>
        <v/>
      </c>
      <c r="AX91" t="str">
        <f>""</f>
        <v/>
      </c>
      <c r="AY91" t="str">
        <f>""</f>
        <v/>
      </c>
      <c r="AZ91" t="str">
        <f>""</f>
        <v/>
      </c>
      <c r="BA91" t="str">
        <f>""</f>
        <v/>
      </c>
      <c r="BB91" t="str">
        <f>""</f>
        <v/>
      </c>
      <c r="BC91" t="str">
        <f>""</f>
        <v/>
      </c>
      <c r="BD91" t="str">
        <f>""</f>
        <v/>
      </c>
      <c r="BE91" t="str">
        <f>""</f>
        <v/>
      </c>
      <c r="BF91" t="str">
        <f>""</f>
        <v/>
      </c>
      <c r="BG91" t="str">
        <f>""</f>
        <v/>
      </c>
      <c r="BH91" t="str">
        <f>""</f>
        <v/>
      </c>
      <c r="BI91" t="str">
        <f>""</f>
        <v/>
      </c>
      <c r="BJ91" t="str">
        <f>""</f>
        <v/>
      </c>
      <c r="BK91" t="str">
        <f>""</f>
        <v/>
      </c>
      <c r="BL91" t="str">
        <f>""</f>
        <v/>
      </c>
      <c r="BM91" t="str">
        <f>""</f>
        <v/>
      </c>
      <c r="BN91">
        <f>224.699</f>
        <v>224.69900000000001</v>
      </c>
      <c r="BO91">
        <f>189.6</f>
        <v>189.6</v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  <c r="BT91" t="str">
        <f>""</f>
        <v/>
      </c>
      <c r="BU91" t="str">
        <f>""</f>
        <v/>
      </c>
      <c r="BV91" t="str">
        <f>""</f>
        <v/>
      </c>
      <c r="BW91" t="str">
        <f>""</f>
        <v/>
      </c>
      <c r="BX91" t="str">
        <f>""</f>
        <v/>
      </c>
      <c r="BY91" t="str">
        <f>""</f>
        <v/>
      </c>
      <c r="BZ91" t="str">
        <f>""</f>
        <v/>
      </c>
      <c r="CA91" t="str">
        <f>""</f>
        <v/>
      </c>
      <c r="CB91" t="str">
        <f>""</f>
        <v/>
      </c>
      <c r="CC91" t="str">
        <f>""</f>
        <v/>
      </c>
      <c r="CD91" t="str">
        <f>""</f>
        <v/>
      </c>
      <c r="CE91" t="str">
        <f>""</f>
        <v/>
      </c>
      <c r="CF91" t="str">
        <f>""</f>
        <v/>
      </c>
      <c r="CG91" t="str">
        <f>""</f>
        <v/>
      </c>
    </row>
    <row r="92" spans="1:85" x14ac:dyDescent="0.2">
      <c r="A92" t="str">
        <f>"    "</f>
        <v xml:space="preserve">    </v>
      </c>
      <c r="B92" t="str">
        <f>""</f>
        <v/>
      </c>
      <c r="E92" t="str">
        <f>"Static"</f>
        <v>Static</v>
      </c>
      <c r="F92" t="str">
        <f t="shared" ref="F92:AS92" ca="1" si="35">HLOOKUP(INDIRECT(ADDRESS(2,COLUMN())),OFFSET($AT$2,0,0,ROW()-1,40),ROW()-1,FALSE)</f>
        <v/>
      </c>
      <c r="G92" t="str">
        <f t="shared" ca="1" si="35"/>
        <v/>
      </c>
      <c r="H92" t="str">
        <f t="shared" ca="1" si="35"/>
        <v/>
      </c>
      <c r="I92" t="str">
        <f t="shared" ca="1" si="35"/>
        <v/>
      </c>
      <c r="J92" t="str">
        <f t="shared" ca="1" si="35"/>
        <v/>
      </c>
      <c r="K92" t="str">
        <f t="shared" ca="1" si="35"/>
        <v/>
      </c>
      <c r="L92" t="str">
        <f t="shared" ca="1" si="35"/>
        <v/>
      </c>
      <c r="M92" t="str">
        <f t="shared" ca="1" si="35"/>
        <v/>
      </c>
      <c r="N92" t="str">
        <f t="shared" ca="1" si="35"/>
        <v/>
      </c>
      <c r="O92" t="str">
        <f t="shared" ca="1" si="35"/>
        <v/>
      </c>
      <c r="P92" t="str">
        <f t="shared" ca="1" si="35"/>
        <v/>
      </c>
      <c r="Q92" t="str">
        <f t="shared" ca="1" si="35"/>
        <v/>
      </c>
      <c r="R92" t="str">
        <f t="shared" ca="1" si="35"/>
        <v/>
      </c>
      <c r="S92" t="str">
        <f t="shared" ca="1" si="35"/>
        <v/>
      </c>
      <c r="T92" t="str">
        <f t="shared" ca="1" si="35"/>
        <v/>
      </c>
      <c r="U92" t="str">
        <f t="shared" ca="1" si="35"/>
        <v/>
      </c>
      <c r="V92" t="str">
        <f t="shared" ca="1" si="35"/>
        <v/>
      </c>
      <c r="W92" t="str">
        <f t="shared" ca="1" si="35"/>
        <v/>
      </c>
      <c r="X92" t="str">
        <f t="shared" ca="1" si="35"/>
        <v/>
      </c>
      <c r="Y92" t="str">
        <f t="shared" ca="1" si="35"/>
        <v/>
      </c>
      <c r="Z92" t="str">
        <f t="shared" ca="1" si="35"/>
        <v/>
      </c>
      <c r="AA92" t="str">
        <f t="shared" ca="1" si="35"/>
        <v/>
      </c>
      <c r="AB92" t="str">
        <f t="shared" ca="1" si="35"/>
        <v/>
      </c>
      <c r="AC92" t="str">
        <f t="shared" ca="1" si="35"/>
        <v/>
      </c>
      <c r="AD92" t="str">
        <f t="shared" ca="1" si="35"/>
        <v/>
      </c>
      <c r="AE92" t="str">
        <f t="shared" ca="1" si="35"/>
        <v/>
      </c>
      <c r="AF92" t="str">
        <f t="shared" ca="1" si="35"/>
        <v/>
      </c>
      <c r="AG92" t="str">
        <f t="shared" ca="1" si="35"/>
        <v/>
      </c>
      <c r="AH92" t="str">
        <f t="shared" ca="1" si="35"/>
        <v/>
      </c>
      <c r="AI92" t="str">
        <f t="shared" ca="1" si="35"/>
        <v/>
      </c>
      <c r="AJ92" t="str">
        <f t="shared" ca="1" si="35"/>
        <v/>
      </c>
      <c r="AK92" t="str">
        <f t="shared" ca="1" si="35"/>
        <v/>
      </c>
      <c r="AL92" t="str">
        <f t="shared" ca="1" si="35"/>
        <v/>
      </c>
      <c r="AM92" t="str">
        <f t="shared" ca="1" si="35"/>
        <v/>
      </c>
      <c r="AN92" t="str">
        <f t="shared" ca="1" si="35"/>
        <v/>
      </c>
      <c r="AO92" t="str">
        <f t="shared" ca="1" si="35"/>
        <v/>
      </c>
      <c r="AP92" t="str">
        <f t="shared" ca="1" si="35"/>
        <v/>
      </c>
      <c r="AQ92" t="str">
        <f t="shared" ca="1" si="35"/>
        <v/>
      </c>
      <c r="AR92" t="str">
        <f t="shared" ca="1" si="35"/>
        <v/>
      </c>
      <c r="AS92" t="str">
        <f t="shared" ca="1" si="35"/>
        <v/>
      </c>
      <c r="AT92" t="str">
        <f>""</f>
        <v/>
      </c>
      <c r="AU92" t="str">
        <f>""</f>
        <v/>
      </c>
      <c r="AV92" t="str">
        <f>""</f>
        <v/>
      </c>
      <c r="AW92" t="str">
        <f>""</f>
        <v/>
      </c>
      <c r="AX92" t="str">
        <f>""</f>
        <v/>
      </c>
      <c r="AY92" t="str">
        <f>""</f>
        <v/>
      </c>
      <c r="AZ92" t="str">
        <f>""</f>
        <v/>
      </c>
      <c r="BA92" t="str">
        <f>""</f>
        <v/>
      </c>
      <c r="BB92" t="str">
        <f>""</f>
        <v/>
      </c>
      <c r="BC92" t="str">
        <f>""</f>
        <v/>
      </c>
      <c r="BD92" t="str">
        <f>""</f>
        <v/>
      </c>
      <c r="BE92" t="str">
        <f>""</f>
        <v/>
      </c>
      <c r="BF92" t="str">
        <f>""</f>
        <v/>
      </c>
      <c r="BG92" t="str">
        <f>""</f>
        <v/>
      </c>
      <c r="BH92" t="str">
        <f>""</f>
        <v/>
      </c>
      <c r="BI92" t="str">
        <f>""</f>
        <v/>
      </c>
      <c r="BJ92" t="str">
        <f>""</f>
        <v/>
      </c>
      <c r="BK92" t="str">
        <f>""</f>
        <v/>
      </c>
      <c r="BL92" t="str">
        <f>""</f>
        <v/>
      </c>
      <c r="BM92" t="str">
        <f>""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  <c r="BT92" t="str">
        <f>""</f>
        <v/>
      </c>
      <c r="BU92" t="str">
        <f>""</f>
        <v/>
      </c>
      <c r="BV92" t="str">
        <f>""</f>
        <v/>
      </c>
      <c r="BW92" t="str">
        <f>""</f>
        <v/>
      </c>
      <c r="BX92" t="str">
        <f>""</f>
        <v/>
      </c>
      <c r="BY92" t="str">
        <f>""</f>
        <v/>
      </c>
      <c r="BZ92" t="str">
        <f>""</f>
        <v/>
      </c>
      <c r="CA92" t="str">
        <f>""</f>
        <v/>
      </c>
      <c r="CB92" t="str">
        <f>""</f>
        <v/>
      </c>
      <c r="CC92" t="str">
        <f>""</f>
        <v/>
      </c>
      <c r="CD92" t="str">
        <f>""</f>
        <v/>
      </c>
      <c r="CE92" t="str">
        <f>""</f>
        <v/>
      </c>
      <c r="CF92" t="str">
        <f>""</f>
        <v/>
      </c>
      <c r="CG92" t="str">
        <f>""</f>
        <v/>
      </c>
    </row>
    <row r="93" spans="1:85" x14ac:dyDescent="0.2">
      <c r="A93" t="str">
        <f>"    Canada New Housing Price Index"</f>
        <v xml:space="preserve">    Canada New Housing Price Index</v>
      </c>
      <c r="B93" t="str">
        <f>"CAHUPI Index"</f>
        <v>CAHUPI Index</v>
      </c>
      <c r="C93" t="str">
        <f>"PR005"</f>
        <v>PR005</v>
      </c>
      <c r="D93" t="str">
        <f>"PX_LAST"</f>
        <v>PX_LAST</v>
      </c>
      <c r="E93" t="str">
        <f>"Dynamic"</f>
        <v>Dynamic</v>
      </c>
      <c r="F93">
        <f ca="1">IF(AND(ISNUMBER($F$176),$B$113=1),$F$176,HLOOKUP(INDIRECT(ADDRESS(2,COLUMN())),OFFSET($AT$2,0,0,ROW()-1,40),ROW()-1,FALSE))</f>
        <v>124.7</v>
      </c>
      <c r="G93">
        <f ca="1">IF(AND(ISNUMBER($G$176),$B$113=1),$G$176,HLOOKUP(INDIRECT(ADDRESS(2,COLUMN())),OFFSET($AT$2,0,0,ROW()-1,40),ROW()-1,FALSE))</f>
        <v>125.5</v>
      </c>
      <c r="H93">
        <f ca="1">IF(AND(ISNUMBER($H$176),$B$113=1),$H$176,HLOOKUP(INDIRECT(ADDRESS(2,COLUMN())),OFFSET($AT$2,0,0,ROW()-1,40),ROW()-1,FALSE))</f>
        <v>120.8</v>
      </c>
      <c r="I93">
        <f ca="1">IF(AND(ISNUMBER($I$176),$B$113=1),$I$176,HLOOKUP(INDIRECT(ADDRESS(2,COLUMN())),OFFSET($AT$2,0,0,ROW()-1,40),ROW()-1,FALSE))</f>
        <v>108.2</v>
      </c>
      <c r="J93">
        <f ca="1">IF(AND(ISNUMBER($J$176),$B$113=1),$J$176,HLOOKUP(INDIRECT(ADDRESS(2,COLUMN())),OFFSET($AT$2,0,0,ROW()-1,40),ROW()-1,FALSE))</f>
        <v>103.4</v>
      </c>
      <c r="K93">
        <f ca="1">IF(AND(ISNUMBER($K$176),$B$113=1),$K$176,HLOOKUP(INDIRECT(ADDRESS(2,COLUMN())),OFFSET($AT$2,0,0,ROW()-1,40),ROW()-1,FALSE))</f>
        <v>103.3</v>
      </c>
      <c r="L93">
        <f ca="1">IF(AND(ISNUMBER($L$176),$B$113=1),$L$176,HLOOKUP(INDIRECT(ADDRESS(2,COLUMN())),OFFSET($AT$2,0,0,ROW()-1,40),ROW()-1,FALSE))</f>
        <v>103.3</v>
      </c>
      <c r="M93">
        <f ca="1">IF(AND(ISNUMBER($M$176),$B$113=1),$M$176,HLOOKUP(INDIRECT(ADDRESS(2,COLUMN())),OFFSET($AT$2,0,0,ROW()-1,40),ROW()-1,FALSE))</f>
        <v>100</v>
      </c>
      <c r="N93">
        <f ca="1">IF(AND(ISNUMBER($N$176),$B$113=1),$N$176,HLOOKUP(INDIRECT(ADDRESS(2,COLUMN())),OFFSET($AT$2,0,0,ROW()-1,40),ROW()-1,FALSE))</f>
        <v>97</v>
      </c>
      <c r="O93">
        <f ca="1">IF(AND(ISNUMBER($O$176),$B$113=1),$O$176,HLOOKUP(INDIRECT(ADDRESS(2,COLUMN())),OFFSET($AT$2,0,0,ROW()-1,40),ROW()-1,FALSE))</f>
        <v>95.5</v>
      </c>
      <c r="P93">
        <f ca="1">IF(AND(ISNUMBER($P$176),$B$113=1),$P$176,HLOOKUP(INDIRECT(ADDRESS(2,COLUMN())),OFFSET($AT$2,0,0,ROW()-1,40),ROW()-1,FALSE))</f>
        <v>93.9</v>
      </c>
      <c r="Q93">
        <f ca="1">IF(AND(ISNUMBER($Q$176),$B$113=1),$Q$176,HLOOKUP(INDIRECT(ADDRESS(2,COLUMN())),OFFSET($AT$2,0,0,ROW()-1,40),ROW()-1,FALSE))</f>
        <v>92.7</v>
      </c>
      <c r="R93">
        <f ca="1">IF(AND(ISNUMBER($R$176),$B$113=1),$R$176,HLOOKUP(INDIRECT(ADDRESS(2,COLUMN())),OFFSET($AT$2,0,0,ROW()-1,40),ROW()-1,FALSE))</f>
        <v>90.7</v>
      </c>
      <c r="S93">
        <f ca="1">IF(AND(ISNUMBER($S$176),$B$113=1),$S$176,HLOOKUP(INDIRECT(ADDRESS(2,COLUMN())),OFFSET($AT$2,0,0,ROW()-1,40),ROW()-1,FALSE))</f>
        <v>88.4</v>
      </c>
      <c r="T93">
        <f ca="1">IF(AND(ISNUMBER($T$176),$B$113=1),$T$176,HLOOKUP(INDIRECT(ADDRESS(2,COLUMN())),OFFSET($AT$2,0,0,ROW()-1,40),ROW()-1,FALSE))</f>
        <v>86.7</v>
      </c>
      <c r="U93">
        <f ca="1">IF(AND(ISNUMBER($U$176),$B$113=1),$U$176,HLOOKUP(INDIRECT(ADDRESS(2,COLUMN())),OFFSET($AT$2,0,0,ROW()-1,40),ROW()-1,FALSE))</f>
        <v>87.5</v>
      </c>
      <c r="V93">
        <f ca="1">IF(AND(ISNUMBER($V$176),$B$113=1),$V$176,HLOOKUP(INDIRECT(ADDRESS(2,COLUMN())),OFFSET($AT$2,0,0,ROW()-1,40),ROW()-1,FALSE))</f>
        <v>87.1</v>
      </c>
      <c r="W93">
        <f ca="1">IF(AND(ISNUMBER($W$176),$B$113=1),$W$176,HLOOKUP(INDIRECT(ADDRESS(2,COLUMN())),OFFSET($AT$2,0,0,ROW()-1,40),ROW()-1,FALSE))</f>
        <v>82</v>
      </c>
      <c r="X93">
        <f ca="1">IF(AND(ISNUMBER($X$176),$B$113=1),$X$176,HLOOKUP(INDIRECT(ADDRESS(2,COLUMN())),OFFSET($AT$2,0,0,ROW()-1,40),ROW()-1,FALSE))</f>
        <v>74.099999999999994</v>
      </c>
      <c r="Y93">
        <f ca="1">IF(AND(ISNUMBER($Y$176),$B$113=1),$Y$176,HLOOKUP(INDIRECT(ADDRESS(2,COLUMN())),OFFSET($AT$2,0,0,ROW()-1,40),ROW()-1,FALSE))</f>
        <v>69.900000000000006</v>
      </c>
      <c r="Z93">
        <f ca="1">IF(AND(ISNUMBER($Z$176),$B$113=1),$Z$176,HLOOKUP(INDIRECT(ADDRESS(2,COLUMN())),OFFSET($AT$2,0,0,ROW()-1,40),ROW()-1,FALSE))</f>
        <v>66.5</v>
      </c>
      <c r="AA93">
        <f ca="1">IF(AND(ISNUMBER($AA$176),$B$113=1),$AA$176,HLOOKUP(INDIRECT(ADDRESS(2,COLUMN())),OFFSET($AT$2,0,0,ROW()-1,40),ROW()-1,FALSE))</f>
        <v>63.3</v>
      </c>
      <c r="AB93">
        <f ca="1">IF(AND(ISNUMBER($AB$176),$B$113=1),$AB$176,HLOOKUP(INDIRECT(ADDRESS(2,COLUMN())),OFFSET($AT$2,0,0,ROW()-1,40),ROW()-1,FALSE))</f>
        <v>60.2</v>
      </c>
      <c r="AC93">
        <f ca="1">IF(AND(ISNUMBER($AC$176),$B$113=1),$AC$176,HLOOKUP(INDIRECT(ADDRESS(2,COLUMN())),OFFSET($AT$2,0,0,ROW()-1,40),ROW()-1,FALSE))</f>
        <v>58.6</v>
      </c>
      <c r="AD93">
        <f ca="1">IF(AND(ISNUMBER($AD$176),$B$113=1),$AD$176,HLOOKUP(INDIRECT(ADDRESS(2,COLUMN())),OFFSET($AT$2,0,0,ROW()-1,40),ROW()-1,FALSE))</f>
        <v>57.2</v>
      </c>
      <c r="AE93">
        <f ca="1">IF(AND(ISNUMBER($AE$176),$B$113=1),$AE$176,HLOOKUP(INDIRECT(ADDRESS(2,COLUMN())),OFFSET($AT$2,0,0,ROW()-1,40),ROW()-1,FALSE))</f>
        <v>56.3</v>
      </c>
      <c r="AF93">
        <f ca="1">IF(AND(ISNUMBER($AF$176),$B$113=1),$AF$176,HLOOKUP(INDIRECT(ADDRESS(2,COLUMN())),OFFSET($AT$2,0,0,ROW()-1,40),ROW()-1,FALSE))</f>
        <v>55.9</v>
      </c>
      <c r="AG93">
        <f ca="1">IF(AND(ISNUMBER($AG$176),$B$113=1),$AG$176,HLOOKUP(INDIRECT(ADDRESS(2,COLUMN())),OFFSET($AT$2,0,0,ROW()-1,40),ROW()-1,FALSE))</f>
        <v>55.2</v>
      </c>
      <c r="AH93">
        <f ca="1">IF(AND(ISNUMBER($AH$176),$B$113=1),$AH$176,HLOOKUP(INDIRECT(ADDRESS(2,COLUMN())),OFFSET($AT$2,0,0,ROW()-1,40),ROW()-1,FALSE))</f>
        <v>55.7</v>
      </c>
      <c r="AI93">
        <f ca="1">IF(AND(ISNUMBER($AI$176),$B$113=1),$AI$176,HLOOKUP(INDIRECT(ADDRESS(2,COLUMN())),OFFSET($AT$2,0,0,ROW()-1,40),ROW()-1,FALSE))</f>
        <v>56.8</v>
      </c>
      <c r="AJ93">
        <f ca="1">IF(AND(ISNUMBER($AJ$176),$B$113=1),$AJ$176,HLOOKUP(INDIRECT(ADDRESS(2,COLUMN())),OFFSET($AT$2,0,0,ROW()-1,40),ROW()-1,FALSE))</f>
        <v>56.9</v>
      </c>
      <c r="AK93">
        <f ca="1">IF(AND(ISNUMBER($AK$176),$B$113=1),$AK$176,HLOOKUP(INDIRECT(ADDRESS(2,COLUMN())),OFFSET($AT$2,0,0,ROW()-1,40),ROW()-1,FALSE))</f>
        <v>56.3</v>
      </c>
      <c r="AL93">
        <f ca="1">IF(AND(ISNUMBER($AL$176),$B$113=1),$AL$176,HLOOKUP(INDIRECT(ADDRESS(2,COLUMN())),OFFSET($AT$2,0,0,ROW()-1,40),ROW()-1,FALSE))</f>
        <v>55.9</v>
      </c>
      <c r="AM93">
        <f ca="1">IF(AND(ISNUMBER($AM$176),$B$113=1),$AM$176,HLOOKUP(INDIRECT(ADDRESS(2,COLUMN())),OFFSET($AT$2,0,0,ROW()-1,40),ROW()-1,FALSE))</f>
        <v>57.8</v>
      </c>
      <c r="AN93">
        <f ca="1">IF(AND(ISNUMBER($AN$176),$B$113=1),$AN$176,HLOOKUP(INDIRECT(ADDRESS(2,COLUMN())),OFFSET($AT$2,0,0,ROW()-1,40),ROW()-1,FALSE))</f>
        <v>61.1</v>
      </c>
      <c r="AO93">
        <f ca="1">IF(AND(ISNUMBER($AO$176),$B$113=1),$AO$176,HLOOKUP(INDIRECT(ADDRESS(2,COLUMN())),OFFSET($AT$2,0,0,ROW()-1,40),ROW()-1,FALSE))</f>
        <v>55.8</v>
      </c>
      <c r="AP93">
        <f ca="1">IF(AND(ISNUMBER($AP$176),$B$113=1),$AP$176,HLOOKUP(INDIRECT(ADDRESS(2,COLUMN())),OFFSET($AT$2,0,0,ROW()-1,40),ROW()-1,FALSE))</f>
        <v>49.1</v>
      </c>
      <c r="AQ93">
        <f ca="1">IF(AND(ISNUMBER($AQ$176),$B$113=1),$AQ$176,HLOOKUP(INDIRECT(ADDRESS(2,COLUMN())),OFFSET($AT$2,0,0,ROW()-1,40),ROW()-1,FALSE))</f>
        <v>44</v>
      </c>
      <c r="AR93">
        <f ca="1">IF(AND(ISNUMBER($AR$176),$B$113=1),$AR$176,HLOOKUP(INDIRECT(ADDRESS(2,COLUMN())),OFFSET($AT$2,0,0,ROW()-1,40),ROW()-1,FALSE))</f>
        <v>39.299999999999997</v>
      </c>
      <c r="AS93">
        <f ca="1">IF(AND(ISNUMBER($AS$176),$B$113=1),$AS$176,HLOOKUP(INDIRECT(ADDRESS(2,COLUMN())),OFFSET($AT$2,0,0,ROW()-1,40),ROW()-1,FALSE))</f>
        <v>37.9</v>
      </c>
      <c r="AT93">
        <f>124.7</f>
        <v>124.7</v>
      </c>
      <c r="AU93">
        <f>125.5</f>
        <v>125.5</v>
      </c>
      <c r="AV93">
        <f>120.8</f>
        <v>120.8</v>
      </c>
      <c r="AW93">
        <f>108.2</f>
        <v>108.2</v>
      </c>
      <c r="AX93">
        <f>103.4</f>
        <v>103.4</v>
      </c>
      <c r="AY93">
        <f>103.3</f>
        <v>103.3</v>
      </c>
      <c r="AZ93">
        <f>103.3</f>
        <v>103.3</v>
      </c>
      <c r="BA93">
        <f>100</f>
        <v>100</v>
      </c>
      <c r="BB93">
        <f>97</f>
        <v>97</v>
      </c>
      <c r="BC93">
        <f>95.5</f>
        <v>95.5</v>
      </c>
      <c r="BD93">
        <f>93.9</f>
        <v>93.9</v>
      </c>
      <c r="BE93">
        <f>92.7</f>
        <v>92.7</v>
      </c>
      <c r="BF93">
        <f>90.7</f>
        <v>90.7</v>
      </c>
      <c r="BG93">
        <f>88.4</f>
        <v>88.4</v>
      </c>
      <c r="BH93">
        <f>86.7</f>
        <v>86.7</v>
      </c>
      <c r="BI93">
        <f>87.5</f>
        <v>87.5</v>
      </c>
      <c r="BJ93">
        <f>87.1</f>
        <v>87.1</v>
      </c>
      <c r="BK93">
        <f>82</f>
        <v>82</v>
      </c>
      <c r="BL93">
        <f>74.1</f>
        <v>74.099999999999994</v>
      </c>
      <c r="BM93">
        <f>69.9</f>
        <v>69.900000000000006</v>
      </c>
      <c r="BN93">
        <f>66.5</f>
        <v>66.5</v>
      </c>
      <c r="BO93">
        <f>63.3</f>
        <v>63.3</v>
      </c>
      <c r="BP93">
        <f>60.2</f>
        <v>60.2</v>
      </c>
      <c r="BQ93">
        <f>58.6</f>
        <v>58.6</v>
      </c>
      <c r="BR93">
        <f>57.2</f>
        <v>57.2</v>
      </c>
      <c r="BS93">
        <f>56.3</f>
        <v>56.3</v>
      </c>
      <c r="BT93">
        <f>55.9</f>
        <v>55.9</v>
      </c>
      <c r="BU93">
        <f>55.2</f>
        <v>55.2</v>
      </c>
      <c r="BV93">
        <f>55.7</f>
        <v>55.7</v>
      </c>
      <c r="BW93">
        <f>56.8</f>
        <v>56.8</v>
      </c>
      <c r="BX93">
        <f>56.9</f>
        <v>56.9</v>
      </c>
      <c r="BY93">
        <f>56.3</f>
        <v>56.3</v>
      </c>
      <c r="BZ93">
        <f>55.9</f>
        <v>55.9</v>
      </c>
      <c r="CA93">
        <f>57.8</f>
        <v>57.8</v>
      </c>
      <c r="CB93">
        <f>61.1</f>
        <v>61.1</v>
      </c>
      <c r="CC93">
        <f>55.8</f>
        <v>55.8</v>
      </c>
      <c r="CD93">
        <f>49.1</f>
        <v>49.1</v>
      </c>
      <c r="CE93">
        <f>44</f>
        <v>44</v>
      </c>
      <c r="CF93">
        <f>39.3</f>
        <v>39.299999999999997</v>
      </c>
      <c r="CG93">
        <f>37.9</f>
        <v>37.9</v>
      </c>
    </row>
    <row r="94" spans="1:85" x14ac:dyDescent="0.2">
      <c r="A94" t="str">
        <f>"    Canada Affordability Two Storey Houses"</f>
        <v xml:space="preserve">    Canada Affordability Two Storey Houses</v>
      </c>
      <c r="B94" t="str">
        <f>"CANH2S Index"</f>
        <v>CANH2S Index</v>
      </c>
      <c r="C94" t="str">
        <f>"PR005"</f>
        <v>PR005</v>
      </c>
      <c r="D94" t="str">
        <f>"PX_LAST"</f>
        <v>PX_LAST</v>
      </c>
      <c r="E94" t="str">
        <f>"Dynamic"</f>
        <v>Dynamic</v>
      </c>
      <c r="F94">
        <f ca="1">IF(AND(ISNUMBER($F$177),$B$113=1),$F$177,HLOOKUP(INDIRECT(ADDRESS(2,COLUMN())),OFFSET($AT$2,0,0,ROW()-1,40),ROW()-1,FALSE))</f>
        <v>65.900000000000006</v>
      </c>
      <c r="G94">
        <f ca="1">IF(AND(ISNUMBER($G$177),$B$113=1),$G$177,HLOOKUP(INDIRECT(ADDRESS(2,COLUMN())),OFFSET($AT$2,0,0,ROW()-1,40),ROW()-1,FALSE))</f>
        <v>69.400000000000006</v>
      </c>
      <c r="H94">
        <f ca="1">IF(AND(ISNUMBER($H$177),$B$113=1),$H$177,HLOOKUP(INDIRECT(ADDRESS(2,COLUMN())),OFFSET($AT$2,0,0,ROW()-1,40),ROW()-1,FALSE))</f>
        <v>54.6</v>
      </c>
      <c r="I94">
        <f ca="1">IF(AND(ISNUMBER($I$177),$B$113=1),$I$177,HLOOKUP(INDIRECT(ADDRESS(2,COLUMN())),OFFSET($AT$2,0,0,ROW()-1,40),ROW()-1,FALSE))</f>
        <v>54.7</v>
      </c>
      <c r="J94">
        <f ca="1">IF(AND(ISNUMBER($J$177),$B$113=1),$J$177,HLOOKUP(INDIRECT(ADDRESS(2,COLUMN())),OFFSET($AT$2,0,0,ROW()-1,40),ROW()-1,FALSE))</f>
        <v>54.9</v>
      </c>
      <c r="K94">
        <f ca="1">IF(AND(ISNUMBER($K$177),$B$113=1),$K$177,HLOOKUP(INDIRECT(ADDRESS(2,COLUMN())),OFFSET($AT$2,0,0,ROW()-1,40),ROW()-1,FALSE))</f>
        <v>57.1</v>
      </c>
      <c r="L94">
        <f ca="1">IF(AND(ISNUMBER($L$177),$B$113=1),$L$177,HLOOKUP(INDIRECT(ADDRESS(2,COLUMN())),OFFSET($AT$2,0,0,ROW()-1,40),ROW()-1,FALSE))</f>
        <v>53.3</v>
      </c>
      <c r="M94">
        <f ca="1">IF(AND(ISNUMBER($M$177),$B$113=1),$M$177,HLOOKUP(INDIRECT(ADDRESS(2,COLUMN())),OFFSET($AT$2,0,0,ROW()-1,40),ROW()-1,FALSE))</f>
        <v>49.2</v>
      </c>
      <c r="N94">
        <f ca="1">IF(AND(ISNUMBER($N$177),$B$113=1),$N$177,HLOOKUP(INDIRECT(ADDRESS(2,COLUMN())),OFFSET($AT$2,0,0,ROW()-1,40),ROW()-1,FALSE))</f>
        <v>51.3</v>
      </c>
      <c r="O94">
        <f ca="1">IF(AND(ISNUMBER($O$177),$B$113=1),$O$177,HLOOKUP(INDIRECT(ADDRESS(2,COLUMN())),OFFSET($AT$2,0,0,ROW()-1,40),ROW()-1,FALSE))</f>
        <v>48.1</v>
      </c>
      <c r="P94">
        <f ca="1">IF(AND(ISNUMBER($P$177),$B$113=1),$P$177,HLOOKUP(INDIRECT(ADDRESS(2,COLUMN())),OFFSET($AT$2,0,0,ROW()-1,40),ROW()-1,FALSE))</f>
        <v>48.7</v>
      </c>
      <c r="Q94">
        <f ca="1">IF(AND(ISNUMBER($Q$177),$B$113=1),$Q$177,HLOOKUP(INDIRECT(ADDRESS(2,COLUMN())),OFFSET($AT$2,0,0,ROW()-1,40),ROW()-1,FALSE))</f>
        <v>47.9</v>
      </c>
      <c r="R94">
        <f ca="1">IF(AND(ISNUMBER($R$177),$B$113=1),$R$177,HLOOKUP(INDIRECT(ADDRESS(2,COLUMN())),OFFSET($AT$2,0,0,ROW()-1,40),ROW()-1,FALSE))</f>
        <v>47.9</v>
      </c>
      <c r="S94">
        <f ca="1">IF(AND(ISNUMBER($S$177),$B$113=1),$S$177,HLOOKUP(INDIRECT(ADDRESS(2,COLUMN())),OFFSET($AT$2,0,0,ROW()-1,40),ROW()-1,FALSE))</f>
        <v>47.2</v>
      </c>
      <c r="T94">
        <f ca="1">IF(AND(ISNUMBER($T$177),$B$113=1),$T$177,HLOOKUP(INDIRECT(ADDRESS(2,COLUMN())),OFFSET($AT$2,0,0,ROW()-1,40),ROW()-1,FALSE))</f>
        <v>47.2</v>
      </c>
      <c r="U94">
        <f ca="1">IF(AND(ISNUMBER($U$177),$B$113=1),$U$177,HLOOKUP(INDIRECT(ADDRESS(2,COLUMN())),OFFSET($AT$2,0,0,ROW()-1,40),ROW()-1,FALSE))</f>
        <v>50.4</v>
      </c>
      <c r="V94">
        <f ca="1">IF(AND(ISNUMBER($V$177),$B$113=1),$V$177,HLOOKUP(INDIRECT(ADDRESS(2,COLUMN())),OFFSET($AT$2,0,0,ROW()-1,40),ROW()-1,FALSE))</f>
        <v>51.8</v>
      </c>
      <c r="W94">
        <f ca="1">IF(AND(ISNUMBER($W$177),$B$113=1),$W$177,HLOOKUP(INDIRECT(ADDRESS(2,COLUMN())),OFFSET($AT$2,0,0,ROW()-1,40),ROW()-1,FALSE))</f>
        <v>46.6</v>
      </c>
      <c r="X94">
        <f ca="1">IF(AND(ISNUMBER($X$177),$B$113=1),$X$177,HLOOKUP(INDIRECT(ADDRESS(2,COLUMN())),OFFSET($AT$2,0,0,ROW()-1,40),ROW()-1,FALSE))</f>
        <v>43</v>
      </c>
      <c r="Y94">
        <f ca="1">IF(AND(ISNUMBER($Y$177),$B$113=1),$Y$177,HLOOKUP(INDIRECT(ADDRESS(2,COLUMN())),OFFSET($AT$2,0,0,ROW()-1,40),ROW()-1,FALSE))</f>
        <v>41.9</v>
      </c>
      <c r="Z94">
        <f ca="1">IF(AND(ISNUMBER($Z$177),$B$113=1),$Z$177,HLOOKUP(INDIRECT(ADDRESS(2,COLUMN())),OFFSET($AT$2,0,0,ROW()-1,40),ROW()-1,FALSE))</f>
        <v>41</v>
      </c>
      <c r="AA94">
        <f ca="1">IF(AND(ISNUMBER($AA$177),$B$113=1),$AA$177,HLOOKUP(INDIRECT(ADDRESS(2,COLUMN())),OFFSET($AT$2,0,0,ROW()-1,40),ROW()-1,FALSE))</f>
        <v>39.5</v>
      </c>
      <c r="AB94">
        <f ca="1">IF(AND(ISNUMBER($AB$177),$B$113=1),$AB$177,HLOOKUP(INDIRECT(ADDRESS(2,COLUMN())),OFFSET($AT$2,0,0,ROW()-1,40),ROW()-1,FALSE))</f>
        <v>37.700000000000003</v>
      </c>
      <c r="AC94">
        <f ca="1">IF(AND(ISNUMBER($AC$177),$B$113=1),$AC$177,HLOOKUP(INDIRECT(ADDRESS(2,COLUMN())),OFFSET($AT$2,0,0,ROW()-1,40),ROW()-1,FALSE))</f>
        <v>40.1</v>
      </c>
      <c r="AD94">
        <f ca="1">IF(AND(ISNUMBER($AD$177),$B$113=1),$AD$177,HLOOKUP(INDIRECT(ADDRESS(2,COLUMN())),OFFSET($AT$2,0,0,ROW()-1,40),ROW()-1,FALSE))</f>
        <v>39.299999999999997</v>
      </c>
      <c r="AE94">
        <f ca="1">IF(AND(ISNUMBER($AE$177),$B$113=1),$AE$177,HLOOKUP(INDIRECT(ADDRESS(2,COLUMN())),OFFSET($AT$2,0,0,ROW()-1,40),ROW()-1,FALSE))</f>
        <v>36.700000000000003</v>
      </c>
      <c r="AF94">
        <f ca="1">IF(AND(ISNUMBER($AF$177),$B$113=1),$AF$177,HLOOKUP(INDIRECT(ADDRESS(2,COLUMN())),OFFSET($AT$2,0,0,ROW()-1,40),ROW()-1,FALSE))</f>
        <v>37.299999999999997</v>
      </c>
      <c r="AG94">
        <f ca="1">IF(AND(ISNUMBER($AG$177),$B$113=1),$AG$177,HLOOKUP(INDIRECT(ADDRESS(2,COLUMN())),OFFSET($AT$2,0,0,ROW()-1,40),ROW()-1,FALSE))</f>
        <v>37.1</v>
      </c>
      <c r="AH94">
        <f ca="1">IF(AND(ISNUMBER($AH$177),$B$113=1),$AH$177,HLOOKUP(INDIRECT(ADDRESS(2,COLUMN())),OFFSET($AT$2,0,0,ROW()-1,40),ROW()-1,FALSE))</f>
        <v>40.700000000000003</v>
      </c>
      <c r="AI94">
        <f ca="1">IF(AND(ISNUMBER($AI$177),$B$113=1),$AI$177,HLOOKUP(INDIRECT(ADDRESS(2,COLUMN())),OFFSET($AT$2,0,0,ROW()-1,40),ROW()-1,FALSE))</f>
        <v>45.7</v>
      </c>
      <c r="AJ94">
        <f ca="1">IF(AND(ISNUMBER($AJ$177),$B$113=1),$AJ$177,HLOOKUP(INDIRECT(ADDRESS(2,COLUMN())),OFFSET($AT$2,0,0,ROW()-1,40),ROW()-1,FALSE))</f>
        <v>40.299999999999997</v>
      </c>
      <c r="AK94">
        <f ca="1">IF(AND(ISNUMBER($AK$177),$B$113=1),$AK$177,HLOOKUP(INDIRECT(ADDRESS(2,COLUMN())),OFFSET($AT$2,0,0,ROW()-1,40),ROW()-1,FALSE))</f>
        <v>42.9</v>
      </c>
      <c r="AL94">
        <f ca="1">IF(AND(ISNUMBER($AL$177),$B$113=1),$AL$177,HLOOKUP(INDIRECT(ADDRESS(2,COLUMN())),OFFSET($AT$2,0,0,ROW()-1,40),ROW()-1,FALSE))</f>
        <v>44.3</v>
      </c>
      <c r="AM94">
        <f ca="1">IF(AND(ISNUMBER($AM$177),$B$113=1),$AM$177,HLOOKUP(INDIRECT(ADDRESS(2,COLUMN())),OFFSET($AT$2,0,0,ROW()-1,40),ROW()-1,FALSE))</f>
        <v>50.8</v>
      </c>
      <c r="AN94">
        <f ca="1">IF(AND(ISNUMBER($AN$177),$B$113=1),$AN$177,HLOOKUP(INDIRECT(ADDRESS(2,COLUMN())),OFFSET($AT$2,0,0,ROW()-1,40),ROW()-1,FALSE))</f>
        <v>47.5</v>
      </c>
      <c r="AO94">
        <f ca="1">IF(AND(ISNUMBER($AO$177),$B$113=1),$AO$177,HLOOKUP(INDIRECT(ADDRESS(2,COLUMN())),OFFSET($AT$2,0,0,ROW()-1,40),ROW()-1,FALSE))</f>
        <v>46.6</v>
      </c>
      <c r="AP94">
        <f ca="1">IF(AND(ISNUMBER($AP$177),$B$113=1),$AP$177,HLOOKUP(INDIRECT(ADDRESS(2,COLUMN())),OFFSET($AT$2,0,0,ROW()-1,40),ROW()-1,FALSE))</f>
        <v>43.5</v>
      </c>
      <c r="AQ94">
        <f ca="1">IF(AND(ISNUMBER($AQ$177),$B$113=1),$AQ$177,HLOOKUP(INDIRECT(ADDRESS(2,COLUMN())),OFFSET($AT$2,0,0,ROW()-1,40),ROW()-1,FALSE))</f>
        <v>39.6</v>
      </c>
      <c r="AR94">
        <f ca="1">IF(AND(ISNUMBER($AR$177),$B$113=1),$AR$177,HLOOKUP(INDIRECT(ADDRESS(2,COLUMN())),OFFSET($AT$2,0,0,ROW()-1,40),ROW()-1,FALSE))</f>
        <v>39.5</v>
      </c>
      <c r="AS94" t="str">
        <f ca="1">IF(AND(ISNUMBER($AS$177),$B$113=1),$AS$177,HLOOKUP(INDIRECT(ADDRESS(2,COLUMN())),OFFSET($AT$2,0,0,ROW()-1,40),ROW()-1,FALSE))</f>
        <v/>
      </c>
      <c r="AT94">
        <f>65.9</f>
        <v>65.900000000000006</v>
      </c>
      <c r="AU94">
        <f>69.4</f>
        <v>69.400000000000006</v>
      </c>
      <c r="AV94">
        <f>54.6</f>
        <v>54.6</v>
      </c>
      <c r="AW94">
        <f>54.7</f>
        <v>54.7</v>
      </c>
      <c r="AX94">
        <f>54.9</f>
        <v>54.9</v>
      </c>
      <c r="AY94">
        <f>57.1</f>
        <v>57.1</v>
      </c>
      <c r="AZ94">
        <f>53.3</f>
        <v>53.3</v>
      </c>
      <c r="BA94">
        <f>49.2</f>
        <v>49.2</v>
      </c>
      <c r="BB94">
        <f>51.3</f>
        <v>51.3</v>
      </c>
      <c r="BC94">
        <f>48.1</f>
        <v>48.1</v>
      </c>
      <c r="BD94">
        <f>48.7</f>
        <v>48.7</v>
      </c>
      <c r="BE94">
        <f>47.9</f>
        <v>47.9</v>
      </c>
      <c r="BF94">
        <f>47.9</f>
        <v>47.9</v>
      </c>
      <c r="BG94">
        <f>47.2</f>
        <v>47.2</v>
      </c>
      <c r="BH94">
        <f>47.2</f>
        <v>47.2</v>
      </c>
      <c r="BI94">
        <f>50.4</f>
        <v>50.4</v>
      </c>
      <c r="BJ94">
        <f>51.8</f>
        <v>51.8</v>
      </c>
      <c r="BK94">
        <f>46.6</f>
        <v>46.6</v>
      </c>
      <c r="BL94">
        <f>43</f>
        <v>43</v>
      </c>
      <c r="BM94">
        <f>41.9</f>
        <v>41.9</v>
      </c>
      <c r="BN94">
        <f>41</f>
        <v>41</v>
      </c>
      <c r="BO94">
        <f>39.5</f>
        <v>39.5</v>
      </c>
      <c r="BP94">
        <f>37.7</f>
        <v>37.700000000000003</v>
      </c>
      <c r="BQ94">
        <f>40.1</f>
        <v>40.1</v>
      </c>
      <c r="BR94">
        <f>39.3</f>
        <v>39.299999999999997</v>
      </c>
      <c r="BS94">
        <f>36.7</f>
        <v>36.700000000000003</v>
      </c>
      <c r="BT94">
        <f>37.3</f>
        <v>37.299999999999997</v>
      </c>
      <c r="BU94">
        <f>37.1</f>
        <v>37.1</v>
      </c>
      <c r="BV94">
        <f>40.7</f>
        <v>40.700000000000003</v>
      </c>
      <c r="BW94">
        <f>45.7</f>
        <v>45.7</v>
      </c>
      <c r="BX94">
        <f>40.3</f>
        <v>40.299999999999997</v>
      </c>
      <c r="BY94">
        <f>42.9</f>
        <v>42.9</v>
      </c>
      <c r="BZ94">
        <f>44.3</f>
        <v>44.3</v>
      </c>
      <c r="CA94">
        <f>50.8</f>
        <v>50.8</v>
      </c>
      <c r="CB94">
        <f>47.5</f>
        <v>47.5</v>
      </c>
      <c r="CC94">
        <f>46.6</f>
        <v>46.6</v>
      </c>
      <c r="CD94">
        <f>43.5</f>
        <v>43.5</v>
      </c>
      <c r="CE94">
        <f>39.6</f>
        <v>39.6</v>
      </c>
      <c r="CF94">
        <f>39.5</f>
        <v>39.5</v>
      </c>
      <c r="CG94" t="str">
        <f>""</f>
        <v/>
      </c>
    </row>
    <row r="95" spans="1:85" x14ac:dyDescent="0.2">
      <c r="A95" t="str">
        <f>"    "</f>
        <v xml:space="preserve">    </v>
      </c>
      <c r="B95" t="str">
        <f>""</f>
        <v/>
      </c>
      <c r="E95" t="str">
        <f>"Static"</f>
        <v>Static</v>
      </c>
      <c r="F95" t="str">
        <f t="shared" ref="F95:O97" ca="1" si="36">HLOOKUP(INDIRECT(ADDRESS(2,COLUMN())),OFFSET($AT$2,0,0,ROW()-1,40),ROW()-1,FALSE)</f>
        <v/>
      </c>
      <c r="G95" t="str">
        <f t="shared" ca="1" si="36"/>
        <v/>
      </c>
      <c r="H95" t="str">
        <f t="shared" ca="1" si="36"/>
        <v/>
      </c>
      <c r="I95" t="str">
        <f t="shared" ca="1" si="36"/>
        <v/>
      </c>
      <c r="J95" t="str">
        <f t="shared" ca="1" si="36"/>
        <v/>
      </c>
      <c r="K95" t="str">
        <f t="shared" ca="1" si="36"/>
        <v/>
      </c>
      <c r="L95" t="str">
        <f t="shared" ca="1" si="36"/>
        <v/>
      </c>
      <c r="M95" t="str">
        <f t="shared" ca="1" si="36"/>
        <v/>
      </c>
      <c r="N95" t="str">
        <f t="shared" ca="1" si="36"/>
        <v/>
      </c>
      <c r="O95" t="str">
        <f t="shared" ca="1" si="36"/>
        <v/>
      </c>
      <c r="P95" t="str">
        <f t="shared" ref="P95:Y97" ca="1" si="37">HLOOKUP(INDIRECT(ADDRESS(2,COLUMN())),OFFSET($AT$2,0,0,ROW()-1,40),ROW()-1,FALSE)</f>
        <v/>
      </c>
      <c r="Q95" t="str">
        <f t="shared" ca="1" si="37"/>
        <v/>
      </c>
      <c r="R95" t="str">
        <f t="shared" ca="1" si="37"/>
        <v/>
      </c>
      <c r="S95" t="str">
        <f t="shared" ca="1" si="37"/>
        <v/>
      </c>
      <c r="T95" t="str">
        <f t="shared" ca="1" si="37"/>
        <v/>
      </c>
      <c r="U95" t="str">
        <f t="shared" ca="1" si="37"/>
        <v/>
      </c>
      <c r="V95" t="str">
        <f t="shared" ca="1" si="37"/>
        <v/>
      </c>
      <c r="W95" t="str">
        <f t="shared" ca="1" si="37"/>
        <v/>
      </c>
      <c r="X95" t="str">
        <f t="shared" ca="1" si="37"/>
        <v/>
      </c>
      <c r="Y95" t="str">
        <f t="shared" ca="1" si="37"/>
        <v/>
      </c>
      <c r="Z95" t="str">
        <f t="shared" ref="Z95:AI97" ca="1" si="38">HLOOKUP(INDIRECT(ADDRESS(2,COLUMN())),OFFSET($AT$2,0,0,ROW()-1,40),ROW()-1,FALSE)</f>
        <v/>
      </c>
      <c r="AA95" t="str">
        <f t="shared" ca="1" si="38"/>
        <v/>
      </c>
      <c r="AB95" t="str">
        <f t="shared" ca="1" si="38"/>
        <v/>
      </c>
      <c r="AC95" t="str">
        <f t="shared" ca="1" si="38"/>
        <v/>
      </c>
      <c r="AD95" t="str">
        <f t="shared" ca="1" si="38"/>
        <v/>
      </c>
      <c r="AE95" t="str">
        <f t="shared" ca="1" si="38"/>
        <v/>
      </c>
      <c r="AF95" t="str">
        <f t="shared" ca="1" si="38"/>
        <v/>
      </c>
      <c r="AG95" t="str">
        <f t="shared" ca="1" si="38"/>
        <v/>
      </c>
      <c r="AH95" t="str">
        <f t="shared" ca="1" si="38"/>
        <v/>
      </c>
      <c r="AI95" t="str">
        <f t="shared" ca="1" si="38"/>
        <v/>
      </c>
      <c r="AJ95" t="str">
        <f t="shared" ref="AJ95:AS97" ca="1" si="39">HLOOKUP(INDIRECT(ADDRESS(2,COLUMN())),OFFSET($AT$2,0,0,ROW()-1,40),ROW()-1,FALSE)</f>
        <v/>
      </c>
      <c r="AK95" t="str">
        <f t="shared" ca="1" si="39"/>
        <v/>
      </c>
      <c r="AL95" t="str">
        <f t="shared" ca="1" si="39"/>
        <v/>
      </c>
      <c r="AM95" t="str">
        <f t="shared" ca="1" si="39"/>
        <v/>
      </c>
      <c r="AN95" t="str">
        <f t="shared" ca="1" si="39"/>
        <v/>
      </c>
      <c r="AO95" t="str">
        <f t="shared" ca="1" si="39"/>
        <v/>
      </c>
      <c r="AP95" t="str">
        <f t="shared" ca="1" si="39"/>
        <v/>
      </c>
      <c r="AQ95" t="str">
        <f t="shared" ca="1" si="39"/>
        <v/>
      </c>
      <c r="AR95" t="str">
        <f t="shared" ca="1" si="39"/>
        <v/>
      </c>
      <c r="AS95" t="str">
        <f t="shared" ca="1" si="39"/>
        <v/>
      </c>
      <c r="AT95" t="str">
        <f>""</f>
        <v/>
      </c>
      <c r="AU95" t="str">
        <f>""</f>
        <v/>
      </c>
      <c r="AV95" t="str">
        <f>""</f>
        <v/>
      </c>
      <c r="AW95" t="str">
        <f>""</f>
        <v/>
      </c>
      <c r="AX95" t="str">
        <f>""</f>
        <v/>
      </c>
      <c r="AY95" t="str">
        <f>""</f>
        <v/>
      </c>
      <c r="AZ95" t="str">
        <f>""</f>
        <v/>
      </c>
      <c r="BA95" t="str">
        <f>""</f>
        <v/>
      </c>
      <c r="BB95" t="str">
        <f>""</f>
        <v/>
      </c>
      <c r="BC95" t="str">
        <f>""</f>
        <v/>
      </c>
      <c r="BD95" t="str">
        <f>""</f>
        <v/>
      </c>
      <c r="BE95" t="str">
        <f>""</f>
        <v/>
      </c>
      <c r="BF95" t="str">
        <f>""</f>
        <v/>
      </c>
      <c r="BG95" t="str">
        <f>""</f>
        <v/>
      </c>
      <c r="BH95" t="str">
        <f>""</f>
        <v/>
      </c>
      <c r="BI95" t="str">
        <f>""</f>
        <v/>
      </c>
      <c r="BJ95" t="str">
        <f>""</f>
        <v/>
      </c>
      <c r="BK95" t="str">
        <f>""</f>
        <v/>
      </c>
      <c r="BL95" t="str">
        <f>""</f>
        <v/>
      </c>
      <c r="BM95" t="str">
        <f>""</f>
        <v/>
      </c>
      <c r="BN95" t="str">
        <f>""</f>
        <v/>
      </c>
      <c r="BO95" t="str">
        <f>""</f>
        <v/>
      </c>
      <c r="BP95" t="str">
        <f>""</f>
        <v/>
      </c>
      <c r="BQ95" t="str">
        <f>""</f>
        <v/>
      </c>
      <c r="BR95" t="str">
        <f>""</f>
        <v/>
      </c>
      <c r="BS95" t="str">
        <f>""</f>
        <v/>
      </c>
      <c r="BT95" t="str">
        <f>""</f>
        <v/>
      </c>
      <c r="BU95" t="str">
        <f>""</f>
        <v/>
      </c>
      <c r="BV95" t="str">
        <f>""</f>
        <v/>
      </c>
      <c r="BW95" t="str">
        <f>""</f>
        <v/>
      </c>
      <c r="BX95" t="str">
        <f>""</f>
        <v/>
      </c>
      <c r="BY95" t="str">
        <f>""</f>
        <v/>
      </c>
      <c r="BZ95" t="str">
        <f>""</f>
        <v/>
      </c>
      <c r="CA95" t="str">
        <f>""</f>
        <v/>
      </c>
      <c r="CB95" t="str">
        <f>""</f>
        <v/>
      </c>
      <c r="CC95" t="str">
        <f>""</f>
        <v/>
      </c>
      <c r="CD95" t="str">
        <f>""</f>
        <v/>
      </c>
      <c r="CE95" t="str">
        <f>""</f>
        <v/>
      </c>
      <c r="CF95" t="str">
        <f>""</f>
        <v/>
      </c>
      <c r="CG95" t="str">
        <f>""</f>
        <v/>
      </c>
    </row>
    <row r="96" spans="1:85" x14ac:dyDescent="0.2">
      <c r="A96" t="str">
        <f>"    "</f>
        <v xml:space="preserve">    </v>
      </c>
      <c r="B96" t="str">
        <f>""</f>
        <v/>
      </c>
      <c r="E96" t="str">
        <f>"Static"</f>
        <v>Static</v>
      </c>
      <c r="F96" t="str">
        <f t="shared" ca="1" si="36"/>
        <v/>
      </c>
      <c r="G96" t="str">
        <f t="shared" ca="1" si="36"/>
        <v/>
      </c>
      <c r="H96" t="str">
        <f t="shared" ca="1" si="36"/>
        <v/>
      </c>
      <c r="I96" t="str">
        <f t="shared" ca="1" si="36"/>
        <v/>
      </c>
      <c r="J96" t="str">
        <f t="shared" ca="1" si="36"/>
        <v/>
      </c>
      <c r="K96" t="str">
        <f t="shared" ca="1" si="36"/>
        <v/>
      </c>
      <c r="L96" t="str">
        <f t="shared" ca="1" si="36"/>
        <v/>
      </c>
      <c r="M96" t="str">
        <f t="shared" ca="1" si="36"/>
        <v/>
      </c>
      <c r="N96" t="str">
        <f t="shared" ca="1" si="36"/>
        <v/>
      </c>
      <c r="O96" t="str">
        <f t="shared" ca="1" si="36"/>
        <v/>
      </c>
      <c r="P96" t="str">
        <f t="shared" ca="1" si="37"/>
        <v/>
      </c>
      <c r="Q96" t="str">
        <f t="shared" ca="1" si="37"/>
        <v/>
      </c>
      <c r="R96" t="str">
        <f t="shared" ca="1" si="37"/>
        <v/>
      </c>
      <c r="S96" t="str">
        <f t="shared" ca="1" si="37"/>
        <v/>
      </c>
      <c r="T96" t="str">
        <f t="shared" ca="1" si="37"/>
        <v/>
      </c>
      <c r="U96" t="str">
        <f t="shared" ca="1" si="37"/>
        <v/>
      </c>
      <c r="V96" t="str">
        <f t="shared" ca="1" si="37"/>
        <v/>
      </c>
      <c r="W96" t="str">
        <f t="shared" ca="1" si="37"/>
        <v/>
      </c>
      <c r="X96" t="str">
        <f t="shared" ca="1" si="37"/>
        <v/>
      </c>
      <c r="Y96" t="str">
        <f t="shared" ca="1" si="37"/>
        <v/>
      </c>
      <c r="Z96" t="str">
        <f t="shared" ca="1" si="38"/>
        <v/>
      </c>
      <c r="AA96" t="str">
        <f t="shared" ca="1" si="38"/>
        <v/>
      </c>
      <c r="AB96" t="str">
        <f t="shared" ca="1" si="38"/>
        <v/>
      </c>
      <c r="AC96" t="str">
        <f t="shared" ca="1" si="38"/>
        <v/>
      </c>
      <c r="AD96" t="str">
        <f t="shared" ca="1" si="38"/>
        <v/>
      </c>
      <c r="AE96" t="str">
        <f t="shared" ca="1" si="38"/>
        <v/>
      </c>
      <c r="AF96" t="str">
        <f t="shared" ca="1" si="38"/>
        <v/>
      </c>
      <c r="AG96" t="str">
        <f t="shared" ca="1" si="38"/>
        <v/>
      </c>
      <c r="AH96" t="str">
        <f t="shared" ca="1" si="38"/>
        <v/>
      </c>
      <c r="AI96" t="str">
        <f t="shared" ca="1" si="38"/>
        <v/>
      </c>
      <c r="AJ96" t="str">
        <f t="shared" ca="1" si="39"/>
        <v/>
      </c>
      <c r="AK96" t="str">
        <f t="shared" ca="1" si="39"/>
        <v/>
      </c>
      <c r="AL96" t="str">
        <f t="shared" ca="1" si="39"/>
        <v/>
      </c>
      <c r="AM96" t="str">
        <f t="shared" ca="1" si="39"/>
        <v/>
      </c>
      <c r="AN96" t="str">
        <f t="shared" ca="1" si="39"/>
        <v/>
      </c>
      <c r="AO96" t="str">
        <f t="shared" ca="1" si="39"/>
        <v/>
      </c>
      <c r="AP96" t="str">
        <f t="shared" ca="1" si="39"/>
        <v/>
      </c>
      <c r="AQ96" t="str">
        <f t="shared" ca="1" si="39"/>
        <v/>
      </c>
      <c r="AR96" t="str">
        <f t="shared" ca="1" si="39"/>
        <v/>
      </c>
      <c r="AS96" t="str">
        <f t="shared" ca="1" si="39"/>
        <v/>
      </c>
      <c r="AT96" t="str">
        <f>""</f>
        <v/>
      </c>
      <c r="AU96" t="str">
        <f>""</f>
        <v/>
      </c>
      <c r="AV96" t="str">
        <f>""</f>
        <v/>
      </c>
      <c r="AW96" t="str">
        <f>""</f>
        <v/>
      </c>
      <c r="AX96" t="str">
        <f>""</f>
        <v/>
      </c>
      <c r="AY96" t="str">
        <f>""</f>
        <v/>
      </c>
      <c r="AZ96" t="str">
        <f>""</f>
        <v/>
      </c>
      <c r="BA96" t="str">
        <f>""</f>
        <v/>
      </c>
      <c r="BB96" t="str">
        <f>""</f>
        <v/>
      </c>
      <c r="BC96" t="str">
        <f>""</f>
        <v/>
      </c>
      <c r="BD96" t="str">
        <f>""</f>
        <v/>
      </c>
      <c r="BE96" t="str">
        <f>""</f>
        <v/>
      </c>
      <c r="BF96" t="str">
        <f>""</f>
        <v/>
      </c>
      <c r="BG96" t="str">
        <f>""</f>
        <v/>
      </c>
      <c r="BH96" t="str">
        <f>""</f>
        <v/>
      </c>
      <c r="BI96" t="str">
        <f>""</f>
        <v/>
      </c>
      <c r="BJ96" t="str">
        <f>""</f>
        <v/>
      </c>
      <c r="BK96" t="str">
        <f>""</f>
        <v/>
      </c>
      <c r="BL96" t="str">
        <f>""</f>
        <v/>
      </c>
      <c r="BM96" t="str">
        <f>""</f>
        <v/>
      </c>
      <c r="BN96" t="str">
        <f>""</f>
        <v/>
      </c>
      <c r="BO96" t="str">
        <f>""</f>
        <v/>
      </c>
      <c r="BP96" t="str">
        <f>""</f>
        <v/>
      </c>
      <c r="BQ96" t="str">
        <f>""</f>
        <v/>
      </c>
      <c r="BR96" t="str">
        <f>""</f>
        <v/>
      </c>
      <c r="BS96" t="str">
        <f>""</f>
        <v/>
      </c>
      <c r="BT96" t="str">
        <f>""</f>
        <v/>
      </c>
      <c r="BU96" t="str">
        <f>""</f>
        <v/>
      </c>
      <c r="BV96" t="str">
        <f>""</f>
        <v/>
      </c>
      <c r="BW96" t="str">
        <f>""</f>
        <v/>
      </c>
      <c r="BX96" t="str">
        <f>""</f>
        <v/>
      </c>
      <c r="BY96" t="str">
        <f>""</f>
        <v/>
      </c>
      <c r="BZ96" t="str">
        <f>""</f>
        <v/>
      </c>
      <c r="CA96" t="str">
        <f>""</f>
        <v/>
      </c>
      <c r="CB96" t="str">
        <f>""</f>
        <v/>
      </c>
      <c r="CC96" t="str">
        <f>""</f>
        <v/>
      </c>
      <c r="CD96" t="str">
        <f>""</f>
        <v/>
      </c>
      <c r="CE96" t="str">
        <f>""</f>
        <v/>
      </c>
      <c r="CF96" t="str">
        <f>""</f>
        <v/>
      </c>
      <c r="CG96" t="str">
        <f>""</f>
        <v/>
      </c>
    </row>
    <row r="97" spans="1:85" x14ac:dyDescent="0.2">
      <c r="A97" t="str">
        <f>"    "</f>
        <v xml:space="preserve">    </v>
      </c>
      <c r="B97" t="str">
        <f>""</f>
        <v/>
      </c>
      <c r="E97" t="str">
        <f>"Static"</f>
        <v>Static</v>
      </c>
      <c r="F97" t="str">
        <f t="shared" ca="1" si="36"/>
        <v/>
      </c>
      <c r="G97" t="str">
        <f t="shared" ca="1" si="36"/>
        <v/>
      </c>
      <c r="H97" t="str">
        <f t="shared" ca="1" si="36"/>
        <v/>
      </c>
      <c r="I97" t="str">
        <f t="shared" ca="1" si="36"/>
        <v/>
      </c>
      <c r="J97" t="str">
        <f t="shared" ca="1" si="36"/>
        <v/>
      </c>
      <c r="K97" t="str">
        <f t="shared" ca="1" si="36"/>
        <v/>
      </c>
      <c r="L97" t="str">
        <f t="shared" ca="1" si="36"/>
        <v/>
      </c>
      <c r="M97" t="str">
        <f t="shared" ca="1" si="36"/>
        <v/>
      </c>
      <c r="N97" t="str">
        <f t="shared" ca="1" si="36"/>
        <v/>
      </c>
      <c r="O97" t="str">
        <f t="shared" ca="1" si="36"/>
        <v/>
      </c>
      <c r="P97" t="str">
        <f t="shared" ca="1" si="37"/>
        <v/>
      </c>
      <c r="Q97" t="str">
        <f t="shared" ca="1" si="37"/>
        <v/>
      </c>
      <c r="R97" t="str">
        <f t="shared" ca="1" si="37"/>
        <v/>
      </c>
      <c r="S97" t="str">
        <f t="shared" ca="1" si="37"/>
        <v/>
      </c>
      <c r="T97" t="str">
        <f t="shared" ca="1" si="37"/>
        <v/>
      </c>
      <c r="U97" t="str">
        <f t="shared" ca="1" si="37"/>
        <v/>
      </c>
      <c r="V97" t="str">
        <f t="shared" ca="1" si="37"/>
        <v/>
      </c>
      <c r="W97" t="str">
        <f t="shared" ca="1" si="37"/>
        <v/>
      </c>
      <c r="X97" t="str">
        <f t="shared" ca="1" si="37"/>
        <v/>
      </c>
      <c r="Y97" t="str">
        <f t="shared" ca="1" si="37"/>
        <v/>
      </c>
      <c r="Z97" t="str">
        <f t="shared" ca="1" si="38"/>
        <v/>
      </c>
      <c r="AA97" t="str">
        <f t="shared" ca="1" si="38"/>
        <v/>
      </c>
      <c r="AB97" t="str">
        <f t="shared" ca="1" si="38"/>
        <v/>
      </c>
      <c r="AC97" t="str">
        <f t="shared" ca="1" si="38"/>
        <v/>
      </c>
      <c r="AD97" t="str">
        <f t="shared" ca="1" si="38"/>
        <v/>
      </c>
      <c r="AE97" t="str">
        <f t="shared" ca="1" si="38"/>
        <v/>
      </c>
      <c r="AF97" t="str">
        <f t="shared" ca="1" si="38"/>
        <v/>
      </c>
      <c r="AG97" t="str">
        <f t="shared" ca="1" si="38"/>
        <v/>
      </c>
      <c r="AH97" t="str">
        <f t="shared" ca="1" si="38"/>
        <v/>
      </c>
      <c r="AI97" t="str">
        <f t="shared" ca="1" si="38"/>
        <v/>
      </c>
      <c r="AJ97" t="str">
        <f t="shared" ca="1" si="39"/>
        <v/>
      </c>
      <c r="AK97" t="str">
        <f t="shared" ca="1" si="39"/>
        <v/>
      </c>
      <c r="AL97" t="str">
        <f t="shared" ca="1" si="39"/>
        <v/>
      </c>
      <c r="AM97" t="str">
        <f t="shared" ca="1" si="39"/>
        <v/>
      </c>
      <c r="AN97" t="str">
        <f t="shared" ca="1" si="39"/>
        <v/>
      </c>
      <c r="AO97" t="str">
        <f t="shared" ca="1" si="39"/>
        <v/>
      </c>
      <c r="AP97" t="str">
        <f t="shared" ca="1" si="39"/>
        <v/>
      </c>
      <c r="AQ97" t="str">
        <f t="shared" ca="1" si="39"/>
        <v/>
      </c>
      <c r="AR97" t="str">
        <f t="shared" ca="1" si="39"/>
        <v/>
      </c>
      <c r="AS97" t="str">
        <f t="shared" ca="1" si="39"/>
        <v/>
      </c>
      <c r="AT97" t="str">
        <f>""</f>
        <v/>
      </c>
      <c r="AU97" t="str">
        <f>""</f>
        <v/>
      </c>
      <c r="AV97" t="str">
        <f>""</f>
        <v/>
      </c>
      <c r="AW97" t="str">
        <f>""</f>
        <v/>
      </c>
      <c r="AX97" t="str">
        <f>""</f>
        <v/>
      </c>
      <c r="AY97" t="str">
        <f>""</f>
        <v/>
      </c>
      <c r="AZ97" t="str">
        <f>""</f>
        <v/>
      </c>
      <c r="BA97" t="str">
        <f>""</f>
        <v/>
      </c>
      <c r="BB97" t="str">
        <f>""</f>
        <v/>
      </c>
      <c r="BC97" t="str">
        <f>""</f>
        <v/>
      </c>
      <c r="BD97" t="str">
        <f>""</f>
        <v/>
      </c>
      <c r="BE97" t="str">
        <f>""</f>
        <v/>
      </c>
      <c r="BF97" t="str">
        <f>""</f>
        <v/>
      </c>
      <c r="BG97" t="str">
        <f>""</f>
        <v/>
      </c>
      <c r="BH97" t="str">
        <f>""</f>
        <v/>
      </c>
      <c r="BI97" t="str">
        <f>""</f>
        <v/>
      </c>
      <c r="BJ97" t="str">
        <f>""</f>
        <v/>
      </c>
      <c r="BK97" t="str">
        <f>""</f>
        <v/>
      </c>
      <c r="BL97" t="str">
        <f>""</f>
        <v/>
      </c>
      <c r="BM97" t="str">
        <f>""</f>
        <v/>
      </c>
      <c r="BN97" t="str">
        <f>""</f>
        <v/>
      </c>
      <c r="BO97" t="str">
        <f>""</f>
        <v/>
      </c>
      <c r="BP97" t="str">
        <f>""</f>
        <v/>
      </c>
      <c r="BQ97" t="str">
        <f>""</f>
        <v/>
      </c>
      <c r="BR97" t="str">
        <f>""</f>
        <v/>
      </c>
      <c r="BS97" t="str">
        <f>""</f>
        <v/>
      </c>
      <c r="BT97" t="str">
        <f>""</f>
        <v/>
      </c>
      <c r="BU97" t="str">
        <f>""</f>
        <v/>
      </c>
      <c r="BV97" t="str">
        <f>""</f>
        <v/>
      </c>
      <c r="BW97" t="str">
        <f>""</f>
        <v/>
      </c>
      <c r="BX97" t="str">
        <f>""</f>
        <v/>
      </c>
      <c r="BY97" t="str">
        <f>""</f>
        <v/>
      </c>
      <c r="BZ97" t="str">
        <f>""</f>
        <v/>
      </c>
      <c r="CA97" t="str">
        <f>""</f>
        <v/>
      </c>
      <c r="CB97" t="str">
        <f>""</f>
        <v/>
      </c>
      <c r="CC97" t="str">
        <f>""</f>
        <v/>
      </c>
      <c r="CD97" t="str">
        <f>""</f>
        <v/>
      </c>
      <c r="CE97" t="str">
        <f>""</f>
        <v/>
      </c>
      <c r="CF97" t="str">
        <f>""</f>
        <v/>
      </c>
      <c r="CG97" t="str">
        <f>""</f>
        <v/>
      </c>
    </row>
    <row r="98" spans="1:85" x14ac:dyDescent="0.2">
      <c r="AT98" t="str">
        <f>""</f>
        <v/>
      </c>
      <c r="AU98" t="str">
        <f>""</f>
        <v/>
      </c>
      <c r="AV98" t="str">
        <f>""</f>
        <v/>
      </c>
      <c r="AW98" t="str">
        <f>""</f>
        <v/>
      </c>
      <c r="AX98" t="str">
        <f>""</f>
        <v/>
      </c>
      <c r="AY98" t="str">
        <f>""</f>
        <v/>
      </c>
      <c r="AZ98" t="str">
        <f>""</f>
        <v/>
      </c>
      <c r="BA98" t="str">
        <f>""</f>
        <v/>
      </c>
      <c r="BB98" t="str">
        <f>""</f>
        <v/>
      </c>
      <c r="BC98" t="str">
        <f>""</f>
        <v/>
      </c>
      <c r="BD98" t="str">
        <f>""</f>
        <v/>
      </c>
      <c r="BE98" t="str">
        <f>""</f>
        <v/>
      </c>
      <c r="BF98" t="str">
        <f>""</f>
        <v/>
      </c>
      <c r="BG98" t="str">
        <f>""</f>
        <v/>
      </c>
      <c r="BH98" t="str">
        <f>""</f>
        <v/>
      </c>
      <c r="BI98" t="str">
        <f>""</f>
        <v/>
      </c>
      <c r="BJ98" t="str">
        <f>""</f>
        <v/>
      </c>
      <c r="BK98" t="str">
        <f>""</f>
        <v/>
      </c>
      <c r="BL98" t="str">
        <f>""</f>
        <v/>
      </c>
      <c r="BM98" t="str">
        <f>""</f>
        <v/>
      </c>
      <c r="BN98" t="str">
        <f>""</f>
        <v/>
      </c>
      <c r="BO98" t="str">
        <f>""</f>
        <v/>
      </c>
      <c r="BP98" t="str">
        <f>""</f>
        <v/>
      </c>
      <c r="BQ98" t="str">
        <f>""</f>
        <v/>
      </c>
      <c r="BR98" t="str">
        <f>""</f>
        <v/>
      </c>
      <c r="BS98" t="str">
        <f>""</f>
        <v/>
      </c>
      <c r="BT98" t="str">
        <f>""</f>
        <v/>
      </c>
      <c r="BU98" t="str">
        <f>""</f>
        <v/>
      </c>
      <c r="BV98" t="str">
        <f>""</f>
        <v/>
      </c>
      <c r="BW98" t="str">
        <f>""</f>
        <v/>
      </c>
      <c r="BX98" t="str">
        <f>""</f>
        <v/>
      </c>
      <c r="BY98" t="str">
        <f>""</f>
        <v/>
      </c>
      <c r="BZ98" t="str">
        <f>""</f>
        <v/>
      </c>
      <c r="CA98" t="str">
        <f>""</f>
        <v/>
      </c>
      <c r="CB98" t="str">
        <f>""</f>
        <v/>
      </c>
      <c r="CC98" t="str">
        <f>""</f>
        <v/>
      </c>
      <c r="CD98" t="str">
        <f>""</f>
        <v/>
      </c>
      <c r="CE98" t="str">
        <f>""</f>
        <v/>
      </c>
      <c r="CF98" t="str">
        <f>""</f>
        <v/>
      </c>
      <c r="CG98" t="str">
        <f>""</f>
        <v/>
      </c>
    </row>
    <row r="99" spans="1:85" x14ac:dyDescent="0.2">
      <c r="AT99" t="str">
        <f>""</f>
        <v/>
      </c>
      <c r="AU99" t="str">
        <f>""</f>
        <v/>
      </c>
      <c r="AV99" t="str">
        <f>""</f>
        <v/>
      </c>
      <c r="AW99" t="str">
        <f>""</f>
        <v/>
      </c>
      <c r="AX99" t="str">
        <f>""</f>
        <v/>
      </c>
      <c r="AY99" t="str">
        <f>""</f>
        <v/>
      </c>
      <c r="AZ99" t="str">
        <f>""</f>
        <v/>
      </c>
      <c r="BA99" t="str">
        <f>""</f>
        <v/>
      </c>
      <c r="BB99" t="str">
        <f>""</f>
        <v/>
      </c>
      <c r="BC99" t="str">
        <f>""</f>
        <v/>
      </c>
      <c r="BD99" t="str">
        <f>""</f>
        <v/>
      </c>
      <c r="BE99" t="str">
        <f>""</f>
        <v/>
      </c>
      <c r="BF99" t="str">
        <f>""</f>
        <v/>
      </c>
      <c r="BG99" t="str">
        <f>""</f>
        <v/>
      </c>
      <c r="BH99" t="str">
        <f>""</f>
        <v/>
      </c>
      <c r="BI99" t="str">
        <f>""</f>
        <v/>
      </c>
      <c r="BJ99" t="str">
        <f>""</f>
        <v/>
      </c>
      <c r="BK99" t="str">
        <f>""</f>
        <v/>
      </c>
      <c r="BL99" t="str">
        <f>""</f>
        <v/>
      </c>
      <c r="BM99" t="str">
        <f>""</f>
        <v/>
      </c>
      <c r="BN99" t="str">
        <f>""</f>
        <v/>
      </c>
      <c r="BO99" t="str">
        <f>""</f>
        <v/>
      </c>
      <c r="BP99" t="str">
        <f>""</f>
        <v/>
      </c>
      <c r="BQ99" t="str">
        <f>""</f>
        <v/>
      </c>
      <c r="BR99" t="str">
        <f>""</f>
        <v/>
      </c>
      <c r="BS99" t="str">
        <f>""</f>
        <v/>
      </c>
      <c r="BT99" t="str">
        <f>""</f>
        <v/>
      </c>
      <c r="BU99" t="str">
        <f>""</f>
        <v/>
      </c>
      <c r="BV99" t="str">
        <f>""</f>
        <v/>
      </c>
      <c r="BW99" t="str">
        <f>""</f>
        <v/>
      </c>
      <c r="BX99" t="str">
        <f>""</f>
        <v/>
      </c>
      <c r="BY99" t="str">
        <f>""</f>
        <v/>
      </c>
      <c r="BZ99" t="str">
        <f>""</f>
        <v/>
      </c>
      <c r="CA99" t="str">
        <f>""</f>
        <v/>
      </c>
      <c r="CB99" t="str">
        <f>""</f>
        <v/>
      </c>
      <c r="CC99" t="str">
        <f>""</f>
        <v/>
      </c>
      <c r="CD99" t="str">
        <f>""</f>
        <v/>
      </c>
      <c r="CE99" t="str">
        <f>""</f>
        <v/>
      </c>
      <c r="CF99" t="str">
        <f>""</f>
        <v/>
      </c>
      <c r="CG99" t="str">
        <f>""</f>
        <v/>
      </c>
    </row>
    <row r="100" spans="1:85" x14ac:dyDescent="0.2">
      <c r="AT100" t="str">
        <f>""</f>
        <v/>
      </c>
      <c r="AU100" t="str">
        <f>""</f>
        <v/>
      </c>
      <c r="AV100" t="str">
        <f>""</f>
        <v/>
      </c>
      <c r="AW100" t="str">
        <f>""</f>
        <v/>
      </c>
      <c r="AX100" t="str">
        <f>""</f>
        <v/>
      </c>
      <c r="AY100" t="str">
        <f>""</f>
        <v/>
      </c>
      <c r="AZ100" t="str">
        <f>""</f>
        <v/>
      </c>
      <c r="BA100" t="str">
        <f>""</f>
        <v/>
      </c>
      <c r="BB100" t="str">
        <f>""</f>
        <v/>
      </c>
      <c r="BC100" t="str">
        <f>""</f>
        <v/>
      </c>
      <c r="BD100" t="str">
        <f>""</f>
        <v/>
      </c>
      <c r="BE100" t="str">
        <f>""</f>
        <v/>
      </c>
      <c r="BF100" t="str">
        <f>""</f>
        <v/>
      </c>
      <c r="BG100" t="str">
        <f>""</f>
        <v/>
      </c>
      <c r="BH100" t="str">
        <f>""</f>
        <v/>
      </c>
      <c r="BI100" t="str">
        <f>""</f>
        <v/>
      </c>
      <c r="BJ100" t="str">
        <f>""</f>
        <v/>
      </c>
      <c r="BK100" t="str">
        <f>""</f>
        <v/>
      </c>
      <c r="BL100" t="str">
        <f>""</f>
        <v/>
      </c>
      <c r="BM100" t="str">
        <f>""</f>
        <v/>
      </c>
      <c r="BN100" t="str">
        <f>""</f>
        <v/>
      </c>
      <c r="BO100" t="str">
        <f>""</f>
        <v/>
      </c>
      <c r="BP100" t="str">
        <f>""</f>
        <v/>
      </c>
      <c r="BQ100" t="str">
        <f>""</f>
        <v/>
      </c>
      <c r="BR100" t="str">
        <f>""</f>
        <v/>
      </c>
      <c r="BS100" t="str">
        <f>""</f>
        <v/>
      </c>
      <c r="BT100" t="str">
        <f>""</f>
        <v/>
      </c>
      <c r="BU100" t="str">
        <f>""</f>
        <v/>
      </c>
      <c r="BV100" t="str">
        <f>""</f>
        <v/>
      </c>
      <c r="BW100" t="str">
        <f>""</f>
        <v/>
      </c>
      <c r="BX100" t="str">
        <f>""</f>
        <v/>
      </c>
      <c r="BY100" t="str">
        <f>""</f>
        <v/>
      </c>
      <c r="BZ100" t="str">
        <f>""</f>
        <v/>
      </c>
      <c r="CA100" t="str">
        <f>""</f>
        <v/>
      </c>
      <c r="CB100" t="str">
        <f>""</f>
        <v/>
      </c>
      <c r="CC100" t="str">
        <f>""</f>
        <v/>
      </c>
      <c r="CD100" t="str">
        <f>""</f>
        <v/>
      </c>
      <c r="CE100" t="str">
        <f>""</f>
        <v/>
      </c>
      <c r="CF100" t="str">
        <f>""</f>
        <v/>
      </c>
      <c r="CG100" t="str">
        <f>""</f>
        <v/>
      </c>
    </row>
    <row r="101" spans="1:85" x14ac:dyDescent="0.2">
      <c r="AT101" t="str">
        <f>""</f>
        <v/>
      </c>
      <c r="AU101" t="str">
        <f>""</f>
        <v/>
      </c>
      <c r="AV101" t="str">
        <f>""</f>
        <v/>
      </c>
      <c r="AW101" t="str">
        <f>""</f>
        <v/>
      </c>
      <c r="AX101" t="str">
        <f>""</f>
        <v/>
      </c>
      <c r="AY101" t="str">
        <f>""</f>
        <v/>
      </c>
      <c r="AZ101" t="str">
        <f>""</f>
        <v/>
      </c>
      <c r="BA101" t="str">
        <f>""</f>
        <v/>
      </c>
      <c r="BB101" t="str">
        <f>""</f>
        <v/>
      </c>
      <c r="BC101" t="str">
        <f>""</f>
        <v/>
      </c>
      <c r="BD101" t="str">
        <f>""</f>
        <v/>
      </c>
      <c r="BE101" t="str">
        <f>""</f>
        <v/>
      </c>
      <c r="BF101" t="str">
        <f>""</f>
        <v/>
      </c>
      <c r="BG101" t="str">
        <f>""</f>
        <v/>
      </c>
      <c r="BH101" t="str">
        <f>""</f>
        <v/>
      </c>
      <c r="BI101" t="str">
        <f>""</f>
        <v/>
      </c>
      <c r="BJ101" t="str">
        <f>""</f>
        <v/>
      </c>
      <c r="BK101" t="str">
        <f>""</f>
        <v/>
      </c>
      <c r="BL101" t="str">
        <f>""</f>
        <v/>
      </c>
      <c r="BM101" t="str">
        <f>""</f>
        <v/>
      </c>
      <c r="BN101" t="str">
        <f>""</f>
        <v/>
      </c>
      <c r="BO101" t="str">
        <f>""</f>
        <v/>
      </c>
      <c r="BP101" t="str">
        <f>""</f>
        <v/>
      </c>
      <c r="BQ101" t="str">
        <f>""</f>
        <v/>
      </c>
      <c r="BR101" t="str">
        <f>""</f>
        <v/>
      </c>
      <c r="BS101" t="str">
        <f>""</f>
        <v/>
      </c>
      <c r="BT101" t="str">
        <f>""</f>
        <v/>
      </c>
      <c r="BU101" t="str">
        <f>""</f>
        <v/>
      </c>
      <c r="BV101" t="str">
        <f>""</f>
        <v/>
      </c>
      <c r="BW101" t="str">
        <f>""</f>
        <v/>
      </c>
      <c r="BX101" t="str">
        <f>""</f>
        <v/>
      </c>
      <c r="BY101" t="str">
        <f>""</f>
        <v/>
      </c>
      <c r="BZ101" t="str">
        <f>""</f>
        <v/>
      </c>
      <c r="CA101" t="str">
        <f>""</f>
        <v/>
      </c>
      <c r="CB101" t="str">
        <f>""</f>
        <v/>
      </c>
      <c r="CC101" t="str">
        <f>""</f>
        <v/>
      </c>
      <c r="CD101" t="str">
        <f>""</f>
        <v/>
      </c>
      <c r="CE101" t="str">
        <f>""</f>
        <v/>
      </c>
      <c r="CF101" t="str">
        <f>""</f>
        <v/>
      </c>
      <c r="CG101" t="str">
        <f>""</f>
        <v/>
      </c>
    </row>
    <row r="102" spans="1:85" x14ac:dyDescent="0.2">
      <c r="AT102" t="str">
        <f>""</f>
        <v/>
      </c>
      <c r="AU102" t="str">
        <f>""</f>
        <v/>
      </c>
      <c r="AV102" t="str">
        <f>""</f>
        <v/>
      </c>
      <c r="AW102" t="str">
        <f>""</f>
        <v/>
      </c>
      <c r="AX102" t="str">
        <f>""</f>
        <v/>
      </c>
      <c r="AY102" t="str">
        <f>""</f>
        <v/>
      </c>
      <c r="AZ102" t="str">
        <f>""</f>
        <v/>
      </c>
      <c r="BA102" t="str">
        <f>""</f>
        <v/>
      </c>
      <c r="BB102" t="str">
        <f>""</f>
        <v/>
      </c>
      <c r="BC102" t="str">
        <f>""</f>
        <v/>
      </c>
      <c r="BD102" t="str">
        <f>""</f>
        <v/>
      </c>
      <c r="BE102" t="str">
        <f>""</f>
        <v/>
      </c>
      <c r="BF102" t="str">
        <f>""</f>
        <v/>
      </c>
      <c r="BG102" t="str">
        <f>""</f>
        <v/>
      </c>
      <c r="BH102" t="str">
        <f>""</f>
        <v/>
      </c>
      <c r="BI102" t="str">
        <f>""</f>
        <v/>
      </c>
      <c r="BJ102" t="str">
        <f>""</f>
        <v/>
      </c>
      <c r="BK102" t="str">
        <f>""</f>
        <v/>
      </c>
      <c r="BL102" t="str">
        <f>""</f>
        <v/>
      </c>
      <c r="BM102" t="str">
        <f>""</f>
        <v/>
      </c>
      <c r="BN102" t="str">
        <f>""</f>
        <v/>
      </c>
      <c r="BO102" t="str">
        <f>""</f>
        <v/>
      </c>
      <c r="BP102" t="str">
        <f>""</f>
        <v/>
      </c>
      <c r="BQ102" t="str">
        <f>""</f>
        <v/>
      </c>
      <c r="BR102" t="str">
        <f>""</f>
        <v/>
      </c>
      <c r="BS102" t="str">
        <f>""</f>
        <v/>
      </c>
      <c r="BT102" t="str">
        <f>""</f>
        <v/>
      </c>
      <c r="BU102" t="str">
        <f>""</f>
        <v/>
      </c>
      <c r="BV102" t="str">
        <f>""</f>
        <v/>
      </c>
      <c r="BW102" t="str">
        <f>""</f>
        <v/>
      </c>
      <c r="BX102" t="str">
        <f>""</f>
        <v/>
      </c>
      <c r="BY102" t="str">
        <f>""</f>
        <v/>
      </c>
      <c r="BZ102" t="str">
        <f>""</f>
        <v/>
      </c>
      <c r="CA102" t="str">
        <f>""</f>
        <v/>
      </c>
      <c r="CB102" t="str">
        <f>""</f>
        <v/>
      </c>
      <c r="CC102" t="str">
        <f>""</f>
        <v/>
      </c>
      <c r="CD102" t="str">
        <f>""</f>
        <v/>
      </c>
      <c r="CE102" t="str">
        <f>""</f>
        <v/>
      </c>
      <c r="CF102" t="str">
        <f>""</f>
        <v/>
      </c>
      <c r="CG102" t="str">
        <f>""</f>
        <v/>
      </c>
    </row>
    <row r="103" spans="1:85" x14ac:dyDescent="0.2">
      <c r="AT103" t="str">
        <f>""</f>
        <v/>
      </c>
      <c r="AU103" t="str">
        <f>""</f>
        <v/>
      </c>
      <c r="AV103" t="str">
        <f>""</f>
        <v/>
      </c>
      <c r="AW103" t="str">
        <f>""</f>
        <v/>
      </c>
      <c r="AX103" t="str">
        <f>""</f>
        <v/>
      </c>
      <c r="AY103" t="str">
        <f>""</f>
        <v/>
      </c>
      <c r="AZ103" t="str">
        <f>""</f>
        <v/>
      </c>
      <c r="BA103" t="str">
        <f>""</f>
        <v/>
      </c>
      <c r="BB103" t="str">
        <f>""</f>
        <v/>
      </c>
      <c r="BC103" t="str">
        <f>""</f>
        <v/>
      </c>
      <c r="BD103" t="str">
        <f>""</f>
        <v/>
      </c>
      <c r="BE103" t="str">
        <f>""</f>
        <v/>
      </c>
      <c r="BF103" t="str">
        <f>""</f>
        <v/>
      </c>
      <c r="BG103" t="str">
        <f>""</f>
        <v/>
      </c>
      <c r="BH103" t="str">
        <f>""</f>
        <v/>
      </c>
      <c r="BI103" t="str">
        <f>""</f>
        <v/>
      </c>
      <c r="BJ103" t="str">
        <f>""</f>
        <v/>
      </c>
      <c r="BK103" t="str">
        <f>""</f>
        <v/>
      </c>
      <c r="BL103" t="str">
        <f>""</f>
        <v/>
      </c>
      <c r="BM103" t="str">
        <f>""</f>
        <v/>
      </c>
      <c r="BN103" t="str">
        <f>""</f>
        <v/>
      </c>
      <c r="BO103" t="str">
        <f>""</f>
        <v/>
      </c>
      <c r="BP103" t="str">
        <f>""</f>
        <v/>
      </c>
      <c r="BQ103" t="str">
        <f>""</f>
        <v/>
      </c>
      <c r="BR103" t="str">
        <f>""</f>
        <v/>
      </c>
      <c r="BS103" t="str">
        <f>""</f>
        <v/>
      </c>
      <c r="BT103" t="str">
        <f>""</f>
        <v/>
      </c>
      <c r="BU103" t="str">
        <f>""</f>
        <v/>
      </c>
      <c r="BV103" t="str">
        <f>""</f>
        <v/>
      </c>
      <c r="BW103" t="str">
        <f>""</f>
        <v/>
      </c>
      <c r="BX103" t="str">
        <f>""</f>
        <v/>
      </c>
      <c r="BY103" t="str">
        <f>""</f>
        <v/>
      </c>
      <c r="BZ103" t="str">
        <f>""</f>
        <v/>
      </c>
      <c r="CA103" t="str">
        <f>""</f>
        <v/>
      </c>
      <c r="CB103" t="str">
        <f>""</f>
        <v/>
      </c>
      <c r="CC103" t="str">
        <f>""</f>
        <v/>
      </c>
      <c r="CD103" t="str">
        <f>""</f>
        <v/>
      </c>
      <c r="CE103" t="str">
        <f>""</f>
        <v/>
      </c>
      <c r="CF103" t="str">
        <f>""</f>
        <v/>
      </c>
      <c r="CG103" t="str">
        <f>""</f>
        <v/>
      </c>
    </row>
    <row r="104" spans="1:85" x14ac:dyDescent="0.2">
      <c r="AT104" t="str">
        <f>""</f>
        <v/>
      </c>
      <c r="AU104" t="str">
        <f>""</f>
        <v/>
      </c>
      <c r="AV104" t="str">
        <f>""</f>
        <v/>
      </c>
      <c r="AW104" t="str">
        <f>""</f>
        <v/>
      </c>
      <c r="AX104" t="str">
        <f>""</f>
        <v/>
      </c>
      <c r="AY104" t="str">
        <f>""</f>
        <v/>
      </c>
      <c r="AZ104" t="str">
        <f>""</f>
        <v/>
      </c>
      <c r="BA104" t="str">
        <f>""</f>
        <v/>
      </c>
      <c r="BB104" t="str">
        <f>""</f>
        <v/>
      </c>
      <c r="BC104" t="str">
        <f>""</f>
        <v/>
      </c>
      <c r="BD104" t="str">
        <f>""</f>
        <v/>
      </c>
      <c r="BE104" t="str">
        <f>""</f>
        <v/>
      </c>
      <c r="BF104" t="str">
        <f>""</f>
        <v/>
      </c>
      <c r="BG104" t="str">
        <f>""</f>
        <v/>
      </c>
      <c r="BH104" t="str">
        <f>""</f>
        <v/>
      </c>
      <c r="BI104" t="str">
        <f>""</f>
        <v/>
      </c>
      <c r="BJ104" t="str">
        <f>""</f>
        <v/>
      </c>
      <c r="BK104" t="str">
        <f>""</f>
        <v/>
      </c>
      <c r="BL104" t="str">
        <f>""</f>
        <v/>
      </c>
      <c r="BM104" t="str">
        <f>""</f>
        <v/>
      </c>
      <c r="BN104" t="str">
        <f>""</f>
        <v/>
      </c>
      <c r="BO104" t="str">
        <f>""</f>
        <v/>
      </c>
      <c r="BP104" t="str">
        <f>""</f>
        <v/>
      </c>
      <c r="BQ104" t="str">
        <f>""</f>
        <v/>
      </c>
      <c r="BR104" t="str">
        <f>""</f>
        <v/>
      </c>
      <c r="BS104" t="str">
        <f>""</f>
        <v/>
      </c>
      <c r="BT104" t="str">
        <f>""</f>
        <v/>
      </c>
      <c r="BU104" t="str">
        <f>""</f>
        <v/>
      </c>
      <c r="BV104" t="str">
        <f>""</f>
        <v/>
      </c>
      <c r="BW104" t="str">
        <f>""</f>
        <v/>
      </c>
      <c r="BX104" t="str">
        <f>""</f>
        <v/>
      </c>
      <c r="BY104" t="str">
        <f>""</f>
        <v/>
      </c>
      <c r="BZ104" t="str">
        <f>""</f>
        <v/>
      </c>
      <c r="CA104" t="str">
        <f>""</f>
        <v/>
      </c>
      <c r="CB104" t="str">
        <f>""</f>
        <v/>
      </c>
      <c r="CC104" t="str">
        <f>""</f>
        <v/>
      </c>
      <c r="CD104" t="str">
        <f>""</f>
        <v/>
      </c>
      <c r="CE104" t="str">
        <f>""</f>
        <v/>
      </c>
      <c r="CF104" t="str">
        <f>""</f>
        <v/>
      </c>
      <c r="CG104" t="str">
        <f>""</f>
        <v/>
      </c>
    </row>
    <row r="105" spans="1:85" x14ac:dyDescent="0.2">
      <c r="A105" t="str">
        <f t="shared" ref="A105:AS105" si="40">"~~~~~~~~~~"</f>
        <v>~~~~~~~~~~</v>
      </c>
      <c r="B105" t="str">
        <f t="shared" si="40"/>
        <v>~~~~~~~~~~</v>
      </c>
      <c r="C105" t="str">
        <f t="shared" si="40"/>
        <v>~~~~~~~~~~</v>
      </c>
      <c r="D105" t="str">
        <f t="shared" si="40"/>
        <v>~~~~~~~~~~</v>
      </c>
      <c r="E105" t="str">
        <f t="shared" si="40"/>
        <v>~~~~~~~~~~</v>
      </c>
      <c r="F105" t="str">
        <f t="shared" si="40"/>
        <v>~~~~~~~~~~</v>
      </c>
      <c r="G105" t="str">
        <f t="shared" si="40"/>
        <v>~~~~~~~~~~</v>
      </c>
      <c r="H105" t="str">
        <f t="shared" si="40"/>
        <v>~~~~~~~~~~</v>
      </c>
      <c r="I105" t="str">
        <f t="shared" si="40"/>
        <v>~~~~~~~~~~</v>
      </c>
      <c r="J105" t="str">
        <f t="shared" si="40"/>
        <v>~~~~~~~~~~</v>
      </c>
      <c r="K105" t="str">
        <f t="shared" si="40"/>
        <v>~~~~~~~~~~</v>
      </c>
      <c r="L105" t="str">
        <f t="shared" si="40"/>
        <v>~~~~~~~~~~</v>
      </c>
      <c r="M105" t="str">
        <f t="shared" si="40"/>
        <v>~~~~~~~~~~</v>
      </c>
      <c r="N105" t="str">
        <f t="shared" si="40"/>
        <v>~~~~~~~~~~</v>
      </c>
      <c r="O105" t="str">
        <f t="shared" si="40"/>
        <v>~~~~~~~~~~</v>
      </c>
      <c r="P105" t="str">
        <f t="shared" si="40"/>
        <v>~~~~~~~~~~</v>
      </c>
      <c r="Q105" t="str">
        <f t="shared" si="40"/>
        <v>~~~~~~~~~~</v>
      </c>
      <c r="R105" t="str">
        <f t="shared" si="40"/>
        <v>~~~~~~~~~~</v>
      </c>
      <c r="S105" t="str">
        <f t="shared" si="40"/>
        <v>~~~~~~~~~~</v>
      </c>
      <c r="T105" t="str">
        <f t="shared" si="40"/>
        <v>~~~~~~~~~~</v>
      </c>
      <c r="U105" t="str">
        <f t="shared" si="40"/>
        <v>~~~~~~~~~~</v>
      </c>
      <c r="V105" t="str">
        <f t="shared" si="40"/>
        <v>~~~~~~~~~~</v>
      </c>
      <c r="W105" t="str">
        <f t="shared" si="40"/>
        <v>~~~~~~~~~~</v>
      </c>
      <c r="X105" t="str">
        <f t="shared" si="40"/>
        <v>~~~~~~~~~~</v>
      </c>
      <c r="Y105" t="str">
        <f t="shared" si="40"/>
        <v>~~~~~~~~~~</v>
      </c>
      <c r="Z105" t="str">
        <f t="shared" si="40"/>
        <v>~~~~~~~~~~</v>
      </c>
      <c r="AA105" t="str">
        <f t="shared" si="40"/>
        <v>~~~~~~~~~~</v>
      </c>
      <c r="AB105" t="str">
        <f t="shared" si="40"/>
        <v>~~~~~~~~~~</v>
      </c>
      <c r="AC105" t="str">
        <f t="shared" si="40"/>
        <v>~~~~~~~~~~</v>
      </c>
      <c r="AD105" t="str">
        <f t="shared" si="40"/>
        <v>~~~~~~~~~~</v>
      </c>
      <c r="AE105" t="str">
        <f t="shared" si="40"/>
        <v>~~~~~~~~~~</v>
      </c>
      <c r="AF105" t="str">
        <f t="shared" si="40"/>
        <v>~~~~~~~~~~</v>
      </c>
      <c r="AG105" t="str">
        <f t="shared" si="40"/>
        <v>~~~~~~~~~~</v>
      </c>
      <c r="AH105" t="str">
        <f t="shared" si="40"/>
        <v>~~~~~~~~~~</v>
      </c>
      <c r="AI105" t="str">
        <f t="shared" si="40"/>
        <v>~~~~~~~~~~</v>
      </c>
      <c r="AJ105" t="str">
        <f t="shared" si="40"/>
        <v>~~~~~~~~~~</v>
      </c>
      <c r="AK105" t="str">
        <f t="shared" si="40"/>
        <v>~~~~~~~~~~</v>
      </c>
      <c r="AL105" t="str">
        <f t="shared" si="40"/>
        <v>~~~~~~~~~~</v>
      </c>
      <c r="AM105" t="str">
        <f t="shared" si="40"/>
        <v>~~~~~~~~~~</v>
      </c>
      <c r="AN105" t="str">
        <f t="shared" si="40"/>
        <v>~~~~~~~~~~</v>
      </c>
      <c r="AO105" t="str">
        <f t="shared" si="40"/>
        <v>~~~~~~~~~~</v>
      </c>
      <c r="AP105" t="str">
        <f t="shared" si="40"/>
        <v>~~~~~~~~~~</v>
      </c>
      <c r="AQ105" t="str">
        <f t="shared" si="40"/>
        <v>~~~~~~~~~~</v>
      </c>
      <c r="AR105" t="str">
        <f t="shared" si="40"/>
        <v>~~~~~~~~~~</v>
      </c>
      <c r="AS105" t="str">
        <f t="shared" si="40"/>
        <v>~~~~~~~~~~</v>
      </c>
      <c r="AT105" t="str">
        <f>""</f>
        <v/>
      </c>
      <c r="AU105" t="str">
        <f>""</f>
        <v/>
      </c>
      <c r="AV105" t="str">
        <f>""</f>
        <v/>
      </c>
      <c r="AW105" t="str">
        <f>""</f>
        <v/>
      </c>
      <c r="AX105" t="str">
        <f>""</f>
        <v/>
      </c>
      <c r="AY105" t="str">
        <f>""</f>
        <v/>
      </c>
      <c r="AZ105" t="str">
        <f>""</f>
        <v/>
      </c>
      <c r="BA105" t="str">
        <f>""</f>
        <v/>
      </c>
      <c r="BB105" t="str">
        <f>""</f>
        <v/>
      </c>
      <c r="BC105" t="str">
        <f>""</f>
        <v/>
      </c>
      <c r="BD105" t="str">
        <f>""</f>
        <v/>
      </c>
      <c r="BE105" t="str">
        <f>""</f>
        <v/>
      </c>
      <c r="BF105" t="str">
        <f>""</f>
        <v/>
      </c>
      <c r="BG105" t="str">
        <f>""</f>
        <v/>
      </c>
      <c r="BH105" t="str">
        <f>""</f>
        <v/>
      </c>
      <c r="BI105" t="str">
        <f>""</f>
        <v/>
      </c>
      <c r="BJ105" t="str">
        <f>""</f>
        <v/>
      </c>
      <c r="BK105" t="str">
        <f>""</f>
        <v/>
      </c>
      <c r="BL105" t="str">
        <f>""</f>
        <v/>
      </c>
      <c r="BM105" t="str">
        <f>""</f>
        <v/>
      </c>
      <c r="BN105" t="str">
        <f>""</f>
        <v/>
      </c>
      <c r="BO105" t="str">
        <f>""</f>
        <v/>
      </c>
      <c r="BP105" t="str">
        <f>""</f>
        <v/>
      </c>
      <c r="BQ105" t="str">
        <f>""</f>
        <v/>
      </c>
      <c r="BR105" t="str">
        <f>""</f>
        <v/>
      </c>
      <c r="BS105" t="str">
        <f>""</f>
        <v/>
      </c>
      <c r="BT105" t="str">
        <f>""</f>
        <v/>
      </c>
      <c r="BU105" t="str">
        <f>""</f>
        <v/>
      </c>
      <c r="BV105" t="str">
        <f>""</f>
        <v/>
      </c>
      <c r="BW105" t="str">
        <f>""</f>
        <v/>
      </c>
      <c r="BX105" t="str">
        <f>""</f>
        <v/>
      </c>
      <c r="BY105" t="str">
        <f>""</f>
        <v/>
      </c>
      <c r="BZ105" t="str">
        <f>""</f>
        <v/>
      </c>
      <c r="CA105" t="str">
        <f>""</f>
        <v/>
      </c>
      <c r="CB105" t="str">
        <f>""</f>
        <v/>
      </c>
      <c r="CC105" t="str">
        <f>""</f>
        <v/>
      </c>
      <c r="CD105" t="str">
        <f>""</f>
        <v/>
      </c>
      <c r="CE105" t="str">
        <f>""</f>
        <v/>
      </c>
      <c r="CF105" t="str">
        <f>""</f>
        <v/>
      </c>
      <c r="CG105" t="str">
        <f>""</f>
        <v/>
      </c>
    </row>
    <row r="106" spans="1:85" x14ac:dyDescent="0.2">
      <c r="A106" t="str">
        <f>"All rows below have been added for reference by formula rows above."</f>
        <v>All rows below have been added for reference by formula rows above.</v>
      </c>
      <c r="AT106" t="str">
        <f>""</f>
        <v/>
      </c>
      <c r="AU106" t="str">
        <f>""</f>
        <v/>
      </c>
      <c r="AV106" t="str">
        <f>""</f>
        <v/>
      </c>
      <c r="AW106" t="str">
        <f>""</f>
        <v/>
      </c>
      <c r="AX106" t="str">
        <f>""</f>
        <v/>
      </c>
      <c r="AY106" t="str">
        <f>""</f>
        <v/>
      </c>
      <c r="AZ106" t="str">
        <f>""</f>
        <v/>
      </c>
      <c r="BA106" t="str">
        <f>""</f>
        <v/>
      </c>
      <c r="BB106" t="str">
        <f>""</f>
        <v/>
      </c>
      <c r="BC106" t="str">
        <f>""</f>
        <v/>
      </c>
      <c r="BD106" t="str">
        <f>""</f>
        <v/>
      </c>
      <c r="BE106" t="str">
        <f>""</f>
        <v/>
      </c>
      <c r="BF106" t="str">
        <f>""</f>
        <v/>
      </c>
      <c r="BG106" t="str">
        <f>""</f>
        <v/>
      </c>
      <c r="BH106" t="str">
        <f>""</f>
        <v/>
      </c>
      <c r="BI106" t="str">
        <f>""</f>
        <v/>
      </c>
      <c r="BJ106" t="str">
        <f>""</f>
        <v/>
      </c>
      <c r="BK106" t="str">
        <f>""</f>
        <v/>
      </c>
      <c r="BL106" t="str">
        <f>""</f>
        <v/>
      </c>
      <c r="BM106" t="str">
        <f>""</f>
        <v/>
      </c>
      <c r="BN106" t="str">
        <f>""</f>
        <v/>
      </c>
      <c r="BO106" t="str">
        <f>""</f>
        <v/>
      </c>
      <c r="BP106" t="str">
        <f>""</f>
        <v/>
      </c>
      <c r="BQ106" t="str">
        <f>""</f>
        <v/>
      </c>
      <c r="BR106" t="str">
        <f>""</f>
        <v/>
      </c>
      <c r="BS106" t="str">
        <f>""</f>
        <v/>
      </c>
      <c r="BT106" t="str">
        <f>""</f>
        <v/>
      </c>
      <c r="BU106" t="str">
        <f>""</f>
        <v/>
      </c>
      <c r="BV106" t="str">
        <f>""</f>
        <v/>
      </c>
      <c r="BW106" t="str">
        <f>""</f>
        <v/>
      </c>
      <c r="BX106" t="str">
        <f>""</f>
        <v/>
      </c>
      <c r="BY106" t="str">
        <f>""</f>
        <v/>
      </c>
      <c r="BZ106" t="str">
        <f>""</f>
        <v/>
      </c>
      <c r="CA106" t="str">
        <f>""</f>
        <v/>
      </c>
      <c r="CB106" t="str">
        <f>""</f>
        <v/>
      </c>
      <c r="CC106" t="str">
        <f>""</f>
        <v/>
      </c>
      <c r="CD106" t="str">
        <f>""</f>
        <v/>
      </c>
      <c r="CE106" t="str">
        <f>""</f>
        <v/>
      </c>
      <c r="CF106" t="str">
        <f>""</f>
        <v/>
      </c>
      <c r="CG106" t="str">
        <f>""</f>
        <v/>
      </c>
    </row>
    <row r="107" spans="1:85" x14ac:dyDescent="0.2">
      <c r="A107" t="e">
        <f>RTD("bloomberg.ccyreader", "", "#track", "DBG", "BIHITX", "1.0","RepeatHit")</f>
        <v>#N/A</v>
      </c>
      <c r="AT107" t="str">
        <f>""</f>
        <v/>
      </c>
      <c r="AU107" t="str">
        <f>""</f>
        <v/>
      </c>
      <c r="AV107" t="str">
        <f>""</f>
        <v/>
      </c>
      <c r="AW107" t="str">
        <f>""</f>
        <v/>
      </c>
      <c r="AX107" t="str">
        <f>""</f>
        <v/>
      </c>
      <c r="AY107" t="str">
        <f>""</f>
        <v/>
      </c>
      <c r="AZ107" t="str">
        <f>""</f>
        <v/>
      </c>
      <c r="BA107" t="str">
        <f>""</f>
        <v/>
      </c>
      <c r="BB107" t="str">
        <f>""</f>
        <v/>
      </c>
      <c r="BC107" t="str">
        <f>""</f>
        <v/>
      </c>
      <c r="BD107" t="str">
        <f>""</f>
        <v/>
      </c>
      <c r="BE107" t="str">
        <f>""</f>
        <v/>
      </c>
      <c r="BF107" t="str">
        <f>""</f>
        <v/>
      </c>
      <c r="BG107" t="str">
        <f>""</f>
        <v/>
      </c>
      <c r="BH107" t="str">
        <f>""</f>
        <v/>
      </c>
      <c r="BI107" t="str">
        <f>""</f>
        <v/>
      </c>
      <c r="BJ107" t="str">
        <f>""</f>
        <v/>
      </c>
      <c r="BK107" t="str">
        <f>""</f>
        <v/>
      </c>
      <c r="BL107" t="str">
        <f>""</f>
        <v/>
      </c>
      <c r="BM107" t="str">
        <f>""</f>
        <v/>
      </c>
      <c r="BN107" t="str">
        <f>""</f>
        <v/>
      </c>
      <c r="BO107" t="str">
        <f>""</f>
        <v/>
      </c>
      <c r="BP107" t="str">
        <f>""</f>
        <v/>
      </c>
      <c r="BQ107" t="str">
        <f>""</f>
        <v/>
      </c>
      <c r="BR107" t="str">
        <f>""</f>
        <v/>
      </c>
      <c r="BS107" t="str">
        <f>""</f>
        <v/>
      </c>
      <c r="BT107" t="str">
        <f>""</f>
        <v/>
      </c>
      <c r="BU107" t="str">
        <f>""</f>
        <v/>
      </c>
      <c r="BV107" t="str">
        <f>""</f>
        <v/>
      </c>
      <c r="BW107" t="str">
        <f>""</f>
        <v/>
      </c>
      <c r="BX107" t="str">
        <f>""</f>
        <v/>
      </c>
      <c r="BY107" t="str">
        <f>""</f>
        <v/>
      </c>
      <c r="BZ107" t="str">
        <f>""</f>
        <v/>
      </c>
      <c r="CA107" t="str">
        <f>""</f>
        <v/>
      </c>
      <c r="CB107" t="str">
        <f>""</f>
        <v/>
      </c>
      <c r="CC107" t="str">
        <f>""</f>
        <v/>
      </c>
      <c r="CD107" t="str">
        <f>""</f>
        <v/>
      </c>
      <c r="CE107" t="str">
        <f>""</f>
        <v/>
      </c>
      <c r="CF107" t="str">
        <f>""</f>
        <v/>
      </c>
      <c r="CG107" t="str">
        <f>""</f>
        <v/>
      </c>
    </row>
    <row r="108" spans="1:85" x14ac:dyDescent="0.2">
      <c r="A108" t="str">
        <f>"Currency"</f>
        <v>Currency</v>
      </c>
      <c r="B108" t="str">
        <f>""</f>
        <v/>
      </c>
      <c r="AT108" t="str">
        <f>""</f>
        <v/>
      </c>
      <c r="AU108" t="str">
        <f>""</f>
        <v/>
      </c>
      <c r="AV108" t="str">
        <f>""</f>
        <v/>
      </c>
      <c r="AW108" t="str">
        <f>""</f>
        <v/>
      </c>
      <c r="AX108" t="str">
        <f>""</f>
        <v/>
      </c>
      <c r="AY108" t="str">
        <f>""</f>
        <v/>
      </c>
      <c r="AZ108" t="str">
        <f>""</f>
        <v/>
      </c>
      <c r="BA108" t="str">
        <f>""</f>
        <v/>
      </c>
      <c r="BB108" t="str">
        <f>""</f>
        <v/>
      </c>
      <c r="BC108" t="str">
        <f>""</f>
        <v/>
      </c>
      <c r="BD108" t="str">
        <f>""</f>
        <v/>
      </c>
      <c r="BE108" t="str">
        <f>""</f>
        <v/>
      </c>
      <c r="BF108" t="str">
        <f>""</f>
        <v/>
      </c>
      <c r="BG108" t="str">
        <f>""</f>
        <v/>
      </c>
      <c r="BH108" t="str">
        <f>""</f>
        <v/>
      </c>
      <c r="BI108" t="str">
        <f>""</f>
        <v/>
      </c>
      <c r="BJ108" t="str">
        <f>""</f>
        <v/>
      </c>
      <c r="BK108" t="str">
        <f>""</f>
        <v/>
      </c>
      <c r="BL108" t="str">
        <f>""</f>
        <v/>
      </c>
      <c r="BM108" t="str">
        <f>""</f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  <c r="BT108" t="str">
        <f>""</f>
        <v/>
      </c>
      <c r="BU108" t="str">
        <f>""</f>
        <v/>
      </c>
      <c r="BV108" t="str">
        <f>""</f>
        <v/>
      </c>
      <c r="BW108" t="str">
        <f>""</f>
        <v/>
      </c>
      <c r="BX108" t="str">
        <f>""</f>
        <v/>
      </c>
      <c r="BY108" t="str">
        <f>""</f>
        <v/>
      </c>
      <c r="BZ108" t="str">
        <f>""</f>
        <v/>
      </c>
      <c r="CA108" t="str">
        <f>""</f>
        <v/>
      </c>
      <c r="CB108" t="str">
        <f>""</f>
        <v/>
      </c>
      <c r="CC108" t="str">
        <f>""</f>
        <v/>
      </c>
      <c r="CD108" t="str">
        <f>""</f>
        <v/>
      </c>
      <c r="CE108" t="str">
        <f>""</f>
        <v/>
      </c>
      <c r="CF108" t="str">
        <f>""</f>
        <v/>
      </c>
      <c r="CG108" t="str">
        <f>""</f>
        <v/>
      </c>
    </row>
    <row r="109" spans="1:85" x14ac:dyDescent="0.2">
      <c r="A109" t="str">
        <f>"Periodicity"</f>
        <v>Periodicity</v>
      </c>
      <c r="B109" t="str">
        <f>"CY"</f>
        <v>CY</v>
      </c>
      <c r="C109" t="str">
        <f>"AY"</f>
        <v>AY</v>
      </c>
      <c r="AT109" t="str">
        <f>""</f>
        <v/>
      </c>
      <c r="AU109" t="str">
        <f>""</f>
        <v/>
      </c>
      <c r="AV109" t="str">
        <f>""</f>
        <v/>
      </c>
      <c r="AW109" t="str">
        <f>""</f>
        <v/>
      </c>
      <c r="AX109" t="str">
        <f>""</f>
        <v/>
      </c>
      <c r="AY109" t="str">
        <f>""</f>
        <v/>
      </c>
      <c r="AZ109" t="str">
        <f>""</f>
        <v/>
      </c>
      <c r="BA109" t="str">
        <f>""</f>
        <v/>
      </c>
      <c r="BB109" t="str">
        <f>""</f>
        <v/>
      </c>
      <c r="BC109" t="str">
        <f>""</f>
        <v/>
      </c>
      <c r="BD109" t="str">
        <f>""</f>
        <v/>
      </c>
      <c r="BE109" t="str">
        <f>""</f>
        <v/>
      </c>
      <c r="BF109" t="str">
        <f>""</f>
        <v/>
      </c>
      <c r="BG109" t="str">
        <f>""</f>
        <v/>
      </c>
      <c r="BH109" t="str">
        <f>""</f>
        <v/>
      </c>
      <c r="BI109" t="str">
        <f>""</f>
        <v/>
      </c>
      <c r="BJ109" t="str">
        <f>""</f>
        <v/>
      </c>
      <c r="BK109" t="str">
        <f>""</f>
        <v/>
      </c>
      <c r="BL109" t="str">
        <f>""</f>
        <v/>
      </c>
      <c r="BM109" t="str">
        <f>""</f>
        <v/>
      </c>
      <c r="BN109" t="str">
        <f>""</f>
        <v/>
      </c>
      <c r="BO109" t="str">
        <f>""</f>
        <v/>
      </c>
      <c r="BP109" t="str">
        <f>""</f>
        <v/>
      </c>
      <c r="BQ109" t="str">
        <f>""</f>
        <v/>
      </c>
      <c r="BR109" t="str">
        <f>""</f>
        <v/>
      </c>
      <c r="BS109" t="str">
        <f>""</f>
        <v/>
      </c>
      <c r="BT109" t="str">
        <f>""</f>
        <v/>
      </c>
      <c r="BU109" t="str">
        <f>""</f>
        <v/>
      </c>
      <c r="BV109" t="str">
        <f>""</f>
        <v/>
      </c>
      <c r="BW109" t="str">
        <f>""</f>
        <v/>
      </c>
      <c r="BX109" t="str">
        <f>""</f>
        <v/>
      </c>
      <c r="BY109" t="str">
        <f>""</f>
        <v/>
      </c>
      <c r="BZ109" t="str">
        <f>""</f>
        <v/>
      </c>
      <c r="CA109" t="str">
        <f>""</f>
        <v/>
      </c>
      <c r="CB109" t="str">
        <f>""</f>
        <v/>
      </c>
      <c r="CC109" t="str">
        <f>""</f>
        <v/>
      </c>
      <c r="CD109" t="str">
        <f>""</f>
        <v/>
      </c>
      <c r="CE109" t="str">
        <f>""</f>
        <v/>
      </c>
      <c r="CF109" t="str">
        <f>""</f>
        <v/>
      </c>
      <c r="CG109" t="str">
        <f>""</f>
        <v/>
      </c>
    </row>
    <row r="110" spans="1:85" x14ac:dyDescent="0.2">
      <c r="A110" t="str">
        <f>"Number of Periods"</f>
        <v>Number of Periods</v>
      </c>
      <c r="B110">
        <f>40</f>
        <v>40</v>
      </c>
      <c r="AT110" t="str">
        <f>""</f>
        <v/>
      </c>
      <c r="AU110" t="str">
        <f>""</f>
        <v/>
      </c>
      <c r="AV110" t="str">
        <f>""</f>
        <v/>
      </c>
      <c r="AW110" t="str">
        <f>""</f>
        <v/>
      </c>
      <c r="AX110" t="str">
        <f>""</f>
        <v/>
      </c>
      <c r="AY110" t="str">
        <f>""</f>
        <v/>
      </c>
      <c r="AZ110" t="str">
        <f>""</f>
        <v/>
      </c>
      <c r="BA110" t="str">
        <f>""</f>
        <v/>
      </c>
      <c r="BB110" t="str">
        <f>""</f>
        <v/>
      </c>
      <c r="BC110" t="str">
        <f>""</f>
        <v/>
      </c>
      <c r="BD110" t="str">
        <f>""</f>
        <v/>
      </c>
      <c r="BE110" t="str">
        <f>""</f>
        <v/>
      </c>
      <c r="BF110" t="str">
        <f>""</f>
        <v/>
      </c>
      <c r="BG110" t="str">
        <f>""</f>
        <v/>
      </c>
      <c r="BH110" t="str">
        <f>""</f>
        <v/>
      </c>
      <c r="BI110" t="str">
        <f>""</f>
        <v/>
      </c>
      <c r="BJ110" t="str">
        <f>""</f>
        <v/>
      </c>
      <c r="BK110" t="str">
        <f>""</f>
        <v/>
      </c>
      <c r="BL110" t="str">
        <f>""</f>
        <v/>
      </c>
      <c r="BM110" t="str">
        <f>""</f>
        <v/>
      </c>
      <c r="BN110" t="str">
        <f>""</f>
        <v/>
      </c>
      <c r="BO110" t="str">
        <f>""</f>
        <v/>
      </c>
      <c r="BP110" t="str">
        <f>""</f>
        <v/>
      </c>
      <c r="BQ110" t="str">
        <f>""</f>
        <v/>
      </c>
      <c r="BR110" t="str">
        <f>""</f>
        <v/>
      </c>
      <c r="BS110" t="str">
        <f>""</f>
        <v/>
      </c>
      <c r="BT110" t="str">
        <f>""</f>
        <v/>
      </c>
      <c r="BU110" t="str">
        <f>""</f>
        <v/>
      </c>
      <c r="BV110" t="str">
        <f>""</f>
        <v/>
      </c>
      <c r="BW110" t="str">
        <f>""</f>
        <v/>
      </c>
      <c r="BX110" t="str">
        <f>""</f>
        <v/>
      </c>
      <c r="BY110" t="str">
        <f>""</f>
        <v/>
      </c>
      <c r="BZ110" t="str">
        <f>""</f>
        <v/>
      </c>
      <c r="CA110" t="str">
        <f>""</f>
        <v/>
      </c>
      <c r="CB110" t="str">
        <f>""</f>
        <v/>
      </c>
      <c r="CC110" t="str">
        <f>""</f>
        <v/>
      </c>
      <c r="CD110" t="str">
        <f>""</f>
        <v/>
      </c>
      <c r="CE110" t="str">
        <f>""</f>
        <v/>
      </c>
      <c r="CF110" t="str">
        <f>""</f>
        <v/>
      </c>
      <c r="CG110" t="str">
        <f>""</f>
        <v/>
      </c>
    </row>
    <row r="111" spans="1:85" x14ac:dyDescent="0.2">
      <c r="A111" t="str">
        <f>"Start Date"</f>
        <v>Start Date</v>
      </c>
      <c r="B111" t="str">
        <f>CONCATENATE("-",$B$110,$B$109)</f>
        <v>-40CY</v>
      </c>
      <c r="C111" t="str">
        <f>CONCATENATE("-",$B$110,$C$109)</f>
        <v>-40AY</v>
      </c>
      <c r="AT111" t="str">
        <f>""</f>
        <v/>
      </c>
      <c r="AU111" t="str">
        <f>""</f>
        <v/>
      </c>
      <c r="AV111" t="str">
        <f>""</f>
        <v/>
      </c>
      <c r="AW111" t="str">
        <f>""</f>
        <v/>
      </c>
      <c r="AX111" t="str">
        <f>""</f>
        <v/>
      </c>
      <c r="AY111" t="str">
        <f>""</f>
        <v/>
      </c>
      <c r="AZ111" t="str">
        <f>""</f>
        <v/>
      </c>
      <c r="BA111" t="str">
        <f>""</f>
        <v/>
      </c>
      <c r="BB111" t="str">
        <f>""</f>
        <v/>
      </c>
      <c r="BC111" t="str">
        <f>""</f>
        <v/>
      </c>
      <c r="BD111" t="str">
        <f>""</f>
        <v/>
      </c>
      <c r="BE111" t="str">
        <f>""</f>
        <v/>
      </c>
      <c r="BF111" t="str">
        <f>""</f>
        <v/>
      </c>
      <c r="BG111" t="str">
        <f>""</f>
        <v/>
      </c>
      <c r="BH111" t="str">
        <f>""</f>
        <v/>
      </c>
      <c r="BI111" t="str">
        <f>""</f>
        <v/>
      </c>
      <c r="BJ111" t="str">
        <f>""</f>
        <v/>
      </c>
      <c r="BK111" t="str">
        <f>""</f>
        <v/>
      </c>
      <c r="BL111" t="str">
        <f>""</f>
        <v/>
      </c>
      <c r="BM111" t="str">
        <f>""</f>
        <v/>
      </c>
      <c r="BN111" t="str">
        <f>""</f>
        <v/>
      </c>
      <c r="BO111" t="str">
        <f>""</f>
        <v/>
      </c>
      <c r="BP111" t="str">
        <f>""</f>
        <v/>
      </c>
      <c r="BQ111" t="str">
        <f>""</f>
        <v/>
      </c>
      <c r="BR111" t="str">
        <f>""</f>
        <v/>
      </c>
      <c r="BS111" t="str">
        <f>""</f>
        <v/>
      </c>
      <c r="BT111" t="str">
        <f>""</f>
        <v/>
      </c>
      <c r="BU111" t="str">
        <f>""</f>
        <v/>
      </c>
      <c r="BV111" t="str">
        <f>""</f>
        <v/>
      </c>
      <c r="BW111" t="str">
        <f>""</f>
        <v/>
      </c>
      <c r="BX111" t="str">
        <f>""</f>
        <v/>
      </c>
      <c r="BY111" t="str">
        <f>""</f>
        <v/>
      </c>
      <c r="BZ111" t="str">
        <f>""</f>
        <v/>
      </c>
      <c r="CA111" t="str">
        <f>""</f>
        <v/>
      </c>
      <c r="CB111" t="str">
        <f>""</f>
        <v/>
      </c>
      <c r="CC111" t="str">
        <f>""</f>
        <v/>
      </c>
      <c r="CD111" t="str">
        <f>""</f>
        <v/>
      </c>
      <c r="CE111" t="str">
        <f>""</f>
        <v/>
      </c>
      <c r="CF111" t="str">
        <f>""</f>
        <v/>
      </c>
      <c r="CG111" t="str">
        <f>""</f>
        <v/>
      </c>
    </row>
    <row r="112" spans="1:85" x14ac:dyDescent="0.2">
      <c r="A112" t="str">
        <f>"End Date"</f>
        <v>End Date</v>
      </c>
      <c r="B112">
        <f ca="1">IF(TODAY()&lt;DATE(2023, 12,31),DATE(2023, 12,31),TODAY())</f>
        <v>45291</v>
      </c>
      <c r="AT112" t="str">
        <f>""</f>
        <v/>
      </c>
      <c r="AU112" t="str">
        <f>""</f>
        <v/>
      </c>
      <c r="AV112" t="str">
        <f>""</f>
        <v/>
      </c>
      <c r="AW112" t="str">
        <f>""</f>
        <v/>
      </c>
      <c r="AX112" t="str">
        <f>""</f>
        <v/>
      </c>
      <c r="AY112" t="str">
        <f>""</f>
        <v/>
      </c>
      <c r="AZ112" t="str">
        <f>""</f>
        <v/>
      </c>
      <c r="BA112" t="str">
        <f>""</f>
        <v/>
      </c>
      <c r="BB112" t="str">
        <f>""</f>
        <v/>
      </c>
      <c r="BC112" t="str">
        <f>""</f>
        <v/>
      </c>
      <c r="BD112" t="str">
        <f>""</f>
        <v/>
      </c>
      <c r="BE112" t="str">
        <f>""</f>
        <v/>
      </c>
      <c r="BF112" t="str">
        <f>""</f>
        <v/>
      </c>
      <c r="BG112" t="str">
        <f>""</f>
        <v/>
      </c>
      <c r="BH112" t="str">
        <f>""</f>
        <v/>
      </c>
      <c r="BI112" t="str">
        <f>""</f>
        <v/>
      </c>
      <c r="BJ112" t="str">
        <f>""</f>
        <v/>
      </c>
      <c r="BK112" t="str">
        <f>""</f>
        <v/>
      </c>
      <c r="BL112" t="str">
        <f>""</f>
        <v/>
      </c>
      <c r="BM112" t="str">
        <f>""</f>
        <v/>
      </c>
      <c r="BN112" t="str">
        <f>""</f>
        <v/>
      </c>
      <c r="BO112" t="str">
        <f>""</f>
        <v/>
      </c>
      <c r="BP112" t="str">
        <f>""</f>
        <v/>
      </c>
      <c r="BQ112" t="str">
        <f>""</f>
        <v/>
      </c>
      <c r="BR112" t="str">
        <f>""</f>
        <v/>
      </c>
      <c r="BS112" t="str">
        <f>""</f>
        <v/>
      </c>
      <c r="BT112" t="str">
        <f>""</f>
        <v/>
      </c>
      <c r="BU112" t="str">
        <f>""</f>
        <v/>
      </c>
      <c r="BV112" t="str">
        <f>""</f>
        <v/>
      </c>
      <c r="BW112" t="str">
        <f>""</f>
        <v/>
      </c>
      <c r="BX112" t="str">
        <f>""</f>
        <v/>
      </c>
      <c r="BY112" t="str">
        <f>""</f>
        <v/>
      </c>
      <c r="BZ112" t="str">
        <f>""</f>
        <v/>
      </c>
      <c r="CA112" t="str">
        <f>""</f>
        <v/>
      </c>
      <c r="CB112" t="str">
        <f>""</f>
        <v/>
      </c>
      <c r="CC112" t="str">
        <f>""</f>
        <v/>
      </c>
      <c r="CD112" t="str">
        <f>""</f>
        <v/>
      </c>
      <c r="CE112" t="str">
        <f>""</f>
        <v/>
      </c>
      <c r="CF112" t="str">
        <f>""</f>
        <v/>
      </c>
      <c r="CG112" t="str">
        <f>""</f>
        <v/>
      </c>
    </row>
    <row r="113" spans="1:85" x14ac:dyDescent="0.2">
      <c r="A113" t="str">
        <f>"HeaderStatus(custom data)"</f>
        <v>HeaderStatus(custom data)</v>
      </c>
      <c r="AT113" t="str">
        <f>""</f>
        <v/>
      </c>
      <c r="AU113" t="str">
        <f>""</f>
        <v/>
      </c>
      <c r="AV113" t="str">
        <f>""</f>
        <v/>
      </c>
      <c r="AW113" t="str">
        <f>""</f>
        <v/>
      </c>
      <c r="AX113" t="str">
        <f>""</f>
        <v/>
      </c>
      <c r="AY113" t="str">
        <f>""</f>
        <v/>
      </c>
      <c r="AZ113" t="str">
        <f>""</f>
        <v/>
      </c>
      <c r="BA113" t="str">
        <f>""</f>
        <v/>
      </c>
      <c r="BB113" t="str">
        <f>""</f>
        <v/>
      </c>
      <c r="BC113" t="str">
        <f>""</f>
        <v/>
      </c>
      <c r="BD113" t="str">
        <f>""</f>
        <v/>
      </c>
      <c r="BE113" t="str">
        <f>""</f>
        <v/>
      </c>
      <c r="BF113" t="str">
        <f>""</f>
        <v/>
      </c>
      <c r="BG113" t="str">
        <f>""</f>
        <v/>
      </c>
      <c r="BH113" t="str">
        <f>""</f>
        <v/>
      </c>
      <c r="BI113" t="str">
        <f>""</f>
        <v/>
      </c>
      <c r="BJ113" t="str">
        <f>""</f>
        <v/>
      </c>
      <c r="BK113" t="str">
        <f>""</f>
        <v/>
      </c>
      <c r="BL113" t="str">
        <f>""</f>
        <v/>
      </c>
      <c r="BM113" t="str">
        <f>""</f>
        <v/>
      </c>
      <c r="BN113" t="str">
        <f>""</f>
        <v/>
      </c>
      <c r="BO113" t="str">
        <f>""</f>
        <v/>
      </c>
      <c r="BP113" t="str">
        <f>""</f>
        <v/>
      </c>
      <c r="BQ113" t="str">
        <f>""</f>
        <v/>
      </c>
      <c r="BR113" t="str">
        <f>""</f>
        <v/>
      </c>
      <c r="BS113" t="str">
        <f>""</f>
        <v/>
      </c>
      <c r="BT113" t="str">
        <f>""</f>
        <v/>
      </c>
      <c r="BU113" t="str">
        <f>""</f>
        <v/>
      </c>
      <c r="BV113" t="str">
        <f>""</f>
        <v/>
      </c>
      <c r="BW113" t="str">
        <f>""</f>
        <v/>
      </c>
      <c r="BX113" t="str">
        <f>""</f>
        <v/>
      </c>
      <c r="BY113" t="str">
        <f>""</f>
        <v/>
      </c>
      <c r="BZ113" t="str">
        <f>""</f>
        <v/>
      </c>
      <c r="CA113" t="str">
        <f>""</f>
        <v/>
      </c>
      <c r="CB113" t="str">
        <f>""</f>
        <v/>
      </c>
      <c r="CC113" t="str">
        <f>""</f>
        <v/>
      </c>
      <c r="CD113" t="str">
        <f>""</f>
        <v/>
      </c>
      <c r="CE113" t="str">
        <f>""</f>
        <v/>
      </c>
      <c r="CF113" t="str">
        <f>""</f>
        <v/>
      </c>
      <c r="CG113" t="str">
        <f>""</f>
        <v/>
      </c>
    </row>
    <row r="114" spans="1:85" x14ac:dyDescent="0.2">
      <c r="AT114" t="str">
        <f>""</f>
        <v/>
      </c>
      <c r="AU114" t="str">
        <f>""</f>
        <v/>
      </c>
      <c r="AV114" t="str">
        <f>""</f>
        <v/>
      </c>
      <c r="AW114" t="str">
        <f>""</f>
        <v/>
      </c>
      <c r="AX114" t="str">
        <f>""</f>
        <v/>
      </c>
      <c r="AY114" t="str">
        <f>""</f>
        <v/>
      </c>
      <c r="AZ114" t="str">
        <f>""</f>
        <v/>
      </c>
      <c r="BA114" t="str">
        <f>""</f>
        <v/>
      </c>
      <c r="BB114" t="str">
        <f>""</f>
        <v/>
      </c>
      <c r="BC114" t="str">
        <f>""</f>
        <v/>
      </c>
      <c r="BD114" t="str">
        <f>""</f>
        <v/>
      </c>
      <c r="BE114" t="str">
        <f>""</f>
        <v/>
      </c>
      <c r="BF114" t="str">
        <f>""</f>
        <v/>
      </c>
      <c r="BG114" t="str">
        <f>""</f>
        <v/>
      </c>
      <c r="BH114" t="str">
        <f>""</f>
        <v/>
      </c>
      <c r="BI114" t="str">
        <f>""</f>
        <v/>
      </c>
      <c r="BJ114" t="str">
        <f>""</f>
        <v/>
      </c>
      <c r="BK114" t="str">
        <f>""</f>
        <v/>
      </c>
      <c r="BL114" t="str">
        <f>""</f>
        <v/>
      </c>
      <c r="BM114" t="str">
        <f>""</f>
        <v/>
      </c>
      <c r="BN114" t="str">
        <f>""</f>
        <v/>
      </c>
      <c r="BO114" t="str">
        <f>""</f>
        <v/>
      </c>
      <c r="BP114" t="str">
        <f>""</f>
        <v/>
      </c>
      <c r="BQ114" t="str">
        <f>""</f>
        <v/>
      </c>
      <c r="BR114" t="str">
        <f>""</f>
        <v/>
      </c>
      <c r="BS114" t="str">
        <f>""</f>
        <v/>
      </c>
      <c r="BT114" t="str">
        <f>""</f>
        <v/>
      </c>
      <c r="BU114" t="str">
        <f>""</f>
        <v/>
      </c>
      <c r="BV114" t="str">
        <f>""</f>
        <v/>
      </c>
      <c r="BW114" t="str">
        <f>""</f>
        <v/>
      </c>
      <c r="BX114" t="str">
        <f>""</f>
        <v/>
      </c>
      <c r="BY114" t="str">
        <f>""</f>
        <v/>
      </c>
      <c r="BZ114" t="str">
        <f>""</f>
        <v/>
      </c>
      <c r="CA114" t="str">
        <f>""</f>
        <v/>
      </c>
      <c r="CB114" t="str">
        <f>""</f>
        <v/>
      </c>
      <c r="CC114" t="str">
        <f>""</f>
        <v/>
      </c>
      <c r="CD114" t="str">
        <f>""</f>
        <v/>
      </c>
      <c r="CE114" t="str">
        <f>""</f>
        <v/>
      </c>
      <c r="CF114" t="str">
        <f>""</f>
        <v/>
      </c>
      <c r="CG114" t="str">
        <f>""</f>
        <v/>
      </c>
    </row>
    <row r="115" spans="1:85" x14ac:dyDescent="0.2">
      <c r="A115" t="str">
        <f>"Period Start"</f>
        <v>Period Start</v>
      </c>
      <c r="C115" t="str">
        <f>"PX391"</f>
        <v>PX391</v>
      </c>
      <c r="D115" t="str">
        <f>"START_DATE_OVERRIDE"</f>
        <v>START_DATE_OVERRIDE</v>
      </c>
      <c r="E115" t="str">
        <f>"Dynamic"</f>
        <v>Dynamic</v>
      </c>
      <c r="F115" t="str">
        <f ca="1">CONCATENATE(YEAR($B$112)-(1*0),"0101")</f>
        <v>20230101</v>
      </c>
      <c r="G115" t="str">
        <f ca="1">CONCATENATE(YEAR($B$112)-(1*1),"0101")</f>
        <v>20220101</v>
      </c>
      <c r="H115" t="str">
        <f ca="1">CONCATENATE(YEAR($B$112)-(1*2),"0101")</f>
        <v>20210101</v>
      </c>
      <c r="I115" t="str">
        <f ca="1">CONCATENATE(YEAR($B$112)-(1*3),"0101")</f>
        <v>20200101</v>
      </c>
      <c r="J115" t="str">
        <f ca="1">CONCATENATE(YEAR($B$112)-(1*4),"0101")</f>
        <v>20190101</v>
      </c>
      <c r="K115" t="str">
        <f ca="1">CONCATENATE(YEAR($B$112)-(1*5),"0101")</f>
        <v>20180101</v>
      </c>
      <c r="L115" t="str">
        <f ca="1">CONCATENATE(YEAR($B$112)-(1*6),"0101")</f>
        <v>20170101</v>
      </c>
      <c r="M115" t="str">
        <f ca="1">CONCATENATE(YEAR($B$112)-(1*7),"0101")</f>
        <v>20160101</v>
      </c>
      <c r="N115" t="str">
        <f ca="1">CONCATENATE(YEAR($B$112)-(1*8),"0101")</f>
        <v>20150101</v>
      </c>
      <c r="O115" t="str">
        <f ca="1">CONCATENATE(YEAR($B$112)-(1*9),"0101")</f>
        <v>20140101</v>
      </c>
      <c r="P115" t="str">
        <f ca="1">CONCATENATE(YEAR($B$112)-(1*10),"0101")</f>
        <v>20130101</v>
      </c>
      <c r="Q115" t="str">
        <f ca="1">CONCATENATE(YEAR($B$112)-(1*11),"0101")</f>
        <v>20120101</v>
      </c>
      <c r="R115" t="str">
        <f ca="1">CONCATENATE(YEAR($B$112)-(1*12),"0101")</f>
        <v>20110101</v>
      </c>
      <c r="S115" t="str">
        <f ca="1">CONCATENATE(YEAR($B$112)-(1*13),"0101")</f>
        <v>20100101</v>
      </c>
      <c r="T115" t="str">
        <f ca="1">CONCATENATE(YEAR($B$112)-(1*14),"0101")</f>
        <v>20090101</v>
      </c>
      <c r="U115" t="str">
        <f ca="1">CONCATENATE(YEAR($B$112)-(1*15),"0101")</f>
        <v>20080101</v>
      </c>
      <c r="V115" t="str">
        <f ca="1">CONCATENATE(YEAR($B$112)-(1*16),"0101")</f>
        <v>20070101</v>
      </c>
      <c r="W115" t="str">
        <f ca="1">CONCATENATE(YEAR($B$112)-(1*17),"0101")</f>
        <v>20060101</v>
      </c>
      <c r="X115" t="str">
        <f ca="1">CONCATENATE(YEAR($B$112)-(1*18),"0101")</f>
        <v>20050101</v>
      </c>
      <c r="Y115" t="str">
        <f ca="1">CONCATENATE(YEAR($B$112)-(1*19),"0101")</f>
        <v>20040101</v>
      </c>
      <c r="Z115" t="str">
        <f ca="1">CONCATENATE(YEAR($B$112)-(1*20),"0101")</f>
        <v>20030101</v>
      </c>
      <c r="AA115" t="str">
        <f ca="1">CONCATENATE(YEAR($B$112)-(1*21),"0101")</f>
        <v>20020101</v>
      </c>
      <c r="AB115" t="str">
        <f ca="1">CONCATENATE(YEAR($B$112)-(1*22),"0101")</f>
        <v>20010101</v>
      </c>
      <c r="AC115" t="str">
        <f ca="1">CONCATENATE(YEAR($B$112)-(1*23),"0101")</f>
        <v>20000101</v>
      </c>
      <c r="AD115" t="str">
        <f ca="1">CONCATENATE(YEAR($B$112)-(1*24),"0101")</f>
        <v>19990101</v>
      </c>
      <c r="AE115" t="str">
        <f ca="1">CONCATENATE(YEAR($B$112)-(1*25),"0101")</f>
        <v>19980101</v>
      </c>
      <c r="AF115" t="str">
        <f ca="1">CONCATENATE(YEAR($B$112)-(1*26),"0101")</f>
        <v>19970101</v>
      </c>
      <c r="AG115" t="str">
        <f ca="1">CONCATENATE(YEAR($B$112)-(1*27),"0101")</f>
        <v>19960101</v>
      </c>
      <c r="AH115" t="str">
        <f ca="1">CONCATENATE(YEAR($B$112)-(1*28),"0101")</f>
        <v>19950101</v>
      </c>
      <c r="AI115" t="str">
        <f ca="1">CONCATENATE(YEAR($B$112)-(1*29),"0101")</f>
        <v>19940101</v>
      </c>
      <c r="AJ115" t="str">
        <f ca="1">CONCATENATE(YEAR($B$112)-(1*30),"0101")</f>
        <v>19930101</v>
      </c>
      <c r="AK115" t="str">
        <f ca="1">CONCATENATE(YEAR($B$112)-(1*31),"0101")</f>
        <v>19920101</v>
      </c>
      <c r="AL115" t="str">
        <f ca="1">CONCATENATE(YEAR($B$112)-(1*32),"0101")</f>
        <v>19910101</v>
      </c>
      <c r="AM115" t="str">
        <f ca="1">CONCATENATE(YEAR($B$112)-(1*33),"0101")</f>
        <v>19900101</v>
      </c>
      <c r="AN115" t="str">
        <f ca="1">CONCATENATE(YEAR($B$112)-(1*34),"0101")</f>
        <v>19890101</v>
      </c>
      <c r="AO115" t="str">
        <f ca="1">CONCATENATE(YEAR($B$112)-(1*35),"0101")</f>
        <v>19880101</v>
      </c>
      <c r="AP115" t="str">
        <f ca="1">CONCATENATE(YEAR($B$112)-(1*36),"0101")</f>
        <v>19870101</v>
      </c>
      <c r="AQ115" t="str">
        <f ca="1">CONCATENATE(YEAR($B$112)-(1*37),"0101")</f>
        <v>19860101</v>
      </c>
      <c r="AR115" t="str">
        <f ca="1">CONCATENATE(YEAR($B$112)-(1*38),"0101")</f>
        <v>19850101</v>
      </c>
      <c r="AS115" t="str">
        <f ca="1">CONCATENATE(YEAR($B$112)-(1*39),"0101")</f>
        <v>19840101</v>
      </c>
      <c r="AT115" t="str">
        <f>""</f>
        <v/>
      </c>
      <c r="AU115" t="str">
        <f>""</f>
        <v/>
      </c>
      <c r="AV115" t="str">
        <f>""</f>
        <v/>
      </c>
      <c r="AW115" t="str">
        <f>""</f>
        <v/>
      </c>
      <c r="AX115" t="str">
        <f>""</f>
        <v/>
      </c>
      <c r="AY115" t="str">
        <f>""</f>
        <v/>
      </c>
      <c r="AZ115" t="str">
        <f>""</f>
        <v/>
      </c>
      <c r="BA115" t="str">
        <f>""</f>
        <v/>
      </c>
      <c r="BB115" t="str">
        <f>""</f>
        <v/>
      </c>
      <c r="BC115" t="str">
        <f>""</f>
        <v/>
      </c>
      <c r="BD115" t="str">
        <f>""</f>
        <v/>
      </c>
      <c r="BE115" t="str">
        <f>""</f>
        <v/>
      </c>
      <c r="BF115" t="str">
        <f>""</f>
        <v/>
      </c>
      <c r="BG115" t="str">
        <f>""</f>
        <v/>
      </c>
      <c r="BH115" t="str">
        <f>""</f>
        <v/>
      </c>
      <c r="BI115" t="str">
        <f>""</f>
        <v/>
      </c>
      <c r="BJ115" t="str">
        <f>""</f>
        <v/>
      </c>
      <c r="BK115" t="str">
        <f>""</f>
        <v/>
      </c>
      <c r="BL115" t="str">
        <f>""</f>
        <v/>
      </c>
      <c r="BM115" t="str">
        <f>""</f>
        <v/>
      </c>
      <c r="BN115" t="str">
        <f>""</f>
        <v/>
      </c>
      <c r="BO115" t="str">
        <f>""</f>
        <v/>
      </c>
      <c r="BP115" t="str">
        <f>""</f>
        <v/>
      </c>
      <c r="BQ115" t="str">
        <f>""</f>
        <v/>
      </c>
      <c r="BR115" t="str">
        <f>""</f>
        <v/>
      </c>
      <c r="BS115" t="str">
        <f>""</f>
        <v/>
      </c>
      <c r="BT115" t="str">
        <f>""</f>
        <v/>
      </c>
      <c r="BU115" t="str">
        <f>""</f>
        <v/>
      </c>
      <c r="BV115" t="str">
        <f>""</f>
        <v/>
      </c>
      <c r="BW115" t="str">
        <f>""</f>
        <v/>
      </c>
      <c r="BX115" t="str">
        <f>""</f>
        <v/>
      </c>
      <c r="BY115" t="str">
        <f>""</f>
        <v/>
      </c>
      <c r="BZ115" t="str">
        <f>""</f>
        <v/>
      </c>
      <c r="CA115" t="str">
        <f>""</f>
        <v/>
      </c>
      <c r="CB115" t="str">
        <f>""</f>
        <v/>
      </c>
      <c r="CC115" t="str">
        <f>""</f>
        <v/>
      </c>
      <c r="CD115" t="str">
        <f>""</f>
        <v/>
      </c>
      <c r="CE115" t="str">
        <f>""</f>
        <v/>
      </c>
      <c r="CF115" t="str">
        <f>""</f>
        <v/>
      </c>
      <c r="CG115" t="str">
        <f>""</f>
        <v/>
      </c>
    </row>
    <row r="116" spans="1:85" x14ac:dyDescent="0.2">
      <c r="A116" t="str">
        <f>"Period End"</f>
        <v>Period End</v>
      </c>
      <c r="C116" t="str">
        <f>"PX392"</f>
        <v>PX392</v>
      </c>
      <c r="D116" t="str">
        <f>"END_DATE_OVERRIDE"</f>
        <v>END_DATE_OVERRIDE</v>
      </c>
      <c r="E116" t="str">
        <f>"Dynamic"</f>
        <v>Dynamic</v>
      </c>
      <c r="F116" t="str">
        <f ca="1">CONCATENATE(YEAR($B$112)-(1*0),"1231")</f>
        <v>20231231</v>
      </c>
      <c r="G116" t="str">
        <f ca="1">CONCATENATE(YEAR($B$112)-(1*1),"1231")</f>
        <v>20221231</v>
      </c>
      <c r="H116" t="str">
        <f ca="1">CONCATENATE(YEAR($B$112)-(1*2),"1231")</f>
        <v>20211231</v>
      </c>
      <c r="I116" t="str">
        <f ca="1">CONCATENATE(YEAR($B$112)-(1*3),"1231")</f>
        <v>20201231</v>
      </c>
      <c r="J116" t="str">
        <f ca="1">CONCATENATE(YEAR($B$112)-(1*4),"1231")</f>
        <v>20191231</v>
      </c>
      <c r="K116" t="str">
        <f ca="1">CONCATENATE(YEAR($B$112)-(1*5),"1231")</f>
        <v>20181231</v>
      </c>
      <c r="L116" t="str">
        <f ca="1">CONCATENATE(YEAR($B$112)-(1*6),"1231")</f>
        <v>20171231</v>
      </c>
      <c r="M116" t="str">
        <f ca="1">CONCATENATE(YEAR($B$112)-(1*7),"1231")</f>
        <v>20161231</v>
      </c>
      <c r="N116" t="str">
        <f ca="1">CONCATENATE(YEAR($B$112)-(1*8),"1231")</f>
        <v>20151231</v>
      </c>
      <c r="O116" t="str">
        <f ca="1">CONCATENATE(YEAR($B$112)-(1*9),"1231")</f>
        <v>20141231</v>
      </c>
      <c r="P116" t="str">
        <f ca="1">CONCATENATE(YEAR($B$112)-(1*10),"1231")</f>
        <v>20131231</v>
      </c>
      <c r="Q116" t="str">
        <f ca="1">CONCATENATE(YEAR($B$112)-(1*11),"1231")</f>
        <v>20121231</v>
      </c>
      <c r="R116" t="str">
        <f ca="1">CONCATENATE(YEAR($B$112)-(1*12),"1231")</f>
        <v>20111231</v>
      </c>
      <c r="S116" t="str">
        <f ca="1">CONCATENATE(YEAR($B$112)-(1*13),"1231")</f>
        <v>20101231</v>
      </c>
      <c r="T116" t="str">
        <f ca="1">CONCATENATE(YEAR($B$112)-(1*14),"1231")</f>
        <v>20091231</v>
      </c>
      <c r="U116" t="str">
        <f ca="1">CONCATENATE(YEAR($B$112)-(1*15),"1231")</f>
        <v>20081231</v>
      </c>
      <c r="V116" t="str">
        <f ca="1">CONCATENATE(YEAR($B$112)-(1*16),"1231")</f>
        <v>20071231</v>
      </c>
      <c r="W116" t="str">
        <f ca="1">CONCATENATE(YEAR($B$112)-(1*17),"1231")</f>
        <v>20061231</v>
      </c>
      <c r="X116" t="str">
        <f ca="1">CONCATENATE(YEAR($B$112)-(1*18),"1231")</f>
        <v>20051231</v>
      </c>
      <c r="Y116" t="str">
        <f ca="1">CONCATENATE(YEAR($B$112)-(1*19),"1231")</f>
        <v>20041231</v>
      </c>
      <c r="Z116" t="str">
        <f ca="1">CONCATENATE(YEAR($B$112)-(1*20),"1231")</f>
        <v>20031231</v>
      </c>
      <c r="AA116" t="str">
        <f ca="1">CONCATENATE(YEAR($B$112)-(1*21),"1231")</f>
        <v>20021231</v>
      </c>
      <c r="AB116" t="str">
        <f ca="1">CONCATENATE(YEAR($B$112)-(1*22),"1231")</f>
        <v>20011231</v>
      </c>
      <c r="AC116" t="str">
        <f ca="1">CONCATENATE(YEAR($B$112)-(1*23),"1231")</f>
        <v>20001231</v>
      </c>
      <c r="AD116" t="str">
        <f ca="1">CONCATENATE(YEAR($B$112)-(1*24),"1231")</f>
        <v>19991231</v>
      </c>
      <c r="AE116" t="str">
        <f ca="1">CONCATENATE(YEAR($B$112)-(1*25),"1231")</f>
        <v>19981231</v>
      </c>
      <c r="AF116" t="str">
        <f ca="1">CONCATENATE(YEAR($B$112)-(1*26),"1231")</f>
        <v>19971231</v>
      </c>
      <c r="AG116" t="str">
        <f ca="1">CONCATENATE(YEAR($B$112)-(1*27),"1231")</f>
        <v>19961231</v>
      </c>
      <c r="AH116" t="str">
        <f ca="1">CONCATENATE(YEAR($B$112)-(1*28),"1231")</f>
        <v>19951231</v>
      </c>
      <c r="AI116" t="str">
        <f ca="1">CONCATENATE(YEAR($B$112)-(1*29),"1231")</f>
        <v>19941231</v>
      </c>
      <c r="AJ116" t="str">
        <f ca="1">CONCATENATE(YEAR($B$112)-(1*30),"1231")</f>
        <v>19931231</v>
      </c>
      <c r="AK116" t="str">
        <f ca="1">CONCATENATE(YEAR($B$112)-(1*31),"1231")</f>
        <v>19921231</v>
      </c>
      <c r="AL116" t="str">
        <f ca="1">CONCATENATE(YEAR($B$112)-(1*32),"1231")</f>
        <v>19911231</v>
      </c>
      <c r="AM116" t="str">
        <f ca="1">CONCATENATE(YEAR($B$112)-(1*33),"1231")</f>
        <v>19901231</v>
      </c>
      <c r="AN116" t="str">
        <f ca="1">CONCATENATE(YEAR($B$112)-(1*34),"1231")</f>
        <v>19891231</v>
      </c>
      <c r="AO116" t="str">
        <f ca="1">CONCATENATE(YEAR($B$112)-(1*35),"1231")</f>
        <v>19881231</v>
      </c>
      <c r="AP116" t="str">
        <f ca="1">CONCATENATE(YEAR($B$112)-(1*36),"1231")</f>
        <v>19871231</v>
      </c>
      <c r="AQ116" t="str">
        <f ca="1">CONCATENATE(YEAR($B$112)-(1*37),"1231")</f>
        <v>19861231</v>
      </c>
      <c r="AR116" t="str">
        <f ca="1">CONCATENATE(YEAR($B$112)-(1*38),"1231")</f>
        <v>19851231</v>
      </c>
      <c r="AS116" t="str">
        <f ca="1">CONCATENATE(YEAR($B$112)-(1*39),"1231")</f>
        <v>19841231</v>
      </c>
      <c r="AT116" t="str">
        <f>""</f>
        <v/>
      </c>
      <c r="AU116" t="str">
        <f>""</f>
        <v/>
      </c>
      <c r="AV116" t="str">
        <f>""</f>
        <v/>
      </c>
      <c r="AW116" t="str">
        <f>""</f>
        <v/>
      </c>
      <c r="AX116" t="str">
        <f>""</f>
        <v/>
      </c>
      <c r="AY116" t="str">
        <f>""</f>
        <v/>
      </c>
      <c r="AZ116" t="str">
        <f>""</f>
        <v/>
      </c>
      <c r="BA116" t="str">
        <f>""</f>
        <v/>
      </c>
      <c r="BB116" t="str">
        <f>""</f>
        <v/>
      </c>
      <c r="BC116" t="str">
        <f>""</f>
        <v/>
      </c>
      <c r="BD116" t="str">
        <f>""</f>
        <v/>
      </c>
      <c r="BE116" t="str">
        <f>""</f>
        <v/>
      </c>
      <c r="BF116" t="str">
        <f>""</f>
        <v/>
      </c>
      <c r="BG116" t="str">
        <f>""</f>
        <v/>
      </c>
      <c r="BH116" t="str">
        <f>""</f>
        <v/>
      </c>
      <c r="BI116" t="str">
        <f>""</f>
        <v/>
      </c>
      <c r="BJ116" t="str">
        <f>""</f>
        <v/>
      </c>
      <c r="BK116" t="str">
        <f>""</f>
        <v/>
      </c>
      <c r="BL116" t="str">
        <f>""</f>
        <v/>
      </c>
      <c r="BM116" t="str">
        <f>""</f>
        <v/>
      </c>
      <c r="BN116" t="str">
        <f>""</f>
        <v/>
      </c>
      <c r="BO116" t="str">
        <f>""</f>
        <v/>
      </c>
      <c r="BP116" t="str">
        <f>""</f>
        <v/>
      </c>
      <c r="BQ116" t="str">
        <f>""</f>
        <v/>
      </c>
      <c r="BR116" t="str">
        <f>""</f>
        <v/>
      </c>
      <c r="BS116" t="str">
        <f>""</f>
        <v/>
      </c>
      <c r="BT116" t="str">
        <f>""</f>
        <v/>
      </c>
      <c r="BU116" t="str">
        <f>""</f>
        <v/>
      </c>
      <c r="BV116" t="str">
        <f>""</f>
        <v/>
      </c>
      <c r="BW116" t="str">
        <f>""</f>
        <v/>
      </c>
      <c r="BX116" t="str">
        <f>""</f>
        <v/>
      </c>
      <c r="BY116" t="str">
        <f>""</f>
        <v/>
      </c>
      <c r="BZ116" t="str">
        <f>""</f>
        <v/>
      </c>
      <c r="CA116" t="str">
        <f>""</f>
        <v/>
      </c>
      <c r="CB116" t="str">
        <f>""</f>
        <v/>
      </c>
      <c r="CC116" t="str">
        <f>""</f>
        <v/>
      </c>
      <c r="CD116" t="str">
        <f>""</f>
        <v/>
      </c>
      <c r="CE116" t="str">
        <f>""</f>
        <v/>
      </c>
      <c r="CF116" t="str">
        <f>""</f>
        <v/>
      </c>
      <c r="CG116" t="str">
        <f>""</f>
        <v/>
      </c>
    </row>
    <row r="117" spans="1:85" x14ac:dyDescent="0.2">
      <c r="B117" t="str">
        <f>"NHSLAVSL Index"</f>
        <v>NHSLAVSL Index</v>
      </c>
      <c r="C117" t="str">
        <f>"PR005"</f>
        <v>PR005</v>
      </c>
      <c r="D117" t="str">
        <f>"PX_LAST"</f>
        <v>PX_LAST</v>
      </c>
      <c r="E117" t="str">
        <f>"Dynamic"</f>
        <v>Dynamic</v>
      </c>
      <c r="F117" t="e">
        <f ca="1">_xll.BDH($B$117,$C$117,$B$111,$B$112,CONCATENATE("Per=",$B$109),"Dts=H","Dir=H",CONCATENATE("Points=",$B$110),"Sort=R","Days=A","Fill=B",CONCATENATE("FX=", $B$108),"cols=40;rows=1")</f>
        <v>#NAME?</v>
      </c>
      <c r="G117">
        <v>457.8</v>
      </c>
      <c r="H117">
        <v>397.1</v>
      </c>
      <c r="I117">
        <v>336.9</v>
      </c>
      <c r="J117">
        <v>321.5</v>
      </c>
      <c r="K117">
        <v>326.39999999999998</v>
      </c>
      <c r="L117">
        <v>323.10000000000002</v>
      </c>
      <c r="M117">
        <v>307.8</v>
      </c>
      <c r="N117">
        <v>294.2</v>
      </c>
      <c r="O117">
        <v>288.5</v>
      </c>
      <c r="P117">
        <v>268.89999999999998</v>
      </c>
      <c r="Q117">
        <v>245.2</v>
      </c>
      <c r="R117">
        <v>227.2</v>
      </c>
      <c r="S117">
        <v>221.8</v>
      </c>
      <c r="T117">
        <v>216.7</v>
      </c>
      <c r="U117">
        <v>232.1</v>
      </c>
      <c r="V117">
        <v>247.9</v>
      </c>
      <c r="W117">
        <v>246.5</v>
      </c>
      <c r="X117">
        <v>240.9</v>
      </c>
      <c r="Y117">
        <v>221</v>
      </c>
      <c r="Z117">
        <v>195</v>
      </c>
      <c r="AA117">
        <v>187.6</v>
      </c>
      <c r="AB117">
        <v>175.2</v>
      </c>
      <c r="AC117">
        <v>169</v>
      </c>
      <c r="AD117">
        <v>161</v>
      </c>
      <c r="AE117">
        <v>152.5</v>
      </c>
      <c r="AF117">
        <v>146</v>
      </c>
      <c r="AG117">
        <v>140</v>
      </c>
      <c r="AH117">
        <v>133.9</v>
      </c>
      <c r="AI117">
        <v>130</v>
      </c>
      <c r="AJ117">
        <v>126.5</v>
      </c>
      <c r="AK117">
        <v>121.5</v>
      </c>
      <c r="AL117">
        <v>120</v>
      </c>
      <c r="AM117">
        <v>122.9</v>
      </c>
      <c r="AN117">
        <v>120</v>
      </c>
      <c r="AO117">
        <v>112.5</v>
      </c>
      <c r="AP117">
        <v>104.5</v>
      </c>
      <c r="AQ117">
        <v>92</v>
      </c>
      <c r="AR117">
        <v>84.3</v>
      </c>
      <c r="AS117">
        <v>79.900000000000006</v>
      </c>
      <c r="AT117" t="str">
        <f>""</f>
        <v/>
      </c>
      <c r="AU117" t="str">
        <f>""</f>
        <v/>
      </c>
      <c r="AV117" t="str">
        <f>""</f>
        <v/>
      </c>
      <c r="AW117" t="str">
        <f>""</f>
        <v/>
      </c>
      <c r="AX117" t="str">
        <f>""</f>
        <v/>
      </c>
      <c r="AY117" t="str">
        <f>""</f>
        <v/>
      </c>
      <c r="AZ117" t="str">
        <f>""</f>
        <v/>
      </c>
      <c r="BA117" t="str">
        <f>""</f>
        <v/>
      </c>
      <c r="BB117" t="str">
        <f>""</f>
        <v/>
      </c>
      <c r="BC117" t="str">
        <f>""</f>
        <v/>
      </c>
      <c r="BD117" t="str">
        <f>""</f>
        <v/>
      </c>
      <c r="BE117" t="str">
        <f>""</f>
        <v/>
      </c>
      <c r="BF117" t="str">
        <f>""</f>
        <v/>
      </c>
      <c r="BG117" t="str">
        <f>""</f>
        <v/>
      </c>
      <c r="BH117" t="str">
        <f>""</f>
        <v/>
      </c>
      <c r="BI117" t="str">
        <f>""</f>
        <v/>
      </c>
      <c r="BJ117" t="str">
        <f>""</f>
        <v/>
      </c>
      <c r="BK117" t="str">
        <f>""</f>
        <v/>
      </c>
      <c r="BL117" t="str">
        <f>""</f>
        <v/>
      </c>
      <c r="BM117" t="str">
        <f>""</f>
        <v/>
      </c>
      <c r="BN117" t="str">
        <f>""</f>
        <v/>
      </c>
      <c r="BO117" t="str">
        <f>""</f>
        <v/>
      </c>
      <c r="BP117" t="str">
        <f>""</f>
        <v/>
      </c>
      <c r="BQ117" t="str">
        <f>""</f>
        <v/>
      </c>
      <c r="BR117" t="str">
        <f>""</f>
        <v/>
      </c>
      <c r="BS117" t="str">
        <f>""</f>
        <v/>
      </c>
      <c r="BT117" t="str">
        <f>""</f>
        <v/>
      </c>
      <c r="BU117" t="str">
        <f>""</f>
        <v/>
      </c>
      <c r="BV117" t="str">
        <f>""</f>
        <v/>
      </c>
      <c r="BW117" t="str">
        <f>""</f>
        <v/>
      </c>
      <c r="BX117" t="str">
        <f>""</f>
        <v/>
      </c>
      <c r="BY117" t="str">
        <f>""</f>
        <v/>
      </c>
      <c r="BZ117" t="str">
        <f>""</f>
        <v/>
      </c>
      <c r="CA117" t="str">
        <f>""</f>
        <v/>
      </c>
      <c r="CB117" t="str">
        <f>""</f>
        <v/>
      </c>
      <c r="CC117" t="str">
        <f>""</f>
        <v/>
      </c>
      <c r="CD117" t="str">
        <f>""</f>
        <v/>
      </c>
      <c r="CE117" t="str">
        <f>""</f>
        <v/>
      </c>
      <c r="CF117" t="str">
        <f>""</f>
        <v/>
      </c>
      <c r="CG117" t="str">
        <f>""</f>
        <v/>
      </c>
    </row>
    <row r="118" spans="1:85" x14ac:dyDescent="0.2">
      <c r="B118" t="str">
        <f>"ETSLMP Index"</f>
        <v>ETSLMP Index</v>
      </c>
      <c r="C118" t="str">
        <f>"PR005"</f>
        <v>PR005</v>
      </c>
      <c r="D118" t="str">
        <f>"PX_LAST"</f>
        <v>PX_LAST</v>
      </c>
      <c r="E118" t="str">
        <f>"Dynamic"</f>
        <v>Dynamic</v>
      </c>
      <c r="F118" t="e">
        <f ca="1">_xll.BDH($B$118,$C$118,$B$111,$B$112,CONCATENATE("Per=",$B$109),"Dts=H","Dir=H",CONCATENATE("Points=",$B$110),"Sort=R","Days=A","Fill=B",CONCATENATE("FX=", $B$108),"cols=40;rows=1")</f>
        <v>#NAME?</v>
      </c>
      <c r="G118">
        <v>366.5</v>
      </c>
      <c r="H118">
        <v>358.8</v>
      </c>
      <c r="I118">
        <v>309.2</v>
      </c>
      <c r="J118">
        <v>274.5</v>
      </c>
      <c r="K118">
        <v>254.7</v>
      </c>
      <c r="L118">
        <v>246.5</v>
      </c>
      <c r="M118">
        <v>233.3</v>
      </c>
      <c r="N118">
        <v>223.2</v>
      </c>
      <c r="O118">
        <v>208.2</v>
      </c>
      <c r="P118">
        <v>197.7</v>
      </c>
      <c r="Q118">
        <v>180.2</v>
      </c>
      <c r="R118">
        <v>162.19999999999999</v>
      </c>
      <c r="S118">
        <v>168.8</v>
      </c>
      <c r="T118">
        <v>170.7</v>
      </c>
      <c r="U118">
        <v>175.7</v>
      </c>
      <c r="V118">
        <v>206.9</v>
      </c>
      <c r="W118">
        <v>221.8</v>
      </c>
      <c r="X118">
        <v>222.3</v>
      </c>
      <c r="Y118">
        <v>201.3</v>
      </c>
      <c r="Z118">
        <v>184.8</v>
      </c>
      <c r="AA118">
        <v>170.8</v>
      </c>
      <c r="AB118">
        <v>159.30000000000001</v>
      </c>
      <c r="AC118">
        <v>144.5</v>
      </c>
      <c r="AD118">
        <v>138.4</v>
      </c>
      <c r="AT118" t="str">
        <f>""</f>
        <v/>
      </c>
      <c r="AU118" t="str">
        <f>""</f>
        <v/>
      </c>
      <c r="AV118" t="str">
        <f>""</f>
        <v/>
      </c>
      <c r="AW118" t="str">
        <f>""</f>
        <v/>
      </c>
      <c r="AX118" t="str">
        <f>""</f>
        <v/>
      </c>
      <c r="AY118" t="str">
        <f>""</f>
        <v/>
      </c>
      <c r="AZ118" t="str">
        <f>""</f>
        <v/>
      </c>
      <c r="BA118" t="str">
        <f>""</f>
        <v/>
      </c>
      <c r="BB118" t="str">
        <f>""</f>
        <v/>
      </c>
      <c r="BC118" t="str">
        <f>""</f>
        <v/>
      </c>
      <c r="BD118" t="str">
        <f>""</f>
        <v/>
      </c>
      <c r="BE118" t="str">
        <f>""</f>
        <v/>
      </c>
      <c r="BF118" t="str">
        <f>""</f>
        <v/>
      </c>
      <c r="BG118" t="str">
        <f>""</f>
        <v/>
      </c>
      <c r="BH118" t="str">
        <f>""</f>
        <v/>
      </c>
      <c r="BI118" t="str">
        <f>""</f>
        <v/>
      </c>
      <c r="BJ118" t="str">
        <f>""</f>
        <v/>
      </c>
      <c r="BK118" t="str">
        <f>""</f>
        <v/>
      </c>
      <c r="BL118" t="str">
        <f>""</f>
        <v/>
      </c>
      <c r="BM118" t="str">
        <f>""</f>
        <v/>
      </c>
      <c r="BN118" t="str">
        <f>""</f>
        <v/>
      </c>
      <c r="BO118" t="str">
        <f>""</f>
        <v/>
      </c>
      <c r="BP118" t="str">
        <f>""</f>
        <v/>
      </c>
      <c r="BQ118" t="str">
        <f>""</f>
        <v/>
      </c>
      <c r="BR118" t="str">
        <f>""</f>
        <v/>
      </c>
      <c r="BS118" t="str">
        <f>""</f>
        <v/>
      </c>
      <c r="BT118" t="str">
        <f>""</f>
        <v/>
      </c>
      <c r="BU118" t="str">
        <f>""</f>
        <v/>
      </c>
      <c r="BV118" t="str">
        <f>""</f>
        <v/>
      </c>
      <c r="BW118" t="str">
        <f>""</f>
        <v/>
      </c>
      <c r="BX118" t="str">
        <f>""</f>
        <v/>
      </c>
      <c r="BY118" t="str">
        <f>""</f>
        <v/>
      </c>
      <c r="BZ118" t="str">
        <f>""</f>
        <v/>
      </c>
      <c r="CA118" t="str">
        <f>""</f>
        <v/>
      </c>
      <c r="CB118" t="str">
        <f>""</f>
        <v/>
      </c>
      <c r="CC118" t="str">
        <f>""</f>
        <v/>
      </c>
      <c r="CD118" t="str">
        <f>""</f>
        <v/>
      </c>
      <c r="CE118" t="str">
        <f>""</f>
        <v/>
      </c>
      <c r="CF118" t="str">
        <f>""</f>
        <v/>
      </c>
      <c r="CG118" t="str">
        <f>""</f>
        <v/>
      </c>
    </row>
    <row r="119" spans="1:85" x14ac:dyDescent="0.2">
      <c r="A119" t="str">
        <f>$A$7</f>
        <v xml:space="preserve">    FW Dodge Construction Index</v>
      </c>
      <c r="B119" t="str">
        <f>$B$7</f>
        <v>DODGINDX Index</v>
      </c>
      <c r="C119" t="str">
        <f>$C$7</f>
        <v>PR005</v>
      </c>
      <c r="D119" t="str">
        <f>$D$7</f>
        <v>PX_LAST</v>
      </c>
      <c r="E119" t="str">
        <f>$E$7</f>
        <v>Dynamic</v>
      </c>
      <c r="F119" t="e">
        <f ca="1">_xll.BDH($B$7,$C$7,$B$111,$B$112,CONCATENATE("Per=",$B$109),"Dts=H","Dir=H",CONCATENATE("Points=",$B$110),"Sort=R","Days=A","Fill=B",CONCATENATE("FX=", $B$108),"cols=40;rows=1")</f>
        <v>#NAME?</v>
      </c>
      <c r="G119">
        <v>251</v>
      </c>
      <c r="H119">
        <v>188</v>
      </c>
      <c r="I119">
        <v>175</v>
      </c>
      <c r="J119">
        <v>171</v>
      </c>
      <c r="K119">
        <v>150</v>
      </c>
      <c r="L119">
        <v>156</v>
      </c>
      <c r="M119">
        <v>130</v>
      </c>
      <c r="N119">
        <v>127</v>
      </c>
      <c r="O119">
        <v>120</v>
      </c>
      <c r="P119">
        <v>118</v>
      </c>
      <c r="Q119">
        <v>112</v>
      </c>
      <c r="R119">
        <v>87</v>
      </c>
      <c r="S119">
        <v>90</v>
      </c>
      <c r="T119">
        <v>90</v>
      </c>
      <c r="U119">
        <v>86</v>
      </c>
      <c r="V119">
        <v>108</v>
      </c>
      <c r="W119">
        <v>140</v>
      </c>
      <c r="X119">
        <v>145</v>
      </c>
      <c r="Y119">
        <v>126</v>
      </c>
      <c r="Z119">
        <v>118</v>
      </c>
      <c r="AA119">
        <v>105</v>
      </c>
      <c r="AB119">
        <v>102</v>
      </c>
      <c r="AC119">
        <v>100</v>
      </c>
      <c r="AD119">
        <v>93</v>
      </c>
      <c r="AE119">
        <v>91</v>
      </c>
      <c r="AF119">
        <v>79</v>
      </c>
      <c r="AG119">
        <v>71</v>
      </c>
      <c r="AH119">
        <v>66</v>
      </c>
      <c r="AI119">
        <v>61</v>
      </c>
      <c r="AJ119">
        <v>61</v>
      </c>
      <c r="AK119">
        <v>56</v>
      </c>
      <c r="AL119">
        <v>55</v>
      </c>
      <c r="AM119">
        <v>46</v>
      </c>
      <c r="AN119">
        <v>59</v>
      </c>
      <c r="AO119">
        <v>59</v>
      </c>
      <c r="AP119">
        <v>57</v>
      </c>
      <c r="AQ119">
        <v>55</v>
      </c>
      <c r="AR119">
        <v>51</v>
      </c>
      <c r="AS119">
        <v>46</v>
      </c>
      <c r="AT119" t="str">
        <f>""</f>
        <v/>
      </c>
      <c r="AU119" t="str">
        <f>""</f>
        <v/>
      </c>
      <c r="AV119" t="str">
        <f>""</f>
        <v/>
      </c>
      <c r="AW119" t="str">
        <f>""</f>
        <v/>
      </c>
      <c r="AX119" t="str">
        <f>""</f>
        <v/>
      </c>
      <c r="AY119" t="str">
        <f>""</f>
        <v/>
      </c>
      <c r="AZ119" t="str">
        <f>""</f>
        <v/>
      </c>
      <c r="BA119" t="str">
        <f>""</f>
        <v/>
      </c>
      <c r="BB119" t="str">
        <f>""</f>
        <v/>
      </c>
      <c r="BC119" t="str">
        <f>""</f>
        <v/>
      </c>
      <c r="BD119" t="str">
        <f>""</f>
        <v/>
      </c>
      <c r="BE119" t="str">
        <f>""</f>
        <v/>
      </c>
      <c r="BF119" t="str">
        <f>""</f>
        <v/>
      </c>
      <c r="BG119" t="str">
        <f>""</f>
        <v/>
      </c>
      <c r="BH119" t="str">
        <f>""</f>
        <v/>
      </c>
      <c r="BI119" t="str">
        <f>""</f>
        <v/>
      </c>
      <c r="BJ119" t="str">
        <f>""</f>
        <v/>
      </c>
      <c r="BK119" t="str">
        <f>""</f>
        <v/>
      </c>
      <c r="BL119" t="str">
        <f>""</f>
        <v/>
      </c>
      <c r="BM119" t="str">
        <f>""</f>
        <v/>
      </c>
      <c r="BN119" t="str">
        <f>""</f>
        <v/>
      </c>
      <c r="BO119" t="str">
        <f>""</f>
        <v/>
      </c>
      <c r="BP119" t="str">
        <f>""</f>
        <v/>
      </c>
      <c r="BQ119" t="str">
        <f>""</f>
        <v/>
      </c>
      <c r="BR119" t="str">
        <f>""</f>
        <v/>
      </c>
      <c r="BS119" t="str">
        <f>""</f>
        <v/>
      </c>
      <c r="BT119" t="str">
        <f>""</f>
        <v/>
      </c>
      <c r="BU119" t="str">
        <f>""</f>
        <v/>
      </c>
      <c r="BV119" t="str">
        <f>""</f>
        <v/>
      </c>
      <c r="BW119" t="str">
        <f>""</f>
        <v/>
      </c>
      <c r="BX119" t="str">
        <f>""</f>
        <v/>
      </c>
      <c r="BY119" t="str">
        <f>""</f>
        <v/>
      </c>
      <c r="BZ119" t="str">
        <f>""</f>
        <v/>
      </c>
      <c r="CA119" t="str">
        <f>""</f>
        <v/>
      </c>
      <c r="CB119" t="str">
        <f>""</f>
        <v/>
      </c>
      <c r="CC119" t="str">
        <f>""</f>
        <v/>
      </c>
      <c r="CD119" t="str">
        <f>""</f>
        <v/>
      </c>
      <c r="CE119" t="str">
        <f>""</f>
        <v/>
      </c>
      <c r="CF119" t="str">
        <f>""</f>
        <v/>
      </c>
      <c r="CG119" t="str">
        <f>""</f>
        <v/>
      </c>
    </row>
    <row r="120" spans="1:85" x14ac:dyDescent="0.2">
      <c r="A120" t="str">
        <f>$A$10</f>
        <v xml:space="preserve">    U.S. Total Construction Spending (NSA)</v>
      </c>
      <c r="B120" t="str">
        <f>$B$10</f>
        <v>CNNSTOTA Index</v>
      </c>
      <c r="C120" t="str">
        <f>$C$10</f>
        <v>PX385</v>
      </c>
      <c r="D120" t="str">
        <f>$D$10</f>
        <v>INTERVAL_SUM</v>
      </c>
      <c r="E120" t="str">
        <f>$E$10</f>
        <v>Dynamic</v>
      </c>
      <c r="F120" t="e">
        <f ca="1">_xll.BDP($B$10,$C$10,CONCATENATE("PX391=", $F$115), CONCATENATE("PX392=",$F$116), CONCATENATE("DS004=",$B$108), "Fill=B")</f>
        <v>#NAME?</v>
      </c>
      <c r="G120" t="e">
        <f ca="1">_xll.BDP($B$10,$C$10,CONCATENATE("PX391=", $G$115), CONCATENATE("PX392=",$G$116), CONCATENATE("DS004=",$B$108), "Fill=B")</f>
        <v>#NAME?</v>
      </c>
      <c r="H120" t="e">
        <f ca="1">_xll.BDP($B$10,$C$10,CONCATENATE("PX391=", $H$115), CONCATENATE("PX392=",$H$116), CONCATENATE("DS004=",$B$108), "Fill=B")</f>
        <v>#NAME?</v>
      </c>
      <c r="I120" t="e">
        <f ca="1">_xll.BDP($B$10,$C$10,CONCATENATE("PX391=", $I$115), CONCATENATE("PX392=",$I$116), CONCATENATE("DS004=",$B$108), "Fill=B")</f>
        <v>#NAME?</v>
      </c>
      <c r="J120" t="e">
        <f ca="1">_xll.BDP($B$10,$C$10,CONCATENATE("PX391=", $J$115), CONCATENATE("PX392=",$J$116), CONCATENATE("DS004=",$B$108), "Fill=B")</f>
        <v>#NAME?</v>
      </c>
      <c r="K120" t="e">
        <f ca="1">_xll.BDP($B$10,$C$10,CONCATENATE("PX391=", $K$115), CONCATENATE("PX392=",$K$116), CONCATENATE("DS004=",$B$108), "Fill=B")</f>
        <v>#NAME?</v>
      </c>
      <c r="L120" t="e">
        <f ca="1">_xll.BDP($B$10,$C$10,CONCATENATE("PX391=", $L$115), CONCATENATE("PX392=",$L$116), CONCATENATE("DS004=",$B$108), "Fill=B")</f>
        <v>#NAME?</v>
      </c>
      <c r="M120" t="e">
        <f ca="1">_xll.BDP($B$10,$C$10,CONCATENATE("PX391=", $M$115), CONCATENATE("PX392=",$M$116), CONCATENATE("DS004=",$B$108), "Fill=B")</f>
        <v>#NAME?</v>
      </c>
      <c r="N120" t="e">
        <f ca="1">_xll.BDP($B$10,$C$10,CONCATENATE("PX391=", $N$115), CONCATENATE("PX392=",$N$116), CONCATENATE("DS004=",$B$108), "Fill=B")</f>
        <v>#NAME?</v>
      </c>
      <c r="O120" t="e">
        <f ca="1">_xll.BDP($B$10,$C$10,CONCATENATE("PX391=", $O$115), CONCATENATE("PX392=",$O$116), CONCATENATE("DS004=",$B$108), "Fill=B")</f>
        <v>#NAME?</v>
      </c>
      <c r="P120" t="e">
        <f ca="1">_xll.BDP($B$10,$C$10,CONCATENATE("PX391=", $P$115), CONCATENATE("PX392=",$P$116), CONCATENATE("DS004=",$B$108), "Fill=B")</f>
        <v>#NAME?</v>
      </c>
      <c r="Q120" t="e">
        <f ca="1">_xll.BDP($B$10,$C$10,CONCATENATE("PX391=", $Q$115), CONCATENATE("PX392=",$Q$116), CONCATENATE("DS004=",$B$108), "Fill=B")</f>
        <v>#NAME?</v>
      </c>
      <c r="R120" t="e">
        <f ca="1">_xll.BDP($B$10,$C$10,CONCATENATE("PX391=", $R$115), CONCATENATE("PX392=",$R$116), CONCATENATE("DS004=",$B$108), "Fill=B")</f>
        <v>#NAME?</v>
      </c>
      <c r="S120" t="e">
        <f ca="1">_xll.BDP($B$10,$C$10,CONCATENATE("PX391=", $S$115), CONCATENATE("PX392=",$S$116), CONCATENATE("DS004=",$B$108), "Fill=B")</f>
        <v>#NAME?</v>
      </c>
      <c r="T120" t="e">
        <f ca="1">_xll.BDP($B$10,$C$10,CONCATENATE("PX391=", $T$115), CONCATENATE("PX392=",$T$116), CONCATENATE("DS004=",$B$108), "Fill=B")</f>
        <v>#NAME?</v>
      </c>
      <c r="U120" t="e">
        <f ca="1">_xll.BDP($B$10,$C$10,CONCATENATE("PX391=", $U$115), CONCATENATE("PX392=",$U$116), CONCATENATE("DS004=",$B$108), "Fill=B")</f>
        <v>#NAME?</v>
      </c>
      <c r="V120" t="e">
        <f ca="1">_xll.BDP($B$10,$C$10,CONCATENATE("PX391=", $V$115), CONCATENATE("PX392=",$V$116), CONCATENATE("DS004=",$B$108), "Fill=B")</f>
        <v>#NAME?</v>
      </c>
      <c r="W120" t="e">
        <f ca="1">_xll.BDP($B$10,$C$10,CONCATENATE("PX391=", $W$115), CONCATENATE("PX392=",$W$116), CONCATENATE("DS004=",$B$108), "Fill=B")</f>
        <v>#NAME?</v>
      </c>
      <c r="X120" t="e">
        <f ca="1">_xll.BDP($B$10,$C$10,CONCATENATE("PX391=", $X$115), CONCATENATE("PX392=",$X$116), CONCATENATE("DS004=",$B$108), "Fill=B")</f>
        <v>#NAME?</v>
      </c>
      <c r="Y120" t="e">
        <f ca="1">_xll.BDP($B$10,$C$10,CONCATENATE("PX391=", $Y$115), CONCATENATE("PX392=",$Y$116), CONCATENATE("DS004=",$B$108), "Fill=B")</f>
        <v>#NAME?</v>
      </c>
      <c r="Z120" t="e">
        <f ca="1">_xll.BDP($B$10,$C$10,CONCATENATE("PX391=", $Z$115), CONCATENATE("PX392=",$Z$116), CONCATENATE("DS004=",$B$108), "Fill=B")</f>
        <v>#NAME?</v>
      </c>
      <c r="AA120" t="e">
        <f ca="1">_xll.BDP($B$10,$C$10,CONCATENATE("PX391=", $AA$115), CONCATENATE("PX392=",$AA$116), CONCATENATE("DS004=",$B$108), "Fill=B")</f>
        <v>#NAME?</v>
      </c>
      <c r="AB120" t="e">
        <f ca="1">_xll.BDP($B$10,$C$10,CONCATENATE("PX391=", $AB$115), CONCATENATE("PX392=",$AB$116), CONCATENATE("DS004=",$B$108), "Fill=B")</f>
        <v>#NAME?</v>
      </c>
      <c r="AC120" t="e">
        <f ca="1">_xll.BDP($B$10,$C$10,CONCATENATE("PX391=", $AC$115), CONCATENATE("PX392=",$AC$116), CONCATENATE("DS004=",$B$108), "Fill=B")</f>
        <v>#NAME?</v>
      </c>
      <c r="AD120" t="e">
        <f ca="1">_xll.BDP($B$10,$C$10,CONCATENATE("PX391=", $AD$115), CONCATENATE("PX392=",$AD$116), CONCATENATE("DS004=",$B$108), "Fill=B")</f>
        <v>#NAME?</v>
      </c>
      <c r="AE120" t="e">
        <f ca="1">_xll.BDP($B$10,$C$10,CONCATENATE("PX391=", $AE$115), CONCATENATE("PX392=",$AE$116), CONCATENATE("DS004=",$B$108), "Fill=B")</f>
        <v>#NAME?</v>
      </c>
      <c r="AF120" t="e">
        <f ca="1">_xll.BDP($B$10,$C$10,CONCATENATE("PX391=", $AF$115), CONCATENATE("PX392=",$AF$116), CONCATENATE("DS004=",$B$108), "Fill=B")</f>
        <v>#NAME?</v>
      </c>
      <c r="AG120" t="e">
        <f ca="1">_xll.BDP($B$10,$C$10,CONCATENATE("PX391=", $AG$115), CONCATENATE("PX392=",$AG$116), CONCATENATE("DS004=",$B$108), "Fill=B")</f>
        <v>#NAME?</v>
      </c>
      <c r="AH120" t="e">
        <f ca="1">_xll.BDP($B$10,$C$10,CONCATENATE("PX391=", $AH$115), CONCATENATE("PX392=",$AH$116), CONCATENATE("DS004=",$B$108), "Fill=B")</f>
        <v>#NAME?</v>
      </c>
      <c r="AI120" t="e">
        <f ca="1">_xll.BDP($B$10,$C$10,CONCATENATE("PX391=", $AI$115), CONCATENATE("PX392=",$AI$116), CONCATENATE("DS004=",$B$108), "Fill=B")</f>
        <v>#NAME?</v>
      </c>
      <c r="AJ120" t="e">
        <f ca="1">_xll.BDP($B$10,$C$10,CONCATENATE("PX391=", $AJ$115), CONCATENATE("PX392=",$AJ$116), CONCATENATE("DS004=",$B$108), "Fill=B")</f>
        <v>#NAME?</v>
      </c>
      <c r="AK120" t="e">
        <f ca="1">_xll.BDP($B$10,$C$10,CONCATENATE("PX391=", $AK$115), CONCATENATE("PX392=",$AK$116), CONCATENATE("DS004=",$B$108), "Fill=B")</f>
        <v>#NAME?</v>
      </c>
      <c r="AL120" t="e">
        <f ca="1">_xll.BDP($B$10,$C$10,CONCATENATE("PX391=", $AL$115), CONCATENATE("PX392=",$AL$116), CONCATENATE("DS004=",$B$108), "Fill=B")</f>
        <v>#NAME?</v>
      </c>
      <c r="AM120" t="e">
        <f ca="1">_xll.BDP($B$10,$C$10,CONCATENATE("PX391=", $AM$115), CONCATENATE("PX392=",$AM$116), CONCATENATE("DS004=",$B$108), "Fill=B")</f>
        <v>#NAME?</v>
      </c>
      <c r="AN120" t="e">
        <f ca="1">_xll.BDP($B$10,$C$10,CONCATENATE("PX391=", $AN$115), CONCATENATE("PX392=",$AN$116), CONCATENATE("DS004=",$B$108), "Fill=B")</f>
        <v>#NAME?</v>
      </c>
      <c r="AO120" t="e">
        <f ca="1">_xll.BDP($B$10,$C$10,CONCATENATE("PX391=", $AO$115), CONCATENATE("PX392=",$AO$116), CONCATENATE("DS004=",$B$108), "Fill=B")</f>
        <v>#NAME?</v>
      </c>
      <c r="AP120" t="e">
        <f ca="1">_xll.BDP($B$10,$C$10,CONCATENATE("PX391=", $AP$115), CONCATENATE("PX392=",$AP$116), CONCATENATE("DS004=",$B$108), "Fill=B")</f>
        <v>#NAME?</v>
      </c>
      <c r="AQ120" t="e">
        <f ca="1">_xll.BDP($B$10,$C$10,CONCATENATE("PX391=", $AQ$115), CONCATENATE("PX392=",$AQ$116), CONCATENATE("DS004=",$B$108), "Fill=B")</f>
        <v>#NAME?</v>
      </c>
      <c r="AR120" t="e">
        <f ca="1">_xll.BDP($B$10,$C$10,CONCATENATE("PX391=", $AR$115), CONCATENATE("PX392=",$AR$116), CONCATENATE("DS004=",$B$108), "Fill=B")</f>
        <v>#NAME?</v>
      </c>
      <c r="AS120" t="e">
        <f ca="1">_xll.BDP($B$10,$C$10,CONCATENATE("PX391=", $AS$115), CONCATENATE("PX392=",$AS$116), CONCATENATE("DS004=",$B$108), "Fill=B")</f>
        <v>#NAME?</v>
      </c>
      <c r="AT120" t="str">
        <f>""</f>
        <v/>
      </c>
      <c r="AU120" t="str">
        <f>""</f>
        <v/>
      </c>
      <c r="AV120" t="str">
        <f>""</f>
        <v/>
      </c>
      <c r="AW120" t="str">
        <f>""</f>
        <v/>
      </c>
      <c r="AX120" t="str">
        <f>""</f>
        <v/>
      </c>
      <c r="AY120" t="str">
        <f>""</f>
        <v/>
      </c>
      <c r="AZ120" t="str">
        <f>""</f>
        <v/>
      </c>
      <c r="BA120" t="str">
        <f>""</f>
        <v/>
      </c>
      <c r="BB120" t="str">
        <f>""</f>
        <v/>
      </c>
      <c r="BC120" t="str">
        <f>""</f>
        <v/>
      </c>
      <c r="BD120" t="str">
        <f>""</f>
        <v/>
      </c>
      <c r="BE120" t="str">
        <f>""</f>
        <v/>
      </c>
      <c r="BF120" t="str">
        <f>""</f>
        <v/>
      </c>
      <c r="BG120" t="str">
        <f>""</f>
        <v/>
      </c>
      <c r="BH120" t="str">
        <f>""</f>
        <v/>
      </c>
      <c r="BI120" t="str">
        <f>""</f>
        <v/>
      </c>
      <c r="BJ120" t="str">
        <f>""</f>
        <v/>
      </c>
      <c r="BK120" t="str">
        <f>""</f>
        <v/>
      </c>
      <c r="BL120" t="str">
        <f>""</f>
        <v/>
      </c>
      <c r="BM120" t="str">
        <f>""</f>
        <v/>
      </c>
      <c r="BN120" t="str">
        <f>""</f>
        <v/>
      </c>
      <c r="BO120" t="str">
        <f>""</f>
        <v/>
      </c>
      <c r="BP120" t="str">
        <f>""</f>
        <v/>
      </c>
      <c r="BQ120" t="str">
        <f>""</f>
        <v/>
      </c>
      <c r="BR120" t="str">
        <f>""</f>
        <v/>
      </c>
      <c r="BS120" t="str">
        <f>""</f>
        <v/>
      </c>
      <c r="BT120" t="str">
        <f>""</f>
        <v/>
      </c>
      <c r="BU120" t="str">
        <f>""</f>
        <v/>
      </c>
      <c r="BV120" t="str">
        <f>""</f>
        <v/>
      </c>
      <c r="BW120" t="str">
        <f>""</f>
        <v/>
      </c>
      <c r="BX120" t="str">
        <f>""</f>
        <v/>
      </c>
      <c r="BY120" t="str">
        <f>""</f>
        <v/>
      </c>
      <c r="BZ120" t="str">
        <f>""</f>
        <v/>
      </c>
      <c r="CA120" t="str">
        <f>""</f>
        <v/>
      </c>
      <c r="CB120" t="str">
        <f>""</f>
        <v/>
      </c>
      <c r="CC120" t="str">
        <f>""</f>
        <v/>
      </c>
      <c r="CD120" t="str">
        <f>""</f>
        <v/>
      </c>
      <c r="CE120" t="str">
        <f>""</f>
        <v/>
      </c>
      <c r="CF120" t="str">
        <f>""</f>
        <v/>
      </c>
      <c r="CG120" t="str">
        <f>""</f>
        <v/>
      </c>
    </row>
    <row r="121" spans="1:85" x14ac:dyDescent="0.2">
      <c r="A121" t="str">
        <f>$A$11</f>
        <v xml:space="preserve">        U.S. Total Residential Construction Spending</v>
      </c>
      <c r="B121" t="str">
        <f>$B$11</f>
        <v>CNNSRESI Index</v>
      </c>
      <c r="C121" t="str">
        <f>$C$11</f>
        <v>PX385</v>
      </c>
      <c r="D121" t="str">
        <f>$D$11</f>
        <v>INTERVAL_SUM</v>
      </c>
      <c r="E121" t="str">
        <f>$E$11</f>
        <v>Dynamic</v>
      </c>
      <c r="F121" t="e">
        <f ca="1">_xll.BDP($B$11,$C$11,CONCATENATE("PX391=", $F$115), CONCATENATE("PX392=",$F$116), CONCATENATE("DS004=",$B$108), "Fill=B")</f>
        <v>#NAME?</v>
      </c>
      <c r="G121" t="e">
        <f ca="1">_xll.BDP($B$11,$C$11,CONCATENATE("PX391=", $G$115), CONCATENATE("PX392=",$G$116), CONCATENATE("DS004=",$B$108), "Fill=B")</f>
        <v>#NAME?</v>
      </c>
      <c r="H121" t="e">
        <f ca="1">_xll.BDP($B$11,$C$11,CONCATENATE("PX391=", $H$115), CONCATENATE("PX392=",$H$116), CONCATENATE("DS004=",$B$108), "Fill=B")</f>
        <v>#NAME?</v>
      </c>
      <c r="I121" t="e">
        <f ca="1">_xll.BDP($B$11,$C$11,CONCATENATE("PX391=", $I$115), CONCATENATE("PX392=",$I$116), CONCATENATE("DS004=",$B$108), "Fill=B")</f>
        <v>#NAME?</v>
      </c>
      <c r="J121" t="e">
        <f ca="1">_xll.BDP($B$11,$C$11,CONCATENATE("PX391=", $J$115), CONCATENATE("PX392=",$J$116), CONCATENATE("DS004=",$B$108), "Fill=B")</f>
        <v>#NAME?</v>
      </c>
      <c r="K121" t="e">
        <f ca="1">_xll.BDP($B$11,$C$11,CONCATENATE("PX391=", $K$115), CONCATENATE("PX392=",$K$116), CONCATENATE("DS004=",$B$108), "Fill=B")</f>
        <v>#NAME?</v>
      </c>
      <c r="L121" t="e">
        <f ca="1">_xll.BDP($B$11,$C$11,CONCATENATE("PX391=", $L$115), CONCATENATE("PX392=",$L$116), CONCATENATE("DS004=",$B$108), "Fill=B")</f>
        <v>#NAME?</v>
      </c>
      <c r="M121" t="e">
        <f ca="1">_xll.BDP($B$11,$C$11,CONCATENATE("PX391=", $M$115), CONCATENATE("PX392=",$M$116), CONCATENATE("DS004=",$B$108), "Fill=B")</f>
        <v>#NAME?</v>
      </c>
      <c r="N121" t="e">
        <f ca="1">_xll.BDP($B$11,$C$11,CONCATENATE("PX391=", $N$115), CONCATENATE("PX392=",$N$116), CONCATENATE("DS004=",$B$108), "Fill=B")</f>
        <v>#NAME?</v>
      </c>
      <c r="O121" t="e">
        <f ca="1">_xll.BDP($B$11,$C$11,CONCATENATE("PX391=", $O$115), CONCATENATE("PX392=",$O$116), CONCATENATE("DS004=",$B$108), "Fill=B")</f>
        <v>#NAME?</v>
      </c>
      <c r="P121" t="e">
        <f ca="1">_xll.BDP($B$11,$C$11,CONCATENATE("PX391=", $P$115), CONCATENATE("PX392=",$P$116), CONCATENATE("DS004=",$B$108), "Fill=B")</f>
        <v>#NAME?</v>
      </c>
      <c r="Q121" t="e">
        <f ca="1">_xll.BDP($B$11,$C$11,CONCATENATE("PX391=", $Q$115), CONCATENATE("PX392=",$Q$116), CONCATENATE("DS004=",$B$108), "Fill=B")</f>
        <v>#NAME?</v>
      </c>
      <c r="R121" t="e">
        <f ca="1">_xll.BDP($B$11,$C$11,CONCATENATE("PX391=", $R$115), CONCATENATE("PX392=",$R$116), CONCATENATE("DS004=",$B$108), "Fill=B")</f>
        <v>#NAME?</v>
      </c>
      <c r="S121" t="e">
        <f ca="1">_xll.BDP($B$11,$C$11,CONCATENATE("PX391=", $S$115), CONCATENATE("PX392=",$S$116), CONCATENATE("DS004=",$B$108), "Fill=B")</f>
        <v>#NAME?</v>
      </c>
      <c r="T121" t="e">
        <f ca="1">_xll.BDP($B$11,$C$11,CONCATENATE("PX391=", $T$115), CONCATENATE("PX392=",$T$116), CONCATENATE("DS004=",$B$108), "Fill=B")</f>
        <v>#NAME?</v>
      </c>
      <c r="U121" t="e">
        <f ca="1">_xll.BDP($B$11,$C$11,CONCATENATE("PX391=", $U$115), CONCATENATE("PX392=",$U$116), CONCATENATE("DS004=",$B$108), "Fill=B")</f>
        <v>#NAME?</v>
      </c>
      <c r="V121" t="e">
        <f ca="1">_xll.BDP($B$11,$C$11,CONCATENATE("PX391=", $V$115), CONCATENATE("PX392=",$V$116), CONCATENATE("DS004=",$B$108), "Fill=B")</f>
        <v>#NAME?</v>
      </c>
      <c r="W121" t="e">
        <f ca="1">_xll.BDP($B$11,$C$11,CONCATENATE("PX391=", $W$115), CONCATENATE("PX392=",$W$116), CONCATENATE("DS004=",$B$108), "Fill=B")</f>
        <v>#NAME?</v>
      </c>
      <c r="X121" t="e">
        <f ca="1">_xll.BDP($B$11,$C$11,CONCATENATE("PX391=", $X$115), CONCATENATE("PX392=",$X$116), CONCATENATE("DS004=",$B$108), "Fill=B")</f>
        <v>#NAME?</v>
      </c>
      <c r="Y121" t="e">
        <f ca="1">_xll.BDP($B$11,$C$11,CONCATENATE("PX391=", $Y$115), CONCATENATE("PX392=",$Y$116), CONCATENATE("DS004=",$B$108), "Fill=B")</f>
        <v>#NAME?</v>
      </c>
      <c r="Z121" t="e">
        <f ca="1">_xll.BDP($B$11,$C$11,CONCATENATE("PX391=", $Z$115), CONCATENATE("PX392=",$Z$116), CONCATENATE("DS004=",$B$108), "Fill=B")</f>
        <v>#NAME?</v>
      </c>
      <c r="AA121" t="e">
        <f ca="1">_xll.BDP($B$11,$C$11,CONCATENATE("PX391=", $AA$115), CONCATENATE("PX392=",$AA$116), CONCATENATE("DS004=",$B$108), "Fill=B")</f>
        <v>#NAME?</v>
      </c>
      <c r="AB121" t="e">
        <f ca="1">_xll.BDP($B$11,$C$11,CONCATENATE("PX391=", $AB$115), CONCATENATE("PX392=",$AB$116), CONCATENATE("DS004=",$B$108), "Fill=B")</f>
        <v>#NAME?</v>
      </c>
      <c r="AC121" t="e">
        <f ca="1">_xll.BDP($B$11,$C$11,CONCATENATE("PX391=", $AC$115), CONCATENATE("PX392=",$AC$116), CONCATENATE("DS004=",$B$108), "Fill=B")</f>
        <v>#NAME?</v>
      </c>
      <c r="AD121" t="e">
        <f ca="1">_xll.BDP($B$11,$C$11,CONCATENATE("PX391=", $AD$115), CONCATENATE("PX392=",$AD$116), CONCATENATE("DS004=",$B$108), "Fill=B")</f>
        <v>#NAME?</v>
      </c>
      <c r="AE121" t="e">
        <f ca="1">_xll.BDP($B$11,$C$11,CONCATENATE("PX391=", $AE$115), CONCATENATE("PX392=",$AE$116), CONCATENATE("DS004=",$B$108), "Fill=B")</f>
        <v>#NAME?</v>
      </c>
      <c r="AF121" t="e">
        <f ca="1">_xll.BDP($B$11,$C$11,CONCATENATE("PX391=", $AF$115), CONCATENATE("PX392=",$AF$116), CONCATENATE("DS004=",$B$108), "Fill=B")</f>
        <v>#NAME?</v>
      </c>
      <c r="AG121" t="e">
        <f ca="1">_xll.BDP($B$11,$C$11,CONCATENATE("PX391=", $AG$115), CONCATENATE("PX392=",$AG$116), CONCATENATE("DS004=",$B$108), "Fill=B")</f>
        <v>#NAME?</v>
      </c>
      <c r="AH121" t="e">
        <f ca="1">_xll.BDP($B$11,$C$11,CONCATENATE("PX391=", $AH$115), CONCATENATE("PX392=",$AH$116), CONCATENATE("DS004=",$B$108), "Fill=B")</f>
        <v>#NAME?</v>
      </c>
      <c r="AI121" t="e">
        <f ca="1">_xll.BDP($B$11,$C$11,CONCATENATE("PX391=", $AI$115), CONCATENATE("PX392=",$AI$116), CONCATENATE("DS004=",$B$108), "Fill=B")</f>
        <v>#NAME?</v>
      </c>
      <c r="AJ121" t="e">
        <f ca="1">_xll.BDP($B$11,$C$11,CONCATENATE("PX391=", $AJ$115), CONCATENATE("PX392=",$AJ$116), CONCATENATE("DS004=",$B$108), "Fill=B")</f>
        <v>#NAME?</v>
      </c>
      <c r="AK121" t="e">
        <f ca="1">_xll.BDP($B$11,$C$11,CONCATENATE("PX391=", $AK$115), CONCATENATE("PX392=",$AK$116), CONCATENATE("DS004=",$B$108), "Fill=B")</f>
        <v>#NAME?</v>
      </c>
      <c r="AL121" t="e">
        <f ca="1">_xll.BDP($B$11,$C$11,CONCATENATE("PX391=", $AL$115), CONCATENATE("PX392=",$AL$116), CONCATENATE("DS004=",$B$108), "Fill=B")</f>
        <v>#NAME?</v>
      </c>
      <c r="AM121" t="e">
        <f ca="1">_xll.BDP($B$11,$C$11,CONCATENATE("PX391=", $AM$115), CONCATENATE("PX392=",$AM$116), CONCATENATE("DS004=",$B$108), "Fill=B")</f>
        <v>#NAME?</v>
      </c>
      <c r="AN121" t="e">
        <f ca="1">_xll.BDP($B$11,$C$11,CONCATENATE("PX391=", $AN$115), CONCATENATE("PX392=",$AN$116), CONCATENATE("DS004=",$B$108), "Fill=B")</f>
        <v>#NAME?</v>
      </c>
      <c r="AO121" t="e">
        <f ca="1">_xll.BDP($B$11,$C$11,CONCATENATE("PX391=", $AO$115), CONCATENATE("PX392=",$AO$116), CONCATENATE("DS004=",$B$108), "Fill=B")</f>
        <v>#NAME?</v>
      </c>
      <c r="AP121" t="e">
        <f ca="1">_xll.BDP($B$11,$C$11,CONCATENATE("PX391=", $AP$115), CONCATENATE("PX392=",$AP$116), CONCATENATE("DS004=",$B$108), "Fill=B")</f>
        <v>#NAME?</v>
      </c>
      <c r="AQ121" t="e">
        <f ca="1">_xll.BDP($B$11,$C$11,CONCATENATE("PX391=", $AQ$115), CONCATENATE("PX392=",$AQ$116), CONCATENATE("DS004=",$B$108), "Fill=B")</f>
        <v>#NAME?</v>
      </c>
      <c r="AR121" t="e">
        <f ca="1">_xll.BDP($B$11,$C$11,CONCATENATE("PX391=", $AR$115), CONCATENATE("PX392=",$AR$116), CONCATENATE("DS004=",$B$108), "Fill=B")</f>
        <v>#NAME?</v>
      </c>
      <c r="AS121" t="e">
        <f ca="1">_xll.BDP($B$11,$C$11,CONCATENATE("PX391=", $AS$115), CONCATENATE("PX392=",$AS$116), CONCATENATE("DS004=",$B$108), "Fill=B")</f>
        <v>#NAME?</v>
      </c>
      <c r="AT121" t="str">
        <f>""</f>
        <v/>
      </c>
      <c r="AU121" t="str">
        <f>""</f>
        <v/>
      </c>
      <c r="AV121" t="str">
        <f>""</f>
        <v/>
      </c>
      <c r="AW121" t="str">
        <f>""</f>
        <v/>
      </c>
      <c r="AX121" t="str">
        <f>""</f>
        <v/>
      </c>
      <c r="AY121" t="str">
        <f>""</f>
        <v/>
      </c>
      <c r="AZ121" t="str">
        <f>""</f>
        <v/>
      </c>
      <c r="BA121" t="str">
        <f>""</f>
        <v/>
      </c>
      <c r="BB121" t="str">
        <f>""</f>
        <v/>
      </c>
      <c r="BC121" t="str">
        <f>""</f>
        <v/>
      </c>
      <c r="BD121" t="str">
        <f>""</f>
        <v/>
      </c>
      <c r="BE121" t="str">
        <f>""</f>
        <v/>
      </c>
      <c r="BF121" t="str">
        <f>""</f>
        <v/>
      </c>
      <c r="BG121" t="str">
        <f>""</f>
        <v/>
      </c>
      <c r="BH121" t="str">
        <f>""</f>
        <v/>
      </c>
      <c r="BI121" t="str">
        <f>""</f>
        <v/>
      </c>
      <c r="BJ121" t="str">
        <f>""</f>
        <v/>
      </c>
      <c r="BK121" t="str">
        <f>""</f>
        <v/>
      </c>
      <c r="BL121" t="str">
        <f>""</f>
        <v/>
      </c>
      <c r="BM121" t="str">
        <f>""</f>
        <v/>
      </c>
      <c r="BN121" t="str">
        <f>""</f>
        <v/>
      </c>
      <c r="BO121" t="str">
        <f>""</f>
        <v/>
      </c>
      <c r="BP121" t="str">
        <f>""</f>
        <v/>
      </c>
      <c r="BQ121" t="str">
        <f>""</f>
        <v/>
      </c>
      <c r="BR121" t="str">
        <f>""</f>
        <v/>
      </c>
      <c r="BS121" t="str">
        <f>""</f>
        <v/>
      </c>
      <c r="BT121" t="str">
        <f>""</f>
        <v/>
      </c>
      <c r="BU121" t="str">
        <f>""</f>
        <v/>
      </c>
      <c r="BV121" t="str">
        <f>""</f>
        <v/>
      </c>
      <c r="BW121" t="str">
        <f>""</f>
        <v/>
      </c>
      <c r="BX121" t="str">
        <f>""</f>
        <v/>
      </c>
      <c r="BY121" t="str">
        <f>""</f>
        <v/>
      </c>
      <c r="BZ121" t="str">
        <f>""</f>
        <v/>
      </c>
      <c r="CA121" t="str">
        <f>""</f>
        <v/>
      </c>
      <c r="CB121" t="str">
        <f>""</f>
        <v/>
      </c>
      <c r="CC121" t="str">
        <f>""</f>
        <v/>
      </c>
      <c r="CD121" t="str">
        <f>""</f>
        <v/>
      </c>
      <c r="CE121" t="str">
        <f>""</f>
        <v/>
      </c>
      <c r="CF121" t="str">
        <f>""</f>
        <v/>
      </c>
      <c r="CG121" t="str">
        <f>""</f>
        <v/>
      </c>
    </row>
    <row r="122" spans="1:85" x14ac:dyDescent="0.2">
      <c r="A122" t="str">
        <f>$A$12</f>
        <v xml:space="preserve">        U.S. Total Non-Residential Construction Spending</v>
      </c>
      <c r="B122" t="str">
        <f>$B$12</f>
        <v>CNNSNRES Index</v>
      </c>
      <c r="C122" t="str">
        <f>$C$12</f>
        <v>PX385</v>
      </c>
      <c r="D122" t="str">
        <f>$D$12</f>
        <v>INTERVAL_SUM</v>
      </c>
      <c r="E122" t="str">
        <f>$E$12</f>
        <v>Dynamic</v>
      </c>
      <c r="F122" t="e">
        <f ca="1">_xll.BDP($B$12,$C$12,CONCATENATE("PX391=", $F$115), CONCATENATE("PX392=",$F$116), CONCATENATE("DS004=",$B$108), "Fill=B")</f>
        <v>#NAME?</v>
      </c>
      <c r="G122" t="e">
        <f ca="1">_xll.BDP($B$12,$C$12,CONCATENATE("PX391=", $G$115), CONCATENATE("PX392=",$G$116), CONCATENATE("DS004=",$B$108), "Fill=B")</f>
        <v>#NAME?</v>
      </c>
      <c r="H122" t="e">
        <f ca="1">_xll.BDP($B$12,$C$12,CONCATENATE("PX391=", $H$115), CONCATENATE("PX392=",$H$116), CONCATENATE("DS004=",$B$108), "Fill=B")</f>
        <v>#NAME?</v>
      </c>
      <c r="I122" t="e">
        <f ca="1">_xll.BDP($B$12,$C$12,CONCATENATE("PX391=", $I$115), CONCATENATE("PX392=",$I$116), CONCATENATE("DS004=",$B$108), "Fill=B")</f>
        <v>#NAME?</v>
      </c>
      <c r="J122" t="e">
        <f ca="1">_xll.BDP($B$12,$C$12,CONCATENATE("PX391=", $J$115), CONCATENATE("PX392=",$J$116), CONCATENATE("DS004=",$B$108), "Fill=B")</f>
        <v>#NAME?</v>
      </c>
      <c r="K122" t="e">
        <f ca="1">_xll.BDP($B$12,$C$12,CONCATENATE("PX391=", $K$115), CONCATENATE("PX392=",$K$116), CONCATENATE("DS004=",$B$108), "Fill=B")</f>
        <v>#NAME?</v>
      </c>
      <c r="L122" t="e">
        <f ca="1">_xll.BDP($B$12,$C$12,CONCATENATE("PX391=", $L$115), CONCATENATE("PX392=",$L$116), CONCATENATE("DS004=",$B$108), "Fill=B")</f>
        <v>#NAME?</v>
      </c>
      <c r="M122" t="e">
        <f ca="1">_xll.BDP($B$12,$C$12,CONCATENATE("PX391=", $M$115), CONCATENATE("PX392=",$M$116), CONCATENATE("DS004=",$B$108), "Fill=B")</f>
        <v>#NAME?</v>
      </c>
      <c r="N122" t="e">
        <f ca="1">_xll.BDP($B$12,$C$12,CONCATENATE("PX391=", $N$115), CONCATENATE("PX392=",$N$116), CONCATENATE("DS004=",$B$108), "Fill=B")</f>
        <v>#NAME?</v>
      </c>
      <c r="O122" t="e">
        <f ca="1">_xll.BDP($B$12,$C$12,CONCATENATE("PX391=", $O$115), CONCATENATE("PX392=",$O$116), CONCATENATE("DS004=",$B$108), "Fill=B")</f>
        <v>#NAME?</v>
      </c>
      <c r="P122" t="e">
        <f ca="1">_xll.BDP($B$12,$C$12,CONCATENATE("PX391=", $P$115), CONCATENATE("PX392=",$P$116), CONCATENATE("DS004=",$B$108), "Fill=B")</f>
        <v>#NAME?</v>
      </c>
      <c r="Q122" t="e">
        <f ca="1">_xll.BDP($B$12,$C$12,CONCATENATE("PX391=", $Q$115), CONCATENATE("PX392=",$Q$116), CONCATENATE("DS004=",$B$108), "Fill=B")</f>
        <v>#NAME?</v>
      </c>
      <c r="R122" t="e">
        <f ca="1">_xll.BDP($B$12,$C$12,CONCATENATE("PX391=", $R$115), CONCATENATE("PX392=",$R$116), CONCATENATE("DS004=",$B$108), "Fill=B")</f>
        <v>#NAME?</v>
      </c>
      <c r="S122" t="e">
        <f ca="1">_xll.BDP($B$12,$C$12,CONCATENATE("PX391=", $S$115), CONCATENATE("PX392=",$S$116), CONCATENATE("DS004=",$B$108), "Fill=B")</f>
        <v>#NAME?</v>
      </c>
      <c r="T122" t="e">
        <f ca="1">_xll.BDP($B$12,$C$12,CONCATENATE("PX391=", $T$115), CONCATENATE("PX392=",$T$116), CONCATENATE("DS004=",$B$108), "Fill=B")</f>
        <v>#NAME?</v>
      </c>
      <c r="U122" t="e">
        <f ca="1">_xll.BDP($B$12,$C$12,CONCATENATE("PX391=", $U$115), CONCATENATE("PX392=",$U$116), CONCATENATE("DS004=",$B$108), "Fill=B")</f>
        <v>#NAME?</v>
      </c>
      <c r="V122" t="e">
        <f ca="1">_xll.BDP($B$12,$C$12,CONCATENATE("PX391=", $V$115), CONCATENATE("PX392=",$V$116), CONCATENATE("DS004=",$B$108), "Fill=B")</f>
        <v>#NAME?</v>
      </c>
      <c r="W122" t="e">
        <f ca="1">_xll.BDP($B$12,$C$12,CONCATENATE("PX391=", $W$115), CONCATENATE("PX392=",$W$116), CONCATENATE("DS004=",$B$108), "Fill=B")</f>
        <v>#NAME?</v>
      </c>
      <c r="X122" t="e">
        <f ca="1">_xll.BDP($B$12,$C$12,CONCATENATE("PX391=", $X$115), CONCATENATE("PX392=",$X$116), CONCATENATE("DS004=",$B$108), "Fill=B")</f>
        <v>#NAME?</v>
      </c>
      <c r="Y122" t="e">
        <f ca="1">_xll.BDP($B$12,$C$12,CONCATENATE("PX391=", $Y$115), CONCATENATE("PX392=",$Y$116), CONCATENATE("DS004=",$B$108), "Fill=B")</f>
        <v>#NAME?</v>
      </c>
      <c r="Z122" t="e">
        <f ca="1">_xll.BDP($B$12,$C$12,CONCATENATE("PX391=", $Z$115), CONCATENATE("PX392=",$Z$116), CONCATENATE("DS004=",$B$108), "Fill=B")</f>
        <v>#NAME?</v>
      </c>
      <c r="AA122" t="e">
        <f ca="1">_xll.BDP($B$12,$C$12,CONCATENATE("PX391=", $AA$115), CONCATENATE("PX392=",$AA$116), CONCATENATE("DS004=",$B$108), "Fill=B")</f>
        <v>#NAME?</v>
      </c>
      <c r="AB122" t="e">
        <f ca="1">_xll.BDP($B$12,$C$12,CONCATENATE("PX391=", $AB$115), CONCATENATE("PX392=",$AB$116), CONCATENATE("DS004=",$B$108), "Fill=B")</f>
        <v>#NAME?</v>
      </c>
      <c r="AC122" t="e">
        <f ca="1">_xll.BDP($B$12,$C$12,CONCATENATE("PX391=", $AC$115), CONCATENATE("PX392=",$AC$116), CONCATENATE("DS004=",$B$108), "Fill=B")</f>
        <v>#NAME?</v>
      </c>
      <c r="AD122" t="e">
        <f ca="1">_xll.BDP($B$12,$C$12,CONCATENATE("PX391=", $AD$115), CONCATENATE("PX392=",$AD$116), CONCATENATE("DS004=",$B$108), "Fill=B")</f>
        <v>#NAME?</v>
      </c>
      <c r="AE122" t="e">
        <f ca="1">_xll.BDP($B$12,$C$12,CONCATENATE("PX391=", $AE$115), CONCATENATE("PX392=",$AE$116), CONCATENATE("DS004=",$B$108), "Fill=B")</f>
        <v>#NAME?</v>
      </c>
      <c r="AF122" t="e">
        <f ca="1">_xll.BDP($B$12,$C$12,CONCATENATE("PX391=", $AF$115), CONCATENATE("PX392=",$AF$116), CONCATENATE("DS004=",$B$108), "Fill=B")</f>
        <v>#NAME?</v>
      </c>
      <c r="AG122" t="e">
        <f ca="1">_xll.BDP($B$12,$C$12,CONCATENATE("PX391=", $AG$115), CONCATENATE("PX392=",$AG$116), CONCATENATE("DS004=",$B$108), "Fill=B")</f>
        <v>#NAME?</v>
      </c>
      <c r="AH122" t="e">
        <f ca="1">_xll.BDP($B$12,$C$12,CONCATENATE("PX391=", $AH$115), CONCATENATE("PX392=",$AH$116), CONCATENATE("DS004=",$B$108), "Fill=B")</f>
        <v>#NAME?</v>
      </c>
      <c r="AI122" t="e">
        <f ca="1">_xll.BDP($B$12,$C$12,CONCATENATE("PX391=", $AI$115), CONCATENATE("PX392=",$AI$116), CONCATENATE("DS004=",$B$108), "Fill=B")</f>
        <v>#NAME?</v>
      </c>
      <c r="AJ122" t="e">
        <f ca="1">_xll.BDP($B$12,$C$12,CONCATENATE("PX391=", $AJ$115), CONCATENATE("PX392=",$AJ$116), CONCATENATE("DS004=",$B$108), "Fill=B")</f>
        <v>#NAME?</v>
      </c>
      <c r="AK122" t="e">
        <f ca="1">_xll.BDP($B$12,$C$12,CONCATENATE("PX391=", $AK$115), CONCATENATE("PX392=",$AK$116), CONCATENATE("DS004=",$B$108), "Fill=B")</f>
        <v>#NAME?</v>
      </c>
      <c r="AL122" t="e">
        <f ca="1">_xll.BDP($B$12,$C$12,CONCATENATE("PX391=", $AL$115), CONCATENATE("PX392=",$AL$116), CONCATENATE("DS004=",$B$108), "Fill=B")</f>
        <v>#NAME?</v>
      </c>
      <c r="AM122" t="e">
        <f ca="1">_xll.BDP($B$12,$C$12,CONCATENATE("PX391=", $AM$115), CONCATENATE("PX392=",$AM$116), CONCATENATE("DS004=",$B$108), "Fill=B")</f>
        <v>#NAME?</v>
      </c>
      <c r="AN122" t="e">
        <f ca="1">_xll.BDP($B$12,$C$12,CONCATENATE("PX391=", $AN$115), CONCATENATE("PX392=",$AN$116), CONCATENATE("DS004=",$B$108), "Fill=B")</f>
        <v>#NAME?</v>
      </c>
      <c r="AO122" t="e">
        <f ca="1">_xll.BDP($B$12,$C$12,CONCATENATE("PX391=", $AO$115), CONCATENATE("PX392=",$AO$116), CONCATENATE("DS004=",$B$108), "Fill=B")</f>
        <v>#NAME?</v>
      </c>
      <c r="AP122" t="e">
        <f ca="1">_xll.BDP($B$12,$C$12,CONCATENATE("PX391=", $AP$115), CONCATENATE("PX392=",$AP$116), CONCATENATE("DS004=",$B$108), "Fill=B")</f>
        <v>#NAME?</v>
      </c>
      <c r="AQ122" t="e">
        <f ca="1">_xll.BDP($B$12,$C$12,CONCATENATE("PX391=", $AQ$115), CONCATENATE("PX392=",$AQ$116), CONCATENATE("DS004=",$B$108), "Fill=B")</f>
        <v>#NAME?</v>
      </c>
      <c r="AR122" t="e">
        <f ca="1">_xll.BDP($B$12,$C$12,CONCATENATE("PX391=", $AR$115), CONCATENATE("PX392=",$AR$116), CONCATENATE("DS004=",$B$108), "Fill=B")</f>
        <v>#NAME?</v>
      </c>
      <c r="AS122" t="e">
        <f ca="1">_xll.BDP($B$12,$C$12,CONCATENATE("PX391=", $AS$115), CONCATENATE("PX392=",$AS$116), CONCATENATE("DS004=",$B$108), "Fill=B")</f>
        <v>#NAME?</v>
      </c>
      <c r="AT122" t="str">
        <f>""</f>
        <v/>
      </c>
      <c r="AU122" t="str">
        <f>""</f>
        <v/>
      </c>
      <c r="AV122" t="str">
        <f>""</f>
        <v/>
      </c>
      <c r="AW122" t="str">
        <f>""</f>
        <v/>
      </c>
      <c r="AX122" t="str">
        <f>""</f>
        <v/>
      </c>
      <c r="AY122" t="str">
        <f>""</f>
        <v/>
      </c>
      <c r="AZ122" t="str">
        <f>""</f>
        <v/>
      </c>
      <c r="BA122" t="str">
        <f>""</f>
        <v/>
      </c>
      <c r="BB122" t="str">
        <f>""</f>
        <v/>
      </c>
      <c r="BC122" t="str">
        <f>""</f>
        <v/>
      </c>
      <c r="BD122" t="str">
        <f>""</f>
        <v/>
      </c>
      <c r="BE122" t="str">
        <f>""</f>
        <v/>
      </c>
      <c r="BF122" t="str">
        <f>""</f>
        <v/>
      </c>
      <c r="BG122" t="str">
        <f>""</f>
        <v/>
      </c>
      <c r="BH122" t="str">
        <f>""</f>
        <v/>
      </c>
      <c r="BI122" t="str">
        <f>""</f>
        <v/>
      </c>
      <c r="BJ122" t="str">
        <f>""</f>
        <v/>
      </c>
      <c r="BK122" t="str">
        <f>""</f>
        <v/>
      </c>
      <c r="BL122" t="str">
        <f>""</f>
        <v/>
      </c>
      <c r="BM122" t="str">
        <f>""</f>
        <v/>
      </c>
      <c r="BN122" t="str">
        <f>""</f>
        <v/>
      </c>
      <c r="BO122" t="str">
        <f>""</f>
        <v/>
      </c>
      <c r="BP122" t="str">
        <f>""</f>
        <v/>
      </c>
      <c r="BQ122" t="str">
        <f>""</f>
        <v/>
      </c>
      <c r="BR122" t="str">
        <f>""</f>
        <v/>
      </c>
      <c r="BS122" t="str">
        <f>""</f>
        <v/>
      </c>
      <c r="BT122" t="str">
        <f>""</f>
        <v/>
      </c>
      <c r="BU122" t="str">
        <f>""</f>
        <v/>
      </c>
      <c r="BV122" t="str">
        <f>""</f>
        <v/>
      </c>
      <c r="BW122" t="str">
        <f>""</f>
        <v/>
      </c>
      <c r="BX122" t="str">
        <f>""</f>
        <v/>
      </c>
      <c r="BY122" t="str">
        <f>""</f>
        <v/>
      </c>
      <c r="BZ122" t="str">
        <f>""</f>
        <v/>
      </c>
      <c r="CA122" t="str">
        <f>""</f>
        <v/>
      </c>
      <c r="CB122" t="str">
        <f>""</f>
        <v/>
      </c>
      <c r="CC122" t="str">
        <f>""</f>
        <v/>
      </c>
      <c r="CD122" t="str">
        <f>""</f>
        <v/>
      </c>
      <c r="CE122" t="str">
        <f>""</f>
        <v/>
      </c>
      <c r="CF122" t="str">
        <f>""</f>
        <v/>
      </c>
      <c r="CG122" t="str">
        <f>""</f>
        <v/>
      </c>
    </row>
    <row r="123" spans="1:85" x14ac:dyDescent="0.2">
      <c r="A123" t="str">
        <f>$A$13</f>
        <v xml:space="preserve">    U.S. Total Private Construction Spending (NSA)</v>
      </c>
      <c r="B123" t="str">
        <f>$B$13</f>
        <v>CNNSPRTO Index</v>
      </c>
      <c r="C123" t="str">
        <f>$C$13</f>
        <v>PX385</v>
      </c>
      <c r="D123" t="str">
        <f>$D$13</f>
        <v>INTERVAL_SUM</v>
      </c>
      <c r="E123" t="str">
        <f>$E$13</f>
        <v>Dynamic</v>
      </c>
      <c r="F123" t="e">
        <f ca="1">_xll.BDP($B$13,$C$13,CONCATENATE("PX391=", $F$115), CONCATENATE("PX392=",$F$116), CONCATENATE("DS004=",$B$108), "Fill=B")</f>
        <v>#NAME?</v>
      </c>
      <c r="G123" t="e">
        <f ca="1">_xll.BDP($B$13,$C$13,CONCATENATE("PX391=", $G$115), CONCATENATE("PX392=",$G$116), CONCATENATE("DS004=",$B$108), "Fill=B")</f>
        <v>#NAME?</v>
      </c>
      <c r="H123" t="e">
        <f ca="1">_xll.BDP($B$13,$C$13,CONCATENATE("PX391=", $H$115), CONCATENATE("PX392=",$H$116), CONCATENATE("DS004=",$B$108), "Fill=B")</f>
        <v>#NAME?</v>
      </c>
      <c r="I123" t="e">
        <f ca="1">_xll.BDP($B$13,$C$13,CONCATENATE("PX391=", $I$115), CONCATENATE("PX392=",$I$116), CONCATENATE("DS004=",$B$108), "Fill=B")</f>
        <v>#NAME?</v>
      </c>
      <c r="J123" t="e">
        <f ca="1">_xll.BDP($B$13,$C$13,CONCATENATE("PX391=", $J$115), CONCATENATE("PX392=",$J$116), CONCATENATE("DS004=",$B$108), "Fill=B")</f>
        <v>#NAME?</v>
      </c>
      <c r="K123" t="e">
        <f ca="1">_xll.BDP($B$13,$C$13,CONCATENATE("PX391=", $K$115), CONCATENATE("PX392=",$K$116), CONCATENATE("DS004=",$B$108), "Fill=B")</f>
        <v>#NAME?</v>
      </c>
      <c r="L123" t="e">
        <f ca="1">_xll.BDP($B$13,$C$13,CONCATENATE("PX391=", $L$115), CONCATENATE("PX392=",$L$116), CONCATENATE("DS004=",$B$108), "Fill=B")</f>
        <v>#NAME?</v>
      </c>
      <c r="M123" t="e">
        <f ca="1">_xll.BDP($B$13,$C$13,CONCATENATE("PX391=", $M$115), CONCATENATE("PX392=",$M$116), CONCATENATE("DS004=",$B$108), "Fill=B")</f>
        <v>#NAME?</v>
      </c>
      <c r="N123" t="e">
        <f ca="1">_xll.BDP($B$13,$C$13,CONCATENATE("PX391=", $N$115), CONCATENATE("PX392=",$N$116), CONCATENATE("DS004=",$B$108), "Fill=B")</f>
        <v>#NAME?</v>
      </c>
      <c r="O123" t="e">
        <f ca="1">_xll.BDP($B$13,$C$13,CONCATENATE("PX391=", $O$115), CONCATENATE("PX392=",$O$116), CONCATENATE("DS004=",$B$108), "Fill=B")</f>
        <v>#NAME?</v>
      </c>
      <c r="P123" t="e">
        <f ca="1">_xll.BDP($B$13,$C$13,CONCATENATE("PX391=", $P$115), CONCATENATE("PX392=",$P$116), CONCATENATE("DS004=",$B$108), "Fill=B")</f>
        <v>#NAME?</v>
      </c>
      <c r="Q123" t="e">
        <f ca="1">_xll.BDP($B$13,$C$13,CONCATENATE("PX391=", $Q$115), CONCATENATE("PX392=",$Q$116), CONCATENATE("DS004=",$B$108), "Fill=B")</f>
        <v>#NAME?</v>
      </c>
      <c r="R123" t="e">
        <f ca="1">_xll.BDP($B$13,$C$13,CONCATENATE("PX391=", $R$115), CONCATENATE("PX392=",$R$116), CONCATENATE("DS004=",$B$108), "Fill=B")</f>
        <v>#NAME?</v>
      </c>
      <c r="S123" t="e">
        <f ca="1">_xll.BDP($B$13,$C$13,CONCATENATE("PX391=", $S$115), CONCATENATE("PX392=",$S$116), CONCATENATE("DS004=",$B$108), "Fill=B")</f>
        <v>#NAME?</v>
      </c>
      <c r="T123" t="e">
        <f ca="1">_xll.BDP($B$13,$C$13,CONCATENATE("PX391=", $T$115), CONCATENATE("PX392=",$T$116), CONCATENATE("DS004=",$B$108), "Fill=B")</f>
        <v>#NAME?</v>
      </c>
      <c r="U123" t="e">
        <f ca="1">_xll.BDP($B$13,$C$13,CONCATENATE("PX391=", $U$115), CONCATENATE("PX392=",$U$116), CONCATENATE("DS004=",$B$108), "Fill=B")</f>
        <v>#NAME?</v>
      </c>
      <c r="V123" t="e">
        <f ca="1">_xll.BDP($B$13,$C$13,CONCATENATE("PX391=", $V$115), CONCATENATE("PX392=",$V$116), CONCATENATE("DS004=",$B$108), "Fill=B")</f>
        <v>#NAME?</v>
      </c>
      <c r="W123" t="e">
        <f ca="1">_xll.BDP($B$13,$C$13,CONCATENATE("PX391=", $W$115), CONCATENATE("PX392=",$W$116), CONCATENATE("DS004=",$B$108), "Fill=B")</f>
        <v>#NAME?</v>
      </c>
      <c r="X123" t="e">
        <f ca="1">_xll.BDP($B$13,$C$13,CONCATENATE("PX391=", $X$115), CONCATENATE("PX392=",$X$116), CONCATENATE("DS004=",$B$108), "Fill=B")</f>
        <v>#NAME?</v>
      </c>
      <c r="Y123" t="e">
        <f ca="1">_xll.BDP($B$13,$C$13,CONCATENATE("PX391=", $Y$115), CONCATENATE("PX392=",$Y$116), CONCATENATE("DS004=",$B$108), "Fill=B")</f>
        <v>#NAME?</v>
      </c>
      <c r="Z123" t="e">
        <f ca="1">_xll.BDP($B$13,$C$13,CONCATENATE("PX391=", $Z$115), CONCATENATE("PX392=",$Z$116), CONCATENATE("DS004=",$B$108), "Fill=B")</f>
        <v>#NAME?</v>
      </c>
      <c r="AA123" t="e">
        <f ca="1">_xll.BDP($B$13,$C$13,CONCATENATE("PX391=", $AA$115), CONCATENATE("PX392=",$AA$116), CONCATENATE("DS004=",$B$108), "Fill=B")</f>
        <v>#NAME?</v>
      </c>
      <c r="AB123" t="e">
        <f ca="1">_xll.BDP($B$13,$C$13,CONCATENATE("PX391=", $AB$115), CONCATENATE("PX392=",$AB$116), CONCATENATE("DS004=",$B$108), "Fill=B")</f>
        <v>#NAME?</v>
      </c>
      <c r="AC123" t="e">
        <f ca="1">_xll.BDP($B$13,$C$13,CONCATENATE("PX391=", $AC$115), CONCATENATE("PX392=",$AC$116), CONCATENATE("DS004=",$B$108), "Fill=B")</f>
        <v>#NAME?</v>
      </c>
      <c r="AD123" t="e">
        <f ca="1">_xll.BDP($B$13,$C$13,CONCATENATE("PX391=", $AD$115), CONCATENATE("PX392=",$AD$116), CONCATENATE("DS004=",$B$108), "Fill=B")</f>
        <v>#NAME?</v>
      </c>
      <c r="AE123" t="e">
        <f ca="1">_xll.BDP($B$13,$C$13,CONCATENATE("PX391=", $AE$115), CONCATENATE("PX392=",$AE$116), CONCATENATE("DS004=",$B$108), "Fill=B")</f>
        <v>#NAME?</v>
      </c>
      <c r="AF123" t="e">
        <f ca="1">_xll.BDP($B$13,$C$13,CONCATENATE("PX391=", $AF$115), CONCATENATE("PX392=",$AF$116), CONCATENATE("DS004=",$B$108), "Fill=B")</f>
        <v>#NAME?</v>
      </c>
      <c r="AG123" t="e">
        <f ca="1">_xll.BDP($B$13,$C$13,CONCATENATE("PX391=", $AG$115), CONCATENATE("PX392=",$AG$116), CONCATENATE("DS004=",$B$108), "Fill=B")</f>
        <v>#NAME?</v>
      </c>
      <c r="AH123" t="e">
        <f ca="1">_xll.BDP($B$13,$C$13,CONCATENATE("PX391=", $AH$115), CONCATENATE("PX392=",$AH$116), CONCATENATE("DS004=",$B$108), "Fill=B")</f>
        <v>#NAME?</v>
      </c>
      <c r="AI123" t="e">
        <f ca="1">_xll.BDP($B$13,$C$13,CONCATENATE("PX391=", $AI$115), CONCATENATE("PX392=",$AI$116), CONCATENATE("DS004=",$B$108), "Fill=B")</f>
        <v>#NAME?</v>
      </c>
      <c r="AJ123" t="e">
        <f ca="1">_xll.BDP($B$13,$C$13,CONCATENATE("PX391=", $AJ$115), CONCATENATE("PX392=",$AJ$116), CONCATENATE("DS004=",$B$108), "Fill=B")</f>
        <v>#NAME?</v>
      </c>
      <c r="AK123" t="e">
        <f ca="1">_xll.BDP($B$13,$C$13,CONCATENATE("PX391=", $AK$115), CONCATENATE("PX392=",$AK$116), CONCATENATE("DS004=",$B$108), "Fill=B")</f>
        <v>#NAME?</v>
      </c>
      <c r="AL123" t="e">
        <f ca="1">_xll.BDP($B$13,$C$13,CONCATENATE("PX391=", $AL$115), CONCATENATE("PX392=",$AL$116), CONCATENATE("DS004=",$B$108), "Fill=B")</f>
        <v>#NAME?</v>
      </c>
      <c r="AM123" t="e">
        <f ca="1">_xll.BDP($B$13,$C$13,CONCATENATE("PX391=", $AM$115), CONCATENATE("PX392=",$AM$116), CONCATENATE("DS004=",$B$108), "Fill=B")</f>
        <v>#NAME?</v>
      </c>
      <c r="AN123" t="e">
        <f ca="1">_xll.BDP($B$13,$C$13,CONCATENATE("PX391=", $AN$115), CONCATENATE("PX392=",$AN$116), CONCATENATE("DS004=",$B$108), "Fill=B")</f>
        <v>#NAME?</v>
      </c>
      <c r="AO123" t="e">
        <f ca="1">_xll.BDP($B$13,$C$13,CONCATENATE("PX391=", $AO$115), CONCATENATE("PX392=",$AO$116), CONCATENATE("DS004=",$B$108), "Fill=B")</f>
        <v>#NAME?</v>
      </c>
      <c r="AP123" t="e">
        <f ca="1">_xll.BDP($B$13,$C$13,CONCATENATE("PX391=", $AP$115), CONCATENATE("PX392=",$AP$116), CONCATENATE("DS004=",$B$108), "Fill=B")</f>
        <v>#NAME?</v>
      </c>
      <c r="AQ123" t="e">
        <f ca="1">_xll.BDP($B$13,$C$13,CONCATENATE("PX391=", $AQ$115), CONCATENATE("PX392=",$AQ$116), CONCATENATE("DS004=",$B$108), "Fill=B")</f>
        <v>#NAME?</v>
      </c>
      <c r="AR123" t="e">
        <f ca="1">_xll.BDP($B$13,$C$13,CONCATENATE("PX391=", $AR$115), CONCATENATE("PX392=",$AR$116), CONCATENATE("DS004=",$B$108), "Fill=B")</f>
        <v>#NAME?</v>
      </c>
      <c r="AS123" t="e">
        <f ca="1">_xll.BDP($B$13,$C$13,CONCATENATE("PX391=", $AS$115), CONCATENATE("PX392=",$AS$116), CONCATENATE("DS004=",$B$108), "Fill=B")</f>
        <v>#NAME?</v>
      </c>
      <c r="AT123" t="str">
        <f>""</f>
        <v/>
      </c>
      <c r="AU123" t="str">
        <f>""</f>
        <v/>
      </c>
      <c r="AV123" t="str">
        <f>""</f>
        <v/>
      </c>
      <c r="AW123" t="str">
        <f>""</f>
        <v/>
      </c>
      <c r="AX123" t="str">
        <f>""</f>
        <v/>
      </c>
      <c r="AY123" t="str">
        <f>""</f>
        <v/>
      </c>
      <c r="AZ123" t="str">
        <f>""</f>
        <v/>
      </c>
      <c r="BA123" t="str">
        <f>""</f>
        <v/>
      </c>
      <c r="BB123" t="str">
        <f>""</f>
        <v/>
      </c>
      <c r="BC123" t="str">
        <f>""</f>
        <v/>
      </c>
      <c r="BD123" t="str">
        <f>""</f>
        <v/>
      </c>
      <c r="BE123" t="str">
        <f>""</f>
        <v/>
      </c>
      <c r="BF123" t="str">
        <f>""</f>
        <v/>
      </c>
      <c r="BG123" t="str">
        <f>""</f>
        <v/>
      </c>
      <c r="BH123" t="str">
        <f>""</f>
        <v/>
      </c>
      <c r="BI123" t="str">
        <f>""</f>
        <v/>
      </c>
      <c r="BJ123" t="str">
        <f>""</f>
        <v/>
      </c>
      <c r="BK123" t="str">
        <f>""</f>
        <v/>
      </c>
      <c r="BL123" t="str">
        <f>""</f>
        <v/>
      </c>
      <c r="BM123" t="str">
        <f>""</f>
        <v/>
      </c>
      <c r="BN123" t="str">
        <f>""</f>
        <v/>
      </c>
      <c r="BO123" t="str">
        <f>""</f>
        <v/>
      </c>
      <c r="BP123" t="str">
        <f>""</f>
        <v/>
      </c>
      <c r="BQ123" t="str">
        <f>""</f>
        <v/>
      </c>
      <c r="BR123" t="str">
        <f>""</f>
        <v/>
      </c>
      <c r="BS123" t="str">
        <f>""</f>
        <v/>
      </c>
      <c r="BT123" t="str">
        <f>""</f>
        <v/>
      </c>
      <c r="BU123" t="str">
        <f>""</f>
        <v/>
      </c>
      <c r="BV123" t="str">
        <f>""</f>
        <v/>
      </c>
      <c r="BW123" t="str">
        <f>""</f>
        <v/>
      </c>
      <c r="BX123" t="str">
        <f>""</f>
        <v/>
      </c>
      <c r="BY123" t="str">
        <f>""</f>
        <v/>
      </c>
      <c r="BZ123" t="str">
        <f>""</f>
        <v/>
      </c>
      <c r="CA123" t="str">
        <f>""</f>
        <v/>
      </c>
      <c r="CB123" t="str">
        <f>""</f>
        <v/>
      </c>
      <c r="CC123" t="str">
        <f>""</f>
        <v/>
      </c>
      <c r="CD123" t="str">
        <f>""</f>
        <v/>
      </c>
      <c r="CE123" t="str">
        <f>""</f>
        <v/>
      </c>
      <c r="CF123" t="str">
        <f>""</f>
        <v/>
      </c>
      <c r="CG123" t="str">
        <f>""</f>
        <v/>
      </c>
    </row>
    <row r="124" spans="1:85" x14ac:dyDescent="0.2">
      <c r="A124" t="str">
        <f>$A$14</f>
        <v xml:space="preserve">        U.S. Total Private Residential Construction Spending (NSA)</v>
      </c>
      <c r="B124" t="str">
        <f>$B$14</f>
        <v>CNNSPRRE Index</v>
      </c>
      <c r="C124" t="str">
        <f>$C$14</f>
        <v>PX385</v>
      </c>
      <c r="D124" t="str">
        <f>$D$14</f>
        <v>INTERVAL_SUM</v>
      </c>
      <c r="E124" t="str">
        <f>$E$14</f>
        <v>Dynamic</v>
      </c>
      <c r="F124" t="e">
        <f ca="1">_xll.BDP($B$14,$C$14,CONCATENATE("PX391=", $F$115), CONCATENATE("PX392=",$F$116), CONCATENATE("DS004=",$B$108), "Fill=B")</f>
        <v>#NAME?</v>
      </c>
      <c r="G124" t="e">
        <f ca="1">_xll.BDP($B$14,$C$14,CONCATENATE("PX391=", $G$115), CONCATENATE("PX392=",$G$116), CONCATENATE("DS004=",$B$108), "Fill=B")</f>
        <v>#NAME?</v>
      </c>
      <c r="H124" t="e">
        <f ca="1">_xll.BDP($B$14,$C$14,CONCATENATE("PX391=", $H$115), CONCATENATE("PX392=",$H$116), CONCATENATE("DS004=",$B$108), "Fill=B")</f>
        <v>#NAME?</v>
      </c>
      <c r="I124" t="e">
        <f ca="1">_xll.BDP($B$14,$C$14,CONCATENATE("PX391=", $I$115), CONCATENATE("PX392=",$I$116), CONCATENATE("DS004=",$B$108), "Fill=B")</f>
        <v>#NAME?</v>
      </c>
      <c r="J124" t="e">
        <f ca="1">_xll.BDP($B$14,$C$14,CONCATENATE("PX391=", $J$115), CONCATENATE("PX392=",$J$116), CONCATENATE("DS004=",$B$108), "Fill=B")</f>
        <v>#NAME?</v>
      </c>
      <c r="K124" t="e">
        <f ca="1">_xll.BDP($B$14,$C$14,CONCATENATE("PX391=", $K$115), CONCATENATE("PX392=",$K$116), CONCATENATE("DS004=",$B$108), "Fill=B")</f>
        <v>#NAME?</v>
      </c>
      <c r="L124" t="e">
        <f ca="1">_xll.BDP($B$14,$C$14,CONCATENATE("PX391=", $L$115), CONCATENATE("PX392=",$L$116), CONCATENATE("DS004=",$B$108), "Fill=B")</f>
        <v>#NAME?</v>
      </c>
      <c r="M124" t="e">
        <f ca="1">_xll.BDP($B$14,$C$14,CONCATENATE("PX391=", $M$115), CONCATENATE("PX392=",$M$116), CONCATENATE("DS004=",$B$108), "Fill=B")</f>
        <v>#NAME?</v>
      </c>
      <c r="N124" t="e">
        <f ca="1">_xll.BDP($B$14,$C$14,CONCATENATE("PX391=", $N$115), CONCATENATE("PX392=",$N$116), CONCATENATE("DS004=",$B$108), "Fill=B")</f>
        <v>#NAME?</v>
      </c>
      <c r="O124" t="e">
        <f ca="1">_xll.BDP($B$14,$C$14,CONCATENATE("PX391=", $O$115), CONCATENATE("PX392=",$O$116), CONCATENATE("DS004=",$B$108), "Fill=B")</f>
        <v>#NAME?</v>
      </c>
      <c r="P124" t="e">
        <f ca="1">_xll.BDP($B$14,$C$14,CONCATENATE("PX391=", $P$115), CONCATENATE("PX392=",$P$116), CONCATENATE("DS004=",$B$108), "Fill=B")</f>
        <v>#NAME?</v>
      </c>
      <c r="Q124" t="e">
        <f ca="1">_xll.BDP($B$14,$C$14,CONCATENATE("PX391=", $Q$115), CONCATENATE("PX392=",$Q$116), CONCATENATE("DS004=",$B$108), "Fill=B")</f>
        <v>#NAME?</v>
      </c>
      <c r="R124" t="e">
        <f ca="1">_xll.BDP($B$14,$C$14,CONCATENATE("PX391=", $R$115), CONCATENATE("PX392=",$R$116), CONCATENATE("DS004=",$B$108), "Fill=B")</f>
        <v>#NAME?</v>
      </c>
      <c r="S124" t="e">
        <f ca="1">_xll.BDP($B$14,$C$14,CONCATENATE("PX391=", $S$115), CONCATENATE("PX392=",$S$116), CONCATENATE("DS004=",$B$108), "Fill=B")</f>
        <v>#NAME?</v>
      </c>
      <c r="T124" t="e">
        <f ca="1">_xll.BDP($B$14,$C$14,CONCATENATE("PX391=", $T$115), CONCATENATE("PX392=",$T$116), CONCATENATE("DS004=",$B$108), "Fill=B")</f>
        <v>#NAME?</v>
      </c>
      <c r="U124" t="e">
        <f ca="1">_xll.BDP($B$14,$C$14,CONCATENATE("PX391=", $U$115), CONCATENATE("PX392=",$U$116), CONCATENATE("DS004=",$B$108), "Fill=B")</f>
        <v>#NAME?</v>
      </c>
      <c r="V124" t="e">
        <f ca="1">_xll.BDP($B$14,$C$14,CONCATENATE("PX391=", $V$115), CONCATENATE("PX392=",$V$116), CONCATENATE("DS004=",$B$108), "Fill=B")</f>
        <v>#NAME?</v>
      </c>
      <c r="W124" t="e">
        <f ca="1">_xll.BDP($B$14,$C$14,CONCATENATE("PX391=", $W$115), CONCATENATE("PX392=",$W$116), CONCATENATE("DS004=",$B$108), "Fill=B")</f>
        <v>#NAME?</v>
      </c>
      <c r="X124" t="e">
        <f ca="1">_xll.BDP($B$14,$C$14,CONCATENATE("PX391=", $X$115), CONCATENATE("PX392=",$X$116), CONCATENATE("DS004=",$B$108), "Fill=B")</f>
        <v>#NAME?</v>
      </c>
      <c r="Y124" t="e">
        <f ca="1">_xll.BDP($B$14,$C$14,CONCATENATE("PX391=", $Y$115), CONCATENATE("PX392=",$Y$116), CONCATENATE("DS004=",$B$108), "Fill=B")</f>
        <v>#NAME?</v>
      </c>
      <c r="Z124" t="e">
        <f ca="1">_xll.BDP($B$14,$C$14,CONCATENATE("PX391=", $Z$115), CONCATENATE("PX392=",$Z$116), CONCATENATE("DS004=",$B$108), "Fill=B")</f>
        <v>#NAME?</v>
      </c>
      <c r="AA124" t="e">
        <f ca="1">_xll.BDP($B$14,$C$14,CONCATENATE("PX391=", $AA$115), CONCATENATE("PX392=",$AA$116), CONCATENATE("DS004=",$B$108), "Fill=B")</f>
        <v>#NAME?</v>
      </c>
      <c r="AB124" t="e">
        <f ca="1">_xll.BDP($B$14,$C$14,CONCATENATE("PX391=", $AB$115), CONCATENATE("PX392=",$AB$116), CONCATENATE("DS004=",$B$108), "Fill=B")</f>
        <v>#NAME?</v>
      </c>
      <c r="AC124" t="e">
        <f ca="1">_xll.BDP($B$14,$C$14,CONCATENATE("PX391=", $AC$115), CONCATENATE("PX392=",$AC$116), CONCATENATE("DS004=",$B$108), "Fill=B")</f>
        <v>#NAME?</v>
      </c>
      <c r="AD124" t="e">
        <f ca="1">_xll.BDP($B$14,$C$14,CONCATENATE("PX391=", $AD$115), CONCATENATE("PX392=",$AD$116), CONCATENATE("DS004=",$B$108), "Fill=B")</f>
        <v>#NAME?</v>
      </c>
      <c r="AE124" t="e">
        <f ca="1">_xll.BDP($B$14,$C$14,CONCATENATE("PX391=", $AE$115), CONCATENATE("PX392=",$AE$116), CONCATENATE("DS004=",$B$108), "Fill=B")</f>
        <v>#NAME?</v>
      </c>
      <c r="AF124" t="e">
        <f ca="1">_xll.BDP($B$14,$C$14,CONCATENATE("PX391=", $AF$115), CONCATENATE("PX392=",$AF$116), CONCATENATE("DS004=",$B$108), "Fill=B")</f>
        <v>#NAME?</v>
      </c>
      <c r="AG124" t="e">
        <f ca="1">_xll.BDP($B$14,$C$14,CONCATENATE("PX391=", $AG$115), CONCATENATE("PX392=",$AG$116), CONCATENATE("DS004=",$B$108), "Fill=B")</f>
        <v>#NAME?</v>
      </c>
      <c r="AH124" t="e">
        <f ca="1">_xll.BDP($B$14,$C$14,CONCATENATE("PX391=", $AH$115), CONCATENATE("PX392=",$AH$116), CONCATENATE("DS004=",$B$108), "Fill=B")</f>
        <v>#NAME?</v>
      </c>
      <c r="AI124" t="e">
        <f ca="1">_xll.BDP($B$14,$C$14,CONCATENATE("PX391=", $AI$115), CONCATENATE("PX392=",$AI$116), CONCATENATE("DS004=",$B$108), "Fill=B")</f>
        <v>#NAME?</v>
      </c>
      <c r="AJ124" t="e">
        <f ca="1">_xll.BDP($B$14,$C$14,CONCATENATE("PX391=", $AJ$115), CONCATENATE("PX392=",$AJ$116), CONCATENATE("DS004=",$B$108), "Fill=B")</f>
        <v>#NAME?</v>
      </c>
      <c r="AK124" t="e">
        <f ca="1">_xll.BDP($B$14,$C$14,CONCATENATE("PX391=", $AK$115), CONCATENATE("PX392=",$AK$116), CONCATENATE("DS004=",$B$108), "Fill=B")</f>
        <v>#NAME?</v>
      </c>
      <c r="AL124" t="e">
        <f ca="1">_xll.BDP($B$14,$C$14,CONCATENATE("PX391=", $AL$115), CONCATENATE("PX392=",$AL$116), CONCATENATE("DS004=",$B$108), "Fill=B")</f>
        <v>#NAME?</v>
      </c>
      <c r="AM124" t="e">
        <f ca="1">_xll.BDP($B$14,$C$14,CONCATENATE("PX391=", $AM$115), CONCATENATE("PX392=",$AM$116), CONCATENATE("DS004=",$B$108), "Fill=B")</f>
        <v>#NAME?</v>
      </c>
      <c r="AN124" t="e">
        <f ca="1">_xll.BDP($B$14,$C$14,CONCATENATE("PX391=", $AN$115), CONCATENATE("PX392=",$AN$116), CONCATENATE("DS004=",$B$108), "Fill=B")</f>
        <v>#NAME?</v>
      </c>
      <c r="AO124" t="e">
        <f ca="1">_xll.BDP($B$14,$C$14,CONCATENATE("PX391=", $AO$115), CONCATENATE("PX392=",$AO$116), CONCATENATE("DS004=",$B$108), "Fill=B")</f>
        <v>#NAME?</v>
      </c>
      <c r="AP124" t="e">
        <f ca="1">_xll.BDP($B$14,$C$14,CONCATENATE("PX391=", $AP$115), CONCATENATE("PX392=",$AP$116), CONCATENATE("DS004=",$B$108), "Fill=B")</f>
        <v>#NAME?</v>
      </c>
      <c r="AQ124" t="e">
        <f ca="1">_xll.BDP($B$14,$C$14,CONCATENATE("PX391=", $AQ$115), CONCATENATE("PX392=",$AQ$116), CONCATENATE("DS004=",$B$108), "Fill=B")</f>
        <v>#NAME?</v>
      </c>
      <c r="AR124" t="e">
        <f ca="1">_xll.BDP($B$14,$C$14,CONCATENATE("PX391=", $AR$115), CONCATENATE("PX392=",$AR$116), CONCATENATE("DS004=",$B$108), "Fill=B")</f>
        <v>#NAME?</v>
      </c>
      <c r="AS124" t="e">
        <f ca="1">_xll.BDP($B$14,$C$14,CONCATENATE("PX391=", $AS$115), CONCATENATE("PX392=",$AS$116), CONCATENATE("DS004=",$B$108), "Fill=B")</f>
        <v>#NAME?</v>
      </c>
      <c r="AT124" t="str">
        <f>""</f>
        <v/>
      </c>
      <c r="AU124" t="str">
        <f>""</f>
        <v/>
      </c>
      <c r="AV124" t="str">
        <f>""</f>
        <v/>
      </c>
      <c r="AW124" t="str">
        <f>""</f>
        <v/>
      </c>
      <c r="AX124" t="str">
        <f>""</f>
        <v/>
      </c>
      <c r="AY124" t="str">
        <f>""</f>
        <v/>
      </c>
      <c r="AZ124" t="str">
        <f>""</f>
        <v/>
      </c>
      <c r="BA124" t="str">
        <f>""</f>
        <v/>
      </c>
      <c r="BB124" t="str">
        <f>""</f>
        <v/>
      </c>
      <c r="BC124" t="str">
        <f>""</f>
        <v/>
      </c>
      <c r="BD124" t="str">
        <f>""</f>
        <v/>
      </c>
      <c r="BE124" t="str">
        <f>""</f>
        <v/>
      </c>
      <c r="BF124" t="str">
        <f>""</f>
        <v/>
      </c>
      <c r="BG124" t="str">
        <f>""</f>
        <v/>
      </c>
      <c r="BH124" t="str">
        <f>""</f>
        <v/>
      </c>
      <c r="BI124" t="str">
        <f>""</f>
        <v/>
      </c>
      <c r="BJ124" t="str">
        <f>""</f>
        <v/>
      </c>
      <c r="BK124" t="str">
        <f>""</f>
        <v/>
      </c>
      <c r="BL124" t="str">
        <f>""</f>
        <v/>
      </c>
      <c r="BM124" t="str">
        <f>""</f>
        <v/>
      </c>
      <c r="BN124" t="str">
        <f>""</f>
        <v/>
      </c>
      <c r="BO124" t="str">
        <f>""</f>
        <v/>
      </c>
      <c r="BP124" t="str">
        <f>""</f>
        <v/>
      </c>
      <c r="BQ124" t="str">
        <f>""</f>
        <v/>
      </c>
      <c r="BR124" t="str">
        <f>""</f>
        <v/>
      </c>
      <c r="BS124" t="str">
        <f>""</f>
        <v/>
      </c>
      <c r="BT124" t="str">
        <f>""</f>
        <v/>
      </c>
      <c r="BU124" t="str">
        <f>""</f>
        <v/>
      </c>
      <c r="BV124" t="str">
        <f>""</f>
        <v/>
      </c>
      <c r="BW124" t="str">
        <f>""</f>
        <v/>
      </c>
      <c r="BX124" t="str">
        <f>""</f>
        <v/>
      </c>
      <c r="BY124" t="str">
        <f>""</f>
        <v/>
      </c>
      <c r="BZ124" t="str">
        <f>""</f>
        <v/>
      </c>
      <c r="CA124" t="str">
        <f>""</f>
        <v/>
      </c>
      <c r="CB124" t="str">
        <f>""</f>
        <v/>
      </c>
      <c r="CC124" t="str">
        <f>""</f>
        <v/>
      </c>
      <c r="CD124" t="str">
        <f>""</f>
        <v/>
      </c>
      <c r="CE124" t="str">
        <f>""</f>
        <v/>
      </c>
      <c r="CF124" t="str">
        <f>""</f>
        <v/>
      </c>
      <c r="CG124" t="str">
        <f>""</f>
        <v/>
      </c>
    </row>
    <row r="125" spans="1:85" x14ac:dyDescent="0.2">
      <c r="A125" t="str">
        <f>$A$15</f>
        <v xml:space="preserve">        U.S. Total Private Non-Res Construction Spending (NSA)</v>
      </c>
      <c r="B125" t="str">
        <f>$B$15</f>
        <v>CNNSPRNR Index</v>
      </c>
      <c r="C125" t="str">
        <f>$C$15</f>
        <v>PX385</v>
      </c>
      <c r="D125" t="str">
        <f>$D$15</f>
        <v>INTERVAL_SUM</v>
      </c>
      <c r="E125" t="str">
        <f>$E$15</f>
        <v>Dynamic</v>
      </c>
      <c r="F125" t="e">
        <f ca="1">_xll.BDP($B$15,$C$15,CONCATENATE("PX391=", $F$115), CONCATENATE("PX392=",$F$116), CONCATENATE("DS004=",$B$108), "Fill=B")</f>
        <v>#NAME?</v>
      </c>
      <c r="G125" t="e">
        <f ca="1">_xll.BDP($B$15,$C$15,CONCATENATE("PX391=", $G$115), CONCATENATE("PX392=",$G$116), CONCATENATE("DS004=",$B$108), "Fill=B")</f>
        <v>#NAME?</v>
      </c>
      <c r="H125" t="e">
        <f ca="1">_xll.BDP($B$15,$C$15,CONCATENATE("PX391=", $H$115), CONCATENATE("PX392=",$H$116), CONCATENATE("DS004=",$B$108), "Fill=B")</f>
        <v>#NAME?</v>
      </c>
      <c r="I125" t="e">
        <f ca="1">_xll.BDP($B$15,$C$15,CONCATENATE("PX391=", $I$115), CONCATENATE("PX392=",$I$116), CONCATENATE("DS004=",$B$108), "Fill=B")</f>
        <v>#NAME?</v>
      </c>
      <c r="J125" t="e">
        <f ca="1">_xll.BDP($B$15,$C$15,CONCATENATE("PX391=", $J$115), CONCATENATE("PX392=",$J$116), CONCATENATE("DS004=",$B$108), "Fill=B")</f>
        <v>#NAME?</v>
      </c>
      <c r="K125" t="e">
        <f ca="1">_xll.BDP($B$15,$C$15,CONCATENATE("PX391=", $K$115), CONCATENATE("PX392=",$K$116), CONCATENATE("DS004=",$B$108), "Fill=B")</f>
        <v>#NAME?</v>
      </c>
      <c r="L125" t="e">
        <f ca="1">_xll.BDP($B$15,$C$15,CONCATENATE("PX391=", $L$115), CONCATENATE("PX392=",$L$116), CONCATENATE("DS004=",$B$108), "Fill=B")</f>
        <v>#NAME?</v>
      </c>
      <c r="M125" t="e">
        <f ca="1">_xll.BDP($B$15,$C$15,CONCATENATE("PX391=", $M$115), CONCATENATE("PX392=",$M$116), CONCATENATE("DS004=",$B$108), "Fill=B")</f>
        <v>#NAME?</v>
      </c>
      <c r="N125" t="e">
        <f ca="1">_xll.BDP($B$15,$C$15,CONCATENATE("PX391=", $N$115), CONCATENATE("PX392=",$N$116), CONCATENATE("DS004=",$B$108), "Fill=B")</f>
        <v>#NAME?</v>
      </c>
      <c r="O125" t="e">
        <f ca="1">_xll.BDP($B$15,$C$15,CONCATENATE("PX391=", $O$115), CONCATENATE("PX392=",$O$116), CONCATENATE("DS004=",$B$108), "Fill=B")</f>
        <v>#NAME?</v>
      </c>
      <c r="P125" t="e">
        <f ca="1">_xll.BDP($B$15,$C$15,CONCATENATE("PX391=", $P$115), CONCATENATE("PX392=",$P$116), CONCATENATE("DS004=",$B$108), "Fill=B")</f>
        <v>#NAME?</v>
      </c>
      <c r="Q125" t="e">
        <f ca="1">_xll.BDP($B$15,$C$15,CONCATENATE("PX391=", $Q$115), CONCATENATE("PX392=",$Q$116), CONCATENATE("DS004=",$B$108), "Fill=B")</f>
        <v>#NAME?</v>
      </c>
      <c r="R125" t="e">
        <f ca="1">_xll.BDP($B$15,$C$15,CONCATENATE("PX391=", $R$115), CONCATENATE("PX392=",$R$116), CONCATENATE("DS004=",$B$108), "Fill=B")</f>
        <v>#NAME?</v>
      </c>
      <c r="S125" t="e">
        <f ca="1">_xll.BDP($B$15,$C$15,CONCATENATE("PX391=", $S$115), CONCATENATE("PX392=",$S$116), CONCATENATE("DS004=",$B$108), "Fill=B")</f>
        <v>#NAME?</v>
      </c>
      <c r="T125" t="e">
        <f ca="1">_xll.BDP($B$15,$C$15,CONCATENATE("PX391=", $T$115), CONCATENATE("PX392=",$T$116), CONCATENATE("DS004=",$B$108), "Fill=B")</f>
        <v>#NAME?</v>
      </c>
      <c r="U125" t="e">
        <f ca="1">_xll.BDP($B$15,$C$15,CONCATENATE("PX391=", $U$115), CONCATENATE("PX392=",$U$116), CONCATENATE("DS004=",$B$108), "Fill=B")</f>
        <v>#NAME?</v>
      </c>
      <c r="V125" t="e">
        <f ca="1">_xll.BDP($B$15,$C$15,CONCATENATE("PX391=", $V$115), CONCATENATE("PX392=",$V$116), CONCATENATE("DS004=",$B$108), "Fill=B")</f>
        <v>#NAME?</v>
      </c>
      <c r="W125" t="e">
        <f ca="1">_xll.BDP($B$15,$C$15,CONCATENATE("PX391=", $W$115), CONCATENATE("PX392=",$W$116), CONCATENATE("DS004=",$B$108), "Fill=B")</f>
        <v>#NAME?</v>
      </c>
      <c r="X125" t="e">
        <f ca="1">_xll.BDP($B$15,$C$15,CONCATENATE("PX391=", $X$115), CONCATENATE("PX392=",$X$116), CONCATENATE("DS004=",$B$108), "Fill=B")</f>
        <v>#NAME?</v>
      </c>
      <c r="Y125" t="e">
        <f ca="1">_xll.BDP($B$15,$C$15,CONCATENATE("PX391=", $Y$115), CONCATENATE("PX392=",$Y$116), CONCATENATE("DS004=",$B$108), "Fill=B")</f>
        <v>#NAME?</v>
      </c>
      <c r="Z125" t="e">
        <f ca="1">_xll.BDP($B$15,$C$15,CONCATENATE("PX391=", $Z$115), CONCATENATE("PX392=",$Z$116), CONCATENATE("DS004=",$B$108), "Fill=B")</f>
        <v>#NAME?</v>
      </c>
      <c r="AA125" t="e">
        <f ca="1">_xll.BDP($B$15,$C$15,CONCATENATE("PX391=", $AA$115), CONCATENATE("PX392=",$AA$116), CONCATENATE("DS004=",$B$108), "Fill=B")</f>
        <v>#NAME?</v>
      </c>
      <c r="AB125" t="e">
        <f ca="1">_xll.BDP($B$15,$C$15,CONCATENATE("PX391=", $AB$115), CONCATENATE("PX392=",$AB$116), CONCATENATE("DS004=",$B$108), "Fill=B")</f>
        <v>#NAME?</v>
      </c>
      <c r="AC125" t="e">
        <f ca="1">_xll.BDP($B$15,$C$15,CONCATENATE("PX391=", $AC$115), CONCATENATE("PX392=",$AC$116), CONCATENATE("DS004=",$B$108), "Fill=B")</f>
        <v>#NAME?</v>
      </c>
      <c r="AD125" t="e">
        <f ca="1">_xll.BDP($B$15,$C$15,CONCATENATE("PX391=", $AD$115), CONCATENATE("PX392=",$AD$116), CONCATENATE("DS004=",$B$108), "Fill=B")</f>
        <v>#NAME?</v>
      </c>
      <c r="AE125" t="e">
        <f ca="1">_xll.BDP($B$15,$C$15,CONCATENATE("PX391=", $AE$115), CONCATENATE("PX392=",$AE$116), CONCATENATE("DS004=",$B$108), "Fill=B")</f>
        <v>#NAME?</v>
      </c>
      <c r="AF125" t="e">
        <f ca="1">_xll.BDP($B$15,$C$15,CONCATENATE("PX391=", $AF$115), CONCATENATE("PX392=",$AF$116), CONCATENATE("DS004=",$B$108), "Fill=B")</f>
        <v>#NAME?</v>
      </c>
      <c r="AG125" t="e">
        <f ca="1">_xll.BDP($B$15,$C$15,CONCATENATE("PX391=", $AG$115), CONCATENATE("PX392=",$AG$116), CONCATENATE("DS004=",$B$108), "Fill=B")</f>
        <v>#NAME?</v>
      </c>
      <c r="AH125" t="e">
        <f ca="1">_xll.BDP($B$15,$C$15,CONCATENATE("PX391=", $AH$115), CONCATENATE("PX392=",$AH$116), CONCATENATE("DS004=",$B$108), "Fill=B")</f>
        <v>#NAME?</v>
      </c>
      <c r="AI125" t="e">
        <f ca="1">_xll.BDP($B$15,$C$15,CONCATENATE("PX391=", $AI$115), CONCATENATE("PX392=",$AI$116), CONCATENATE("DS004=",$B$108), "Fill=B")</f>
        <v>#NAME?</v>
      </c>
      <c r="AJ125" t="e">
        <f ca="1">_xll.BDP($B$15,$C$15,CONCATENATE("PX391=", $AJ$115), CONCATENATE("PX392=",$AJ$116), CONCATENATE("DS004=",$B$108), "Fill=B")</f>
        <v>#NAME?</v>
      </c>
      <c r="AK125" t="e">
        <f ca="1">_xll.BDP($B$15,$C$15,CONCATENATE("PX391=", $AK$115), CONCATENATE("PX392=",$AK$116), CONCATENATE("DS004=",$B$108), "Fill=B")</f>
        <v>#NAME?</v>
      </c>
      <c r="AL125" t="e">
        <f ca="1">_xll.BDP($B$15,$C$15,CONCATENATE("PX391=", $AL$115), CONCATENATE("PX392=",$AL$116), CONCATENATE("DS004=",$B$108), "Fill=B")</f>
        <v>#NAME?</v>
      </c>
      <c r="AM125" t="e">
        <f ca="1">_xll.BDP($B$15,$C$15,CONCATENATE("PX391=", $AM$115), CONCATENATE("PX392=",$AM$116), CONCATENATE("DS004=",$B$108), "Fill=B")</f>
        <v>#NAME?</v>
      </c>
      <c r="AN125" t="e">
        <f ca="1">_xll.BDP($B$15,$C$15,CONCATENATE("PX391=", $AN$115), CONCATENATE("PX392=",$AN$116), CONCATENATE("DS004=",$B$108), "Fill=B")</f>
        <v>#NAME?</v>
      </c>
      <c r="AO125" t="e">
        <f ca="1">_xll.BDP($B$15,$C$15,CONCATENATE("PX391=", $AO$115), CONCATENATE("PX392=",$AO$116), CONCATENATE("DS004=",$B$108), "Fill=B")</f>
        <v>#NAME?</v>
      </c>
      <c r="AP125" t="e">
        <f ca="1">_xll.BDP($B$15,$C$15,CONCATENATE("PX391=", $AP$115), CONCATENATE("PX392=",$AP$116), CONCATENATE("DS004=",$B$108), "Fill=B")</f>
        <v>#NAME?</v>
      </c>
      <c r="AQ125" t="e">
        <f ca="1">_xll.BDP($B$15,$C$15,CONCATENATE("PX391=", $AQ$115), CONCATENATE("PX392=",$AQ$116), CONCATENATE("DS004=",$B$108), "Fill=B")</f>
        <v>#NAME?</v>
      </c>
      <c r="AR125" t="e">
        <f ca="1">_xll.BDP($B$15,$C$15,CONCATENATE("PX391=", $AR$115), CONCATENATE("PX392=",$AR$116), CONCATENATE("DS004=",$B$108), "Fill=B")</f>
        <v>#NAME?</v>
      </c>
      <c r="AS125" t="e">
        <f ca="1">_xll.BDP($B$15,$C$15,CONCATENATE("PX391=", $AS$115), CONCATENATE("PX392=",$AS$116), CONCATENATE("DS004=",$B$108), "Fill=B")</f>
        <v>#NAME?</v>
      </c>
      <c r="AT125" t="str">
        <f>""</f>
        <v/>
      </c>
      <c r="AU125" t="str">
        <f>""</f>
        <v/>
      </c>
      <c r="AV125" t="str">
        <f>""</f>
        <v/>
      </c>
      <c r="AW125" t="str">
        <f>""</f>
        <v/>
      </c>
      <c r="AX125" t="str">
        <f>""</f>
        <v/>
      </c>
      <c r="AY125" t="str">
        <f>""</f>
        <v/>
      </c>
      <c r="AZ125" t="str">
        <f>""</f>
        <v/>
      </c>
      <c r="BA125" t="str">
        <f>""</f>
        <v/>
      </c>
      <c r="BB125" t="str">
        <f>""</f>
        <v/>
      </c>
      <c r="BC125" t="str">
        <f>""</f>
        <v/>
      </c>
      <c r="BD125" t="str">
        <f>""</f>
        <v/>
      </c>
      <c r="BE125" t="str">
        <f>""</f>
        <v/>
      </c>
      <c r="BF125" t="str">
        <f>""</f>
        <v/>
      </c>
      <c r="BG125" t="str">
        <f>""</f>
        <v/>
      </c>
      <c r="BH125" t="str">
        <f>""</f>
        <v/>
      </c>
      <c r="BI125" t="str">
        <f>""</f>
        <v/>
      </c>
      <c r="BJ125" t="str">
        <f>""</f>
        <v/>
      </c>
      <c r="BK125" t="str">
        <f>""</f>
        <v/>
      </c>
      <c r="BL125" t="str">
        <f>""</f>
        <v/>
      </c>
      <c r="BM125" t="str">
        <f>""</f>
        <v/>
      </c>
      <c r="BN125" t="str">
        <f>""</f>
        <v/>
      </c>
      <c r="BO125" t="str">
        <f>""</f>
        <v/>
      </c>
      <c r="BP125" t="str">
        <f>""</f>
        <v/>
      </c>
      <c r="BQ125" t="str">
        <f>""</f>
        <v/>
      </c>
      <c r="BR125" t="str">
        <f>""</f>
        <v/>
      </c>
      <c r="BS125" t="str">
        <f>""</f>
        <v/>
      </c>
      <c r="BT125" t="str">
        <f>""</f>
        <v/>
      </c>
      <c r="BU125" t="str">
        <f>""</f>
        <v/>
      </c>
      <c r="BV125" t="str">
        <f>""</f>
        <v/>
      </c>
      <c r="BW125" t="str">
        <f>""</f>
        <v/>
      </c>
      <c r="BX125" t="str">
        <f>""</f>
        <v/>
      </c>
      <c r="BY125" t="str">
        <f>""</f>
        <v/>
      </c>
      <c r="BZ125" t="str">
        <f>""</f>
        <v/>
      </c>
      <c r="CA125" t="str">
        <f>""</f>
        <v/>
      </c>
      <c r="CB125" t="str">
        <f>""</f>
        <v/>
      </c>
      <c r="CC125" t="str">
        <f>""</f>
        <v/>
      </c>
      <c r="CD125" t="str">
        <f>""</f>
        <v/>
      </c>
      <c r="CE125" t="str">
        <f>""</f>
        <v/>
      </c>
      <c r="CF125" t="str">
        <f>""</f>
        <v/>
      </c>
      <c r="CG125" t="str">
        <f>""</f>
        <v/>
      </c>
    </row>
    <row r="126" spans="1:85" x14ac:dyDescent="0.2">
      <c r="A126" t="str">
        <f>$A$16</f>
        <v xml:space="preserve">    U.S. Total Public Construction Spending (NSA)</v>
      </c>
      <c r="B126" t="str">
        <f>$B$16</f>
        <v>CNNSPUTO Index</v>
      </c>
      <c r="C126" t="str">
        <f>$C$16</f>
        <v>PX385</v>
      </c>
      <c r="D126" t="str">
        <f>$D$16</f>
        <v>INTERVAL_SUM</v>
      </c>
      <c r="E126" t="str">
        <f>$E$16</f>
        <v>Dynamic</v>
      </c>
      <c r="F126" t="e">
        <f ca="1">_xll.BDP($B$16,$C$16,CONCATENATE("PX391=", $F$115), CONCATENATE("PX392=",$F$116), CONCATENATE("DS004=",$B$108), "Fill=B")</f>
        <v>#NAME?</v>
      </c>
      <c r="G126" t="e">
        <f ca="1">_xll.BDP($B$16,$C$16,CONCATENATE("PX391=", $G$115), CONCATENATE("PX392=",$G$116), CONCATENATE("DS004=",$B$108), "Fill=B")</f>
        <v>#NAME?</v>
      </c>
      <c r="H126" t="e">
        <f ca="1">_xll.BDP($B$16,$C$16,CONCATENATE("PX391=", $H$115), CONCATENATE("PX392=",$H$116), CONCATENATE("DS004=",$B$108), "Fill=B")</f>
        <v>#NAME?</v>
      </c>
      <c r="I126" t="e">
        <f ca="1">_xll.BDP($B$16,$C$16,CONCATENATE("PX391=", $I$115), CONCATENATE("PX392=",$I$116), CONCATENATE("DS004=",$B$108), "Fill=B")</f>
        <v>#NAME?</v>
      </c>
      <c r="J126" t="e">
        <f ca="1">_xll.BDP($B$16,$C$16,CONCATENATE("PX391=", $J$115), CONCATENATE("PX392=",$J$116), CONCATENATE("DS004=",$B$108), "Fill=B")</f>
        <v>#NAME?</v>
      </c>
      <c r="K126" t="e">
        <f ca="1">_xll.BDP($B$16,$C$16,CONCATENATE("PX391=", $K$115), CONCATENATE("PX392=",$K$116), CONCATENATE("DS004=",$B$108), "Fill=B")</f>
        <v>#NAME?</v>
      </c>
      <c r="L126" t="e">
        <f ca="1">_xll.BDP($B$16,$C$16,CONCATENATE("PX391=", $L$115), CONCATENATE("PX392=",$L$116), CONCATENATE("DS004=",$B$108), "Fill=B")</f>
        <v>#NAME?</v>
      </c>
      <c r="M126" t="e">
        <f ca="1">_xll.BDP($B$16,$C$16,CONCATENATE("PX391=", $M$115), CONCATENATE("PX392=",$M$116), CONCATENATE("DS004=",$B$108), "Fill=B")</f>
        <v>#NAME?</v>
      </c>
      <c r="N126" t="e">
        <f ca="1">_xll.BDP($B$16,$C$16,CONCATENATE("PX391=", $N$115), CONCATENATE("PX392=",$N$116), CONCATENATE("DS004=",$B$108), "Fill=B")</f>
        <v>#NAME?</v>
      </c>
      <c r="O126" t="e">
        <f ca="1">_xll.BDP($B$16,$C$16,CONCATENATE("PX391=", $O$115), CONCATENATE("PX392=",$O$116), CONCATENATE("DS004=",$B$108), "Fill=B")</f>
        <v>#NAME?</v>
      </c>
      <c r="P126" t="e">
        <f ca="1">_xll.BDP($B$16,$C$16,CONCATENATE("PX391=", $P$115), CONCATENATE("PX392=",$P$116), CONCATENATE("DS004=",$B$108), "Fill=B")</f>
        <v>#NAME?</v>
      </c>
      <c r="Q126" t="e">
        <f ca="1">_xll.BDP($B$16,$C$16,CONCATENATE("PX391=", $Q$115), CONCATENATE("PX392=",$Q$116), CONCATENATE("DS004=",$B$108), "Fill=B")</f>
        <v>#NAME?</v>
      </c>
      <c r="R126" t="e">
        <f ca="1">_xll.BDP($B$16,$C$16,CONCATENATE("PX391=", $R$115), CONCATENATE("PX392=",$R$116), CONCATENATE("DS004=",$B$108), "Fill=B")</f>
        <v>#NAME?</v>
      </c>
      <c r="S126" t="e">
        <f ca="1">_xll.BDP($B$16,$C$16,CONCATENATE("PX391=", $S$115), CONCATENATE("PX392=",$S$116), CONCATENATE("DS004=",$B$108), "Fill=B")</f>
        <v>#NAME?</v>
      </c>
      <c r="T126" t="e">
        <f ca="1">_xll.BDP($B$16,$C$16,CONCATENATE("PX391=", $T$115), CONCATENATE("PX392=",$T$116), CONCATENATE("DS004=",$B$108), "Fill=B")</f>
        <v>#NAME?</v>
      </c>
      <c r="U126" t="e">
        <f ca="1">_xll.BDP($B$16,$C$16,CONCATENATE("PX391=", $U$115), CONCATENATE("PX392=",$U$116), CONCATENATE("DS004=",$B$108), "Fill=B")</f>
        <v>#NAME?</v>
      </c>
      <c r="V126" t="e">
        <f ca="1">_xll.BDP($B$16,$C$16,CONCATENATE("PX391=", $V$115), CONCATENATE("PX392=",$V$116), CONCATENATE("DS004=",$B$108), "Fill=B")</f>
        <v>#NAME?</v>
      </c>
      <c r="W126" t="e">
        <f ca="1">_xll.BDP($B$16,$C$16,CONCATENATE("PX391=", $W$115), CONCATENATE("PX392=",$W$116), CONCATENATE("DS004=",$B$108), "Fill=B")</f>
        <v>#NAME?</v>
      </c>
      <c r="X126" t="e">
        <f ca="1">_xll.BDP($B$16,$C$16,CONCATENATE("PX391=", $X$115), CONCATENATE("PX392=",$X$116), CONCATENATE("DS004=",$B$108), "Fill=B")</f>
        <v>#NAME?</v>
      </c>
      <c r="Y126" t="e">
        <f ca="1">_xll.BDP($B$16,$C$16,CONCATENATE("PX391=", $Y$115), CONCATENATE("PX392=",$Y$116), CONCATENATE("DS004=",$B$108), "Fill=B")</f>
        <v>#NAME?</v>
      </c>
      <c r="Z126" t="e">
        <f ca="1">_xll.BDP($B$16,$C$16,CONCATENATE("PX391=", $Z$115), CONCATENATE("PX392=",$Z$116), CONCATENATE("DS004=",$B$108), "Fill=B")</f>
        <v>#NAME?</v>
      </c>
      <c r="AA126" t="e">
        <f ca="1">_xll.BDP($B$16,$C$16,CONCATENATE("PX391=", $AA$115), CONCATENATE("PX392=",$AA$116), CONCATENATE("DS004=",$B$108), "Fill=B")</f>
        <v>#NAME?</v>
      </c>
      <c r="AB126" t="e">
        <f ca="1">_xll.BDP($B$16,$C$16,CONCATENATE("PX391=", $AB$115), CONCATENATE("PX392=",$AB$116), CONCATENATE("DS004=",$B$108), "Fill=B")</f>
        <v>#NAME?</v>
      </c>
      <c r="AC126" t="e">
        <f ca="1">_xll.BDP($B$16,$C$16,CONCATENATE("PX391=", $AC$115), CONCATENATE("PX392=",$AC$116), CONCATENATE("DS004=",$B$108), "Fill=B")</f>
        <v>#NAME?</v>
      </c>
      <c r="AD126" t="e">
        <f ca="1">_xll.BDP($B$16,$C$16,CONCATENATE("PX391=", $AD$115), CONCATENATE("PX392=",$AD$116), CONCATENATE("DS004=",$B$108), "Fill=B")</f>
        <v>#NAME?</v>
      </c>
      <c r="AE126" t="e">
        <f ca="1">_xll.BDP($B$16,$C$16,CONCATENATE("PX391=", $AE$115), CONCATENATE("PX392=",$AE$116), CONCATENATE("DS004=",$B$108), "Fill=B")</f>
        <v>#NAME?</v>
      </c>
      <c r="AF126" t="e">
        <f ca="1">_xll.BDP($B$16,$C$16,CONCATENATE("PX391=", $AF$115), CONCATENATE("PX392=",$AF$116), CONCATENATE("DS004=",$B$108), "Fill=B")</f>
        <v>#NAME?</v>
      </c>
      <c r="AG126" t="e">
        <f ca="1">_xll.BDP($B$16,$C$16,CONCATENATE("PX391=", $AG$115), CONCATENATE("PX392=",$AG$116), CONCATENATE("DS004=",$B$108), "Fill=B")</f>
        <v>#NAME?</v>
      </c>
      <c r="AH126" t="e">
        <f ca="1">_xll.BDP($B$16,$C$16,CONCATENATE("PX391=", $AH$115), CONCATENATE("PX392=",$AH$116), CONCATENATE("DS004=",$B$108), "Fill=B")</f>
        <v>#NAME?</v>
      </c>
      <c r="AI126" t="e">
        <f ca="1">_xll.BDP($B$16,$C$16,CONCATENATE("PX391=", $AI$115), CONCATENATE("PX392=",$AI$116), CONCATENATE("DS004=",$B$108), "Fill=B")</f>
        <v>#NAME?</v>
      </c>
      <c r="AJ126" t="e">
        <f ca="1">_xll.BDP($B$16,$C$16,CONCATENATE("PX391=", $AJ$115), CONCATENATE("PX392=",$AJ$116), CONCATENATE("DS004=",$B$108), "Fill=B")</f>
        <v>#NAME?</v>
      </c>
      <c r="AK126" t="e">
        <f ca="1">_xll.BDP($B$16,$C$16,CONCATENATE("PX391=", $AK$115), CONCATENATE("PX392=",$AK$116), CONCATENATE("DS004=",$B$108), "Fill=B")</f>
        <v>#NAME?</v>
      </c>
      <c r="AL126" t="e">
        <f ca="1">_xll.BDP($B$16,$C$16,CONCATENATE("PX391=", $AL$115), CONCATENATE("PX392=",$AL$116), CONCATENATE("DS004=",$B$108), "Fill=B")</f>
        <v>#NAME?</v>
      </c>
      <c r="AM126" t="e">
        <f ca="1">_xll.BDP($B$16,$C$16,CONCATENATE("PX391=", $AM$115), CONCATENATE("PX392=",$AM$116), CONCATENATE("DS004=",$B$108), "Fill=B")</f>
        <v>#NAME?</v>
      </c>
      <c r="AN126" t="e">
        <f ca="1">_xll.BDP($B$16,$C$16,CONCATENATE("PX391=", $AN$115), CONCATENATE("PX392=",$AN$116), CONCATENATE("DS004=",$B$108), "Fill=B")</f>
        <v>#NAME?</v>
      </c>
      <c r="AO126" t="e">
        <f ca="1">_xll.BDP($B$16,$C$16,CONCATENATE("PX391=", $AO$115), CONCATENATE("PX392=",$AO$116), CONCATENATE("DS004=",$B$108), "Fill=B")</f>
        <v>#NAME?</v>
      </c>
      <c r="AP126" t="e">
        <f ca="1">_xll.BDP($B$16,$C$16,CONCATENATE("PX391=", $AP$115), CONCATENATE("PX392=",$AP$116), CONCATENATE("DS004=",$B$108), "Fill=B")</f>
        <v>#NAME?</v>
      </c>
      <c r="AQ126" t="e">
        <f ca="1">_xll.BDP($B$16,$C$16,CONCATENATE("PX391=", $AQ$115), CONCATENATE("PX392=",$AQ$116), CONCATENATE("DS004=",$B$108), "Fill=B")</f>
        <v>#NAME?</v>
      </c>
      <c r="AR126" t="e">
        <f ca="1">_xll.BDP($B$16,$C$16,CONCATENATE("PX391=", $AR$115), CONCATENATE("PX392=",$AR$116), CONCATENATE("DS004=",$B$108), "Fill=B")</f>
        <v>#NAME?</v>
      </c>
      <c r="AS126" t="e">
        <f ca="1">_xll.BDP($B$16,$C$16,CONCATENATE("PX391=", $AS$115), CONCATENATE("PX392=",$AS$116), CONCATENATE("DS004=",$B$108), "Fill=B")</f>
        <v>#NAME?</v>
      </c>
      <c r="AT126" t="str">
        <f>""</f>
        <v/>
      </c>
      <c r="AU126" t="str">
        <f>""</f>
        <v/>
      </c>
      <c r="AV126" t="str">
        <f>""</f>
        <v/>
      </c>
      <c r="AW126" t="str">
        <f>""</f>
        <v/>
      </c>
      <c r="AX126" t="str">
        <f>""</f>
        <v/>
      </c>
      <c r="AY126" t="str">
        <f>""</f>
        <v/>
      </c>
      <c r="AZ126" t="str">
        <f>""</f>
        <v/>
      </c>
      <c r="BA126" t="str">
        <f>""</f>
        <v/>
      </c>
      <c r="BB126" t="str">
        <f>""</f>
        <v/>
      </c>
      <c r="BC126" t="str">
        <f>""</f>
        <v/>
      </c>
      <c r="BD126" t="str">
        <f>""</f>
        <v/>
      </c>
      <c r="BE126" t="str">
        <f>""</f>
        <v/>
      </c>
      <c r="BF126" t="str">
        <f>""</f>
        <v/>
      </c>
      <c r="BG126" t="str">
        <f>""</f>
        <v/>
      </c>
      <c r="BH126" t="str">
        <f>""</f>
        <v/>
      </c>
      <c r="BI126" t="str">
        <f>""</f>
        <v/>
      </c>
      <c r="BJ126" t="str">
        <f>""</f>
        <v/>
      </c>
      <c r="BK126" t="str">
        <f>""</f>
        <v/>
      </c>
      <c r="BL126" t="str">
        <f>""</f>
        <v/>
      </c>
      <c r="BM126" t="str">
        <f>""</f>
        <v/>
      </c>
      <c r="BN126" t="str">
        <f>""</f>
        <v/>
      </c>
      <c r="BO126" t="str">
        <f>""</f>
        <v/>
      </c>
      <c r="BP126" t="str">
        <f>""</f>
        <v/>
      </c>
      <c r="BQ126" t="str">
        <f>""</f>
        <v/>
      </c>
      <c r="BR126" t="str">
        <f>""</f>
        <v/>
      </c>
      <c r="BS126" t="str">
        <f>""</f>
        <v/>
      </c>
      <c r="BT126" t="str">
        <f>""</f>
        <v/>
      </c>
      <c r="BU126" t="str">
        <f>""</f>
        <v/>
      </c>
      <c r="BV126" t="str">
        <f>""</f>
        <v/>
      </c>
      <c r="BW126" t="str">
        <f>""</f>
        <v/>
      </c>
      <c r="BX126" t="str">
        <f>""</f>
        <v/>
      </c>
      <c r="BY126" t="str">
        <f>""</f>
        <v/>
      </c>
      <c r="BZ126" t="str">
        <f>""</f>
        <v/>
      </c>
      <c r="CA126" t="str">
        <f>""</f>
        <v/>
      </c>
      <c r="CB126" t="str">
        <f>""</f>
        <v/>
      </c>
      <c r="CC126" t="str">
        <f>""</f>
        <v/>
      </c>
      <c r="CD126" t="str">
        <f>""</f>
        <v/>
      </c>
      <c r="CE126" t="str">
        <f>""</f>
        <v/>
      </c>
      <c r="CF126" t="str">
        <f>""</f>
        <v/>
      </c>
      <c r="CG126" t="str">
        <f>""</f>
        <v/>
      </c>
    </row>
    <row r="127" spans="1:85" x14ac:dyDescent="0.2">
      <c r="A127" t="str">
        <f>$A$17</f>
        <v xml:space="preserve">        U.S. Total Public Residential  Construction Spending (NSA)</v>
      </c>
      <c r="B127" t="str">
        <f>$B$17</f>
        <v>CNNSPURE Index</v>
      </c>
      <c r="C127" t="str">
        <f>$C$17</f>
        <v>PX385</v>
      </c>
      <c r="D127" t="str">
        <f>$D$17</f>
        <v>INTERVAL_SUM</v>
      </c>
      <c r="E127" t="str">
        <f>$E$17</f>
        <v>Dynamic</v>
      </c>
      <c r="F127" t="e">
        <f ca="1">_xll.BDP($B$17,$C$17,CONCATENATE("PX391=", $F$115), CONCATENATE("PX392=",$F$116), CONCATENATE("DS004=",$B$108), "Fill=B")</f>
        <v>#NAME?</v>
      </c>
      <c r="G127" t="e">
        <f ca="1">_xll.BDP($B$17,$C$17,CONCATENATE("PX391=", $G$115), CONCATENATE("PX392=",$G$116), CONCATENATE("DS004=",$B$108), "Fill=B")</f>
        <v>#NAME?</v>
      </c>
      <c r="H127" t="e">
        <f ca="1">_xll.BDP($B$17,$C$17,CONCATENATE("PX391=", $H$115), CONCATENATE("PX392=",$H$116), CONCATENATE("DS004=",$B$108), "Fill=B")</f>
        <v>#NAME?</v>
      </c>
      <c r="I127" t="e">
        <f ca="1">_xll.BDP($B$17,$C$17,CONCATENATE("PX391=", $I$115), CONCATENATE("PX392=",$I$116), CONCATENATE("DS004=",$B$108), "Fill=B")</f>
        <v>#NAME?</v>
      </c>
      <c r="J127" t="e">
        <f ca="1">_xll.BDP($B$17,$C$17,CONCATENATE("PX391=", $J$115), CONCATENATE("PX392=",$J$116), CONCATENATE("DS004=",$B$108), "Fill=B")</f>
        <v>#NAME?</v>
      </c>
      <c r="K127" t="e">
        <f ca="1">_xll.BDP($B$17,$C$17,CONCATENATE("PX391=", $K$115), CONCATENATE("PX392=",$K$116), CONCATENATE("DS004=",$B$108), "Fill=B")</f>
        <v>#NAME?</v>
      </c>
      <c r="L127" t="e">
        <f ca="1">_xll.BDP($B$17,$C$17,CONCATENATE("PX391=", $L$115), CONCATENATE("PX392=",$L$116), CONCATENATE("DS004=",$B$108), "Fill=B")</f>
        <v>#NAME?</v>
      </c>
      <c r="M127" t="e">
        <f ca="1">_xll.BDP($B$17,$C$17,CONCATENATE("PX391=", $M$115), CONCATENATE("PX392=",$M$116), CONCATENATE("DS004=",$B$108), "Fill=B")</f>
        <v>#NAME?</v>
      </c>
      <c r="N127" t="e">
        <f ca="1">_xll.BDP($B$17,$C$17,CONCATENATE("PX391=", $N$115), CONCATENATE("PX392=",$N$116), CONCATENATE("DS004=",$B$108), "Fill=B")</f>
        <v>#NAME?</v>
      </c>
      <c r="O127" t="e">
        <f ca="1">_xll.BDP($B$17,$C$17,CONCATENATE("PX391=", $O$115), CONCATENATE("PX392=",$O$116), CONCATENATE("DS004=",$B$108), "Fill=B")</f>
        <v>#NAME?</v>
      </c>
      <c r="P127" t="e">
        <f ca="1">_xll.BDP($B$17,$C$17,CONCATENATE("PX391=", $P$115), CONCATENATE("PX392=",$P$116), CONCATENATE("DS004=",$B$108), "Fill=B")</f>
        <v>#NAME?</v>
      </c>
      <c r="Q127" t="e">
        <f ca="1">_xll.BDP($B$17,$C$17,CONCATENATE("PX391=", $Q$115), CONCATENATE("PX392=",$Q$116), CONCATENATE("DS004=",$B$108), "Fill=B")</f>
        <v>#NAME?</v>
      </c>
      <c r="R127" t="e">
        <f ca="1">_xll.BDP($B$17,$C$17,CONCATENATE("PX391=", $R$115), CONCATENATE("PX392=",$R$116), CONCATENATE("DS004=",$B$108), "Fill=B")</f>
        <v>#NAME?</v>
      </c>
      <c r="S127" t="e">
        <f ca="1">_xll.BDP($B$17,$C$17,CONCATENATE("PX391=", $S$115), CONCATENATE("PX392=",$S$116), CONCATENATE("DS004=",$B$108), "Fill=B")</f>
        <v>#NAME?</v>
      </c>
      <c r="T127" t="e">
        <f ca="1">_xll.BDP($B$17,$C$17,CONCATENATE("PX391=", $T$115), CONCATENATE("PX392=",$T$116), CONCATENATE("DS004=",$B$108), "Fill=B")</f>
        <v>#NAME?</v>
      </c>
      <c r="U127" t="e">
        <f ca="1">_xll.BDP($B$17,$C$17,CONCATENATE("PX391=", $U$115), CONCATENATE("PX392=",$U$116), CONCATENATE("DS004=",$B$108), "Fill=B")</f>
        <v>#NAME?</v>
      </c>
      <c r="V127" t="e">
        <f ca="1">_xll.BDP($B$17,$C$17,CONCATENATE("PX391=", $V$115), CONCATENATE("PX392=",$V$116), CONCATENATE("DS004=",$B$108), "Fill=B")</f>
        <v>#NAME?</v>
      </c>
      <c r="W127" t="e">
        <f ca="1">_xll.BDP($B$17,$C$17,CONCATENATE("PX391=", $W$115), CONCATENATE("PX392=",$W$116), CONCATENATE("DS004=",$B$108), "Fill=B")</f>
        <v>#NAME?</v>
      </c>
      <c r="X127" t="e">
        <f ca="1">_xll.BDP($B$17,$C$17,CONCATENATE("PX391=", $X$115), CONCATENATE("PX392=",$X$116), CONCATENATE("DS004=",$B$108), "Fill=B")</f>
        <v>#NAME?</v>
      </c>
      <c r="Y127" t="e">
        <f ca="1">_xll.BDP($B$17,$C$17,CONCATENATE("PX391=", $Y$115), CONCATENATE("PX392=",$Y$116), CONCATENATE("DS004=",$B$108), "Fill=B")</f>
        <v>#NAME?</v>
      </c>
      <c r="Z127" t="e">
        <f ca="1">_xll.BDP($B$17,$C$17,CONCATENATE("PX391=", $Z$115), CONCATENATE("PX392=",$Z$116), CONCATENATE("DS004=",$B$108), "Fill=B")</f>
        <v>#NAME?</v>
      </c>
      <c r="AA127" t="e">
        <f ca="1">_xll.BDP($B$17,$C$17,CONCATENATE("PX391=", $AA$115), CONCATENATE("PX392=",$AA$116), CONCATENATE("DS004=",$B$108), "Fill=B")</f>
        <v>#NAME?</v>
      </c>
      <c r="AB127" t="e">
        <f ca="1">_xll.BDP($B$17,$C$17,CONCATENATE("PX391=", $AB$115), CONCATENATE("PX392=",$AB$116), CONCATENATE("DS004=",$B$108), "Fill=B")</f>
        <v>#NAME?</v>
      </c>
      <c r="AC127" t="e">
        <f ca="1">_xll.BDP($B$17,$C$17,CONCATENATE("PX391=", $AC$115), CONCATENATE("PX392=",$AC$116), CONCATENATE("DS004=",$B$108), "Fill=B")</f>
        <v>#NAME?</v>
      </c>
      <c r="AD127" t="e">
        <f ca="1">_xll.BDP($B$17,$C$17,CONCATENATE("PX391=", $AD$115), CONCATENATE("PX392=",$AD$116), CONCATENATE("DS004=",$B$108), "Fill=B")</f>
        <v>#NAME?</v>
      </c>
      <c r="AE127" t="e">
        <f ca="1">_xll.BDP($B$17,$C$17,CONCATENATE("PX391=", $AE$115), CONCATENATE("PX392=",$AE$116), CONCATENATE("DS004=",$B$108), "Fill=B")</f>
        <v>#NAME?</v>
      </c>
      <c r="AF127" t="e">
        <f ca="1">_xll.BDP($B$17,$C$17,CONCATENATE("PX391=", $AF$115), CONCATENATE("PX392=",$AF$116), CONCATENATE("DS004=",$B$108), "Fill=B")</f>
        <v>#NAME?</v>
      </c>
      <c r="AG127" t="e">
        <f ca="1">_xll.BDP($B$17,$C$17,CONCATENATE("PX391=", $AG$115), CONCATENATE("PX392=",$AG$116), CONCATENATE("DS004=",$B$108), "Fill=B")</f>
        <v>#NAME?</v>
      </c>
      <c r="AH127" t="e">
        <f ca="1">_xll.BDP($B$17,$C$17,CONCATENATE("PX391=", $AH$115), CONCATENATE("PX392=",$AH$116), CONCATENATE("DS004=",$B$108), "Fill=B")</f>
        <v>#NAME?</v>
      </c>
      <c r="AI127" t="e">
        <f ca="1">_xll.BDP($B$17,$C$17,CONCATENATE("PX391=", $AI$115), CONCATENATE("PX392=",$AI$116), CONCATENATE("DS004=",$B$108), "Fill=B")</f>
        <v>#NAME?</v>
      </c>
      <c r="AJ127" t="e">
        <f ca="1">_xll.BDP($B$17,$C$17,CONCATENATE("PX391=", $AJ$115), CONCATENATE("PX392=",$AJ$116), CONCATENATE("DS004=",$B$108), "Fill=B")</f>
        <v>#NAME?</v>
      </c>
      <c r="AK127" t="e">
        <f ca="1">_xll.BDP($B$17,$C$17,CONCATENATE("PX391=", $AK$115), CONCATENATE("PX392=",$AK$116), CONCATENATE("DS004=",$B$108), "Fill=B")</f>
        <v>#NAME?</v>
      </c>
      <c r="AL127" t="e">
        <f ca="1">_xll.BDP($B$17,$C$17,CONCATENATE("PX391=", $AL$115), CONCATENATE("PX392=",$AL$116), CONCATENATE("DS004=",$B$108), "Fill=B")</f>
        <v>#NAME?</v>
      </c>
      <c r="AM127" t="e">
        <f ca="1">_xll.BDP($B$17,$C$17,CONCATENATE("PX391=", $AM$115), CONCATENATE("PX392=",$AM$116), CONCATENATE("DS004=",$B$108), "Fill=B")</f>
        <v>#NAME?</v>
      </c>
      <c r="AN127" t="e">
        <f ca="1">_xll.BDP($B$17,$C$17,CONCATENATE("PX391=", $AN$115), CONCATENATE("PX392=",$AN$116), CONCATENATE("DS004=",$B$108), "Fill=B")</f>
        <v>#NAME?</v>
      </c>
      <c r="AO127" t="e">
        <f ca="1">_xll.BDP($B$17,$C$17,CONCATENATE("PX391=", $AO$115), CONCATENATE("PX392=",$AO$116), CONCATENATE("DS004=",$B$108), "Fill=B")</f>
        <v>#NAME?</v>
      </c>
      <c r="AP127" t="e">
        <f ca="1">_xll.BDP($B$17,$C$17,CONCATENATE("PX391=", $AP$115), CONCATENATE("PX392=",$AP$116), CONCATENATE("DS004=",$B$108), "Fill=B")</f>
        <v>#NAME?</v>
      </c>
      <c r="AQ127" t="e">
        <f ca="1">_xll.BDP($B$17,$C$17,CONCATENATE("PX391=", $AQ$115), CONCATENATE("PX392=",$AQ$116), CONCATENATE("DS004=",$B$108), "Fill=B")</f>
        <v>#NAME?</v>
      </c>
      <c r="AR127" t="e">
        <f ca="1">_xll.BDP($B$17,$C$17,CONCATENATE("PX391=", $AR$115), CONCATENATE("PX392=",$AR$116), CONCATENATE("DS004=",$B$108), "Fill=B")</f>
        <v>#NAME?</v>
      </c>
      <c r="AS127" t="e">
        <f ca="1">_xll.BDP($B$17,$C$17,CONCATENATE("PX391=", $AS$115), CONCATENATE("PX392=",$AS$116), CONCATENATE("DS004=",$B$108), "Fill=B")</f>
        <v>#NAME?</v>
      </c>
      <c r="AT127" t="str">
        <f>""</f>
        <v/>
      </c>
      <c r="AU127" t="str">
        <f>""</f>
        <v/>
      </c>
      <c r="AV127" t="str">
        <f>""</f>
        <v/>
      </c>
      <c r="AW127" t="str">
        <f>""</f>
        <v/>
      </c>
      <c r="AX127" t="str">
        <f>""</f>
        <v/>
      </c>
      <c r="AY127" t="str">
        <f>""</f>
        <v/>
      </c>
      <c r="AZ127" t="str">
        <f>""</f>
        <v/>
      </c>
      <c r="BA127" t="str">
        <f>""</f>
        <v/>
      </c>
      <c r="BB127" t="str">
        <f>""</f>
        <v/>
      </c>
      <c r="BC127" t="str">
        <f>""</f>
        <v/>
      </c>
      <c r="BD127" t="str">
        <f>""</f>
        <v/>
      </c>
      <c r="BE127" t="str">
        <f>""</f>
        <v/>
      </c>
      <c r="BF127" t="str">
        <f>""</f>
        <v/>
      </c>
      <c r="BG127" t="str">
        <f>""</f>
        <v/>
      </c>
      <c r="BH127" t="str">
        <f>""</f>
        <v/>
      </c>
      <c r="BI127" t="str">
        <f>""</f>
        <v/>
      </c>
      <c r="BJ127" t="str">
        <f>""</f>
        <v/>
      </c>
      <c r="BK127" t="str">
        <f>""</f>
        <v/>
      </c>
      <c r="BL127" t="str">
        <f>""</f>
        <v/>
      </c>
      <c r="BM127" t="str">
        <f>""</f>
        <v/>
      </c>
      <c r="BN127" t="str">
        <f>""</f>
        <v/>
      </c>
      <c r="BO127" t="str">
        <f>""</f>
        <v/>
      </c>
      <c r="BP127" t="str">
        <f>""</f>
        <v/>
      </c>
      <c r="BQ127" t="str">
        <f>""</f>
        <v/>
      </c>
      <c r="BR127" t="str">
        <f>""</f>
        <v/>
      </c>
      <c r="BS127" t="str">
        <f>""</f>
        <v/>
      </c>
      <c r="BT127" t="str">
        <f>""</f>
        <v/>
      </c>
      <c r="BU127" t="str">
        <f>""</f>
        <v/>
      </c>
      <c r="BV127" t="str">
        <f>""</f>
        <v/>
      </c>
      <c r="BW127" t="str">
        <f>""</f>
        <v/>
      </c>
      <c r="BX127" t="str">
        <f>""</f>
        <v/>
      </c>
      <c r="BY127" t="str">
        <f>""</f>
        <v/>
      </c>
      <c r="BZ127" t="str">
        <f>""</f>
        <v/>
      </c>
      <c r="CA127" t="str">
        <f>""</f>
        <v/>
      </c>
      <c r="CB127" t="str">
        <f>""</f>
        <v/>
      </c>
      <c r="CC127" t="str">
        <f>""</f>
        <v/>
      </c>
      <c r="CD127" t="str">
        <f>""</f>
        <v/>
      </c>
      <c r="CE127" t="str">
        <f>""</f>
        <v/>
      </c>
      <c r="CF127" t="str">
        <f>""</f>
        <v/>
      </c>
      <c r="CG127" t="str">
        <f>""</f>
        <v/>
      </c>
    </row>
    <row r="128" spans="1:85" x14ac:dyDescent="0.2">
      <c r="A128" t="str">
        <f>$A$18</f>
        <v xml:space="preserve">        U.S. Total Public Non-Res  Construction Spending (NSA)</v>
      </c>
      <c r="B128" t="str">
        <f>$B$18</f>
        <v>CNNSPUNR Index</v>
      </c>
      <c r="C128" t="str">
        <f>$C$18</f>
        <v>PX385</v>
      </c>
      <c r="D128" t="str">
        <f>$D$18</f>
        <v>INTERVAL_SUM</v>
      </c>
      <c r="E128" t="str">
        <f>$E$18</f>
        <v>Dynamic</v>
      </c>
      <c r="F128" t="e">
        <f ca="1">_xll.BDP($B$18,$C$18,CONCATENATE("PX391=", $F$115), CONCATENATE("PX392=",$F$116), CONCATENATE("DS004=",$B$108), "Fill=B")</f>
        <v>#NAME?</v>
      </c>
      <c r="G128" t="e">
        <f ca="1">_xll.BDP($B$18,$C$18,CONCATENATE("PX391=", $G$115), CONCATENATE("PX392=",$G$116), CONCATENATE("DS004=",$B$108), "Fill=B")</f>
        <v>#NAME?</v>
      </c>
      <c r="H128" t="e">
        <f ca="1">_xll.BDP($B$18,$C$18,CONCATENATE("PX391=", $H$115), CONCATENATE("PX392=",$H$116), CONCATENATE("DS004=",$B$108), "Fill=B")</f>
        <v>#NAME?</v>
      </c>
      <c r="I128" t="e">
        <f ca="1">_xll.BDP($B$18,$C$18,CONCATENATE("PX391=", $I$115), CONCATENATE("PX392=",$I$116), CONCATENATE("DS004=",$B$108), "Fill=B")</f>
        <v>#NAME?</v>
      </c>
      <c r="J128" t="e">
        <f ca="1">_xll.BDP($B$18,$C$18,CONCATENATE("PX391=", $J$115), CONCATENATE("PX392=",$J$116), CONCATENATE("DS004=",$B$108), "Fill=B")</f>
        <v>#NAME?</v>
      </c>
      <c r="K128" t="e">
        <f ca="1">_xll.BDP($B$18,$C$18,CONCATENATE("PX391=", $K$115), CONCATENATE("PX392=",$K$116), CONCATENATE("DS004=",$B$108), "Fill=B")</f>
        <v>#NAME?</v>
      </c>
      <c r="L128" t="e">
        <f ca="1">_xll.BDP($B$18,$C$18,CONCATENATE("PX391=", $L$115), CONCATENATE("PX392=",$L$116), CONCATENATE("DS004=",$B$108), "Fill=B")</f>
        <v>#NAME?</v>
      </c>
      <c r="M128" t="e">
        <f ca="1">_xll.BDP($B$18,$C$18,CONCATENATE("PX391=", $M$115), CONCATENATE("PX392=",$M$116), CONCATENATE("DS004=",$B$108), "Fill=B")</f>
        <v>#NAME?</v>
      </c>
      <c r="N128" t="e">
        <f ca="1">_xll.BDP($B$18,$C$18,CONCATENATE("PX391=", $N$115), CONCATENATE("PX392=",$N$116), CONCATENATE("DS004=",$B$108), "Fill=B")</f>
        <v>#NAME?</v>
      </c>
      <c r="O128" t="e">
        <f ca="1">_xll.BDP($B$18,$C$18,CONCATENATE("PX391=", $O$115), CONCATENATE("PX392=",$O$116), CONCATENATE("DS004=",$B$108), "Fill=B")</f>
        <v>#NAME?</v>
      </c>
      <c r="P128" t="e">
        <f ca="1">_xll.BDP($B$18,$C$18,CONCATENATE("PX391=", $P$115), CONCATENATE("PX392=",$P$116), CONCATENATE("DS004=",$B$108), "Fill=B")</f>
        <v>#NAME?</v>
      </c>
      <c r="Q128" t="e">
        <f ca="1">_xll.BDP($B$18,$C$18,CONCATENATE("PX391=", $Q$115), CONCATENATE("PX392=",$Q$116), CONCATENATE("DS004=",$B$108), "Fill=B")</f>
        <v>#NAME?</v>
      </c>
      <c r="R128" t="e">
        <f ca="1">_xll.BDP($B$18,$C$18,CONCATENATE("PX391=", $R$115), CONCATENATE("PX392=",$R$116), CONCATENATE("DS004=",$B$108), "Fill=B")</f>
        <v>#NAME?</v>
      </c>
      <c r="S128" t="e">
        <f ca="1">_xll.BDP($B$18,$C$18,CONCATENATE("PX391=", $S$115), CONCATENATE("PX392=",$S$116), CONCATENATE("DS004=",$B$108), "Fill=B")</f>
        <v>#NAME?</v>
      </c>
      <c r="T128" t="e">
        <f ca="1">_xll.BDP($B$18,$C$18,CONCATENATE("PX391=", $T$115), CONCATENATE("PX392=",$T$116), CONCATENATE("DS004=",$B$108), "Fill=B")</f>
        <v>#NAME?</v>
      </c>
      <c r="U128" t="e">
        <f ca="1">_xll.BDP($B$18,$C$18,CONCATENATE("PX391=", $U$115), CONCATENATE("PX392=",$U$116), CONCATENATE("DS004=",$B$108), "Fill=B")</f>
        <v>#NAME?</v>
      </c>
      <c r="V128" t="e">
        <f ca="1">_xll.BDP($B$18,$C$18,CONCATENATE("PX391=", $V$115), CONCATENATE("PX392=",$V$116), CONCATENATE("DS004=",$B$108), "Fill=B")</f>
        <v>#NAME?</v>
      </c>
      <c r="W128" t="e">
        <f ca="1">_xll.BDP($B$18,$C$18,CONCATENATE("PX391=", $W$115), CONCATENATE("PX392=",$W$116), CONCATENATE("DS004=",$B$108), "Fill=B")</f>
        <v>#NAME?</v>
      </c>
      <c r="X128" t="e">
        <f ca="1">_xll.BDP($B$18,$C$18,CONCATENATE("PX391=", $X$115), CONCATENATE("PX392=",$X$116), CONCATENATE("DS004=",$B$108), "Fill=B")</f>
        <v>#NAME?</v>
      </c>
      <c r="Y128" t="e">
        <f ca="1">_xll.BDP($B$18,$C$18,CONCATENATE("PX391=", $Y$115), CONCATENATE("PX392=",$Y$116), CONCATENATE("DS004=",$B$108), "Fill=B")</f>
        <v>#NAME?</v>
      </c>
      <c r="Z128" t="e">
        <f ca="1">_xll.BDP($B$18,$C$18,CONCATENATE("PX391=", $Z$115), CONCATENATE("PX392=",$Z$116), CONCATENATE("DS004=",$B$108), "Fill=B")</f>
        <v>#NAME?</v>
      </c>
      <c r="AA128" t="e">
        <f ca="1">_xll.BDP($B$18,$C$18,CONCATENATE("PX391=", $AA$115), CONCATENATE("PX392=",$AA$116), CONCATENATE("DS004=",$B$108), "Fill=B")</f>
        <v>#NAME?</v>
      </c>
      <c r="AB128" t="e">
        <f ca="1">_xll.BDP($B$18,$C$18,CONCATENATE("PX391=", $AB$115), CONCATENATE("PX392=",$AB$116), CONCATENATE("DS004=",$B$108), "Fill=B")</f>
        <v>#NAME?</v>
      </c>
      <c r="AC128" t="e">
        <f ca="1">_xll.BDP($B$18,$C$18,CONCATENATE("PX391=", $AC$115), CONCATENATE("PX392=",$AC$116), CONCATENATE("DS004=",$B$108), "Fill=B")</f>
        <v>#NAME?</v>
      </c>
      <c r="AD128" t="e">
        <f ca="1">_xll.BDP($B$18,$C$18,CONCATENATE("PX391=", $AD$115), CONCATENATE("PX392=",$AD$116), CONCATENATE("DS004=",$B$108), "Fill=B")</f>
        <v>#NAME?</v>
      </c>
      <c r="AE128" t="e">
        <f ca="1">_xll.BDP($B$18,$C$18,CONCATENATE("PX391=", $AE$115), CONCATENATE("PX392=",$AE$116), CONCATENATE("DS004=",$B$108), "Fill=B")</f>
        <v>#NAME?</v>
      </c>
      <c r="AF128" t="e">
        <f ca="1">_xll.BDP($B$18,$C$18,CONCATENATE("PX391=", $AF$115), CONCATENATE("PX392=",$AF$116), CONCATENATE("DS004=",$B$108), "Fill=B")</f>
        <v>#NAME?</v>
      </c>
      <c r="AG128" t="e">
        <f ca="1">_xll.BDP($B$18,$C$18,CONCATENATE("PX391=", $AG$115), CONCATENATE("PX392=",$AG$116), CONCATENATE("DS004=",$B$108), "Fill=B")</f>
        <v>#NAME?</v>
      </c>
      <c r="AH128" t="e">
        <f ca="1">_xll.BDP($B$18,$C$18,CONCATENATE("PX391=", $AH$115), CONCATENATE("PX392=",$AH$116), CONCATENATE("DS004=",$B$108), "Fill=B")</f>
        <v>#NAME?</v>
      </c>
      <c r="AI128" t="e">
        <f ca="1">_xll.BDP($B$18,$C$18,CONCATENATE("PX391=", $AI$115), CONCATENATE("PX392=",$AI$116), CONCATENATE("DS004=",$B$108), "Fill=B")</f>
        <v>#NAME?</v>
      </c>
      <c r="AJ128" t="e">
        <f ca="1">_xll.BDP($B$18,$C$18,CONCATENATE("PX391=", $AJ$115), CONCATENATE("PX392=",$AJ$116), CONCATENATE("DS004=",$B$108), "Fill=B")</f>
        <v>#NAME?</v>
      </c>
      <c r="AK128" t="e">
        <f ca="1">_xll.BDP($B$18,$C$18,CONCATENATE("PX391=", $AK$115), CONCATENATE("PX392=",$AK$116), CONCATENATE("DS004=",$B$108), "Fill=B")</f>
        <v>#NAME?</v>
      </c>
      <c r="AL128" t="e">
        <f ca="1">_xll.BDP($B$18,$C$18,CONCATENATE("PX391=", $AL$115), CONCATENATE("PX392=",$AL$116), CONCATENATE("DS004=",$B$108), "Fill=B")</f>
        <v>#NAME?</v>
      </c>
      <c r="AM128" t="e">
        <f ca="1">_xll.BDP($B$18,$C$18,CONCATENATE("PX391=", $AM$115), CONCATENATE("PX392=",$AM$116), CONCATENATE("DS004=",$B$108), "Fill=B")</f>
        <v>#NAME?</v>
      </c>
      <c r="AN128" t="e">
        <f ca="1">_xll.BDP($B$18,$C$18,CONCATENATE("PX391=", $AN$115), CONCATENATE("PX392=",$AN$116), CONCATENATE("DS004=",$B$108), "Fill=B")</f>
        <v>#NAME?</v>
      </c>
      <c r="AO128" t="e">
        <f ca="1">_xll.BDP($B$18,$C$18,CONCATENATE("PX391=", $AO$115), CONCATENATE("PX392=",$AO$116), CONCATENATE("DS004=",$B$108), "Fill=B")</f>
        <v>#NAME?</v>
      </c>
      <c r="AP128" t="e">
        <f ca="1">_xll.BDP($B$18,$C$18,CONCATENATE("PX391=", $AP$115), CONCATENATE("PX392=",$AP$116), CONCATENATE("DS004=",$B$108), "Fill=B")</f>
        <v>#NAME?</v>
      </c>
      <c r="AQ128" t="e">
        <f ca="1">_xll.BDP($B$18,$C$18,CONCATENATE("PX391=", $AQ$115), CONCATENATE("PX392=",$AQ$116), CONCATENATE("DS004=",$B$108), "Fill=B")</f>
        <v>#NAME?</v>
      </c>
      <c r="AR128" t="e">
        <f ca="1">_xll.BDP($B$18,$C$18,CONCATENATE("PX391=", $AR$115), CONCATENATE("PX392=",$AR$116), CONCATENATE("DS004=",$B$108), "Fill=B")</f>
        <v>#NAME?</v>
      </c>
      <c r="AS128" t="e">
        <f ca="1">_xll.BDP($B$18,$C$18,CONCATENATE("PX391=", $AS$115), CONCATENATE("PX392=",$AS$116), CONCATENATE("DS004=",$B$108), "Fill=B")</f>
        <v>#NAME?</v>
      </c>
      <c r="AT128" t="str">
        <f>""</f>
        <v/>
      </c>
      <c r="AU128" t="str">
        <f>""</f>
        <v/>
      </c>
      <c r="AV128" t="str">
        <f>""</f>
        <v/>
      </c>
      <c r="AW128" t="str">
        <f>""</f>
        <v/>
      </c>
      <c r="AX128" t="str">
        <f>""</f>
        <v/>
      </c>
      <c r="AY128" t="str">
        <f>""</f>
        <v/>
      </c>
      <c r="AZ128" t="str">
        <f>""</f>
        <v/>
      </c>
      <c r="BA128" t="str">
        <f>""</f>
        <v/>
      </c>
      <c r="BB128" t="str">
        <f>""</f>
        <v/>
      </c>
      <c r="BC128" t="str">
        <f>""</f>
        <v/>
      </c>
      <c r="BD128" t="str">
        <f>""</f>
        <v/>
      </c>
      <c r="BE128" t="str">
        <f>""</f>
        <v/>
      </c>
      <c r="BF128" t="str">
        <f>""</f>
        <v/>
      </c>
      <c r="BG128" t="str">
        <f>""</f>
        <v/>
      </c>
      <c r="BH128" t="str">
        <f>""</f>
        <v/>
      </c>
      <c r="BI128" t="str">
        <f>""</f>
        <v/>
      </c>
      <c r="BJ128" t="str">
        <f>""</f>
        <v/>
      </c>
      <c r="BK128" t="str">
        <f>""</f>
        <v/>
      </c>
      <c r="BL128" t="str">
        <f>""</f>
        <v/>
      </c>
      <c r="BM128" t="str">
        <f>""</f>
        <v/>
      </c>
      <c r="BN128" t="str">
        <f>""</f>
        <v/>
      </c>
      <c r="BO128" t="str">
        <f>""</f>
        <v/>
      </c>
      <c r="BP128" t="str">
        <f>""</f>
        <v/>
      </c>
      <c r="BQ128" t="str">
        <f>""</f>
        <v/>
      </c>
      <c r="BR128" t="str">
        <f>""</f>
        <v/>
      </c>
      <c r="BS128" t="str">
        <f>""</f>
        <v/>
      </c>
      <c r="BT128" t="str">
        <f>""</f>
        <v/>
      </c>
      <c r="BU128" t="str">
        <f>""</f>
        <v/>
      </c>
      <c r="BV128" t="str">
        <f>""</f>
        <v/>
      </c>
      <c r="BW128" t="str">
        <f>""</f>
        <v/>
      </c>
      <c r="BX128" t="str">
        <f>""</f>
        <v/>
      </c>
      <c r="BY128" t="str">
        <f>""</f>
        <v/>
      </c>
      <c r="BZ128" t="str">
        <f>""</f>
        <v/>
      </c>
      <c r="CA128" t="str">
        <f>""</f>
        <v/>
      </c>
      <c r="CB128" t="str">
        <f>""</f>
        <v/>
      </c>
      <c r="CC128" t="str">
        <f>""</f>
        <v/>
      </c>
      <c r="CD128" t="str">
        <f>""</f>
        <v/>
      </c>
      <c r="CE128" t="str">
        <f>""</f>
        <v/>
      </c>
      <c r="CF128" t="str">
        <f>""</f>
        <v/>
      </c>
      <c r="CG128" t="str">
        <f>""</f>
        <v/>
      </c>
    </row>
    <row r="129" spans="1:85" x14ac:dyDescent="0.2">
      <c r="A129" t="str">
        <f>$A$20</f>
        <v xml:space="preserve">    U.S. Total Construction Spending (SAAR)</v>
      </c>
      <c r="B129" t="str">
        <f>$B$20</f>
        <v>CNSTTOTA Index</v>
      </c>
      <c r="C129" t="str">
        <f>$C$20</f>
        <v>PR005</v>
      </c>
      <c r="D129" t="str">
        <f>$D$20</f>
        <v>PX_LAST</v>
      </c>
      <c r="E129" t="str">
        <f>$E$20</f>
        <v>Dynamic</v>
      </c>
      <c r="F129" t="e">
        <f ca="1">_xll.BDH($B$20,$C$20,$B$111,$B$112,CONCATENATE("Per=",$B$109),"Dts=H","Dir=H",CONCATENATE("Points=",$B$110),"Sort=R","Days=A","Fill=B",CONCATENATE("FX=", $B$108),"cols=40;rows=1")</f>
        <v>#NAME?</v>
      </c>
      <c r="G129">
        <v>1840896</v>
      </c>
      <c r="H129">
        <v>1754426</v>
      </c>
      <c r="I129">
        <v>1572760</v>
      </c>
      <c r="J129">
        <v>1466415</v>
      </c>
      <c r="K129">
        <v>1289930</v>
      </c>
      <c r="L129">
        <v>1313666</v>
      </c>
      <c r="M129">
        <v>1270443</v>
      </c>
      <c r="N129">
        <v>1156354</v>
      </c>
      <c r="O129">
        <v>1056429</v>
      </c>
      <c r="P129">
        <v>979211</v>
      </c>
      <c r="Q129">
        <v>871809</v>
      </c>
      <c r="R129">
        <v>821367</v>
      </c>
      <c r="S129">
        <v>789395</v>
      </c>
      <c r="T129">
        <v>842609</v>
      </c>
      <c r="U129">
        <v>999139</v>
      </c>
      <c r="V129">
        <v>1115141</v>
      </c>
      <c r="W129">
        <v>1135406</v>
      </c>
      <c r="X129">
        <v>1184677</v>
      </c>
      <c r="Y129">
        <v>1037480</v>
      </c>
      <c r="Z129">
        <v>948491</v>
      </c>
      <c r="AA129">
        <v>855921</v>
      </c>
      <c r="AB129">
        <v>849689</v>
      </c>
      <c r="AC129">
        <v>811516</v>
      </c>
      <c r="AD129">
        <v>789431</v>
      </c>
      <c r="AE129">
        <v>706989</v>
      </c>
      <c r="AF129">
        <v>642021</v>
      </c>
      <c r="AG129">
        <v>606078</v>
      </c>
      <c r="AH129">
        <v>557953</v>
      </c>
      <c r="AI129">
        <v>541794</v>
      </c>
      <c r="AJ129">
        <v>533150</v>
      </c>
      <c r="AK129">
        <v>478324</v>
      </c>
      <c r="AL129">
        <v>433334</v>
      </c>
      <c r="AM129">
        <v>449638</v>
      </c>
      <c r="AN129">
        <v>478202</v>
      </c>
      <c r="AO129">
        <v>479559</v>
      </c>
      <c r="AP129">
        <v>459343</v>
      </c>
      <c r="AQ129">
        <v>434464</v>
      </c>
      <c r="AR129">
        <v>420812</v>
      </c>
      <c r="AS129">
        <v>385905</v>
      </c>
      <c r="AT129" t="str">
        <f>""</f>
        <v/>
      </c>
      <c r="AU129" t="str">
        <f>""</f>
        <v/>
      </c>
      <c r="AV129" t="str">
        <f>""</f>
        <v/>
      </c>
      <c r="AW129" t="str">
        <f>""</f>
        <v/>
      </c>
      <c r="AX129" t="str">
        <f>""</f>
        <v/>
      </c>
      <c r="AY129" t="str">
        <f>""</f>
        <v/>
      </c>
      <c r="AZ129" t="str">
        <f>""</f>
        <v/>
      </c>
      <c r="BA129" t="str">
        <f>""</f>
        <v/>
      </c>
      <c r="BB129" t="str">
        <f>""</f>
        <v/>
      </c>
      <c r="BC129" t="str">
        <f>""</f>
        <v/>
      </c>
      <c r="BD129" t="str">
        <f>""</f>
        <v/>
      </c>
      <c r="BE129" t="str">
        <f>""</f>
        <v/>
      </c>
      <c r="BF129" t="str">
        <f>""</f>
        <v/>
      </c>
      <c r="BG129" t="str">
        <f>""</f>
        <v/>
      </c>
      <c r="BH129" t="str">
        <f>""</f>
        <v/>
      </c>
      <c r="BI129" t="str">
        <f>""</f>
        <v/>
      </c>
      <c r="BJ129" t="str">
        <f>""</f>
        <v/>
      </c>
      <c r="BK129" t="str">
        <f>""</f>
        <v/>
      </c>
      <c r="BL129" t="str">
        <f>""</f>
        <v/>
      </c>
      <c r="BM129" t="str">
        <f>""</f>
        <v/>
      </c>
      <c r="BN129" t="str">
        <f>""</f>
        <v/>
      </c>
      <c r="BO129" t="str">
        <f>""</f>
        <v/>
      </c>
      <c r="BP129" t="str">
        <f>""</f>
        <v/>
      </c>
      <c r="BQ129" t="str">
        <f>""</f>
        <v/>
      </c>
      <c r="BR129" t="str">
        <f>""</f>
        <v/>
      </c>
      <c r="BS129" t="str">
        <f>""</f>
        <v/>
      </c>
      <c r="BT129" t="str">
        <f>""</f>
        <v/>
      </c>
      <c r="BU129" t="str">
        <f>""</f>
        <v/>
      </c>
      <c r="BV129" t="str">
        <f>""</f>
        <v/>
      </c>
      <c r="BW129" t="str">
        <f>""</f>
        <v/>
      </c>
      <c r="BX129" t="str">
        <f>""</f>
        <v/>
      </c>
      <c r="BY129" t="str">
        <f>""</f>
        <v/>
      </c>
      <c r="BZ129" t="str">
        <f>""</f>
        <v/>
      </c>
      <c r="CA129" t="str">
        <f>""</f>
        <v/>
      </c>
      <c r="CB129" t="str">
        <f>""</f>
        <v/>
      </c>
      <c r="CC129" t="str">
        <f>""</f>
        <v/>
      </c>
      <c r="CD129" t="str">
        <f>""</f>
        <v/>
      </c>
      <c r="CE129" t="str">
        <f>""</f>
        <v/>
      </c>
      <c r="CF129" t="str">
        <f>""</f>
        <v/>
      </c>
      <c r="CG129" t="str">
        <f>""</f>
        <v/>
      </c>
    </row>
    <row r="130" spans="1:85" x14ac:dyDescent="0.2">
      <c r="A130" t="str">
        <f>$A$21</f>
        <v xml:space="preserve">        U.S. Total Residential Construction Spending</v>
      </c>
      <c r="B130" t="str">
        <f>$B$21</f>
        <v>CNSTRESI Index</v>
      </c>
      <c r="C130" t="str">
        <f>$C$21</f>
        <v>PR005</v>
      </c>
      <c r="D130" t="str">
        <f>$D$21</f>
        <v>PX_LAST</v>
      </c>
      <c r="E130" t="str">
        <f>$E$21</f>
        <v>Dynamic</v>
      </c>
      <c r="F130" t="e">
        <f ca="1">_xll.BDH($B$21,$C$21,$B$111,$B$112,CONCATENATE("Per=",$B$109),"Dts=H","Dir=H",CONCATENATE("Points=",$B$110),"Sort=R","Days=A","Fill=B",CONCATENATE("FX=", $B$108),"cols=40;rows=1")</f>
        <v>#NAME?</v>
      </c>
      <c r="G130">
        <v>863102</v>
      </c>
      <c r="H130">
        <v>891046</v>
      </c>
      <c r="I130">
        <v>734722</v>
      </c>
      <c r="J130">
        <v>594372</v>
      </c>
      <c r="K130">
        <v>524626</v>
      </c>
      <c r="L130">
        <v>571985</v>
      </c>
      <c r="M130">
        <v>519253</v>
      </c>
      <c r="N130">
        <v>459296</v>
      </c>
      <c r="O130">
        <v>406913</v>
      </c>
      <c r="P130">
        <v>366094</v>
      </c>
      <c r="Q130">
        <v>305105</v>
      </c>
      <c r="R130">
        <v>255090</v>
      </c>
      <c r="S130">
        <v>248929</v>
      </c>
      <c r="T130">
        <v>264592</v>
      </c>
      <c r="U130">
        <v>301332</v>
      </c>
      <c r="V130">
        <v>423699</v>
      </c>
      <c r="W130">
        <v>551740</v>
      </c>
      <c r="X130">
        <v>676135</v>
      </c>
      <c r="Y130">
        <v>571871</v>
      </c>
      <c r="Z130">
        <v>508637</v>
      </c>
      <c r="AA130">
        <v>416844</v>
      </c>
      <c r="AT130" t="str">
        <f>""</f>
        <v/>
      </c>
      <c r="AU130" t="str">
        <f>""</f>
        <v/>
      </c>
      <c r="AV130" t="str">
        <f>""</f>
        <v/>
      </c>
      <c r="AW130" t="str">
        <f>""</f>
        <v/>
      </c>
      <c r="AX130" t="str">
        <f>""</f>
        <v/>
      </c>
      <c r="AY130" t="str">
        <f>""</f>
        <v/>
      </c>
      <c r="AZ130" t="str">
        <f>""</f>
        <v/>
      </c>
      <c r="BA130" t="str">
        <f>""</f>
        <v/>
      </c>
      <c r="BB130" t="str">
        <f>""</f>
        <v/>
      </c>
      <c r="BC130" t="str">
        <f>""</f>
        <v/>
      </c>
      <c r="BD130" t="str">
        <f>""</f>
        <v/>
      </c>
      <c r="BE130" t="str">
        <f>""</f>
        <v/>
      </c>
      <c r="BF130" t="str">
        <f>""</f>
        <v/>
      </c>
      <c r="BG130" t="str">
        <f>""</f>
        <v/>
      </c>
      <c r="BH130" t="str">
        <f>""</f>
        <v/>
      </c>
      <c r="BI130" t="str">
        <f>""</f>
        <v/>
      </c>
      <c r="BJ130" t="str">
        <f>""</f>
        <v/>
      </c>
      <c r="BK130" t="str">
        <f>""</f>
        <v/>
      </c>
      <c r="BL130" t="str">
        <f>""</f>
        <v/>
      </c>
      <c r="BM130" t="str">
        <f>""</f>
        <v/>
      </c>
      <c r="BN130" t="str">
        <f>""</f>
        <v/>
      </c>
      <c r="BO130" t="str">
        <f>""</f>
        <v/>
      </c>
      <c r="BP130" t="str">
        <f>""</f>
        <v/>
      </c>
      <c r="BQ130" t="str">
        <f>""</f>
        <v/>
      </c>
      <c r="BR130" t="str">
        <f>""</f>
        <v/>
      </c>
      <c r="BS130" t="str">
        <f>""</f>
        <v/>
      </c>
      <c r="BT130" t="str">
        <f>""</f>
        <v/>
      </c>
      <c r="BU130" t="str">
        <f>""</f>
        <v/>
      </c>
      <c r="BV130" t="str">
        <f>""</f>
        <v/>
      </c>
      <c r="BW130" t="str">
        <f>""</f>
        <v/>
      </c>
      <c r="BX130" t="str">
        <f>""</f>
        <v/>
      </c>
      <c r="BY130" t="str">
        <f>""</f>
        <v/>
      </c>
      <c r="BZ130" t="str">
        <f>""</f>
        <v/>
      </c>
      <c r="CA130" t="str">
        <f>""</f>
        <v/>
      </c>
      <c r="CB130" t="str">
        <f>""</f>
        <v/>
      </c>
      <c r="CC130" t="str">
        <f>""</f>
        <v/>
      </c>
      <c r="CD130" t="str">
        <f>""</f>
        <v/>
      </c>
      <c r="CE130" t="str">
        <f>""</f>
        <v/>
      </c>
      <c r="CF130" t="str">
        <f>""</f>
        <v/>
      </c>
      <c r="CG130" t="str">
        <f>""</f>
        <v/>
      </c>
    </row>
    <row r="131" spans="1:85" x14ac:dyDescent="0.2">
      <c r="A131" t="str">
        <f>$A$22</f>
        <v xml:space="preserve">        U.S. Total Non-Residential Construction Spending</v>
      </c>
      <c r="B131" t="str">
        <f>$B$22</f>
        <v>CNSTNRES Index</v>
      </c>
      <c r="C131" t="str">
        <f>$C$22</f>
        <v>PR005</v>
      </c>
      <c r="D131" t="str">
        <f>$D$22</f>
        <v>PX_LAST</v>
      </c>
      <c r="E131" t="str">
        <f>$E$22</f>
        <v>Dynamic</v>
      </c>
      <c r="F131" t="e">
        <f ca="1">_xll.BDH($B$22,$C$22,$B$111,$B$112,CONCATENATE("Per=",$B$109),"Dts=H","Dir=H",CONCATENATE("Points=",$B$110),"Sort=R","Days=A","Fill=B",CONCATENATE("FX=", $B$108),"cols=40;rows=1")</f>
        <v>#NAME?</v>
      </c>
      <c r="G131">
        <v>977794</v>
      </c>
      <c r="H131">
        <v>863380</v>
      </c>
      <c r="I131">
        <v>838038</v>
      </c>
      <c r="J131">
        <v>872044</v>
      </c>
      <c r="K131">
        <v>765304</v>
      </c>
      <c r="L131">
        <v>741681</v>
      </c>
      <c r="M131">
        <v>751190</v>
      </c>
      <c r="N131">
        <v>697058</v>
      </c>
      <c r="O131">
        <v>649515</v>
      </c>
      <c r="P131">
        <v>613117</v>
      </c>
      <c r="Q131">
        <v>566705</v>
      </c>
      <c r="R131">
        <v>566277</v>
      </c>
      <c r="S131">
        <v>540465</v>
      </c>
      <c r="T131">
        <v>578017</v>
      </c>
      <c r="U131">
        <v>697808</v>
      </c>
      <c r="V131">
        <v>691443</v>
      </c>
      <c r="W131">
        <v>583666</v>
      </c>
      <c r="X131">
        <v>508540</v>
      </c>
      <c r="Y131">
        <v>465609</v>
      </c>
      <c r="Z131">
        <v>439815</v>
      </c>
      <c r="AA131">
        <v>439165</v>
      </c>
      <c r="AT131" t="str">
        <f>""</f>
        <v/>
      </c>
      <c r="AU131" t="str">
        <f>""</f>
        <v/>
      </c>
      <c r="AV131" t="str">
        <f>""</f>
        <v/>
      </c>
      <c r="AW131" t="str">
        <f>""</f>
        <v/>
      </c>
      <c r="AX131" t="str">
        <f>""</f>
        <v/>
      </c>
      <c r="AY131" t="str">
        <f>""</f>
        <v/>
      </c>
      <c r="AZ131" t="str">
        <f>""</f>
        <v/>
      </c>
      <c r="BA131" t="str">
        <f>""</f>
        <v/>
      </c>
      <c r="BB131" t="str">
        <f>""</f>
        <v/>
      </c>
      <c r="BC131" t="str">
        <f>""</f>
        <v/>
      </c>
      <c r="BD131" t="str">
        <f>""</f>
        <v/>
      </c>
      <c r="BE131" t="str">
        <f>""</f>
        <v/>
      </c>
      <c r="BF131" t="str">
        <f>""</f>
        <v/>
      </c>
      <c r="BG131" t="str">
        <f>""</f>
        <v/>
      </c>
      <c r="BH131" t="str">
        <f>""</f>
        <v/>
      </c>
      <c r="BI131" t="str">
        <f>""</f>
        <v/>
      </c>
      <c r="BJ131" t="str">
        <f>""</f>
        <v/>
      </c>
      <c r="BK131" t="str">
        <f>""</f>
        <v/>
      </c>
      <c r="BL131" t="str">
        <f>""</f>
        <v/>
      </c>
      <c r="BM131" t="str">
        <f>""</f>
        <v/>
      </c>
      <c r="BN131" t="str">
        <f>""</f>
        <v/>
      </c>
      <c r="BO131" t="str">
        <f>""</f>
        <v/>
      </c>
      <c r="BP131" t="str">
        <f>""</f>
        <v/>
      </c>
      <c r="BQ131" t="str">
        <f>""</f>
        <v/>
      </c>
      <c r="BR131" t="str">
        <f>""</f>
        <v/>
      </c>
      <c r="BS131" t="str">
        <f>""</f>
        <v/>
      </c>
      <c r="BT131" t="str">
        <f>""</f>
        <v/>
      </c>
      <c r="BU131" t="str">
        <f>""</f>
        <v/>
      </c>
      <c r="BV131" t="str">
        <f>""</f>
        <v/>
      </c>
      <c r="BW131" t="str">
        <f>""</f>
        <v/>
      </c>
      <c r="BX131" t="str">
        <f>""</f>
        <v/>
      </c>
      <c r="BY131" t="str">
        <f>""</f>
        <v/>
      </c>
      <c r="BZ131" t="str">
        <f>""</f>
        <v/>
      </c>
      <c r="CA131" t="str">
        <f>""</f>
        <v/>
      </c>
      <c r="CB131" t="str">
        <f>""</f>
        <v/>
      </c>
      <c r="CC131" t="str">
        <f>""</f>
        <v/>
      </c>
      <c r="CD131" t="str">
        <f>""</f>
        <v/>
      </c>
      <c r="CE131" t="str">
        <f>""</f>
        <v/>
      </c>
      <c r="CF131" t="str">
        <f>""</f>
        <v/>
      </c>
      <c r="CG131" t="str">
        <f>""</f>
        <v/>
      </c>
    </row>
    <row r="132" spans="1:85" x14ac:dyDescent="0.2">
      <c r="A132" t="str">
        <f>$A$23</f>
        <v xml:space="preserve">    U.S. Total Private Construction Spending (SAAR)</v>
      </c>
      <c r="B132" t="str">
        <f>$B$23</f>
        <v>CNSTPRTO Index</v>
      </c>
      <c r="C132" t="str">
        <f>$C$23</f>
        <v>PR005</v>
      </c>
      <c r="D132" t="str">
        <f>$D$23</f>
        <v>PX_LAST</v>
      </c>
      <c r="E132" t="str">
        <f>$E$23</f>
        <v>Dynamic</v>
      </c>
      <c r="F132" t="e">
        <f ca="1">_xll.BDH($B$23,$C$23,$B$111,$B$112,CONCATENATE("Per=",$B$109),"Dts=H","Dir=H",CONCATENATE("Points=",$B$110),"Sort=R","Days=A","Fill=B",CONCATENATE("FX=", $B$108),"cols=40;rows=1")</f>
        <v>#NAME?</v>
      </c>
      <c r="G132">
        <v>1448326</v>
      </c>
      <c r="H132">
        <v>1396313</v>
      </c>
      <c r="I132">
        <v>1204239</v>
      </c>
      <c r="J132">
        <v>1111197</v>
      </c>
      <c r="K132">
        <v>981096</v>
      </c>
      <c r="L132">
        <v>1012391</v>
      </c>
      <c r="M132">
        <v>973669</v>
      </c>
      <c r="N132">
        <v>858325</v>
      </c>
      <c r="O132">
        <v>772232</v>
      </c>
      <c r="P132">
        <v>709465</v>
      </c>
      <c r="Q132">
        <v>603681</v>
      </c>
      <c r="R132">
        <v>531994</v>
      </c>
      <c r="S132">
        <v>496427</v>
      </c>
      <c r="T132">
        <v>542280</v>
      </c>
      <c r="U132">
        <v>687183</v>
      </c>
      <c r="V132">
        <v>818447</v>
      </c>
      <c r="W132">
        <v>865173</v>
      </c>
      <c r="X132">
        <v>942916</v>
      </c>
      <c r="Y132">
        <v>813006</v>
      </c>
      <c r="Z132">
        <v>735545</v>
      </c>
      <c r="AA132">
        <v>634179</v>
      </c>
      <c r="AB132">
        <v>640399</v>
      </c>
      <c r="AC132">
        <v>626222</v>
      </c>
      <c r="AD132">
        <v>604386</v>
      </c>
      <c r="AE132">
        <v>546196</v>
      </c>
      <c r="AF132">
        <v>487580</v>
      </c>
      <c r="AG132">
        <v>461233</v>
      </c>
      <c r="AH132">
        <v>417717</v>
      </c>
      <c r="AI132">
        <v>406665</v>
      </c>
      <c r="AJ132">
        <v>395253</v>
      </c>
      <c r="AK132">
        <v>362867</v>
      </c>
      <c r="AL132">
        <v>320222</v>
      </c>
      <c r="AM132">
        <v>340511</v>
      </c>
      <c r="AN132">
        <v>373941</v>
      </c>
      <c r="AO132">
        <v>380121</v>
      </c>
      <c r="AP132">
        <v>366051</v>
      </c>
      <c r="AQ132">
        <v>351441</v>
      </c>
      <c r="AR132">
        <v>340896</v>
      </c>
      <c r="AS132">
        <v>313416</v>
      </c>
      <c r="AT132" t="str">
        <f>""</f>
        <v/>
      </c>
      <c r="AU132" t="str">
        <f>""</f>
        <v/>
      </c>
      <c r="AV132" t="str">
        <f>""</f>
        <v/>
      </c>
      <c r="AW132" t="str">
        <f>""</f>
        <v/>
      </c>
      <c r="AX132" t="str">
        <f>""</f>
        <v/>
      </c>
      <c r="AY132" t="str">
        <f>""</f>
        <v/>
      </c>
      <c r="AZ132" t="str">
        <f>""</f>
        <v/>
      </c>
      <c r="BA132" t="str">
        <f>""</f>
        <v/>
      </c>
      <c r="BB132" t="str">
        <f>""</f>
        <v/>
      </c>
      <c r="BC132" t="str">
        <f>""</f>
        <v/>
      </c>
      <c r="BD132" t="str">
        <f>""</f>
        <v/>
      </c>
      <c r="BE132" t="str">
        <f>""</f>
        <v/>
      </c>
      <c r="BF132" t="str">
        <f>""</f>
        <v/>
      </c>
      <c r="BG132" t="str">
        <f>""</f>
        <v/>
      </c>
      <c r="BH132" t="str">
        <f>""</f>
        <v/>
      </c>
      <c r="BI132" t="str">
        <f>""</f>
        <v/>
      </c>
      <c r="BJ132" t="str">
        <f>""</f>
        <v/>
      </c>
      <c r="BK132" t="str">
        <f>""</f>
        <v/>
      </c>
      <c r="BL132" t="str">
        <f>""</f>
        <v/>
      </c>
      <c r="BM132" t="str">
        <f>""</f>
        <v/>
      </c>
      <c r="BN132" t="str">
        <f>""</f>
        <v/>
      </c>
      <c r="BO132" t="str">
        <f>""</f>
        <v/>
      </c>
      <c r="BP132" t="str">
        <f>""</f>
        <v/>
      </c>
      <c r="BQ132" t="str">
        <f>""</f>
        <v/>
      </c>
      <c r="BR132" t="str">
        <f>""</f>
        <v/>
      </c>
      <c r="BS132" t="str">
        <f>""</f>
        <v/>
      </c>
      <c r="BT132" t="str">
        <f>""</f>
        <v/>
      </c>
      <c r="BU132" t="str">
        <f>""</f>
        <v/>
      </c>
      <c r="BV132" t="str">
        <f>""</f>
        <v/>
      </c>
      <c r="BW132" t="str">
        <f>""</f>
        <v/>
      </c>
      <c r="BX132" t="str">
        <f>""</f>
        <v/>
      </c>
      <c r="BY132" t="str">
        <f>""</f>
        <v/>
      </c>
      <c r="BZ132" t="str">
        <f>""</f>
        <v/>
      </c>
      <c r="CA132" t="str">
        <f>""</f>
        <v/>
      </c>
      <c r="CB132" t="str">
        <f>""</f>
        <v/>
      </c>
      <c r="CC132" t="str">
        <f>""</f>
        <v/>
      </c>
      <c r="CD132" t="str">
        <f>""</f>
        <v/>
      </c>
      <c r="CE132" t="str">
        <f>""</f>
        <v/>
      </c>
      <c r="CF132" t="str">
        <f>""</f>
        <v/>
      </c>
      <c r="CG132" t="str">
        <f>""</f>
        <v/>
      </c>
    </row>
    <row r="133" spans="1:85" x14ac:dyDescent="0.2">
      <c r="A133" t="str">
        <f>$A$24</f>
        <v xml:space="preserve">        U.S. Total Private Residential Construction Spending (NSA)</v>
      </c>
      <c r="B133" t="str">
        <f>$B$24</f>
        <v>CNSTPRRE Index</v>
      </c>
      <c r="C133" t="str">
        <f>$C$24</f>
        <v>PR005</v>
      </c>
      <c r="D133" t="str">
        <f>$D$24</f>
        <v>PX_LAST</v>
      </c>
      <c r="E133" t="str">
        <f>$E$24</f>
        <v>Dynamic</v>
      </c>
      <c r="F133" t="e">
        <f ca="1">_xll.BDH($B$24,$C$24,$B$111,$B$112,CONCATENATE("Per=",$B$109),"Dts=H","Dir=H",CONCATENATE("Points=",$B$110),"Sort=R","Days=A","Fill=B",CONCATENATE("FX=", $B$108),"cols=40;rows=1")</f>
        <v>#NAME?</v>
      </c>
      <c r="G133">
        <v>853718</v>
      </c>
      <c r="H133">
        <v>881281</v>
      </c>
      <c r="I133">
        <v>725025</v>
      </c>
      <c r="J133">
        <v>586250</v>
      </c>
      <c r="K133">
        <v>519036</v>
      </c>
      <c r="L133">
        <v>565020</v>
      </c>
      <c r="M133">
        <v>512328</v>
      </c>
      <c r="N133">
        <v>452947</v>
      </c>
      <c r="O133">
        <v>401584</v>
      </c>
      <c r="P133">
        <v>360754</v>
      </c>
      <c r="Q133">
        <v>299101</v>
      </c>
      <c r="R133">
        <v>247983</v>
      </c>
      <c r="S133">
        <v>239030</v>
      </c>
      <c r="T133">
        <v>255801</v>
      </c>
      <c r="U133">
        <v>293997</v>
      </c>
      <c r="V133">
        <v>416486</v>
      </c>
      <c r="W133">
        <v>545011</v>
      </c>
      <c r="X133">
        <v>670522</v>
      </c>
      <c r="Y133">
        <v>566284</v>
      </c>
      <c r="Z133">
        <v>503356</v>
      </c>
      <c r="AA133">
        <v>411758</v>
      </c>
      <c r="AB133">
        <v>376279</v>
      </c>
      <c r="AC133">
        <v>344139</v>
      </c>
      <c r="AD133">
        <v>346989</v>
      </c>
      <c r="AE133">
        <v>302650</v>
      </c>
      <c r="AF133">
        <v>269192</v>
      </c>
      <c r="AG133">
        <v>253234</v>
      </c>
      <c r="AH133">
        <v>235572</v>
      </c>
      <c r="AI133">
        <v>241395</v>
      </c>
      <c r="AJ133">
        <v>235648</v>
      </c>
      <c r="AT133" t="str">
        <f>""</f>
        <v/>
      </c>
      <c r="AU133" t="str">
        <f>""</f>
        <v/>
      </c>
      <c r="AV133" t="str">
        <f>""</f>
        <v/>
      </c>
      <c r="AW133" t="str">
        <f>""</f>
        <v/>
      </c>
      <c r="AX133" t="str">
        <f>""</f>
        <v/>
      </c>
      <c r="AY133" t="str">
        <f>""</f>
        <v/>
      </c>
      <c r="AZ133" t="str">
        <f>""</f>
        <v/>
      </c>
      <c r="BA133" t="str">
        <f>""</f>
        <v/>
      </c>
      <c r="BB133" t="str">
        <f>""</f>
        <v/>
      </c>
      <c r="BC133" t="str">
        <f>""</f>
        <v/>
      </c>
      <c r="BD133" t="str">
        <f>""</f>
        <v/>
      </c>
      <c r="BE133" t="str">
        <f>""</f>
        <v/>
      </c>
      <c r="BF133" t="str">
        <f>""</f>
        <v/>
      </c>
      <c r="BG133" t="str">
        <f>""</f>
        <v/>
      </c>
      <c r="BH133" t="str">
        <f>""</f>
        <v/>
      </c>
      <c r="BI133" t="str">
        <f>""</f>
        <v/>
      </c>
      <c r="BJ133" t="str">
        <f>""</f>
        <v/>
      </c>
      <c r="BK133" t="str">
        <f>""</f>
        <v/>
      </c>
      <c r="BL133" t="str">
        <f>""</f>
        <v/>
      </c>
      <c r="BM133" t="str">
        <f>""</f>
        <v/>
      </c>
      <c r="BN133" t="str">
        <f>""</f>
        <v/>
      </c>
      <c r="BO133" t="str">
        <f>""</f>
        <v/>
      </c>
      <c r="BP133" t="str">
        <f>""</f>
        <v/>
      </c>
      <c r="BQ133" t="str">
        <f>""</f>
        <v/>
      </c>
      <c r="BR133" t="str">
        <f>""</f>
        <v/>
      </c>
      <c r="BS133" t="str">
        <f>""</f>
        <v/>
      </c>
      <c r="BT133" t="str">
        <f>""</f>
        <v/>
      </c>
      <c r="BU133" t="str">
        <f>""</f>
        <v/>
      </c>
      <c r="BV133" t="str">
        <f>""</f>
        <v/>
      </c>
      <c r="BW133" t="str">
        <f>""</f>
        <v/>
      </c>
      <c r="BX133" t="str">
        <f>""</f>
        <v/>
      </c>
      <c r="BY133" t="str">
        <f>""</f>
        <v/>
      </c>
      <c r="BZ133" t="str">
        <f>""</f>
        <v/>
      </c>
      <c r="CA133" t="str">
        <f>""</f>
        <v/>
      </c>
      <c r="CB133" t="str">
        <f>""</f>
        <v/>
      </c>
      <c r="CC133" t="str">
        <f>""</f>
        <v/>
      </c>
      <c r="CD133" t="str">
        <f>""</f>
        <v/>
      </c>
      <c r="CE133" t="str">
        <f>""</f>
        <v/>
      </c>
      <c r="CF133" t="str">
        <f>""</f>
        <v/>
      </c>
      <c r="CG133" t="str">
        <f>""</f>
        <v/>
      </c>
    </row>
    <row r="134" spans="1:85" x14ac:dyDescent="0.2">
      <c r="A134" t="str">
        <f>$A$25</f>
        <v xml:space="preserve">        U.S. Total Private Non-Res Construction Spending (NSA)</v>
      </c>
      <c r="B134" t="str">
        <f>$B$25</f>
        <v>CNSTPRNR Index</v>
      </c>
      <c r="C134" t="str">
        <f>$C$25</f>
        <v>PR005</v>
      </c>
      <c r="D134" t="str">
        <f>$D$25</f>
        <v>PX_LAST</v>
      </c>
      <c r="E134" t="str">
        <f>$E$25</f>
        <v>Dynamic</v>
      </c>
      <c r="F134" t="e">
        <f ca="1">_xll.BDH($B$25,$C$25,$B$111,$B$112,CONCATENATE("Per=",$B$109),"Dts=H","Dir=H",CONCATENATE("Points=",$B$110),"Sort=R","Days=A","Fill=B",CONCATENATE("FX=", $B$108),"cols=40;rows=1")</f>
        <v>#NAME?</v>
      </c>
      <c r="G134">
        <v>594609</v>
      </c>
      <c r="H134">
        <v>515033</v>
      </c>
      <c r="I134">
        <v>479213</v>
      </c>
      <c r="J134">
        <v>524947</v>
      </c>
      <c r="K134">
        <v>462060</v>
      </c>
      <c r="L134">
        <v>447371</v>
      </c>
      <c r="M134">
        <v>461342</v>
      </c>
      <c r="N134">
        <v>405378</v>
      </c>
      <c r="O134">
        <v>370648</v>
      </c>
      <c r="P134">
        <v>348710</v>
      </c>
      <c r="Q134">
        <v>304580</v>
      </c>
      <c r="R134">
        <v>284011</v>
      </c>
      <c r="S134">
        <v>257397</v>
      </c>
      <c r="T134">
        <v>286479</v>
      </c>
      <c r="U134">
        <v>393186</v>
      </c>
      <c r="V134">
        <v>401961</v>
      </c>
      <c r="W134">
        <v>320162</v>
      </c>
      <c r="X134">
        <v>272395</v>
      </c>
      <c r="Y134">
        <v>246725</v>
      </c>
      <c r="Z134">
        <v>232151</v>
      </c>
      <c r="AA134">
        <v>222509</v>
      </c>
      <c r="AB134">
        <v>264194</v>
      </c>
      <c r="AC134">
        <v>281975</v>
      </c>
      <c r="AD134">
        <v>257380</v>
      </c>
      <c r="AE134">
        <v>243689</v>
      </c>
      <c r="AF134">
        <v>218388</v>
      </c>
      <c r="AG134">
        <v>208000</v>
      </c>
      <c r="AH134">
        <v>182144</v>
      </c>
      <c r="AI134">
        <v>165270</v>
      </c>
      <c r="AJ134">
        <v>159605</v>
      </c>
      <c r="AT134" t="str">
        <f>""</f>
        <v/>
      </c>
      <c r="AU134" t="str">
        <f>""</f>
        <v/>
      </c>
      <c r="AV134" t="str">
        <f>""</f>
        <v/>
      </c>
      <c r="AW134" t="str">
        <f>""</f>
        <v/>
      </c>
      <c r="AX134" t="str">
        <f>""</f>
        <v/>
      </c>
      <c r="AY134" t="str">
        <f>""</f>
        <v/>
      </c>
      <c r="AZ134" t="str">
        <f>""</f>
        <v/>
      </c>
      <c r="BA134" t="str">
        <f>""</f>
        <v/>
      </c>
      <c r="BB134" t="str">
        <f>""</f>
        <v/>
      </c>
      <c r="BC134" t="str">
        <f>""</f>
        <v/>
      </c>
      <c r="BD134" t="str">
        <f>""</f>
        <v/>
      </c>
      <c r="BE134" t="str">
        <f>""</f>
        <v/>
      </c>
      <c r="BF134" t="str">
        <f>""</f>
        <v/>
      </c>
      <c r="BG134" t="str">
        <f>""</f>
        <v/>
      </c>
      <c r="BH134" t="str">
        <f>""</f>
        <v/>
      </c>
      <c r="BI134" t="str">
        <f>""</f>
        <v/>
      </c>
      <c r="BJ134" t="str">
        <f>""</f>
        <v/>
      </c>
      <c r="BK134" t="str">
        <f>""</f>
        <v/>
      </c>
      <c r="BL134" t="str">
        <f>""</f>
        <v/>
      </c>
      <c r="BM134" t="str">
        <f>""</f>
        <v/>
      </c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  <c r="BT134" t="str">
        <f>""</f>
        <v/>
      </c>
      <c r="BU134" t="str">
        <f>""</f>
        <v/>
      </c>
      <c r="BV134" t="str">
        <f>""</f>
        <v/>
      </c>
      <c r="BW134" t="str">
        <f>""</f>
        <v/>
      </c>
      <c r="BX134" t="str">
        <f>""</f>
        <v/>
      </c>
      <c r="BY134" t="str">
        <f>""</f>
        <v/>
      </c>
      <c r="BZ134" t="str">
        <f>""</f>
        <v/>
      </c>
      <c r="CA134" t="str">
        <f>""</f>
        <v/>
      </c>
      <c r="CB134" t="str">
        <f>""</f>
        <v/>
      </c>
      <c r="CC134" t="str">
        <f>""</f>
        <v/>
      </c>
      <c r="CD134" t="str">
        <f>""</f>
        <v/>
      </c>
      <c r="CE134" t="str">
        <f>""</f>
        <v/>
      </c>
      <c r="CF134" t="str">
        <f>""</f>
        <v/>
      </c>
      <c r="CG134" t="str">
        <f>""</f>
        <v/>
      </c>
    </row>
    <row r="135" spans="1:85" x14ac:dyDescent="0.2">
      <c r="A135" t="str">
        <f>$A$26</f>
        <v xml:space="preserve">    U.S. Total Public Construction Spending (SAAR)</v>
      </c>
      <c r="B135" t="str">
        <f>$B$26</f>
        <v>CNSTPUTO Index</v>
      </c>
      <c r="C135" t="str">
        <f>$C$26</f>
        <v>PR005</v>
      </c>
      <c r="D135" t="str">
        <f>$D$26</f>
        <v>PX_LAST</v>
      </c>
      <c r="E135" t="str">
        <f>$E$26</f>
        <v>Dynamic</v>
      </c>
      <c r="F135" t="e">
        <f ca="1">_xll.BDH($B$26,$C$26,$B$111,$B$112,CONCATENATE("Per=",$B$109),"Dts=H","Dir=H",CONCATENATE("Points=",$B$110),"Sort=R","Days=A","Fill=B",CONCATENATE("FX=", $B$108),"cols=40;rows=1")</f>
        <v>#NAME?</v>
      </c>
      <c r="G135">
        <v>392570</v>
      </c>
      <c r="H135">
        <v>358113</v>
      </c>
      <c r="I135">
        <v>368521</v>
      </c>
      <c r="J135">
        <v>355218</v>
      </c>
      <c r="K135">
        <v>308835</v>
      </c>
      <c r="L135">
        <v>301276</v>
      </c>
      <c r="M135">
        <v>296774</v>
      </c>
      <c r="N135">
        <v>298029</v>
      </c>
      <c r="O135">
        <v>284197</v>
      </c>
      <c r="P135">
        <v>269747</v>
      </c>
      <c r="Q135">
        <v>268128</v>
      </c>
      <c r="R135">
        <v>289373</v>
      </c>
      <c r="S135">
        <v>292968</v>
      </c>
      <c r="T135">
        <v>300330</v>
      </c>
      <c r="U135">
        <v>311957</v>
      </c>
      <c r="V135">
        <v>296694</v>
      </c>
      <c r="W135">
        <v>270232</v>
      </c>
      <c r="X135">
        <v>241758</v>
      </c>
      <c r="Y135">
        <v>224471</v>
      </c>
      <c r="Z135">
        <v>212946</v>
      </c>
      <c r="AA135">
        <v>221742</v>
      </c>
      <c r="AB135">
        <v>209290</v>
      </c>
      <c r="AC135">
        <v>185294</v>
      </c>
      <c r="AD135">
        <v>185045</v>
      </c>
      <c r="AE135">
        <v>160793</v>
      </c>
      <c r="AF135">
        <v>154442</v>
      </c>
      <c r="AG135">
        <v>144846</v>
      </c>
      <c r="AH135">
        <v>140236</v>
      </c>
      <c r="AI135">
        <v>135129</v>
      </c>
      <c r="AJ135">
        <v>137897</v>
      </c>
      <c r="AK135">
        <v>115457</v>
      </c>
      <c r="AL135">
        <v>113112</v>
      </c>
      <c r="AM135">
        <v>109127</v>
      </c>
      <c r="AN135">
        <v>104261</v>
      </c>
      <c r="AO135">
        <v>99438</v>
      </c>
      <c r="AP135">
        <v>93292</v>
      </c>
      <c r="AQ135">
        <v>83023</v>
      </c>
      <c r="AR135">
        <v>79916</v>
      </c>
      <c r="AS135">
        <v>72489</v>
      </c>
      <c r="AT135" t="str">
        <f>""</f>
        <v/>
      </c>
      <c r="AU135" t="str">
        <f>""</f>
        <v/>
      </c>
      <c r="AV135" t="str">
        <f>""</f>
        <v/>
      </c>
      <c r="AW135" t="str">
        <f>""</f>
        <v/>
      </c>
      <c r="AX135" t="str">
        <f>""</f>
        <v/>
      </c>
      <c r="AY135" t="str">
        <f>""</f>
        <v/>
      </c>
      <c r="AZ135" t="str">
        <f>""</f>
        <v/>
      </c>
      <c r="BA135" t="str">
        <f>""</f>
        <v/>
      </c>
      <c r="BB135" t="str">
        <f>""</f>
        <v/>
      </c>
      <c r="BC135" t="str">
        <f>""</f>
        <v/>
      </c>
      <c r="BD135" t="str">
        <f>""</f>
        <v/>
      </c>
      <c r="BE135" t="str">
        <f>""</f>
        <v/>
      </c>
      <c r="BF135" t="str">
        <f>""</f>
        <v/>
      </c>
      <c r="BG135" t="str">
        <f>""</f>
        <v/>
      </c>
      <c r="BH135" t="str">
        <f>""</f>
        <v/>
      </c>
      <c r="BI135" t="str">
        <f>""</f>
        <v/>
      </c>
      <c r="BJ135" t="str">
        <f>""</f>
        <v/>
      </c>
      <c r="BK135" t="str">
        <f>""</f>
        <v/>
      </c>
      <c r="BL135" t="str">
        <f>""</f>
        <v/>
      </c>
      <c r="BM135" t="str">
        <f>""</f>
        <v/>
      </c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 t="str">
        <f>""</f>
        <v/>
      </c>
      <c r="BS135" t="str">
        <f>""</f>
        <v/>
      </c>
      <c r="BT135" t="str">
        <f>""</f>
        <v/>
      </c>
      <c r="BU135" t="str">
        <f>""</f>
        <v/>
      </c>
      <c r="BV135" t="str">
        <f>""</f>
        <v/>
      </c>
      <c r="BW135" t="str">
        <f>""</f>
        <v/>
      </c>
      <c r="BX135" t="str">
        <f>""</f>
        <v/>
      </c>
      <c r="BY135" t="str">
        <f>""</f>
        <v/>
      </c>
      <c r="BZ135" t="str">
        <f>""</f>
        <v/>
      </c>
      <c r="CA135" t="str">
        <f>""</f>
        <v/>
      </c>
      <c r="CB135" t="str">
        <f>""</f>
        <v/>
      </c>
      <c r="CC135" t="str">
        <f>""</f>
        <v/>
      </c>
      <c r="CD135" t="str">
        <f>""</f>
        <v/>
      </c>
      <c r="CE135" t="str">
        <f>""</f>
        <v/>
      </c>
      <c r="CF135" t="str">
        <f>""</f>
        <v/>
      </c>
      <c r="CG135" t="str">
        <f>""</f>
        <v/>
      </c>
    </row>
    <row r="136" spans="1:85" x14ac:dyDescent="0.2">
      <c r="A136" t="str">
        <f>$A$27</f>
        <v xml:space="preserve">        U.S. Total Public Residential  Construction Spending (NSA)</v>
      </c>
      <c r="B136" t="str">
        <f>$B$27</f>
        <v>CNSTPURE Index</v>
      </c>
      <c r="C136" t="str">
        <f>$C$27</f>
        <v>PR005</v>
      </c>
      <c r="D136" t="str">
        <f>$D$27</f>
        <v>PX_LAST</v>
      </c>
      <c r="E136" t="str">
        <f>$E$27</f>
        <v>Dynamic</v>
      </c>
      <c r="F136" t="e">
        <f ca="1">_xll.BDH($B$27,$C$27,$B$111,$B$112,CONCATENATE("Per=",$B$109),"Dts=H","Dir=H",CONCATENATE("Points=",$B$110),"Sort=R","Days=A","Fill=B",CONCATENATE("FX=", $B$108),"cols=40;rows=1")</f>
        <v>#NAME?</v>
      </c>
      <c r="G136">
        <v>9385</v>
      </c>
      <c r="H136">
        <v>9765</v>
      </c>
      <c r="I136">
        <v>9696</v>
      </c>
      <c r="J136">
        <v>8122</v>
      </c>
      <c r="K136">
        <v>5591</v>
      </c>
      <c r="L136">
        <v>6965</v>
      </c>
      <c r="M136">
        <v>6925</v>
      </c>
      <c r="N136">
        <v>6349</v>
      </c>
      <c r="O136">
        <v>5329</v>
      </c>
      <c r="P136">
        <v>5340</v>
      </c>
      <c r="Q136">
        <v>6004</v>
      </c>
      <c r="R136">
        <v>7107</v>
      </c>
      <c r="S136">
        <v>9899</v>
      </c>
      <c r="T136">
        <v>8792</v>
      </c>
      <c r="U136">
        <v>7334</v>
      </c>
      <c r="V136">
        <v>7212</v>
      </c>
      <c r="W136">
        <v>6729</v>
      </c>
      <c r="X136">
        <v>5613</v>
      </c>
      <c r="Y136">
        <v>5587</v>
      </c>
      <c r="Z136">
        <v>5281</v>
      </c>
      <c r="AA136">
        <v>5086</v>
      </c>
      <c r="AT136" t="str">
        <f>""</f>
        <v/>
      </c>
      <c r="AU136" t="str">
        <f>""</f>
        <v/>
      </c>
      <c r="AV136" t="str">
        <f>""</f>
        <v/>
      </c>
      <c r="AW136" t="str">
        <f>""</f>
        <v/>
      </c>
      <c r="AX136" t="str">
        <f>""</f>
        <v/>
      </c>
      <c r="AY136" t="str">
        <f>""</f>
        <v/>
      </c>
      <c r="AZ136" t="str">
        <f>""</f>
        <v/>
      </c>
      <c r="BA136" t="str">
        <f>""</f>
        <v/>
      </c>
      <c r="BB136" t="str">
        <f>""</f>
        <v/>
      </c>
      <c r="BC136" t="str">
        <f>""</f>
        <v/>
      </c>
      <c r="BD136" t="str">
        <f>""</f>
        <v/>
      </c>
      <c r="BE136" t="str">
        <f>""</f>
        <v/>
      </c>
      <c r="BF136" t="str">
        <f>""</f>
        <v/>
      </c>
      <c r="BG136" t="str">
        <f>""</f>
        <v/>
      </c>
      <c r="BH136" t="str">
        <f>""</f>
        <v/>
      </c>
      <c r="BI136" t="str">
        <f>""</f>
        <v/>
      </c>
      <c r="BJ136" t="str">
        <f>""</f>
        <v/>
      </c>
      <c r="BK136" t="str">
        <f>""</f>
        <v/>
      </c>
      <c r="BL136" t="str">
        <f>""</f>
        <v/>
      </c>
      <c r="BM136" t="str">
        <f>""</f>
        <v/>
      </c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  <c r="BT136" t="str">
        <f>""</f>
        <v/>
      </c>
      <c r="BU136" t="str">
        <f>""</f>
        <v/>
      </c>
      <c r="BV136" t="str">
        <f>""</f>
        <v/>
      </c>
      <c r="BW136" t="str">
        <f>""</f>
        <v/>
      </c>
      <c r="BX136" t="str">
        <f>""</f>
        <v/>
      </c>
      <c r="BY136" t="str">
        <f>""</f>
        <v/>
      </c>
      <c r="BZ136" t="str">
        <f>""</f>
        <v/>
      </c>
      <c r="CA136" t="str">
        <f>""</f>
        <v/>
      </c>
      <c r="CB136" t="str">
        <f>""</f>
        <v/>
      </c>
      <c r="CC136" t="str">
        <f>""</f>
        <v/>
      </c>
      <c r="CD136" t="str">
        <f>""</f>
        <v/>
      </c>
      <c r="CE136" t="str">
        <f>""</f>
        <v/>
      </c>
      <c r="CF136" t="str">
        <f>""</f>
        <v/>
      </c>
      <c r="CG136" t="str">
        <f>""</f>
        <v/>
      </c>
    </row>
    <row r="137" spans="1:85" x14ac:dyDescent="0.2">
      <c r="A137" t="str">
        <f>$A$28</f>
        <v xml:space="preserve">        U.S. Total Public Non-Res  Construction Spending (NSA)</v>
      </c>
      <c r="B137" t="str">
        <f>$B$28</f>
        <v>CNSTPUNR Index</v>
      </c>
      <c r="C137" t="str">
        <f>$C$28</f>
        <v>PR005</v>
      </c>
      <c r="D137" t="str">
        <f>$D$28</f>
        <v>PX_LAST</v>
      </c>
      <c r="E137" t="str">
        <f>$E$28</f>
        <v>Dynamic</v>
      </c>
      <c r="F137" t="e">
        <f ca="1">_xll.BDH($B$28,$C$28,$B$111,$B$112,CONCATENATE("Per=",$B$109),"Dts=H","Dir=H",CONCATENATE("Points=",$B$110),"Sort=R","Days=A","Fill=B",CONCATENATE("FX=", $B$108),"cols=40;rows=1")</f>
        <v>#NAME?</v>
      </c>
      <c r="G137">
        <v>383185</v>
      </c>
      <c r="H137">
        <v>348348</v>
      </c>
      <c r="I137">
        <v>358825</v>
      </c>
      <c r="J137">
        <v>347096</v>
      </c>
      <c r="K137">
        <v>303244</v>
      </c>
      <c r="L137">
        <v>294311</v>
      </c>
      <c r="M137">
        <v>289848</v>
      </c>
      <c r="N137">
        <v>291679</v>
      </c>
      <c r="O137">
        <v>278868</v>
      </c>
      <c r="P137">
        <v>264407</v>
      </c>
      <c r="Q137">
        <v>262124</v>
      </c>
      <c r="R137">
        <v>282266</v>
      </c>
      <c r="S137">
        <v>283069</v>
      </c>
      <c r="T137">
        <v>291538</v>
      </c>
      <c r="U137">
        <v>304622</v>
      </c>
      <c r="V137">
        <v>289482</v>
      </c>
      <c r="W137">
        <v>263503</v>
      </c>
      <c r="X137">
        <v>236145</v>
      </c>
      <c r="Y137">
        <v>218884</v>
      </c>
      <c r="Z137">
        <v>207664</v>
      </c>
      <c r="AA137">
        <v>216656</v>
      </c>
      <c r="AT137" t="str">
        <f>""</f>
        <v/>
      </c>
      <c r="AU137" t="str">
        <f>""</f>
        <v/>
      </c>
      <c r="AV137" t="str">
        <f>""</f>
        <v/>
      </c>
      <c r="AW137" t="str">
        <f>""</f>
        <v/>
      </c>
      <c r="AX137" t="str">
        <f>""</f>
        <v/>
      </c>
      <c r="AY137" t="str">
        <f>""</f>
        <v/>
      </c>
      <c r="AZ137" t="str">
        <f>""</f>
        <v/>
      </c>
      <c r="BA137" t="str">
        <f>""</f>
        <v/>
      </c>
      <c r="BB137" t="str">
        <f>""</f>
        <v/>
      </c>
      <c r="BC137" t="str">
        <f>""</f>
        <v/>
      </c>
      <c r="BD137" t="str">
        <f>""</f>
        <v/>
      </c>
      <c r="BE137" t="str">
        <f>""</f>
        <v/>
      </c>
      <c r="BF137" t="str">
        <f>""</f>
        <v/>
      </c>
      <c r="BG137" t="str">
        <f>""</f>
        <v/>
      </c>
      <c r="BH137" t="str">
        <f>""</f>
        <v/>
      </c>
      <c r="BI137" t="str">
        <f>""</f>
        <v/>
      </c>
      <c r="BJ137" t="str">
        <f>""</f>
        <v/>
      </c>
      <c r="BK137" t="str">
        <f>""</f>
        <v/>
      </c>
      <c r="BL137" t="str">
        <f>""</f>
        <v/>
      </c>
      <c r="BM137" t="str">
        <f>""</f>
        <v/>
      </c>
      <c r="BN137" t="str">
        <f>""</f>
        <v/>
      </c>
      <c r="BO137" t="str">
        <f>""</f>
        <v/>
      </c>
      <c r="BP137" t="str">
        <f>""</f>
        <v/>
      </c>
      <c r="BQ137" t="str">
        <f>""</f>
        <v/>
      </c>
      <c r="BR137" t="str">
        <f>""</f>
        <v/>
      </c>
      <c r="BS137" t="str">
        <f>""</f>
        <v/>
      </c>
      <c r="BT137" t="str">
        <f>""</f>
        <v/>
      </c>
      <c r="BU137" t="str">
        <f>""</f>
        <v/>
      </c>
      <c r="BV137" t="str">
        <f>""</f>
        <v/>
      </c>
      <c r="BW137" t="str">
        <f>""</f>
        <v/>
      </c>
      <c r="BX137" t="str">
        <f>""</f>
        <v/>
      </c>
      <c r="BY137" t="str">
        <f>""</f>
        <v/>
      </c>
      <c r="BZ137" t="str">
        <f>""</f>
        <v/>
      </c>
      <c r="CA137" t="str">
        <f>""</f>
        <v/>
      </c>
      <c r="CB137" t="str">
        <f>""</f>
        <v/>
      </c>
      <c r="CC137" t="str">
        <f>""</f>
        <v/>
      </c>
      <c r="CD137" t="str">
        <f>""</f>
        <v/>
      </c>
      <c r="CE137" t="str">
        <f>""</f>
        <v/>
      </c>
      <c r="CF137" t="str">
        <f>""</f>
        <v/>
      </c>
      <c r="CG137" t="str">
        <f>""</f>
        <v/>
      </c>
    </row>
    <row r="138" spans="1:85" x14ac:dyDescent="0.2">
      <c r="A138" t="str">
        <f>$A$31</f>
        <v xml:space="preserve">    U.S. Construction Spending Total YoY%</v>
      </c>
      <c r="B138" t="str">
        <f>$B$31</f>
        <v>CNSTTYOY Index</v>
      </c>
      <c r="C138" t="str">
        <f>$C$31</f>
        <v>PR005</v>
      </c>
      <c r="D138" t="str">
        <f>$D$31</f>
        <v>PX_LAST</v>
      </c>
      <c r="E138" t="str">
        <f>$E$31</f>
        <v>Dynamic</v>
      </c>
      <c r="F138" t="e">
        <f ca="1">_xll.BDH($B$31,$C$31,$B$111,$B$112,CONCATENATE("Per=",$B$109),"Dts=H","Dir=H",CONCATENATE("Points=",$B$110),"Sort=R","Days=A","Fill=B",CONCATENATE("FX=", $B$108),"cols=40;rows=1")</f>
        <v>#NAME?</v>
      </c>
      <c r="G138">
        <v>4.9000000000000004</v>
      </c>
      <c r="H138">
        <v>11.6</v>
      </c>
      <c r="I138">
        <v>7.3</v>
      </c>
      <c r="J138">
        <v>13.7</v>
      </c>
      <c r="K138">
        <v>-1.8</v>
      </c>
      <c r="L138">
        <v>3.4</v>
      </c>
      <c r="M138">
        <v>9.9</v>
      </c>
      <c r="N138">
        <v>9.5</v>
      </c>
      <c r="O138">
        <v>7.9</v>
      </c>
      <c r="P138">
        <v>12.3</v>
      </c>
      <c r="Q138">
        <v>6.1</v>
      </c>
      <c r="R138">
        <v>4.0999999999999996</v>
      </c>
      <c r="S138">
        <v>-6.3</v>
      </c>
      <c r="T138">
        <v>-15.7</v>
      </c>
      <c r="U138">
        <v>-10.4</v>
      </c>
      <c r="V138">
        <v>-1.8</v>
      </c>
      <c r="W138">
        <v>-4.2</v>
      </c>
      <c r="X138">
        <v>14.2</v>
      </c>
      <c r="Y138">
        <v>9.4</v>
      </c>
      <c r="Z138">
        <v>10.8</v>
      </c>
      <c r="AA138">
        <v>0.7</v>
      </c>
      <c r="AB138">
        <v>4.7</v>
      </c>
      <c r="AC138">
        <v>2.8</v>
      </c>
      <c r="AD138">
        <v>11.7</v>
      </c>
      <c r="AE138">
        <v>10.1</v>
      </c>
      <c r="AF138">
        <v>5.9</v>
      </c>
      <c r="AG138">
        <v>8.6</v>
      </c>
      <c r="AH138">
        <v>3</v>
      </c>
      <c r="AI138">
        <v>1.6</v>
      </c>
      <c r="AJ138">
        <v>11.5</v>
      </c>
      <c r="AT138" t="str">
        <f>""</f>
        <v/>
      </c>
      <c r="AU138" t="str">
        <f>""</f>
        <v/>
      </c>
      <c r="AV138" t="str">
        <f>""</f>
        <v/>
      </c>
      <c r="AW138" t="str">
        <f>""</f>
        <v/>
      </c>
      <c r="AX138" t="str">
        <f>""</f>
        <v/>
      </c>
      <c r="AY138" t="str">
        <f>""</f>
        <v/>
      </c>
      <c r="AZ138" t="str">
        <f>""</f>
        <v/>
      </c>
      <c r="BA138" t="str">
        <f>""</f>
        <v/>
      </c>
      <c r="BB138" t="str">
        <f>""</f>
        <v/>
      </c>
      <c r="BC138" t="str">
        <f>""</f>
        <v/>
      </c>
      <c r="BD138" t="str">
        <f>""</f>
        <v/>
      </c>
      <c r="BE138" t="str">
        <f>""</f>
        <v/>
      </c>
      <c r="BF138" t="str">
        <f>""</f>
        <v/>
      </c>
      <c r="BG138" t="str">
        <f>""</f>
        <v/>
      </c>
      <c r="BH138" t="str">
        <f>""</f>
        <v/>
      </c>
      <c r="BI138" t="str">
        <f>""</f>
        <v/>
      </c>
      <c r="BJ138" t="str">
        <f>""</f>
        <v/>
      </c>
      <c r="BK138" t="str">
        <f>""</f>
        <v/>
      </c>
      <c r="BL138" t="str">
        <f>""</f>
        <v/>
      </c>
      <c r="BM138" t="str">
        <f>""</f>
        <v/>
      </c>
      <c r="BN138" t="str">
        <f>""</f>
        <v/>
      </c>
      <c r="BO138" t="str">
        <f>""</f>
        <v/>
      </c>
      <c r="BP138" t="str">
        <f>""</f>
        <v/>
      </c>
      <c r="BQ138" t="str">
        <f>""</f>
        <v/>
      </c>
      <c r="BR138" t="str">
        <f>""</f>
        <v/>
      </c>
      <c r="BS138" t="str">
        <f>""</f>
        <v/>
      </c>
      <c r="BT138" t="str">
        <f>""</f>
        <v/>
      </c>
      <c r="BU138" t="str">
        <f>""</f>
        <v/>
      </c>
      <c r="BV138" t="str">
        <f>""</f>
        <v/>
      </c>
      <c r="BW138" t="str">
        <f>""</f>
        <v/>
      </c>
      <c r="BX138" t="str">
        <f>""</f>
        <v/>
      </c>
      <c r="BY138" t="str">
        <f>""</f>
        <v/>
      </c>
      <c r="BZ138" t="str">
        <f>""</f>
        <v/>
      </c>
      <c r="CA138" t="str">
        <f>""</f>
        <v/>
      </c>
      <c r="CB138" t="str">
        <f>""</f>
        <v/>
      </c>
      <c r="CC138" t="str">
        <f>""</f>
        <v/>
      </c>
      <c r="CD138" t="str">
        <f>""</f>
        <v/>
      </c>
      <c r="CE138" t="str">
        <f>""</f>
        <v/>
      </c>
      <c r="CF138" t="str">
        <f>""</f>
        <v/>
      </c>
      <c r="CG138" t="str">
        <f>""</f>
        <v/>
      </c>
    </row>
    <row r="139" spans="1:85" x14ac:dyDescent="0.2">
      <c r="A139" t="str">
        <f>$A$32</f>
        <v xml:space="preserve">    U.S. Construction Spending Total MoM%</v>
      </c>
      <c r="B139" t="str">
        <f>$B$32</f>
        <v>CNSTTMOM Index</v>
      </c>
      <c r="C139" t="str">
        <f>$C$32</f>
        <v>PR005</v>
      </c>
      <c r="D139" t="str">
        <f>$D$32</f>
        <v>PX_LAST</v>
      </c>
      <c r="E139" t="str">
        <f>$E$32</f>
        <v>Dynamic</v>
      </c>
      <c r="F139" t="e">
        <f ca="1">_xll.BDH($B$32,$C$32,$B$111,$B$112,CONCATENATE("Per=",$B$109),"Dts=H","Dir=H",CONCATENATE("Points=",$B$110),"Sort=R","Days=A","Fill=B",CONCATENATE("FX=", $B$108),"cols=40;rows=1")</f>
        <v>#NAME?</v>
      </c>
      <c r="G139">
        <v>-0.1</v>
      </c>
      <c r="H139">
        <v>1.6</v>
      </c>
      <c r="I139">
        <v>1.4</v>
      </c>
      <c r="J139">
        <v>0.2</v>
      </c>
      <c r="K139">
        <v>-0.8</v>
      </c>
      <c r="L139">
        <v>0.4</v>
      </c>
      <c r="M139">
        <v>0.4</v>
      </c>
      <c r="N139">
        <v>0.9</v>
      </c>
      <c r="O139">
        <v>1.1000000000000001</v>
      </c>
      <c r="P139">
        <v>1.6</v>
      </c>
      <c r="Q139">
        <v>0</v>
      </c>
      <c r="R139">
        <v>1.1000000000000001</v>
      </c>
      <c r="S139">
        <v>-1.8</v>
      </c>
      <c r="T139">
        <v>-1.9</v>
      </c>
      <c r="U139">
        <v>-3.5</v>
      </c>
      <c r="V139">
        <v>-1.6</v>
      </c>
      <c r="W139">
        <v>1.2</v>
      </c>
      <c r="X139">
        <v>1.1000000000000001</v>
      </c>
      <c r="Y139">
        <v>1.4</v>
      </c>
      <c r="Z139">
        <v>2.4</v>
      </c>
      <c r="AA139">
        <v>1.3</v>
      </c>
      <c r="AB139">
        <v>0.7</v>
      </c>
      <c r="AC139">
        <v>-1</v>
      </c>
      <c r="AD139">
        <v>1.1000000000000001</v>
      </c>
      <c r="AE139">
        <v>-0.1</v>
      </c>
      <c r="AF139">
        <v>-0.3</v>
      </c>
      <c r="AG139">
        <v>-2.4</v>
      </c>
      <c r="AH139">
        <v>0.1</v>
      </c>
      <c r="AI139">
        <v>0.5</v>
      </c>
      <c r="AJ139">
        <v>3.3</v>
      </c>
      <c r="AT139" t="str">
        <f>""</f>
        <v/>
      </c>
      <c r="AU139" t="str">
        <f>""</f>
        <v/>
      </c>
      <c r="AV139" t="str">
        <f>""</f>
        <v/>
      </c>
      <c r="AW139" t="str">
        <f>""</f>
        <v/>
      </c>
      <c r="AX139" t="str">
        <f>""</f>
        <v/>
      </c>
      <c r="AY139" t="str">
        <f>""</f>
        <v/>
      </c>
      <c r="AZ139" t="str">
        <f>""</f>
        <v/>
      </c>
      <c r="BA139" t="str">
        <f>""</f>
        <v/>
      </c>
      <c r="BB139" t="str">
        <f>""</f>
        <v/>
      </c>
      <c r="BC139" t="str">
        <f>""</f>
        <v/>
      </c>
      <c r="BD139" t="str">
        <f>""</f>
        <v/>
      </c>
      <c r="BE139" t="str">
        <f>""</f>
        <v/>
      </c>
      <c r="BF139" t="str">
        <f>""</f>
        <v/>
      </c>
      <c r="BG139" t="str">
        <f>""</f>
        <v/>
      </c>
      <c r="BH139" t="str">
        <f>""</f>
        <v/>
      </c>
      <c r="BI139" t="str">
        <f>""</f>
        <v/>
      </c>
      <c r="BJ139" t="str">
        <f>""</f>
        <v/>
      </c>
      <c r="BK139" t="str">
        <f>""</f>
        <v/>
      </c>
      <c r="BL139" t="str">
        <f>""</f>
        <v/>
      </c>
      <c r="BM139" t="str">
        <f>""</f>
        <v/>
      </c>
      <c r="BN139" t="str">
        <f>""</f>
        <v/>
      </c>
      <c r="BO139" t="str">
        <f>""</f>
        <v/>
      </c>
      <c r="BP139" t="str">
        <f>""</f>
        <v/>
      </c>
      <c r="BQ139" t="str">
        <f>""</f>
        <v/>
      </c>
      <c r="BR139" t="str">
        <f>""</f>
        <v/>
      </c>
      <c r="BS139" t="str">
        <f>""</f>
        <v/>
      </c>
      <c r="BT139" t="str">
        <f>""</f>
        <v/>
      </c>
      <c r="BU139" t="str">
        <f>""</f>
        <v/>
      </c>
      <c r="BV139" t="str">
        <f>""</f>
        <v/>
      </c>
      <c r="BW139" t="str">
        <f>""</f>
        <v/>
      </c>
      <c r="BX139" t="str">
        <f>""</f>
        <v/>
      </c>
      <c r="BY139" t="str">
        <f>""</f>
        <v/>
      </c>
      <c r="BZ139" t="str">
        <f>""</f>
        <v/>
      </c>
      <c r="CA139" t="str">
        <f>""</f>
        <v/>
      </c>
      <c r="CB139" t="str">
        <f>""</f>
        <v/>
      </c>
      <c r="CC139" t="str">
        <f>""</f>
        <v/>
      </c>
      <c r="CD139" t="str">
        <f>""</f>
        <v/>
      </c>
      <c r="CE139" t="str">
        <f>""</f>
        <v/>
      </c>
      <c r="CF139" t="str">
        <f>""</f>
        <v/>
      </c>
      <c r="CG139" t="str">
        <f>""</f>
        <v/>
      </c>
    </row>
    <row r="140" spans="1:85" x14ac:dyDescent="0.2">
      <c r="A140" t="str">
        <f>$A$34</f>
        <v xml:space="preserve">    Total Fed. Constr. Put in Place (Mn USD)</v>
      </c>
      <c r="B140" t="str">
        <f>$B$34</f>
        <v>FED1TOFC Index</v>
      </c>
      <c r="C140" t="str">
        <f>$C$34</f>
        <v>PX385</v>
      </c>
      <c r="D140" t="str">
        <f>$D$34</f>
        <v>INTERVAL_SUM</v>
      </c>
      <c r="E140" t="str">
        <f>$E$34</f>
        <v>Dynamic</v>
      </c>
      <c r="F140" t="e">
        <f ca="1">_xll.BDP($B$34,$C$34,CONCATENATE("PX391=", $F$115), CONCATENATE("PX392=",$F$116), CONCATENATE("DS004=",$B$108), "Fill=B")</f>
        <v>#NAME?</v>
      </c>
      <c r="G140" t="e">
        <f ca="1">_xll.BDP($B$34,$C$34,CONCATENATE("PX391=", $G$115), CONCATENATE("PX392=",$G$116), CONCATENATE("DS004=",$B$108), "Fill=B")</f>
        <v>#NAME?</v>
      </c>
      <c r="H140" t="e">
        <f ca="1">_xll.BDP($B$34,$C$34,CONCATENATE("PX391=", $H$115), CONCATENATE("PX392=",$H$116), CONCATENATE("DS004=",$B$108), "Fill=B")</f>
        <v>#NAME?</v>
      </c>
      <c r="I140" t="e">
        <f ca="1">_xll.BDP($B$34,$C$34,CONCATENATE("PX391=", $I$115), CONCATENATE("PX392=",$I$116), CONCATENATE("DS004=",$B$108), "Fill=B")</f>
        <v>#NAME?</v>
      </c>
      <c r="J140" t="e">
        <f ca="1">_xll.BDP($B$34,$C$34,CONCATENATE("PX391=", $J$115), CONCATENATE("PX392=",$J$116), CONCATENATE("DS004=",$B$108), "Fill=B")</f>
        <v>#NAME?</v>
      </c>
      <c r="K140" t="e">
        <f ca="1">_xll.BDP($B$34,$C$34,CONCATENATE("PX391=", $K$115), CONCATENATE("PX392=",$K$116), CONCATENATE("DS004=",$B$108), "Fill=B")</f>
        <v>#NAME?</v>
      </c>
      <c r="L140" t="e">
        <f ca="1">_xll.BDP($B$34,$C$34,CONCATENATE("PX391=", $L$115), CONCATENATE("PX392=",$L$116), CONCATENATE("DS004=",$B$108), "Fill=B")</f>
        <v>#NAME?</v>
      </c>
      <c r="M140" t="e">
        <f ca="1">_xll.BDP($B$34,$C$34,CONCATENATE("PX391=", $M$115), CONCATENATE("PX392=",$M$116), CONCATENATE("DS004=",$B$108), "Fill=B")</f>
        <v>#NAME?</v>
      </c>
      <c r="N140" t="e">
        <f ca="1">_xll.BDP($B$34,$C$34,CONCATENATE("PX391=", $N$115), CONCATENATE("PX392=",$N$116), CONCATENATE("DS004=",$B$108), "Fill=B")</f>
        <v>#NAME?</v>
      </c>
      <c r="O140" t="e">
        <f ca="1">_xll.BDP($B$34,$C$34,CONCATENATE("PX391=", $O$115), CONCATENATE("PX392=",$O$116), CONCATENATE("DS004=",$B$108), "Fill=B")</f>
        <v>#NAME?</v>
      </c>
      <c r="P140" t="e">
        <f ca="1">_xll.BDP($B$34,$C$34,CONCATENATE("PX391=", $P$115), CONCATENATE("PX392=",$P$116), CONCATENATE("DS004=",$B$108), "Fill=B")</f>
        <v>#NAME?</v>
      </c>
      <c r="Q140" t="e">
        <f ca="1">_xll.BDP($B$34,$C$34,CONCATENATE("PX391=", $Q$115), CONCATENATE("PX392=",$Q$116), CONCATENATE("DS004=",$B$108), "Fill=B")</f>
        <v>#NAME?</v>
      </c>
      <c r="R140" t="e">
        <f ca="1">_xll.BDP($B$34,$C$34,CONCATENATE("PX391=", $R$115), CONCATENATE("PX392=",$R$116), CONCATENATE("DS004=",$B$108), "Fill=B")</f>
        <v>#NAME?</v>
      </c>
      <c r="S140" t="e">
        <f ca="1">_xll.BDP($B$34,$C$34,CONCATENATE("PX391=", $S$115), CONCATENATE("PX392=",$S$116), CONCATENATE("DS004=",$B$108), "Fill=B")</f>
        <v>#NAME?</v>
      </c>
      <c r="T140" t="e">
        <f ca="1">_xll.BDP($B$34,$C$34,CONCATENATE("PX391=", $T$115), CONCATENATE("PX392=",$T$116), CONCATENATE("DS004=",$B$108), "Fill=B")</f>
        <v>#NAME?</v>
      </c>
      <c r="U140" t="e">
        <f ca="1">_xll.BDP($B$34,$C$34,CONCATENATE("PX391=", $U$115), CONCATENATE("PX392=",$U$116), CONCATENATE("DS004=",$B$108), "Fill=B")</f>
        <v>#NAME?</v>
      </c>
      <c r="V140" t="e">
        <f ca="1">_xll.BDP($B$34,$C$34,CONCATENATE("PX391=", $V$115), CONCATENATE("PX392=",$V$116), CONCATENATE("DS004=",$B$108), "Fill=B")</f>
        <v>#NAME?</v>
      </c>
      <c r="W140" t="e">
        <f ca="1">_xll.BDP($B$34,$C$34,CONCATENATE("PX391=", $W$115), CONCATENATE("PX392=",$W$116), CONCATENATE("DS004=",$B$108), "Fill=B")</f>
        <v>#NAME?</v>
      </c>
      <c r="X140" t="e">
        <f ca="1">_xll.BDP($B$34,$C$34,CONCATENATE("PX391=", $X$115), CONCATENATE("PX392=",$X$116), CONCATENATE("DS004=",$B$108), "Fill=B")</f>
        <v>#NAME?</v>
      </c>
      <c r="Y140" t="e">
        <f ca="1">_xll.BDP($B$34,$C$34,CONCATENATE("PX391=", $Y$115), CONCATENATE("PX392=",$Y$116), CONCATENATE("DS004=",$B$108), "Fill=B")</f>
        <v>#NAME?</v>
      </c>
      <c r="Z140" t="e">
        <f ca="1">_xll.BDP($B$34,$C$34,CONCATENATE("PX391=", $Z$115), CONCATENATE("PX392=",$Z$116), CONCATENATE("DS004=",$B$108), "Fill=B")</f>
        <v>#NAME?</v>
      </c>
      <c r="AA140" t="e">
        <f ca="1">_xll.BDP($B$34,$C$34,CONCATENATE("PX391=", $AA$115), CONCATENATE("PX392=",$AA$116), CONCATENATE("DS004=",$B$108), "Fill=B")</f>
        <v>#NAME?</v>
      </c>
      <c r="AB140" t="e">
        <f ca="1">_xll.BDP($B$34,$C$34,CONCATENATE("PX391=", $AB$115), CONCATENATE("PX392=",$AB$116), CONCATENATE("DS004=",$B$108), "Fill=B")</f>
        <v>#NAME?</v>
      </c>
      <c r="AC140" t="e">
        <f ca="1">_xll.BDP($B$34,$C$34,CONCATENATE("PX391=", $AC$115), CONCATENATE("PX392=",$AC$116), CONCATENATE("DS004=",$B$108), "Fill=B")</f>
        <v>#NAME?</v>
      </c>
      <c r="AD140" t="e">
        <f ca="1">_xll.BDP($B$34,$C$34,CONCATENATE("PX391=", $AD$115), CONCATENATE("PX392=",$AD$116), CONCATENATE("DS004=",$B$108), "Fill=B")</f>
        <v>#NAME?</v>
      </c>
      <c r="AE140" t="e">
        <f ca="1">_xll.BDP($B$34,$C$34,CONCATENATE("PX391=", $AE$115), CONCATENATE("PX392=",$AE$116), CONCATENATE("DS004=",$B$108), "Fill=B")</f>
        <v>#NAME?</v>
      </c>
      <c r="AF140" t="e">
        <f ca="1">_xll.BDP($B$34,$C$34,CONCATENATE("PX391=", $AF$115), CONCATENATE("PX392=",$AF$116), CONCATENATE("DS004=",$B$108), "Fill=B")</f>
        <v>#NAME?</v>
      </c>
      <c r="AG140" t="e">
        <f ca="1">_xll.BDP($B$34,$C$34,CONCATENATE("PX391=", $AG$115), CONCATENATE("PX392=",$AG$116), CONCATENATE("DS004=",$B$108), "Fill=B")</f>
        <v>#NAME?</v>
      </c>
      <c r="AH140" t="e">
        <f ca="1">_xll.BDP($B$34,$C$34,CONCATENATE("PX391=", $AH$115), CONCATENATE("PX392=",$AH$116), CONCATENATE("DS004=",$B$108), "Fill=B")</f>
        <v>#NAME?</v>
      </c>
      <c r="AI140" t="e">
        <f ca="1">_xll.BDP($B$34,$C$34,CONCATENATE("PX391=", $AI$115), CONCATENATE("PX392=",$AI$116), CONCATENATE("DS004=",$B$108), "Fill=B")</f>
        <v>#NAME?</v>
      </c>
      <c r="AJ140" t="e">
        <f ca="1">_xll.BDP($B$34,$C$34,CONCATENATE("PX391=", $AJ$115), CONCATENATE("PX392=",$AJ$116), CONCATENATE("DS004=",$B$108), "Fill=B")</f>
        <v>#NAME?</v>
      </c>
      <c r="AK140" t="e">
        <f ca="1">_xll.BDP($B$34,$C$34,CONCATENATE("PX391=", $AK$115), CONCATENATE("PX392=",$AK$116), CONCATENATE("DS004=",$B$108), "Fill=B")</f>
        <v>#NAME?</v>
      </c>
      <c r="AL140" t="e">
        <f ca="1">_xll.BDP($B$34,$C$34,CONCATENATE("PX391=", $AL$115), CONCATENATE("PX392=",$AL$116), CONCATENATE("DS004=",$B$108), "Fill=B")</f>
        <v>#NAME?</v>
      </c>
      <c r="AM140" t="e">
        <f ca="1">_xll.BDP($B$34,$C$34,CONCATENATE("PX391=", $AM$115), CONCATENATE("PX392=",$AM$116), CONCATENATE("DS004=",$B$108), "Fill=B")</f>
        <v>#NAME?</v>
      </c>
      <c r="AN140" t="e">
        <f ca="1">_xll.BDP($B$34,$C$34,CONCATENATE("PX391=", $AN$115), CONCATENATE("PX392=",$AN$116), CONCATENATE("DS004=",$B$108), "Fill=B")</f>
        <v>#NAME?</v>
      </c>
      <c r="AO140" t="e">
        <f ca="1">_xll.BDP($B$34,$C$34,CONCATENATE("PX391=", $AO$115), CONCATENATE("PX392=",$AO$116), CONCATENATE("DS004=",$B$108), "Fill=B")</f>
        <v>#NAME?</v>
      </c>
      <c r="AP140" t="e">
        <f ca="1">_xll.BDP($B$34,$C$34,CONCATENATE("PX391=", $AP$115), CONCATENATE("PX392=",$AP$116), CONCATENATE("DS004=",$B$108), "Fill=B")</f>
        <v>#NAME?</v>
      </c>
      <c r="AQ140" t="e">
        <f ca="1">_xll.BDP($B$34,$C$34,CONCATENATE("PX391=", $AQ$115), CONCATENATE("PX392=",$AQ$116), CONCATENATE("DS004=",$B$108), "Fill=B")</f>
        <v>#NAME?</v>
      </c>
      <c r="AR140" t="e">
        <f ca="1">_xll.BDP($B$34,$C$34,CONCATENATE("PX391=", $AR$115), CONCATENATE("PX392=",$AR$116), CONCATENATE("DS004=",$B$108), "Fill=B")</f>
        <v>#NAME?</v>
      </c>
      <c r="AS140" t="e">
        <f ca="1">_xll.BDP($B$34,$C$34,CONCATENATE("PX391=", $AS$115), CONCATENATE("PX392=",$AS$116), CONCATENATE("DS004=",$B$108), "Fill=B")</f>
        <v>#NAME?</v>
      </c>
      <c r="AT140" t="str">
        <f>""</f>
        <v/>
      </c>
      <c r="AU140" t="str">
        <f>""</f>
        <v/>
      </c>
      <c r="AV140" t="str">
        <f>""</f>
        <v/>
      </c>
      <c r="AW140" t="str">
        <f>""</f>
        <v/>
      </c>
      <c r="AX140" t="str">
        <f>""</f>
        <v/>
      </c>
      <c r="AY140" t="str">
        <f>""</f>
        <v/>
      </c>
      <c r="AZ140" t="str">
        <f>""</f>
        <v/>
      </c>
      <c r="BA140" t="str">
        <f>""</f>
        <v/>
      </c>
      <c r="BB140" t="str">
        <f>""</f>
        <v/>
      </c>
      <c r="BC140" t="str">
        <f>""</f>
        <v/>
      </c>
      <c r="BD140" t="str">
        <f>""</f>
        <v/>
      </c>
      <c r="BE140" t="str">
        <f>""</f>
        <v/>
      </c>
      <c r="BF140" t="str">
        <f>""</f>
        <v/>
      </c>
      <c r="BG140" t="str">
        <f>""</f>
        <v/>
      </c>
      <c r="BH140" t="str">
        <f>""</f>
        <v/>
      </c>
      <c r="BI140" t="str">
        <f>""</f>
        <v/>
      </c>
      <c r="BJ140" t="str">
        <f>""</f>
        <v/>
      </c>
      <c r="BK140" t="str">
        <f>""</f>
        <v/>
      </c>
      <c r="BL140" t="str">
        <f>""</f>
        <v/>
      </c>
      <c r="BM140" t="str">
        <f>""</f>
        <v/>
      </c>
      <c r="BN140" t="str">
        <f>""</f>
        <v/>
      </c>
      <c r="BO140" t="str">
        <f>""</f>
        <v/>
      </c>
      <c r="BP140" t="str">
        <f>""</f>
        <v/>
      </c>
      <c r="BQ140" t="str">
        <f>""</f>
        <v/>
      </c>
      <c r="BR140" t="str">
        <f>""</f>
        <v/>
      </c>
      <c r="BS140" t="str">
        <f>""</f>
        <v/>
      </c>
      <c r="BT140" t="str">
        <f>""</f>
        <v/>
      </c>
      <c r="BU140" t="str">
        <f>""</f>
        <v/>
      </c>
      <c r="BV140" t="str">
        <f>""</f>
        <v/>
      </c>
      <c r="BW140" t="str">
        <f>""</f>
        <v/>
      </c>
      <c r="BX140" t="str">
        <f>""</f>
        <v/>
      </c>
      <c r="BY140" t="str">
        <f>""</f>
        <v/>
      </c>
      <c r="BZ140" t="str">
        <f>""</f>
        <v/>
      </c>
      <c r="CA140" t="str">
        <f>""</f>
        <v/>
      </c>
      <c r="CB140" t="str">
        <f>""</f>
        <v/>
      </c>
      <c r="CC140" t="str">
        <f>""</f>
        <v/>
      </c>
      <c r="CD140" t="str">
        <f>""</f>
        <v/>
      </c>
      <c r="CE140" t="str">
        <f>""</f>
        <v/>
      </c>
      <c r="CF140" t="str">
        <f>""</f>
        <v/>
      </c>
      <c r="CG140" t="str">
        <f>""</f>
        <v/>
      </c>
    </row>
    <row r="141" spans="1:85" x14ac:dyDescent="0.2">
      <c r="A141" t="str">
        <f>$A$35</f>
        <v xml:space="preserve">        Fed. Highway Construction (Mn USD)</v>
      </c>
      <c r="B141" t="str">
        <f>$B$35</f>
        <v>FED1HWAY Index</v>
      </c>
      <c r="C141" t="str">
        <f>$C$35</f>
        <v>PX385</v>
      </c>
      <c r="D141" t="str">
        <f>$D$35</f>
        <v>INTERVAL_SUM</v>
      </c>
      <c r="E141" t="str">
        <f>$E$35</f>
        <v>Dynamic</v>
      </c>
      <c r="F141" t="e">
        <f ca="1">_xll.BDP($B$35,$C$35,CONCATENATE("PX391=", $F$115), CONCATENATE("PX392=",$F$116), CONCATENATE("DS004=",$B$108), "Fill=B")</f>
        <v>#NAME?</v>
      </c>
      <c r="G141" t="e">
        <f ca="1">_xll.BDP($B$35,$C$35,CONCATENATE("PX391=", $G$115), CONCATENATE("PX392=",$G$116), CONCATENATE("DS004=",$B$108), "Fill=B")</f>
        <v>#NAME?</v>
      </c>
      <c r="H141" t="e">
        <f ca="1">_xll.BDP($B$35,$C$35,CONCATENATE("PX391=", $H$115), CONCATENATE("PX392=",$H$116), CONCATENATE("DS004=",$B$108), "Fill=B")</f>
        <v>#NAME?</v>
      </c>
      <c r="I141" t="e">
        <f ca="1">_xll.BDP($B$35,$C$35,CONCATENATE("PX391=", $I$115), CONCATENATE("PX392=",$I$116), CONCATENATE("DS004=",$B$108), "Fill=B")</f>
        <v>#NAME?</v>
      </c>
      <c r="J141" t="e">
        <f ca="1">_xll.BDP($B$35,$C$35,CONCATENATE("PX391=", $J$115), CONCATENATE("PX392=",$J$116), CONCATENATE("DS004=",$B$108), "Fill=B")</f>
        <v>#NAME?</v>
      </c>
      <c r="K141" t="e">
        <f ca="1">_xll.BDP($B$35,$C$35,CONCATENATE("PX391=", $K$115), CONCATENATE("PX392=",$K$116), CONCATENATE("DS004=",$B$108), "Fill=B")</f>
        <v>#NAME?</v>
      </c>
      <c r="L141" t="e">
        <f ca="1">_xll.BDP($B$35,$C$35,CONCATENATE("PX391=", $L$115), CONCATENATE("PX392=",$L$116), CONCATENATE("DS004=",$B$108), "Fill=B")</f>
        <v>#NAME?</v>
      </c>
      <c r="M141" t="e">
        <f ca="1">_xll.BDP($B$35,$C$35,CONCATENATE("PX391=", $M$115), CONCATENATE("PX392=",$M$116), CONCATENATE("DS004=",$B$108), "Fill=B")</f>
        <v>#NAME?</v>
      </c>
      <c r="N141" t="e">
        <f ca="1">_xll.BDP($B$35,$C$35,CONCATENATE("PX391=", $N$115), CONCATENATE("PX392=",$N$116), CONCATENATE("DS004=",$B$108), "Fill=B")</f>
        <v>#NAME?</v>
      </c>
      <c r="O141" t="e">
        <f ca="1">_xll.BDP($B$35,$C$35,CONCATENATE("PX391=", $O$115), CONCATENATE("PX392=",$O$116), CONCATENATE("DS004=",$B$108), "Fill=B")</f>
        <v>#NAME?</v>
      </c>
      <c r="P141" t="e">
        <f ca="1">_xll.BDP($B$35,$C$35,CONCATENATE("PX391=", $P$115), CONCATENATE("PX392=",$P$116), CONCATENATE("DS004=",$B$108), "Fill=B")</f>
        <v>#NAME?</v>
      </c>
      <c r="Q141" t="e">
        <f ca="1">_xll.BDP($B$35,$C$35,CONCATENATE("PX391=", $Q$115), CONCATENATE("PX392=",$Q$116), CONCATENATE("DS004=",$B$108), "Fill=B")</f>
        <v>#NAME?</v>
      </c>
      <c r="R141" t="e">
        <f ca="1">_xll.BDP($B$35,$C$35,CONCATENATE("PX391=", $R$115), CONCATENATE("PX392=",$R$116), CONCATENATE("DS004=",$B$108), "Fill=B")</f>
        <v>#NAME?</v>
      </c>
      <c r="S141" t="e">
        <f ca="1">_xll.BDP($B$35,$C$35,CONCATENATE("PX391=", $S$115), CONCATENATE("PX392=",$S$116), CONCATENATE("DS004=",$B$108), "Fill=B")</f>
        <v>#NAME?</v>
      </c>
      <c r="T141" t="e">
        <f ca="1">_xll.BDP($B$35,$C$35,CONCATENATE("PX391=", $T$115), CONCATENATE("PX392=",$T$116), CONCATENATE("DS004=",$B$108), "Fill=B")</f>
        <v>#NAME?</v>
      </c>
      <c r="U141" t="e">
        <f ca="1">_xll.BDP($B$35,$C$35,CONCATENATE("PX391=", $U$115), CONCATENATE("PX392=",$U$116), CONCATENATE("DS004=",$B$108), "Fill=B")</f>
        <v>#NAME?</v>
      </c>
      <c r="V141" t="e">
        <f ca="1">_xll.BDP($B$35,$C$35,CONCATENATE("PX391=", $V$115), CONCATENATE("PX392=",$V$116), CONCATENATE("DS004=",$B$108), "Fill=B")</f>
        <v>#NAME?</v>
      </c>
      <c r="W141" t="e">
        <f ca="1">_xll.BDP($B$35,$C$35,CONCATENATE("PX391=", $W$115), CONCATENATE("PX392=",$W$116), CONCATENATE("DS004=",$B$108), "Fill=B")</f>
        <v>#NAME?</v>
      </c>
      <c r="X141" t="e">
        <f ca="1">_xll.BDP($B$35,$C$35,CONCATENATE("PX391=", $X$115), CONCATENATE("PX392=",$X$116), CONCATENATE("DS004=",$B$108), "Fill=B")</f>
        <v>#NAME?</v>
      </c>
      <c r="Y141" t="e">
        <f ca="1">_xll.BDP($B$35,$C$35,CONCATENATE("PX391=", $Y$115), CONCATENATE("PX392=",$Y$116), CONCATENATE("DS004=",$B$108), "Fill=B")</f>
        <v>#NAME?</v>
      </c>
      <c r="Z141" t="e">
        <f ca="1">_xll.BDP($B$35,$C$35,CONCATENATE("PX391=", $Z$115), CONCATENATE("PX392=",$Z$116), CONCATENATE("DS004=",$B$108), "Fill=B")</f>
        <v>#NAME?</v>
      </c>
      <c r="AA141" t="e">
        <f ca="1">_xll.BDP($B$35,$C$35,CONCATENATE("PX391=", $AA$115), CONCATENATE("PX392=",$AA$116), CONCATENATE("DS004=",$B$108), "Fill=B")</f>
        <v>#NAME?</v>
      </c>
      <c r="AB141" t="e">
        <f ca="1">_xll.BDP($B$35,$C$35,CONCATENATE("PX391=", $AB$115), CONCATENATE("PX392=",$AB$116), CONCATENATE("DS004=",$B$108), "Fill=B")</f>
        <v>#NAME?</v>
      </c>
      <c r="AC141" t="e">
        <f ca="1">_xll.BDP($B$35,$C$35,CONCATENATE("PX391=", $AC$115), CONCATENATE("PX392=",$AC$116), CONCATENATE("DS004=",$B$108), "Fill=B")</f>
        <v>#NAME?</v>
      </c>
      <c r="AD141" t="e">
        <f ca="1">_xll.BDP($B$35,$C$35,CONCATENATE("PX391=", $AD$115), CONCATENATE("PX392=",$AD$116), CONCATENATE("DS004=",$B$108), "Fill=B")</f>
        <v>#NAME?</v>
      </c>
      <c r="AE141" t="e">
        <f ca="1">_xll.BDP($B$35,$C$35,CONCATENATE("PX391=", $AE$115), CONCATENATE("PX392=",$AE$116), CONCATENATE("DS004=",$B$108), "Fill=B")</f>
        <v>#NAME?</v>
      </c>
      <c r="AF141" t="e">
        <f ca="1">_xll.BDP($B$35,$C$35,CONCATENATE("PX391=", $AF$115), CONCATENATE("PX392=",$AF$116), CONCATENATE("DS004=",$B$108), "Fill=B")</f>
        <v>#NAME?</v>
      </c>
      <c r="AG141" t="e">
        <f ca="1">_xll.BDP($B$35,$C$35,CONCATENATE("PX391=", $AG$115), CONCATENATE("PX392=",$AG$116), CONCATENATE("DS004=",$B$108), "Fill=B")</f>
        <v>#NAME?</v>
      </c>
      <c r="AH141" t="e">
        <f ca="1">_xll.BDP($B$35,$C$35,CONCATENATE("PX391=", $AH$115), CONCATENATE("PX392=",$AH$116), CONCATENATE("DS004=",$B$108), "Fill=B")</f>
        <v>#NAME?</v>
      </c>
      <c r="AI141" t="e">
        <f ca="1">_xll.BDP($B$35,$C$35,CONCATENATE("PX391=", $AI$115), CONCATENATE("PX392=",$AI$116), CONCATENATE("DS004=",$B$108), "Fill=B")</f>
        <v>#NAME?</v>
      </c>
      <c r="AJ141" t="e">
        <f ca="1">_xll.BDP($B$35,$C$35,CONCATENATE("PX391=", $AJ$115), CONCATENATE("PX392=",$AJ$116), CONCATENATE("DS004=",$B$108), "Fill=B")</f>
        <v>#NAME?</v>
      </c>
      <c r="AK141" t="e">
        <f ca="1">_xll.BDP($B$35,$C$35,CONCATENATE("PX391=", $AK$115), CONCATENATE("PX392=",$AK$116), CONCATENATE("DS004=",$B$108), "Fill=B")</f>
        <v>#NAME?</v>
      </c>
      <c r="AL141" t="e">
        <f ca="1">_xll.BDP($B$35,$C$35,CONCATENATE("PX391=", $AL$115), CONCATENATE("PX392=",$AL$116), CONCATENATE("DS004=",$B$108), "Fill=B")</f>
        <v>#NAME?</v>
      </c>
      <c r="AM141" t="e">
        <f ca="1">_xll.BDP($B$35,$C$35,CONCATENATE("PX391=", $AM$115), CONCATENATE("PX392=",$AM$116), CONCATENATE("DS004=",$B$108), "Fill=B")</f>
        <v>#NAME?</v>
      </c>
      <c r="AN141" t="e">
        <f ca="1">_xll.BDP($B$35,$C$35,CONCATENATE("PX391=", $AN$115), CONCATENATE("PX392=",$AN$116), CONCATENATE("DS004=",$B$108), "Fill=B")</f>
        <v>#NAME?</v>
      </c>
      <c r="AO141" t="e">
        <f ca="1">_xll.BDP($B$35,$C$35,CONCATENATE("PX391=", $AO$115), CONCATENATE("PX392=",$AO$116), CONCATENATE("DS004=",$B$108), "Fill=B")</f>
        <v>#NAME?</v>
      </c>
      <c r="AP141" t="e">
        <f ca="1">_xll.BDP($B$35,$C$35,CONCATENATE("PX391=", $AP$115), CONCATENATE("PX392=",$AP$116), CONCATENATE("DS004=",$B$108), "Fill=B")</f>
        <v>#NAME?</v>
      </c>
      <c r="AQ141" t="e">
        <f ca="1">_xll.BDP($B$35,$C$35,CONCATENATE("PX391=", $AQ$115), CONCATENATE("PX392=",$AQ$116), CONCATENATE("DS004=",$B$108), "Fill=B")</f>
        <v>#NAME?</v>
      </c>
      <c r="AR141" t="e">
        <f ca="1">_xll.BDP($B$35,$C$35,CONCATENATE("PX391=", $AR$115), CONCATENATE("PX392=",$AR$116), CONCATENATE("DS004=",$B$108), "Fill=B")</f>
        <v>#NAME?</v>
      </c>
      <c r="AS141" t="e">
        <f ca="1">_xll.BDP($B$35,$C$35,CONCATENATE("PX391=", $AS$115), CONCATENATE("PX392=",$AS$116), CONCATENATE("DS004=",$B$108), "Fill=B")</f>
        <v>#NAME?</v>
      </c>
      <c r="AT141" t="str">
        <f>""</f>
        <v/>
      </c>
      <c r="AU141" t="str">
        <f>""</f>
        <v/>
      </c>
      <c r="AV141" t="str">
        <f>""</f>
        <v/>
      </c>
      <c r="AW141" t="str">
        <f>""</f>
        <v/>
      </c>
      <c r="AX141" t="str">
        <f>""</f>
        <v/>
      </c>
      <c r="AY141" t="str">
        <f>""</f>
        <v/>
      </c>
      <c r="AZ141" t="str">
        <f>""</f>
        <v/>
      </c>
      <c r="BA141" t="str">
        <f>""</f>
        <v/>
      </c>
      <c r="BB141" t="str">
        <f>""</f>
        <v/>
      </c>
      <c r="BC141" t="str">
        <f>""</f>
        <v/>
      </c>
      <c r="BD141" t="str">
        <f>""</f>
        <v/>
      </c>
      <c r="BE141" t="str">
        <f>""</f>
        <v/>
      </c>
      <c r="BF141" t="str">
        <f>""</f>
        <v/>
      </c>
      <c r="BG141" t="str">
        <f>""</f>
        <v/>
      </c>
      <c r="BH141" t="str">
        <f>""</f>
        <v/>
      </c>
      <c r="BI141" t="str">
        <f>""</f>
        <v/>
      </c>
      <c r="BJ141" t="str">
        <f>""</f>
        <v/>
      </c>
      <c r="BK141" t="str">
        <f>""</f>
        <v/>
      </c>
      <c r="BL141" t="str">
        <f>""</f>
        <v/>
      </c>
      <c r="BM141" t="str">
        <f>""</f>
        <v/>
      </c>
      <c r="BN141" t="str">
        <f>""</f>
        <v/>
      </c>
      <c r="BO141" t="str">
        <f>""</f>
        <v/>
      </c>
      <c r="BP141" t="str">
        <f>""</f>
        <v/>
      </c>
      <c r="BQ141" t="str">
        <f>""</f>
        <v/>
      </c>
      <c r="BR141" t="str">
        <f>""</f>
        <v/>
      </c>
      <c r="BS141" t="str">
        <f>""</f>
        <v/>
      </c>
      <c r="BT141" t="str">
        <f>""</f>
        <v/>
      </c>
      <c r="BU141" t="str">
        <f>""</f>
        <v/>
      </c>
      <c r="BV141" t="str">
        <f>""</f>
        <v/>
      </c>
      <c r="BW141" t="str">
        <f>""</f>
        <v/>
      </c>
      <c r="BX141" t="str">
        <f>""</f>
        <v/>
      </c>
      <c r="BY141" t="str">
        <f>""</f>
        <v/>
      </c>
      <c r="BZ141" t="str">
        <f>""</f>
        <v/>
      </c>
      <c r="CA141" t="str">
        <f>""</f>
        <v/>
      </c>
      <c r="CB141" t="str">
        <f>""</f>
        <v/>
      </c>
      <c r="CC141" t="str">
        <f>""</f>
        <v/>
      </c>
      <c r="CD141" t="str">
        <f>""</f>
        <v/>
      </c>
      <c r="CE141" t="str">
        <f>""</f>
        <v/>
      </c>
      <c r="CF141" t="str">
        <f>""</f>
        <v/>
      </c>
      <c r="CG141" t="str">
        <f>""</f>
        <v/>
      </c>
    </row>
    <row r="142" spans="1:85" x14ac:dyDescent="0.2">
      <c r="A142" t="str">
        <f>$A$36</f>
        <v xml:space="preserve">        Fed. Power Construction (Mn USD)</v>
      </c>
      <c r="B142" t="str">
        <f>$B$36</f>
        <v>FED1POWR Index</v>
      </c>
      <c r="C142" t="str">
        <f>$C$36</f>
        <v>PX385</v>
      </c>
      <c r="D142" t="str">
        <f>$D$36</f>
        <v>INTERVAL_SUM</v>
      </c>
      <c r="E142" t="str">
        <f>$E$36</f>
        <v>Dynamic</v>
      </c>
      <c r="F142" t="e">
        <f ca="1">_xll.BDP($B$36,$C$36,CONCATENATE("PX391=", $F$115), CONCATENATE("PX392=",$F$116), CONCATENATE("DS004=",$B$108), "Fill=B")</f>
        <v>#NAME?</v>
      </c>
      <c r="G142" t="e">
        <f ca="1">_xll.BDP($B$36,$C$36,CONCATENATE("PX391=", $G$115), CONCATENATE("PX392=",$G$116), CONCATENATE("DS004=",$B$108), "Fill=B")</f>
        <v>#NAME?</v>
      </c>
      <c r="H142" t="e">
        <f ca="1">_xll.BDP($B$36,$C$36,CONCATENATE("PX391=", $H$115), CONCATENATE("PX392=",$H$116), CONCATENATE("DS004=",$B$108), "Fill=B")</f>
        <v>#NAME?</v>
      </c>
      <c r="I142" t="e">
        <f ca="1">_xll.BDP($B$36,$C$36,CONCATENATE("PX391=", $I$115), CONCATENATE("PX392=",$I$116), CONCATENATE("DS004=",$B$108), "Fill=B")</f>
        <v>#NAME?</v>
      </c>
      <c r="J142" t="e">
        <f ca="1">_xll.BDP($B$36,$C$36,CONCATENATE("PX391=", $J$115), CONCATENATE("PX392=",$J$116), CONCATENATE("DS004=",$B$108), "Fill=B")</f>
        <v>#NAME?</v>
      </c>
      <c r="K142" t="e">
        <f ca="1">_xll.BDP($B$36,$C$36,CONCATENATE("PX391=", $K$115), CONCATENATE("PX392=",$K$116), CONCATENATE("DS004=",$B$108), "Fill=B")</f>
        <v>#NAME?</v>
      </c>
      <c r="L142" t="e">
        <f ca="1">_xll.BDP($B$36,$C$36,CONCATENATE("PX391=", $L$115), CONCATENATE("PX392=",$L$116), CONCATENATE("DS004=",$B$108), "Fill=B")</f>
        <v>#NAME?</v>
      </c>
      <c r="M142" t="e">
        <f ca="1">_xll.BDP($B$36,$C$36,CONCATENATE("PX391=", $M$115), CONCATENATE("PX392=",$M$116), CONCATENATE("DS004=",$B$108), "Fill=B")</f>
        <v>#NAME?</v>
      </c>
      <c r="N142" t="e">
        <f ca="1">_xll.BDP($B$36,$C$36,CONCATENATE("PX391=", $N$115), CONCATENATE("PX392=",$N$116), CONCATENATE("DS004=",$B$108), "Fill=B")</f>
        <v>#NAME?</v>
      </c>
      <c r="O142" t="e">
        <f ca="1">_xll.BDP($B$36,$C$36,CONCATENATE("PX391=", $O$115), CONCATENATE("PX392=",$O$116), CONCATENATE("DS004=",$B$108), "Fill=B")</f>
        <v>#NAME?</v>
      </c>
      <c r="P142" t="e">
        <f ca="1">_xll.BDP($B$36,$C$36,CONCATENATE("PX391=", $P$115), CONCATENATE("PX392=",$P$116), CONCATENATE("DS004=",$B$108), "Fill=B")</f>
        <v>#NAME?</v>
      </c>
      <c r="Q142" t="e">
        <f ca="1">_xll.BDP($B$36,$C$36,CONCATENATE("PX391=", $Q$115), CONCATENATE("PX392=",$Q$116), CONCATENATE("DS004=",$B$108), "Fill=B")</f>
        <v>#NAME?</v>
      </c>
      <c r="R142" t="e">
        <f ca="1">_xll.BDP($B$36,$C$36,CONCATENATE("PX391=", $R$115), CONCATENATE("PX392=",$R$116), CONCATENATE("DS004=",$B$108), "Fill=B")</f>
        <v>#NAME?</v>
      </c>
      <c r="S142" t="e">
        <f ca="1">_xll.BDP($B$36,$C$36,CONCATENATE("PX391=", $S$115), CONCATENATE("PX392=",$S$116), CONCATENATE("DS004=",$B$108), "Fill=B")</f>
        <v>#NAME?</v>
      </c>
      <c r="T142" t="e">
        <f ca="1">_xll.BDP($B$36,$C$36,CONCATENATE("PX391=", $T$115), CONCATENATE("PX392=",$T$116), CONCATENATE("DS004=",$B$108), "Fill=B")</f>
        <v>#NAME?</v>
      </c>
      <c r="U142" t="e">
        <f ca="1">_xll.BDP($B$36,$C$36,CONCATENATE("PX391=", $U$115), CONCATENATE("PX392=",$U$116), CONCATENATE("DS004=",$B$108), "Fill=B")</f>
        <v>#NAME?</v>
      </c>
      <c r="V142" t="e">
        <f ca="1">_xll.BDP($B$36,$C$36,CONCATENATE("PX391=", $V$115), CONCATENATE("PX392=",$V$116), CONCATENATE("DS004=",$B$108), "Fill=B")</f>
        <v>#NAME?</v>
      </c>
      <c r="W142" t="e">
        <f ca="1">_xll.BDP($B$36,$C$36,CONCATENATE("PX391=", $W$115), CONCATENATE("PX392=",$W$116), CONCATENATE("DS004=",$B$108), "Fill=B")</f>
        <v>#NAME?</v>
      </c>
      <c r="X142" t="e">
        <f ca="1">_xll.BDP($B$36,$C$36,CONCATENATE("PX391=", $X$115), CONCATENATE("PX392=",$X$116), CONCATENATE("DS004=",$B$108), "Fill=B")</f>
        <v>#NAME?</v>
      </c>
      <c r="Y142" t="e">
        <f ca="1">_xll.BDP($B$36,$C$36,CONCATENATE("PX391=", $Y$115), CONCATENATE("PX392=",$Y$116), CONCATENATE("DS004=",$B$108), "Fill=B")</f>
        <v>#NAME?</v>
      </c>
      <c r="Z142" t="e">
        <f ca="1">_xll.BDP($B$36,$C$36,CONCATENATE("PX391=", $Z$115), CONCATENATE("PX392=",$Z$116), CONCATENATE("DS004=",$B$108), "Fill=B")</f>
        <v>#NAME?</v>
      </c>
      <c r="AA142" t="e">
        <f ca="1">_xll.BDP($B$36,$C$36,CONCATENATE("PX391=", $AA$115), CONCATENATE("PX392=",$AA$116), CONCATENATE("DS004=",$B$108), "Fill=B")</f>
        <v>#NAME?</v>
      </c>
      <c r="AB142" t="e">
        <f ca="1">_xll.BDP($B$36,$C$36,CONCATENATE("PX391=", $AB$115), CONCATENATE("PX392=",$AB$116), CONCATENATE("DS004=",$B$108), "Fill=B")</f>
        <v>#NAME?</v>
      </c>
      <c r="AC142" t="e">
        <f ca="1">_xll.BDP($B$36,$C$36,CONCATENATE("PX391=", $AC$115), CONCATENATE("PX392=",$AC$116), CONCATENATE("DS004=",$B$108), "Fill=B")</f>
        <v>#NAME?</v>
      </c>
      <c r="AD142" t="e">
        <f ca="1">_xll.BDP($B$36,$C$36,CONCATENATE("PX391=", $AD$115), CONCATENATE("PX392=",$AD$116), CONCATENATE("DS004=",$B$108), "Fill=B")</f>
        <v>#NAME?</v>
      </c>
      <c r="AE142" t="e">
        <f ca="1">_xll.BDP($B$36,$C$36,CONCATENATE("PX391=", $AE$115), CONCATENATE("PX392=",$AE$116), CONCATENATE("DS004=",$B$108), "Fill=B")</f>
        <v>#NAME?</v>
      </c>
      <c r="AF142" t="e">
        <f ca="1">_xll.BDP($B$36,$C$36,CONCATENATE("PX391=", $AF$115), CONCATENATE("PX392=",$AF$116), CONCATENATE("DS004=",$B$108), "Fill=B")</f>
        <v>#NAME?</v>
      </c>
      <c r="AG142" t="e">
        <f ca="1">_xll.BDP($B$36,$C$36,CONCATENATE("PX391=", $AG$115), CONCATENATE("PX392=",$AG$116), CONCATENATE("DS004=",$B$108), "Fill=B")</f>
        <v>#NAME?</v>
      </c>
      <c r="AH142" t="e">
        <f ca="1">_xll.BDP($B$36,$C$36,CONCATENATE("PX391=", $AH$115), CONCATENATE("PX392=",$AH$116), CONCATENATE("DS004=",$B$108), "Fill=B")</f>
        <v>#NAME?</v>
      </c>
      <c r="AI142" t="e">
        <f ca="1">_xll.BDP($B$36,$C$36,CONCATENATE("PX391=", $AI$115), CONCATENATE("PX392=",$AI$116), CONCATENATE("DS004=",$B$108), "Fill=B")</f>
        <v>#NAME?</v>
      </c>
      <c r="AJ142" t="e">
        <f ca="1">_xll.BDP($B$36,$C$36,CONCATENATE("PX391=", $AJ$115), CONCATENATE("PX392=",$AJ$116), CONCATENATE("DS004=",$B$108), "Fill=B")</f>
        <v>#NAME?</v>
      </c>
      <c r="AK142" t="e">
        <f ca="1">_xll.BDP($B$36,$C$36,CONCATENATE("PX391=", $AK$115), CONCATENATE("PX392=",$AK$116), CONCATENATE("DS004=",$B$108), "Fill=B")</f>
        <v>#NAME?</v>
      </c>
      <c r="AL142" t="e">
        <f ca="1">_xll.BDP($B$36,$C$36,CONCATENATE("PX391=", $AL$115), CONCATENATE("PX392=",$AL$116), CONCATENATE("DS004=",$B$108), "Fill=B")</f>
        <v>#NAME?</v>
      </c>
      <c r="AM142" t="e">
        <f ca="1">_xll.BDP($B$36,$C$36,CONCATENATE("PX391=", $AM$115), CONCATENATE("PX392=",$AM$116), CONCATENATE("DS004=",$B$108), "Fill=B")</f>
        <v>#NAME?</v>
      </c>
      <c r="AN142" t="e">
        <f ca="1">_xll.BDP($B$36,$C$36,CONCATENATE("PX391=", $AN$115), CONCATENATE("PX392=",$AN$116), CONCATENATE("DS004=",$B$108), "Fill=B")</f>
        <v>#NAME?</v>
      </c>
      <c r="AO142" t="e">
        <f ca="1">_xll.BDP($B$36,$C$36,CONCATENATE("PX391=", $AO$115), CONCATENATE("PX392=",$AO$116), CONCATENATE("DS004=",$B$108), "Fill=B")</f>
        <v>#NAME?</v>
      </c>
      <c r="AP142" t="e">
        <f ca="1">_xll.BDP($B$36,$C$36,CONCATENATE("PX391=", $AP$115), CONCATENATE("PX392=",$AP$116), CONCATENATE("DS004=",$B$108), "Fill=B")</f>
        <v>#NAME?</v>
      </c>
      <c r="AQ142" t="e">
        <f ca="1">_xll.BDP($B$36,$C$36,CONCATENATE("PX391=", $AQ$115), CONCATENATE("PX392=",$AQ$116), CONCATENATE("DS004=",$B$108), "Fill=B")</f>
        <v>#NAME?</v>
      </c>
      <c r="AR142" t="e">
        <f ca="1">_xll.BDP($B$36,$C$36,CONCATENATE("PX391=", $AR$115), CONCATENATE("PX392=",$AR$116), CONCATENATE("DS004=",$B$108), "Fill=B")</f>
        <v>#NAME?</v>
      </c>
      <c r="AS142" t="e">
        <f ca="1">_xll.BDP($B$36,$C$36,CONCATENATE("PX391=", $AS$115), CONCATENATE("PX392=",$AS$116), CONCATENATE("DS004=",$B$108), "Fill=B")</f>
        <v>#NAME?</v>
      </c>
      <c r="AT142" t="str">
        <f>""</f>
        <v/>
      </c>
      <c r="AU142" t="str">
        <f>""</f>
        <v/>
      </c>
      <c r="AV142" t="str">
        <f>""</f>
        <v/>
      </c>
      <c r="AW142" t="str">
        <f>""</f>
        <v/>
      </c>
      <c r="AX142" t="str">
        <f>""</f>
        <v/>
      </c>
      <c r="AY142" t="str">
        <f>""</f>
        <v/>
      </c>
      <c r="AZ142" t="str">
        <f>""</f>
        <v/>
      </c>
      <c r="BA142" t="str">
        <f>""</f>
        <v/>
      </c>
      <c r="BB142" t="str">
        <f>""</f>
        <v/>
      </c>
      <c r="BC142" t="str">
        <f>""</f>
        <v/>
      </c>
      <c r="BD142" t="str">
        <f>""</f>
        <v/>
      </c>
      <c r="BE142" t="str">
        <f>""</f>
        <v/>
      </c>
      <c r="BF142" t="str">
        <f>""</f>
        <v/>
      </c>
      <c r="BG142" t="str">
        <f>""</f>
        <v/>
      </c>
      <c r="BH142" t="str">
        <f>""</f>
        <v/>
      </c>
      <c r="BI142" t="str">
        <f>""</f>
        <v/>
      </c>
      <c r="BJ142" t="str">
        <f>""</f>
        <v/>
      </c>
      <c r="BK142" t="str">
        <f>""</f>
        <v/>
      </c>
      <c r="BL142" t="str">
        <f>""</f>
        <v/>
      </c>
      <c r="BM142" t="str">
        <f>""</f>
        <v/>
      </c>
      <c r="BN142" t="str">
        <f>""</f>
        <v/>
      </c>
      <c r="BO142" t="str">
        <f>""</f>
        <v/>
      </c>
      <c r="BP142" t="str">
        <f>""</f>
        <v/>
      </c>
      <c r="BQ142" t="str">
        <f>""</f>
        <v/>
      </c>
      <c r="BR142" t="str">
        <f>""</f>
        <v/>
      </c>
      <c r="BS142" t="str">
        <f>""</f>
        <v/>
      </c>
      <c r="BT142" t="str">
        <f>""</f>
        <v/>
      </c>
      <c r="BU142" t="str">
        <f>""</f>
        <v/>
      </c>
      <c r="BV142" t="str">
        <f>""</f>
        <v/>
      </c>
      <c r="BW142" t="str">
        <f>""</f>
        <v/>
      </c>
      <c r="BX142" t="str">
        <f>""</f>
        <v/>
      </c>
      <c r="BY142" t="str">
        <f>""</f>
        <v/>
      </c>
      <c r="BZ142" t="str">
        <f>""</f>
        <v/>
      </c>
      <c r="CA142" t="str">
        <f>""</f>
        <v/>
      </c>
      <c r="CB142" t="str">
        <f>""</f>
        <v/>
      </c>
      <c r="CC142" t="str">
        <f>""</f>
        <v/>
      </c>
      <c r="CD142" t="str">
        <f>""</f>
        <v/>
      </c>
      <c r="CE142" t="str">
        <f>""</f>
        <v/>
      </c>
      <c r="CF142" t="str">
        <f>""</f>
        <v/>
      </c>
      <c r="CG142" t="str">
        <f>""</f>
        <v/>
      </c>
    </row>
    <row r="143" spans="1:85" x14ac:dyDescent="0.2">
      <c r="A143" t="str">
        <f>$A$37</f>
        <v xml:space="preserve">        Fed. Transport Construction (Mn USD)</v>
      </c>
      <c r="B143" t="str">
        <f>$B$37</f>
        <v>FED1TRAN Index</v>
      </c>
      <c r="C143" t="str">
        <f>$C$37</f>
        <v>PX385</v>
      </c>
      <c r="D143" t="str">
        <f>$D$37</f>
        <v>INTERVAL_SUM</v>
      </c>
      <c r="E143" t="str">
        <f>$E$37</f>
        <v>Dynamic</v>
      </c>
      <c r="F143" t="e">
        <f ca="1">_xll.BDP($B$37,$C$37,CONCATENATE("PX391=", $F$115), CONCATENATE("PX392=",$F$116), CONCATENATE("DS004=",$B$108), "Fill=B")</f>
        <v>#NAME?</v>
      </c>
      <c r="G143" t="e">
        <f ca="1">_xll.BDP($B$37,$C$37,CONCATENATE("PX391=", $G$115), CONCATENATE("PX392=",$G$116), CONCATENATE("DS004=",$B$108), "Fill=B")</f>
        <v>#NAME?</v>
      </c>
      <c r="H143" t="e">
        <f ca="1">_xll.BDP($B$37,$C$37,CONCATENATE("PX391=", $H$115), CONCATENATE("PX392=",$H$116), CONCATENATE("DS004=",$B$108), "Fill=B")</f>
        <v>#NAME?</v>
      </c>
      <c r="I143" t="e">
        <f ca="1">_xll.BDP($B$37,$C$37,CONCATENATE("PX391=", $I$115), CONCATENATE("PX392=",$I$116), CONCATENATE("DS004=",$B$108), "Fill=B")</f>
        <v>#NAME?</v>
      </c>
      <c r="J143" t="e">
        <f ca="1">_xll.BDP($B$37,$C$37,CONCATENATE("PX391=", $J$115), CONCATENATE("PX392=",$J$116), CONCATENATE("DS004=",$B$108), "Fill=B")</f>
        <v>#NAME?</v>
      </c>
      <c r="K143" t="e">
        <f ca="1">_xll.BDP($B$37,$C$37,CONCATENATE("PX391=", $K$115), CONCATENATE("PX392=",$K$116), CONCATENATE("DS004=",$B$108), "Fill=B")</f>
        <v>#NAME?</v>
      </c>
      <c r="L143" t="e">
        <f ca="1">_xll.BDP($B$37,$C$37,CONCATENATE("PX391=", $L$115), CONCATENATE("PX392=",$L$116), CONCATENATE("DS004=",$B$108), "Fill=B")</f>
        <v>#NAME?</v>
      </c>
      <c r="M143" t="e">
        <f ca="1">_xll.BDP($B$37,$C$37,CONCATENATE("PX391=", $M$115), CONCATENATE("PX392=",$M$116), CONCATENATE("DS004=",$B$108), "Fill=B")</f>
        <v>#NAME?</v>
      </c>
      <c r="N143" t="e">
        <f ca="1">_xll.BDP($B$37,$C$37,CONCATENATE("PX391=", $N$115), CONCATENATE("PX392=",$N$116), CONCATENATE("DS004=",$B$108), "Fill=B")</f>
        <v>#NAME?</v>
      </c>
      <c r="O143" t="e">
        <f ca="1">_xll.BDP($B$37,$C$37,CONCATENATE("PX391=", $O$115), CONCATENATE("PX392=",$O$116), CONCATENATE("DS004=",$B$108), "Fill=B")</f>
        <v>#NAME?</v>
      </c>
      <c r="P143" t="e">
        <f ca="1">_xll.BDP($B$37,$C$37,CONCATENATE("PX391=", $P$115), CONCATENATE("PX392=",$P$116), CONCATENATE("DS004=",$B$108), "Fill=B")</f>
        <v>#NAME?</v>
      </c>
      <c r="Q143" t="e">
        <f ca="1">_xll.BDP($B$37,$C$37,CONCATENATE("PX391=", $Q$115), CONCATENATE("PX392=",$Q$116), CONCATENATE("DS004=",$B$108), "Fill=B")</f>
        <v>#NAME?</v>
      </c>
      <c r="R143" t="e">
        <f ca="1">_xll.BDP($B$37,$C$37,CONCATENATE("PX391=", $R$115), CONCATENATE("PX392=",$R$116), CONCATENATE("DS004=",$B$108), "Fill=B")</f>
        <v>#NAME?</v>
      </c>
      <c r="S143" t="e">
        <f ca="1">_xll.BDP($B$37,$C$37,CONCATENATE("PX391=", $S$115), CONCATENATE("PX392=",$S$116), CONCATENATE("DS004=",$B$108), "Fill=B")</f>
        <v>#NAME?</v>
      </c>
      <c r="T143" t="e">
        <f ca="1">_xll.BDP($B$37,$C$37,CONCATENATE("PX391=", $T$115), CONCATENATE("PX392=",$T$116), CONCATENATE("DS004=",$B$108), "Fill=B")</f>
        <v>#NAME?</v>
      </c>
      <c r="U143" t="e">
        <f ca="1">_xll.BDP($B$37,$C$37,CONCATENATE("PX391=", $U$115), CONCATENATE("PX392=",$U$116), CONCATENATE("DS004=",$B$108), "Fill=B")</f>
        <v>#NAME?</v>
      </c>
      <c r="V143" t="e">
        <f ca="1">_xll.BDP($B$37,$C$37,CONCATENATE("PX391=", $V$115), CONCATENATE("PX392=",$V$116), CONCATENATE("DS004=",$B$108), "Fill=B")</f>
        <v>#NAME?</v>
      </c>
      <c r="W143" t="e">
        <f ca="1">_xll.BDP($B$37,$C$37,CONCATENATE("PX391=", $W$115), CONCATENATE("PX392=",$W$116), CONCATENATE("DS004=",$B$108), "Fill=B")</f>
        <v>#NAME?</v>
      </c>
      <c r="X143" t="e">
        <f ca="1">_xll.BDP($B$37,$C$37,CONCATENATE("PX391=", $X$115), CONCATENATE("PX392=",$X$116), CONCATENATE("DS004=",$B$108), "Fill=B")</f>
        <v>#NAME?</v>
      </c>
      <c r="Y143" t="e">
        <f ca="1">_xll.BDP($B$37,$C$37,CONCATENATE("PX391=", $Y$115), CONCATENATE("PX392=",$Y$116), CONCATENATE("DS004=",$B$108), "Fill=B")</f>
        <v>#NAME?</v>
      </c>
      <c r="Z143" t="e">
        <f ca="1">_xll.BDP($B$37,$C$37,CONCATENATE("PX391=", $Z$115), CONCATENATE("PX392=",$Z$116), CONCATENATE("DS004=",$B$108), "Fill=B")</f>
        <v>#NAME?</v>
      </c>
      <c r="AA143" t="e">
        <f ca="1">_xll.BDP($B$37,$C$37,CONCATENATE("PX391=", $AA$115), CONCATENATE("PX392=",$AA$116), CONCATENATE("DS004=",$B$108), "Fill=B")</f>
        <v>#NAME?</v>
      </c>
      <c r="AB143" t="e">
        <f ca="1">_xll.BDP($B$37,$C$37,CONCATENATE("PX391=", $AB$115), CONCATENATE("PX392=",$AB$116), CONCATENATE("DS004=",$B$108), "Fill=B")</f>
        <v>#NAME?</v>
      </c>
      <c r="AC143" t="e">
        <f ca="1">_xll.BDP($B$37,$C$37,CONCATENATE("PX391=", $AC$115), CONCATENATE("PX392=",$AC$116), CONCATENATE("DS004=",$B$108), "Fill=B")</f>
        <v>#NAME?</v>
      </c>
      <c r="AD143" t="e">
        <f ca="1">_xll.BDP($B$37,$C$37,CONCATENATE("PX391=", $AD$115), CONCATENATE("PX392=",$AD$116), CONCATENATE("DS004=",$B$108), "Fill=B")</f>
        <v>#NAME?</v>
      </c>
      <c r="AE143" t="e">
        <f ca="1">_xll.BDP($B$37,$C$37,CONCATENATE("PX391=", $AE$115), CONCATENATE("PX392=",$AE$116), CONCATENATE("DS004=",$B$108), "Fill=B")</f>
        <v>#NAME?</v>
      </c>
      <c r="AF143" t="e">
        <f ca="1">_xll.BDP($B$37,$C$37,CONCATENATE("PX391=", $AF$115), CONCATENATE("PX392=",$AF$116), CONCATENATE("DS004=",$B$108), "Fill=B")</f>
        <v>#NAME?</v>
      </c>
      <c r="AG143" t="e">
        <f ca="1">_xll.BDP($B$37,$C$37,CONCATENATE("PX391=", $AG$115), CONCATENATE("PX392=",$AG$116), CONCATENATE("DS004=",$B$108), "Fill=B")</f>
        <v>#NAME?</v>
      </c>
      <c r="AH143" t="e">
        <f ca="1">_xll.BDP($B$37,$C$37,CONCATENATE("PX391=", $AH$115), CONCATENATE("PX392=",$AH$116), CONCATENATE("DS004=",$B$108), "Fill=B")</f>
        <v>#NAME?</v>
      </c>
      <c r="AI143" t="e">
        <f ca="1">_xll.BDP($B$37,$C$37,CONCATENATE("PX391=", $AI$115), CONCATENATE("PX392=",$AI$116), CONCATENATE("DS004=",$B$108), "Fill=B")</f>
        <v>#NAME?</v>
      </c>
      <c r="AJ143" t="e">
        <f ca="1">_xll.BDP($B$37,$C$37,CONCATENATE("PX391=", $AJ$115), CONCATENATE("PX392=",$AJ$116), CONCATENATE("DS004=",$B$108), "Fill=B")</f>
        <v>#NAME?</v>
      </c>
      <c r="AK143" t="e">
        <f ca="1">_xll.BDP($B$37,$C$37,CONCATENATE("PX391=", $AK$115), CONCATENATE("PX392=",$AK$116), CONCATENATE("DS004=",$B$108), "Fill=B")</f>
        <v>#NAME?</v>
      </c>
      <c r="AL143" t="e">
        <f ca="1">_xll.BDP($B$37,$C$37,CONCATENATE("PX391=", $AL$115), CONCATENATE("PX392=",$AL$116), CONCATENATE("DS004=",$B$108), "Fill=B")</f>
        <v>#NAME?</v>
      </c>
      <c r="AM143" t="e">
        <f ca="1">_xll.BDP($B$37,$C$37,CONCATENATE("PX391=", $AM$115), CONCATENATE("PX392=",$AM$116), CONCATENATE("DS004=",$B$108), "Fill=B")</f>
        <v>#NAME?</v>
      </c>
      <c r="AN143" t="e">
        <f ca="1">_xll.BDP($B$37,$C$37,CONCATENATE("PX391=", $AN$115), CONCATENATE("PX392=",$AN$116), CONCATENATE("DS004=",$B$108), "Fill=B")</f>
        <v>#NAME?</v>
      </c>
      <c r="AO143" t="e">
        <f ca="1">_xll.BDP($B$37,$C$37,CONCATENATE("PX391=", $AO$115), CONCATENATE("PX392=",$AO$116), CONCATENATE("DS004=",$B$108), "Fill=B")</f>
        <v>#NAME?</v>
      </c>
      <c r="AP143" t="e">
        <f ca="1">_xll.BDP($B$37,$C$37,CONCATENATE("PX391=", $AP$115), CONCATENATE("PX392=",$AP$116), CONCATENATE("DS004=",$B$108), "Fill=B")</f>
        <v>#NAME?</v>
      </c>
      <c r="AQ143" t="e">
        <f ca="1">_xll.BDP($B$37,$C$37,CONCATENATE("PX391=", $AQ$115), CONCATENATE("PX392=",$AQ$116), CONCATENATE("DS004=",$B$108), "Fill=B")</f>
        <v>#NAME?</v>
      </c>
      <c r="AR143" t="e">
        <f ca="1">_xll.BDP($B$37,$C$37,CONCATENATE("PX391=", $AR$115), CONCATENATE("PX392=",$AR$116), CONCATENATE("DS004=",$B$108), "Fill=B")</f>
        <v>#NAME?</v>
      </c>
      <c r="AS143" t="e">
        <f ca="1">_xll.BDP($B$37,$C$37,CONCATENATE("PX391=", $AS$115), CONCATENATE("PX392=",$AS$116), CONCATENATE("DS004=",$B$108), "Fill=B")</f>
        <v>#NAME?</v>
      </c>
      <c r="AT143" t="str">
        <f>""</f>
        <v/>
      </c>
      <c r="AU143" t="str">
        <f>""</f>
        <v/>
      </c>
      <c r="AV143" t="str">
        <f>""</f>
        <v/>
      </c>
      <c r="AW143" t="str">
        <f>""</f>
        <v/>
      </c>
      <c r="AX143" t="str">
        <f>""</f>
        <v/>
      </c>
      <c r="AY143" t="str">
        <f>""</f>
        <v/>
      </c>
      <c r="AZ143" t="str">
        <f>""</f>
        <v/>
      </c>
      <c r="BA143" t="str">
        <f>""</f>
        <v/>
      </c>
      <c r="BB143" t="str">
        <f>""</f>
        <v/>
      </c>
      <c r="BC143" t="str">
        <f>""</f>
        <v/>
      </c>
      <c r="BD143" t="str">
        <f>""</f>
        <v/>
      </c>
      <c r="BE143" t="str">
        <f>""</f>
        <v/>
      </c>
      <c r="BF143" t="str">
        <f>""</f>
        <v/>
      </c>
      <c r="BG143" t="str">
        <f>""</f>
        <v/>
      </c>
      <c r="BH143" t="str">
        <f>""</f>
        <v/>
      </c>
      <c r="BI143" t="str">
        <f>""</f>
        <v/>
      </c>
      <c r="BJ143" t="str">
        <f>""</f>
        <v/>
      </c>
      <c r="BK143" t="str">
        <f>""</f>
        <v/>
      </c>
      <c r="BL143" t="str">
        <f>""</f>
        <v/>
      </c>
      <c r="BM143" t="str">
        <f>""</f>
        <v/>
      </c>
      <c r="BN143" t="str">
        <f>""</f>
        <v/>
      </c>
      <c r="BO143" t="str">
        <f>""</f>
        <v/>
      </c>
      <c r="BP143" t="str">
        <f>""</f>
        <v/>
      </c>
      <c r="BQ143" t="str">
        <f>""</f>
        <v/>
      </c>
      <c r="BR143" t="str">
        <f>""</f>
        <v/>
      </c>
      <c r="BS143" t="str">
        <f>""</f>
        <v/>
      </c>
      <c r="BT143" t="str">
        <f>""</f>
        <v/>
      </c>
      <c r="BU143" t="str">
        <f>""</f>
        <v/>
      </c>
      <c r="BV143" t="str">
        <f>""</f>
        <v/>
      </c>
      <c r="BW143" t="str">
        <f>""</f>
        <v/>
      </c>
      <c r="BX143" t="str">
        <f>""</f>
        <v/>
      </c>
      <c r="BY143" t="str">
        <f>""</f>
        <v/>
      </c>
      <c r="BZ143" t="str">
        <f>""</f>
        <v/>
      </c>
      <c r="CA143" t="str">
        <f>""</f>
        <v/>
      </c>
      <c r="CB143" t="str">
        <f>""</f>
        <v/>
      </c>
      <c r="CC143" t="str">
        <f>""</f>
        <v/>
      </c>
      <c r="CD143" t="str">
        <f>""</f>
        <v/>
      </c>
      <c r="CE143" t="str">
        <f>""</f>
        <v/>
      </c>
      <c r="CF143" t="str">
        <f>""</f>
        <v/>
      </c>
      <c r="CG143" t="str">
        <f>""</f>
        <v/>
      </c>
    </row>
    <row r="144" spans="1:85" x14ac:dyDescent="0.2">
      <c r="A144" t="str">
        <f>$A$38</f>
        <v xml:space="preserve">        Fed. Commercial Facilit. Construction (Mn USD)</v>
      </c>
      <c r="B144" t="str">
        <f>$B$38</f>
        <v>FED1COMM Index</v>
      </c>
      <c r="C144" t="str">
        <f>$C$38</f>
        <v>PX385</v>
      </c>
      <c r="D144" t="str">
        <f>$D$38</f>
        <v>INTERVAL_SUM</v>
      </c>
      <c r="E144" t="str">
        <f>$E$38</f>
        <v>Dynamic</v>
      </c>
      <c r="F144" t="e">
        <f ca="1">_xll.BDP($B$38,$C$38,CONCATENATE("PX391=", $F$115), CONCATENATE("PX392=",$F$116), CONCATENATE("DS004=",$B$108), "Fill=B")</f>
        <v>#NAME?</v>
      </c>
      <c r="G144" t="e">
        <f ca="1">_xll.BDP($B$38,$C$38,CONCATENATE("PX391=", $G$115), CONCATENATE("PX392=",$G$116), CONCATENATE("DS004=",$B$108), "Fill=B")</f>
        <v>#NAME?</v>
      </c>
      <c r="H144" t="e">
        <f ca="1">_xll.BDP($B$38,$C$38,CONCATENATE("PX391=", $H$115), CONCATENATE("PX392=",$H$116), CONCATENATE("DS004=",$B$108), "Fill=B")</f>
        <v>#NAME?</v>
      </c>
      <c r="I144" t="e">
        <f ca="1">_xll.BDP($B$38,$C$38,CONCATENATE("PX391=", $I$115), CONCATENATE("PX392=",$I$116), CONCATENATE("DS004=",$B$108), "Fill=B")</f>
        <v>#NAME?</v>
      </c>
      <c r="J144" t="e">
        <f ca="1">_xll.BDP($B$38,$C$38,CONCATENATE("PX391=", $J$115), CONCATENATE("PX392=",$J$116), CONCATENATE("DS004=",$B$108), "Fill=B")</f>
        <v>#NAME?</v>
      </c>
      <c r="K144" t="e">
        <f ca="1">_xll.BDP($B$38,$C$38,CONCATENATE("PX391=", $K$115), CONCATENATE("PX392=",$K$116), CONCATENATE("DS004=",$B$108), "Fill=B")</f>
        <v>#NAME?</v>
      </c>
      <c r="L144" t="e">
        <f ca="1">_xll.BDP($B$38,$C$38,CONCATENATE("PX391=", $L$115), CONCATENATE("PX392=",$L$116), CONCATENATE("DS004=",$B$108), "Fill=B")</f>
        <v>#NAME?</v>
      </c>
      <c r="M144" t="e">
        <f ca="1">_xll.BDP($B$38,$C$38,CONCATENATE("PX391=", $M$115), CONCATENATE("PX392=",$M$116), CONCATENATE("DS004=",$B$108), "Fill=B")</f>
        <v>#NAME?</v>
      </c>
      <c r="N144" t="e">
        <f ca="1">_xll.BDP($B$38,$C$38,CONCATENATE("PX391=", $N$115), CONCATENATE("PX392=",$N$116), CONCATENATE("DS004=",$B$108), "Fill=B")</f>
        <v>#NAME?</v>
      </c>
      <c r="O144" t="e">
        <f ca="1">_xll.BDP($B$38,$C$38,CONCATENATE("PX391=", $O$115), CONCATENATE("PX392=",$O$116), CONCATENATE("DS004=",$B$108), "Fill=B")</f>
        <v>#NAME?</v>
      </c>
      <c r="P144" t="e">
        <f ca="1">_xll.BDP($B$38,$C$38,CONCATENATE("PX391=", $P$115), CONCATENATE("PX392=",$P$116), CONCATENATE("DS004=",$B$108), "Fill=B")</f>
        <v>#NAME?</v>
      </c>
      <c r="Q144" t="e">
        <f ca="1">_xll.BDP($B$38,$C$38,CONCATENATE("PX391=", $Q$115), CONCATENATE("PX392=",$Q$116), CONCATENATE("DS004=",$B$108), "Fill=B")</f>
        <v>#NAME?</v>
      </c>
      <c r="R144" t="e">
        <f ca="1">_xll.BDP($B$38,$C$38,CONCATENATE("PX391=", $R$115), CONCATENATE("PX392=",$R$116), CONCATENATE("DS004=",$B$108), "Fill=B")</f>
        <v>#NAME?</v>
      </c>
      <c r="S144" t="e">
        <f ca="1">_xll.BDP($B$38,$C$38,CONCATENATE("PX391=", $S$115), CONCATENATE("PX392=",$S$116), CONCATENATE("DS004=",$B$108), "Fill=B")</f>
        <v>#NAME?</v>
      </c>
      <c r="T144" t="e">
        <f ca="1">_xll.BDP($B$38,$C$38,CONCATENATE("PX391=", $T$115), CONCATENATE("PX392=",$T$116), CONCATENATE("DS004=",$B$108), "Fill=B")</f>
        <v>#NAME?</v>
      </c>
      <c r="U144" t="e">
        <f ca="1">_xll.BDP($B$38,$C$38,CONCATENATE("PX391=", $U$115), CONCATENATE("PX392=",$U$116), CONCATENATE("DS004=",$B$108), "Fill=B")</f>
        <v>#NAME?</v>
      </c>
      <c r="V144" t="e">
        <f ca="1">_xll.BDP($B$38,$C$38,CONCATENATE("PX391=", $V$115), CONCATENATE("PX392=",$V$116), CONCATENATE("DS004=",$B$108), "Fill=B")</f>
        <v>#NAME?</v>
      </c>
      <c r="W144" t="e">
        <f ca="1">_xll.BDP($B$38,$C$38,CONCATENATE("PX391=", $W$115), CONCATENATE("PX392=",$W$116), CONCATENATE("DS004=",$B$108), "Fill=B")</f>
        <v>#NAME?</v>
      </c>
      <c r="X144" t="e">
        <f ca="1">_xll.BDP($B$38,$C$38,CONCATENATE("PX391=", $X$115), CONCATENATE("PX392=",$X$116), CONCATENATE("DS004=",$B$108), "Fill=B")</f>
        <v>#NAME?</v>
      </c>
      <c r="Y144" t="e">
        <f ca="1">_xll.BDP($B$38,$C$38,CONCATENATE("PX391=", $Y$115), CONCATENATE("PX392=",$Y$116), CONCATENATE("DS004=",$B$108), "Fill=B")</f>
        <v>#NAME?</v>
      </c>
      <c r="Z144" t="e">
        <f ca="1">_xll.BDP($B$38,$C$38,CONCATENATE("PX391=", $Z$115), CONCATENATE("PX392=",$Z$116), CONCATENATE("DS004=",$B$108), "Fill=B")</f>
        <v>#NAME?</v>
      </c>
      <c r="AA144" t="e">
        <f ca="1">_xll.BDP($B$38,$C$38,CONCATENATE("PX391=", $AA$115), CONCATENATE("PX392=",$AA$116), CONCATENATE("DS004=",$B$108), "Fill=B")</f>
        <v>#NAME?</v>
      </c>
      <c r="AB144" t="e">
        <f ca="1">_xll.BDP($B$38,$C$38,CONCATENATE("PX391=", $AB$115), CONCATENATE("PX392=",$AB$116), CONCATENATE("DS004=",$B$108), "Fill=B")</f>
        <v>#NAME?</v>
      </c>
      <c r="AC144" t="e">
        <f ca="1">_xll.BDP($B$38,$C$38,CONCATENATE("PX391=", $AC$115), CONCATENATE("PX392=",$AC$116), CONCATENATE("DS004=",$B$108), "Fill=B")</f>
        <v>#NAME?</v>
      </c>
      <c r="AD144" t="e">
        <f ca="1">_xll.BDP($B$38,$C$38,CONCATENATE("PX391=", $AD$115), CONCATENATE("PX392=",$AD$116), CONCATENATE("DS004=",$B$108), "Fill=B")</f>
        <v>#NAME?</v>
      </c>
      <c r="AE144" t="e">
        <f ca="1">_xll.BDP($B$38,$C$38,CONCATENATE("PX391=", $AE$115), CONCATENATE("PX392=",$AE$116), CONCATENATE("DS004=",$B$108), "Fill=B")</f>
        <v>#NAME?</v>
      </c>
      <c r="AF144" t="e">
        <f ca="1">_xll.BDP($B$38,$C$38,CONCATENATE("PX391=", $AF$115), CONCATENATE("PX392=",$AF$116), CONCATENATE("DS004=",$B$108), "Fill=B")</f>
        <v>#NAME?</v>
      </c>
      <c r="AG144" t="e">
        <f ca="1">_xll.BDP($B$38,$C$38,CONCATENATE("PX391=", $AG$115), CONCATENATE("PX392=",$AG$116), CONCATENATE("DS004=",$B$108), "Fill=B")</f>
        <v>#NAME?</v>
      </c>
      <c r="AH144" t="e">
        <f ca="1">_xll.BDP($B$38,$C$38,CONCATENATE("PX391=", $AH$115), CONCATENATE("PX392=",$AH$116), CONCATENATE("DS004=",$B$108), "Fill=B")</f>
        <v>#NAME?</v>
      </c>
      <c r="AI144" t="e">
        <f ca="1">_xll.BDP($B$38,$C$38,CONCATENATE("PX391=", $AI$115), CONCATENATE("PX392=",$AI$116), CONCATENATE("DS004=",$B$108), "Fill=B")</f>
        <v>#NAME?</v>
      </c>
      <c r="AJ144" t="e">
        <f ca="1">_xll.BDP($B$38,$C$38,CONCATENATE("PX391=", $AJ$115), CONCATENATE("PX392=",$AJ$116), CONCATENATE("DS004=",$B$108), "Fill=B")</f>
        <v>#NAME?</v>
      </c>
      <c r="AK144" t="e">
        <f ca="1">_xll.BDP($B$38,$C$38,CONCATENATE("PX391=", $AK$115), CONCATENATE("PX392=",$AK$116), CONCATENATE("DS004=",$B$108), "Fill=B")</f>
        <v>#NAME?</v>
      </c>
      <c r="AL144" t="e">
        <f ca="1">_xll.BDP($B$38,$C$38,CONCATENATE("PX391=", $AL$115), CONCATENATE("PX392=",$AL$116), CONCATENATE("DS004=",$B$108), "Fill=B")</f>
        <v>#NAME?</v>
      </c>
      <c r="AM144" t="e">
        <f ca="1">_xll.BDP($B$38,$C$38,CONCATENATE("PX391=", $AM$115), CONCATENATE("PX392=",$AM$116), CONCATENATE("DS004=",$B$108), "Fill=B")</f>
        <v>#NAME?</v>
      </c>
      <c r="AN144" t="e">
        <f ca="1">_xll.BDP($B$38,$C$38,CONCATENATE("PX391=", $AN$115), CONCATENATE("PX392=",$AN$116), CONCATENATE("DS004=",$B$108), "Fill=B")</f>
        <v>#NAME?</v>
      </c>
      <c r="AO144" t="e">
        <f ca="1">_xll.BDP($B$38,$C$38,CONCATENATE("PX391=", $AO$115), CONCATENATE("PX392=",$AO$116), CONCATENATE("DS004=",$B$108), "Fill=B")</f>
        <v>#NAME?</v>
      </c>
      <c r="AP144" t="e">
        <f ca="1">_xll.BDP($B$38,$C$38,CONCATENATE("PX391=", $AP$115), CONCATENATE("PX392=",$AP$116), CONCATENATE("DS004=",$B$108), "Fill=B")</f>
        <v>#NAME?</v>
      </c>
      <c r="AQ144" t="e">
        <f ca="1">_xll.BDP($B$38,$C$38,CONCATENATE("PX391=", $AQ$115), CONCATENATE("PX392=",$AQ$116), CONCATENATE("DS004=",$B$108), "Fill=B")</f>
        <v>#NAME?</v>
      </c>
      <c r="AR144" t="e">
        <f ca="1">_xll.BDP($B$38,$C$38,CONCATENATE("PX391=", $AR$115), CONCATENATE("PX392=",$AR$116), CONCATENATE("DS004=",$B$108), "Fill=B")</f>
        <v>#NAME?</v>
      </c>
      <c r="AS144" t="e">
        <f ca="1">_xll.BDP($B$38,$C$38,CONCATENATE("PX391=", $AS$115), CONCATENATE("PX392=",$AS$116), CONCATENATE("DS004=",$B$108), "Fill=B")</f>
        <v>#NAME?</v>
      </c>
      <c r="AT144" t="str">
        <f>""</f>
        <v/>
      </c>
      <c r="AU144" t="str">
        <f>""</f>
        <v/>
      </c>
      <c r="AV144" t="str">
        <f>""</f>
        <v/>
      </c>
      <c r="AW144" t="str">
        <f>""</f>
        <v/>
      </c>
      <c r="AX144" t="str">
        <f>""</f>
        <v/>
      </c>
      <c r="AY144" t="str">
        <f>""</f>
        <v/>
      </c>
      <c r="AZ144" t="str">
        <f>""</f>
        <v/>
      </c>
      <c r="BA144" t="str">
        <f>""</f>
        <v/>
      </c>
      <c r="BB144" t="str">
        <f>""</f>
        <v/>
      </c>
      <c r="BC144" t="str">
        <f>""</f>
        <v/>
      </c>
      <c r="BD144" t="str">
        <f>""</f>
        <v/>
      </c>
      <c r="BE144" t="str">
        <f>""</f>
        <v/>
      </c>
      <c r="BF144" t="str">
        <f>""</f>
        <v/>
      </c>
      <c r="BG144" t="str">
        <f>""</f>
        <v/>
      </c>
      <c r="BH144" t="str">
        <f>""</f>
        <v/>
      </c>
      <c r="BI144" t="str">
        <f>""</f>
        <v/>
      </c>
      <c r="BJ144" t="str">
        <f>""</f>
        <v/>
      </c>
      <c r="BK144" t="str">
        <f>""</f>
        <v/>
      </c>
      <c r="BL144" t="str">
        <f>""</f>
        <v/>
      </c>
      <c r="BM144" t="str">
        <f>""</f>
        <v/>
      </c>
      <c r="BN144" t="str">
        <f>""</f>
        <v/>
      </c>
      <c r="BO144" t="str">
        <f>""</f>
        <v/>
      </c>
      <c r="BP144" t="str">
        <f>""</f>
        <v/>
      </c>
      <c r="BQ144" t="str">
        <f>""</f>
        <v/>
      </c>
      <c r="BR144" t="str">
        <f>""</f>
        <v/>
      </c>
      <c r="BS144" t="str">
        <f>""</f>
        <v/>
      </c>
      <c r="BT144" t="str">
        <f>""</f>
        <v/>
      </c>
      <c r="BU144" t="str">
        <f>""</f>
        <v/>
      </c>
      <c r="BV144" t="str">
        <f>""</f>
        <v/>
      </c>
      <c r="BW144" t="str">
        <f>""</f>
        <v/>
      </c>
      <c r="BX144" t="str">
        <f>""</f>
        <v/>
      </c>
      <c r="BY144" t="str">
        <f>""</f>
        <v/>
      </c>
      <c r="BZ144" t="str">
        <f>""</f>
        <v/>
      </c>
      <c r="CA144" t="str">
        <f>""</f>
        <v/>
      </c>
      <c r="CB144" t="str">
        <f>""</f>
        <v/>
      </c>
      <c r="CC144" t="str">
        <f>""</f>
        <v/>
      </c>
      <c r="CD144" t="str">
        <f>""</f>
        <v/>
      </c>
      <c r="CE144" t="str">
        <f>""</f>
        <v/>
      </c>
      <c r="CF144" t="str">
        <f>""</f>
        <v/>
      </c>
      <c r="CG144" t="str">
        <f>""</f>
        <v/>
      </c>
    </row>
    <row r="145" spans="1:85" x14ac:dyDescent="0.2">
      <c r="A145" t="str">
        <f>$A$39</f>
        <v xml:space="preserve">        Fed. Residential Construction (Mn USD)</v>
      </c>
      <c r="B145" t="str">
        <f>$B$39</f>
        <v>FED1RESI Index</v>
      </c>
      <c r="C145" t="str">
        <f>$C$39</f>
        <v>PX385</v>
      </c>
      <c r="D145" t="str">
        <f>$D$39</f>
        <v>INTERVAL_SUM</v>
      </c>
      <c r="E145" t="str">
        <f>$E$39</f>
        <v>Dynamic</v>
      </c>
      <c r="F145" t="e">
        <f ca="1">_xll.BDP($B$39,$C$39,CONCATENATE("PX391=", $F$115), CONCATENATE("PX392=",$F$116), CONCATENATE("DS004=",$B$108), "Fill=B")</f>
        <v>#NAME?</v>
      </c>
      <c r="G145" t="e">
        <f ca="1">_xll.BDP($B$39,$C$39,CONCATENATE("PX391=", $G$115), CONCATENATE("PX392=",$G$116), CONCATENATE("DS004=",$B$108), "Fill=B")</f>
        <v>#NAME?</v>
      </c>
      <c r="H145" t="e">
        <f ca="1">_xll.BDP($B$39,$C$39,CONCATENATE("PX391=", $H$115), CONCATENATE("PX392=",$H$116), CONCATENATE("DS004=",$B$108), "Fill=B")</f>
        <v>#NAME?</v>
      </c>
      <c r="I145" t="e">
        <f ca="1">_xll.BDP($B$39,$C$39,CONCATENATE("PX391=", $I$115), CONCATENATE("PX392=",$I$116), CONCATENATE("DS004=",$B$108), "Fill=B")</f>
        <v>#NAME?</v>
      </c>
      <c r="J145" t="e">
        <f ca="1">_xll.BDP($B$39,$C$39,CONCATENATE("PX391=", $J$115), CONCATENATE("PX392=",$J$116), CONCATENATE("DS004=",$B$108), "Fill=B")</f>
        <v>#NAME?</v>
      </c>
      <c r="K145" t="e">
        <f ca="1">_xll.BDP($B$39,$C$39,CONCATENATE("PX391=", $K$115), CONCATENATE("PX392=",$K$116), CONCATENATE("DS004=",$B$108), "Fill=B")</f>
        <v>#NAME?</v>
      </c>
      <c r="L145" t="e">
        <f ca="1">_xll.BDP($B$39,$C$39,CONCATENATE("PX391=", $L$115), CONCATENATE("PX392=",$L$116), CONCATENATE("DS004=",$B$108), "Fill=B")</f>
        <v>#NAME?</v>
      </c>
      <c r="M145" t="e">
        <f ca="1">_xll.BDP($B$39,$C$39,CONCATENATE("PX391=", $M$115), CONCATENATE("PX392=",$M$116), CONCATENATE("DS004=",$B$108), "Fill=B")</f>
        <v>#NAME?</v>
      </c>
      <c r="N145" t="e">
        <f ca="1">_xll.BDP($B$39,$C$39,CONCATENATE("PX391=", $N$115), CONCATENATE("PX392=",$N$116), CONCATENATE("DS004=",$B$108), "Fill=B")</f>
        <v>#NAME?</v>
      </c>
      <c r="O145" t="e">
        <f ca="1">_xll.BDP($B$39,$C$39,CONCATENATE("PX391=", $O$115), CONCATENATE("PX392=",$O$116), CONCATENATE("DS004=",$B$108), "Fill=B")</f>
        <v>#NAME?</v>
      </c>
      <c r="P145" t="e">
        <f ca="1">_xll.BDP($B$39,$C$39,CONCATENATE("PX391=", $P$115), CONCATENATE("PX392=",$P$116), CONCATENATE("DS004=",$B$108), "Fill=B")</f>
        <v>#NAME?</v>
      </c>
      <c r="Q145" t="e">
        <f ca="1">_xll.BDP($B$39,$C$39,CONCATENATE("PX391=", $Q$115), CONCATENATE("PX392=",$Q$116), CONCATENATE("DS004=",$B$108), "Fill=B")</f>
        <v>#NAME?</v>
      </c>
      <c r="R145" t="e">
        <f ca="1">_xll.BDP($B$39,$C$39,CONCATENATE("PX391=", $R$115), CONCATENATE("PX392=",$R$116), CONCATENATE("DS004=",$B$108), "Fill=B")</f>
        <v>#NAME?</v>
      </c>
      <c r="S145" t="e">
        <f ca="1">_xll.BDP($B$39,$C$39,CONCATENATE("PX391=", $S$115), CONCATENATE("PX392=",$S$116), CONCATENATE("DS004=",$B$108), "Fill=B")</f>
        <v>#NAME?</v>
      </c>
      <c r="T145" t="e">
        <f ca="1">_xll.BDP($B$39,$C$39,CONCATENATE("PX391=", $T$115), CONCATENATE("PX392=",$T$116), CONCATENATE("DS004=",$B$108), "Fill=B")</f>
        <v>#NAME?</v>
      </c>
      <c r="U145" t="e">
        <f ca="1">_xll.BDP($B$39,$C$39,CONCATENATE("PX391=", $U$115), CONCATENATE("PX392=",$U$116), CONCATENATE("DS004=",$B$108), "Fill=B")</f>
        <v>#NAME?</v>
      </c>
      <c r="V145" t="e">
        <f ca="1">_xll.BDP($B$39,$C$39,CONCATENATE("PX391=", $V$115), CONCATENATE("PX392=",$V$116), CONCATENATE("DS004=",$B$108), "Fill=B")</f>
        <v>#NAME?</v>
      </c>
      <c r="W145" t="e">
        <f ca="1">_xll.BDP($B$39,$C$39,CONCATENATE("PX391=", $W$115), CONCATENATE("PX392=",$W$116), CONCATENATE("DS004=",$B$108), "Fill=B")</f>
        <v>#NAME?</v>
      </c>
      <c r="X145" t="e">
        <f ca="1">_xll.BDP($B$39,$C$39,CONCATENATE("PX391=", $X$115), CONCATENATE("PX392=",$X$116), CONCATENATE("DS004=",$B$108), "Fill=B")</f>
        <v>#NAME?</v>
      </c>
      <c r="Y145" t="e">
        <f ca="1">_xll.BDP($B$39,$C$39,CONCATENATE("PX391=", $Y$115), CONCATENATE("PX392=",$Y$116), CONCATENATE("DS004=",$B$108), "Fill=B")</f>
        <v>#NAME?</v>
      </c>
      <c r="Z145" t="e">
        <f ca="1">_xll.BDP($B$39,$C$39,CONCATENATE("PX391=", $Z$115), CONCATENATE("PX392=",$Z$116), CONCATENATE("DS004=",$B$108), "Fill=B")</f>
        <v>#NAME?</v>
      </c>
      <c r="AA145" t="e">
        <f ca="1">_xll.BDP($B$39,$C$39,CONCATENATE("PX391=", $AA$115), CONCATENATE("PX392=",$AA$116), CONCATENATE("DS004=",$B$108), "Fill=B")</f>
        <v>#NAME?</v>
      </c>
      <c r="AB145" t="e">
        <f ca="1">_xll.BDP($B$39,$C$39,CONCATENATE("PX391=", $AB$115), CONCATENATE("PX392=",$AB$116), CONCATENATE("DS004=",$B$108), "Fill=B")</f>
        <v>#NAME?</v>
      </c>
      <c r="AC145" t="e">
        <f ca="1">_xll.BDP($B$39,$C$39,CONCATENATE("PX391=", $AC$115), CONCATENATE("PX392=",$AC$116), CONCATENATE("DS004=",$B$108), "Fill=B")</f>
        <v>#NAME?</v>
      </c>
      <c r="AD145" t="e">
        <f ca="1">_xll.BDP($B$39,$C$39,CONCATENATE("PX391=", $AD$115), CONCATENATE("PX392=",$AD$116), CONCATENATE("DS004=",$B$108), "Fill=B")</f>
        <v>#NAME?</v>
      </c>
      <c r="AE145" t="e">
        <f ca="1">_xll.BDP($B$39,$C$39,CONCATENATE("PX391=", $AE$115), CONCATENATE("PX392=",$AE$116), CONCATENATE("DS004=",$B$108), "Fill=B")</f>
        <v>#NAME?</v>
      </c>
      <c r="AF145" t="e">
        <f ca="1">_xll.BDP($B$39,$C$39,CONCATENATE("PX391=", $AF$115), CONCATENATE("PX392=",$AF$116), CONCATENATE("DS004=",$B$108), "Fill=B")</f>
        <v>#NAME?</v>
      </c>
      <c r="AG145" t="e">
        <f ca="1">_xll.BDP($B$39,$C$39,CONCATENATE("PX391=", $AG$115), CONCATENATE("PX392=",$AG$116), CONCATENATE("DS004=",$B$108), "Fill=B")</f>
        <v>#NAME?</v>
      </c>
      <c r="AH145" t="e">
        <f ca="1">_xll.BDP($B$39,$C$39,CONCATENATE("PX391=", $AH$115), CONCATENATE("PX392=",$AH$116), CONCATENATE("DS004=",$B$108), "Fill=B")</f>
        <v>#NAME?</v>
      </c>
      <c r="AI145" t="e">
        <f ca="1">_xll.BDP($B$39,$C$39,CONCATENATE("PX391=", $AI$115), CONCATENATE("PX392=",$AI$116), CONCATENATE("DS004=",$B$108), "Fill=B")</f>
        <v>#NAME?</v>
      </c>
      <c r="AJ145" t="e">
        <f ca="1">_xll.BDP($B$39,$C$39,CONCATENATE("PX391=", $AJ$115), CONCATENATE("PX392=",$AJ$116), CONCATENATE("DS004=",$B$108), "Fill=B")</f>
        <v>#NAME?</v>
      </c>
      <c r="AK145" t="e">
        <f ca="1">_xll.BDP($B$39,$C$39,CONCATENATE("PX391=", $AK$115), CONCATENATE("PX392=",$AK$116), CONCATENATE("DS004=",$B$108), "Fill=B")</f>
        <v>#NAME?</v>
      </c>
      <c r="AL145" t="e">
        <f ca="1">_xll.BDP($B$39,$C$39,CONCATENATE("PX391=", $AL$115), CONCATENATE("PX392=",$AL$116), CONCATENATE("DS004=",$B$108), "Fill=B")</f>
        <v>#NAME?</v>
      </c>
      <c r="AM145" t="e">
        <f ca="1">_xll.BDP($B$39,$C$39,CONCATENATE("PX391=", $AM$115), CONCATENATE("PX392=",$AM$116), CONCATENATE("DS004=",$B$108), "Fill=B")</f>
        <v>#NAME?</v>
      </c>
      <c r="AN145" t="e">
        <f ca="1">_xll.BDP($B$39,$C$39,CONCATENATE("PX391=", $AN$115), CONCATENATE("PX392=",$AN$116), CONCATENATE("DS004=",$B$108), "Fill=B")</f>
        <v>#NAME?</v>
      </c>
      <c r="AO145" t="e">
        <f ca="1">_xll.BDP($B$39,$C$39,CONCATENATE("PX391=", $AO$115), CONCATENATE("PX392=",$AO$116), CONCATENATE("DS004=",$B$108), "Fill=B")</f>
        <v>#NAME?</v>
      </c>
      <c r="AP145" t="e">
        <f ca="1">_xll.BDP($B$39,$C$39,CONCATENATE("PX391=", $AP$115), CONCATENATE("PX392=",$AP$116), CONCATENATE("DS004=",$B$108), "Fill=B")</f>
        <v>#NAME?</v>
      </c>
      <c r="AQ145" t="e">
        <f ca="1">_xll.BDP($B$39,$C$39,CONCATENATE("PX391=", $AQ$115), CONCATENATE("PX392=",$AQ$116), CONCATENATE("DS004=",$B$108), "Fill=B")</f>
        <v>#NAME?</v>
      </c>
      <c r="AR145" t="e">
        <f ca="1">_xll.BDP($B$39,$C$39,CONCATENATE("PX391=", $AR$115), CONCATENATE("PX392=",$AR$116), CONCATENATE("DS004=",$B$108), "Fill=B")</f>
        <v>#NAME?</v>
      </c>
      <c r="AS145" t="e">
        <f ca="1">_xll.BDP($B$39,$C$39,CONCATENATE("PX391=", $AS$115), CONCATENATE("PX392=",$AS$116), CONCATENATE("DS004=",$B$108), "Fill=B")</f>
        <v>#NAME?</v>
      </c>
      <c r="AT145" t="str">
        <f>""</f>
        <v/>
      </c>
      <c r="AU145" t="str">
        <f>""</f>
        <v/>
      </c>
      <c r="AV145" t="str">
        <f>""</f>
        <v/>
      </c>
      <c r="AW145" t="str">
        <f>""</f>
        <v/>
      </c>
      <c r="AX145" t="str">
        <f>""</f>
        <v/>
      </c>
      <c r="AY145" t="str">
        <f>""</f>
        <v/>
      </c>
      <c r="AZ145" t="str">
        <f>""</f>
        <v/>
      </c>
      <c r="BA145" t="str">
        <f>""</f>
        <v/>
      </c>
      <c r="BB145" t="str">
        <f>""</f>
        <v/>
      </c>
      <c r="BC145" t="str">
        <f>""</f>
        <v/>
      </c>
      <c r="BD145" t="str">
        <f>""</f>
        <v/>
      </c>
      <c r="BE145" t="str">
        <f>""</f>
        <v/>
      </c>
      <c r="BF145" t="str">
        <f>""</f>
        <v/>
      </c>
      <c r="BG145" t="str">
        <f>""</f>
        <v/>
      </c>
      <c r="BH145" t="str">
        <f>""</f>
        <v/>
      </c>
      <c r="BI145" t="str">
        <f>""</f>
        <v/>
      </c>
      <c r="BJ145" t="str">
        <f>""</f>
        <v/>
      </c>
      <c r="BK145" t="str">
        <f>""</f>
        <v/>
      </c>
      <c r="BL145" t="str">
        <f>""</f>
        <v/>
      </c>
      <c r="BM145" t="str">
        <f>""</f>
        <v/>
      </c>
      <c r="BN145" t="str">
        <f>""</f>
        <v/>
      </c>
      <c r="BO145" t="str">
        <f>""</f>
        <v/>
      </c>
      <c r="BP145" t="str">
        <f>""</f>
        <v/>
      </c>
      <c r="BQ145" t="str">
        <f>""</f>
        <v/>
      </c>
      <c r="BR145" t="str">
        <f>""</f>
        <v/>
      </c>
      <c r="BS145" t="str">
        <f>""</f>
        <v/>
      </c>
      <c r="BT145" t="str">
        <f>""</f>
        <v/>
      </c>
      <c r="BU145" t="str">
        <f>""</f>
        <v/>
      </c>
      <c r="BV145" t="str">
        <f>""</f>
        <v/>
      </c>
      <c r="BW145" t="str">
        <f>""</f>
        <v/>
      </c>
      <c r="BX145" t="str">
        <f>""</f>
        <v/>
      </c>
      <c r="BY145" t="str">
        <f>""</f>
        <v/>
      </c>
      <c r="BZ145" t="str">
        <f>""</f>
        <v/>
      </c>
      <c r="CA145" t="str">
        <f>""</f>
        <v/>
      </c>
      <c r="CB145" t="str">
        <f>""</f>
        <v/>
      </c>
      <c r="CC145" t="str">
        <f>""</f>
        <v/>
      </c>
      <c r="CD145" t="str">
        <f>""</f>
        <v/>
      </c>
      <c r="CE145" t="str">
        <f>""</f>
        <v/>
      </c>
      <c r="CF145" t="str">
        <f>""</f>
        <v/>
      </c>
      <c r="CG145" t="str">
        <f>""</f>
        <v/>
      </c>
    </row>
    <row r="146" spans="1:85" x14ac:dyDescent="0.2">
      <c r="A146" t="str">
        <f>$A$40</f>
        <v xml:space="preserve">        Fed. Non-Residential Construction (Mn USD)</v>
      </c>
      <c r="B146" t="str">
        <f>$B$40</f>
        <v>FED1NRES Index</v>
      </c>
      <c r="C146" t="str">
        <f>$C$40</f>
        <v>PX385</v>
      </c>
      <c r="D146" t="str">
        <f>$D$40</f>
        <v>INTERVAL_SUM</v>
      </c>
      <c r="E146" t="str">
        <f>$E$40</f>
        <v>Dynamic</v>
      </c>
      <c r="F146" t="e">
        <f ca="1">_xll.BDP($B$40,$C$40,CONCATENATE("PX391=", $F$115), CONCATENATE("PX392=",$F$116), CONCATENATE("DS004=",$B$108), "Fill=B")</f>
        <v>#NAME?</v>
      </c>
      <c r="G146" t="e">
        <f ca="1">_xll.BDP($B$40,$C$40,CONCATENATE("PX391=", $G$115), CONCATENATE("PX392=",$G$116), CONCATENATE("DS004=",$B$108), "Fill=B")</f>
        <v>#NAME?</v>
      </c>
      <c r="H146" t="e">
        <f ca="1">_xll.BDP($B$40,$C$40,CONCATENATE("PX391=", $H$115), CONCATENATE("PX392=",$H$116), CONCATENATE("DS004=",$B$108), "Fill=B")</f>
        <v>#NAME?</v>
      </c>
      <c r="I146" t="e">
        <f ca="1">_xll.BDP($B$40,$C$40,CONCATENATE("PX391=", $I$115), CONCATENATE("PX392=",$I$116), CONCATENATE("DS004=",$B$108), "Fill=B")</f>
        <v>#NAME?</v>
      </c>
      <c r="J146" t="e">
        <f ca="1">_xll.BDP($B$40,$C$40,CONCATENATE("PX391=", $J$115), CONCATENATE("PX392=",$J$116), CONCATENATE("DS004=",$B$108), "Fill=B")</f>
        <v>#NAME?</v>
      </c>
      <c r="K146" t="e">
        <f ca="1">_xll.BDP($B$40,$C$40,CONCATENATE("PX391=", $K$115), CONCATENATE("PX392=",$K$116), CONCATENATE("DS004=",$B$108), "Fill=B")</f>
        <v>#NAME?</v>
      </c>
      <c r="L146" t="e">
        <f ca="1">_xll.BDP($B$40,$C$40,CONCATENATE("PX391=", $L$115), CONCATENATE("PX392=",$L$116), CONCATENATE("DS004=",$B$108), "Fill=B")</f>
        <v>#NAME?</v>
      </c>
      <c r="M146" t="e">
        <f ca="1">_xll.BDP($B$40,$C$40,CONCATENATE("PX391=", $M$115), CONCATENATE("PX392=",$M$116), CONCATENATE("DS004=",$B$108), "Fill=B")</f>
        <v>#NAME?</v>
      </c>
      <c r="N146" t="e">
        <f ca="1">_xll.BDP($B$40,$C$40,CONCATENATE("PX391=", $N$115), CONCATENATE("PX392=",$N$116), CONCATENATE("DS004=",$B$108), "Fill=B")</f>
        <v>#NAME?</v>
      </c>
      <c r="O146" t="e">
        <f ca="1">_xll.BDP($B$40,$C$40,CONCATENATE("PX391=", $O$115), CONCATENATE("PX392=",$O$116), CONCATENATE("DS004=",$B$108), "Fill=B")</f>
        <v>#NAME?</v>
      </c>
      <c r="P146" t="e">
        <f ca="1">_xll.BDP($B$40,$C$40,CONCATENATE("PX391=", $P$115), CONCATENATE("PX392=",$P$116), CONCATENATE("DS004=",$B$108), "Fill=B")</f>
        <v>#NAME?</v>
      </c>
      <c r="Q146" t="e">
        <f ca="1">_xll.BDP($B$40,$C$40,CONCATENATE("PX391=", $Q$115), CONCATENATE("PX392=",$Q$116), CONCATENATE("DS004=",$B$108), "Fill=B")</f>
        <v>#NAME?</v>
      </c>
      <c r="R146" t="e">
        <f ca="1">_xll.BDP($B$40,$C$40,CONCATENATE("PX391=", $R$115), CONCATENATE("PX392=",$R$116), CONCATENATE("DS004=",$B$108), "Fill=B")</f>
        <v>#NAME?</v>
      </c>
      <c r="S146" t="e">
        <f ca="1">_xll.BDP($B$40,$C$40,CONCATENATE("PX391=", $S$115), CONCATENATE("PX392=",$S$116), CONCATENATE("DS004=",$B$108), "Fill=B")</f>
        <v>#NAME?</v>
      </c>
      <c r="T146" t="e">
        <f ca="1">_xll.BDP($B$40,$C$40,CONCATENATE("PX391=", $T$115), CONCATENATE("PX392=",$T$116), CONCATENATE("DS004=",$B$108), "Fill=B")</f>
        <v>#NAME?</v>
      </c>
      <c r="U146" t="e">
        <f ca="1">_xll.BDP($B$40,$C$40,CONCATENATE("PX391=", $U$115), CONCATENATE("PX392=",$U$116), CONCATENATE("DS004=",$B$108), "Fill=B")</f>
        <v>#NAME?</v>
      </c>
      <c r="V146" t="e">
        <f ca="1">_xll.BDP($B$40,$C$40,CONCATENATE("PX391=", $V$115), CONCATENATE("PX392=",$V$116), CONCATENATE("DS004=",$B$108), "Fill=B")</f>
        <v>#NAME?</v>
      </c>
      <c r="W146" t="e">
        <f ca="1">_xll.BDP($B$40,$C$40,CONCATENATE("PX391=", $W$115), CONCATENATE("PX392=",$W$116), CONCATENATE("DS004=",$B$108), "Fill=B")</f>
        <v>#NAME?</v>
      </c>
      <c r="X146" t="e">
        <f ca="1">_xll.BDP($B$40,$C$40,CONCATENATE("PX391=", $X$115), CONCATENATE("PX392=",$X$116), CONCATENATE("DS004=",$B$108), "Fill=B")</f>
        <v>#NAME?</v>
      </c>
      <c r="Y146" t="e">
        <f ca="1">_xll.BDP($B$40,$C$40,CONCATENATE("PX391=", $Y$115), CONCATENATE("PX392=",$Y$116), CONCATENATE("DS004=",$B$108), "Fill=B")</f>
        <v>#NAME?</v>
      </c>
      <c r="Z146" t="e">
        <f ca="1">_xll.BDP($B$40,$C$40,CONCATENATE("PX391=", $Z$115), CONCATENATE("PX392=",$Z$116), CONCATENATE("DS004=",$B$108), "Fill=B")</f>
        <v>#NAME?</v>
      </c>
      <c r="AA146" t="e">
        <f ca="1">_xll.BDP($B$40,$C$40,CONCATENATE("PX391=", $AA$115), CONCATENATE("PX392=",$AA$116), CONCATENATE("DS004=",$B$108), "Fill=B")</f>
        <v>#NAME?</v>
      </c>
      <c r="AB146" t="e">
        <f ca="1">_xll.BDP($B$40,$C$40,CONCATENATE("PX391=", $AB$115), CONCATENATE("PX392=",$AB$116), CONCATENATE("DS004=",$B$108), "Fill=B")</f>
        <v>#NAME?</v>
      </c>
      <c r="AC146" t="e">
        <f ca="1">_xll.BDP($B$40,$C$40,CONCATENATE("PX391=", $AC$115), CONCATENATE("PX392=",$AC$116), CONCATENATE("DS004=",$B$108), "Fill=B")</f>
        <v>#NAME?</v>
      </c>
      <c r="AD146" t="e">
        <f ca="1">_xll.BDP($B$40,$C$40,CONCATENATE("PX391=", $AD$115), CONCATENATE("PX392=",$AD$116), CONCATENATE("DS004=",$B$108), "Fill=B")</f>
        <v>#NAME?</v>
      </c>
      <c r="AE146" t="e">
        <f ca="1">_xll.BDP($B$40,$C$40,CONCATENATE("PX391=", $AE$115), CONCATENATE("PX392=",$AE$116), CONCATENATE("DS004=",$B$108), "Fill=B")</f>
        <v>#NAME?</v>
      </c>
      <c r="AF146" t="e">
        <f ca="1">_xll.BDP($B$40,$C$40,CONCATENATE("PX391=", $AF$115), CONCATENATE("PX392=",$AF$116), CONCATENATE("DS004=",$B$108), "Fill=B")</f>
        <v>#NAME?</v>
      </c>
      <c r="AG146" t="e">
        <f ca="1">_xll.BDP($B$40,$C$40,CONCATENATE("PX391=", $AG$115), CONCATENATE("PX392=",$AG$116), CONCATENATE("DS004=",$B$108), "Fill=B")</f>
        <v>#NAME?</v>
      </c>
      <c r="AH146" t="e">
        <f ca="1">_xll.BDP($B$40,$C$40,CONCATENATE("PX391=", $AH$115), CONCATENATE("PX392=",$AH$116), CONCATENATE("DS004=",$B$108), "Fill=B")</f>
        <v>#NAME?</v>
      </c>
      <c r="AI146" t="e">
        <f ca="1">_xll.BDP($B$40,$C$40,CONCATENATE("PX391=", $AI$115), CONCATENATE("PX392=",$AI$116), CONCATENATE("DS004=",$B$108), "Fill=B")</f>
        <v>#NAME?</v>
      </c>
      <c r="AJ146" t="e">
        <f ca="1">_xll.BDP($B$40,$C$40,CONCATENATE("PX391=", $AJ$115), CONCATENATE("PX392=",$AJ$116), CONCATENATE("DS004=",$B$108), "Fill=B")</f>
        <v>#NAME?</v>
      </c>
      <c r="AK146" t="e">
        <f ca="1">_xll.BDP($B$40,$C$40,CONCATENATE("PX391=", $AK$115), CONCATENATE("PX392=",$AK$116), CONCATENATE("DS004=",$B$108), "Fill=B")</f>
        <v>#NAME?</v>
      </c>
      <c r="AL146" t="e">
        <f ca="1">_xll.BDP($B$40,$C$40,CONCATENATE("PX391=", $AL$115), CONCATENATE("PX392=",$AL$116), CONCATENATE("DS004=",$B$108), "Fill=B")</f>
        <v>#NAME?</v>
      </c>
      <c r="AM146" t="e">
        <f ca="1">_xll.BDP($B$40,$C$40,CONCATENATE("PX391=", $AM$115), CONCATENATE("PX392=",$AM$116), CONCATENATE("DS004=",$B$108), "Fill=B")</f>
        <v>#NAME?</v>
      </c>
      <c r="AN146" t="e">
        <f ca="1">_xll.BDP($B$40,$C$40,CONCATENATE("PX391=", $AN$115), CONCATENATE("PX392=",$AN$116), CONCATENATE("DS004=",$B$108), "Fill=B")</f>
        <v>#NAME?</v>
      </c>
      <c r="AO146" t="e">
        <f ca="1">_xll.BDP($B$40,$C$40,CONCATENATE("PX391=", $AO$115), CONCATENATE("PX392=",$AO$116), CONCATENATE("DS004=",$B$108), "Fill=B")</f>
        <v>#NAME?</v>
      </c>
      <c r="AP146" t="e">
        <f ca="1">_xll.BDP($B$40,$C$40,CONCATENATE("PX391=", $AP$115), CONCATENATE("PX392=",$AP$116), CONCATENATE("DS004=",$B$108), "Fill=B")</f>
        <v>#NAME?</v>
      </c>
      <c r="AQ146" t="e">
        <f ca="1">_xll.BDP($B$40,$C$40,CONCATENATE("PX391=", $AQ$115), CONCATENATE("PX392=",$AQ$116), CONCATENATE("DS004=",$B$108), "Fill=B")</f>
        <v>#NAME?</v>
      </c>
      <c r="AR146" t="e">
        <f ca="1">_xll.BDP($B$40,$C$40,CONCATENATE("PX391=", $AR$115), CONCATENATE("PX392=",$AR$116), CONCATENATE("DS004=",$B$108), "Fill=B")</f>
        <v>#NAME?</v>
      </c>
      <c r="AS146" t="e">
        <f ca="1">_xll.BDP($B$40,$C$40,CONCATENATE("PX391=", $AS$115), CONCATENATE("PX392=",$AS$116), CONCATENATE("DS004=",$B$108), "Fill=B")</f>
        <v>#NAME?</v>
      </c>
      <c r="AT146" t="str">
        <f>""</f>
        <v/>
      </c>
      <c r="AU146" t="str">
        <f>""</f>
        <v/>
      </c>
      <c r="AV146" t="str">
        <f>""</f>
        <v/>
      </c>
      <c r="AW146" t="str">
        <f>""</f>
        <v/>
      </c>
      <c r="AX146" t="str">
        <f>""</f>
        <v/>
      </c>
      <c r="AY146" t="str">
        <f>""</f>
        <v/>
      </c>
      <c r="AZ146" t="str">
        <f>""</f>
        <v/>
      </c>
      <c r="BA146" t="str">
        <f>""</f>
        <v/>
      </c>
      <c r="BB146" t="str">
        <f>""</f>
        <v/>
      </c>
      <c r="BC146" t="str">
        <f>""</f>
        <v/>
      </c>
      <c r="BD146" t="str">
        <f>""</f>
        <v/>
      </c>
      <c r="BE146" t="str">
        <f>""</f>
        <v/>
      </c>
      <c r="BF146" t="str">
        <f>""</f>
        <v/>
      </c>
      <c r="BG146" t="str">
        <f>""</f>
        <v/>
      </c>
      <c r="BH146" t="str">
        <f>""</f>
        <v/>
      </c>
      <c r="BI146" t="str">
        <f>""</f>
        <v/>
      </c>
      <c r="BJ146" t="str">
        <f>""</f>
        <v/>
      </c>
      <c r="BK146" t="str">
        <f>""</f>
        <v/>
      </c>
      <c r="BL146" t="str">
        <f>""</f>
        <v/>
      </c>
      <c r="BM146" t="str">
        <f>""</f>
        <v/>
      </c>
      <c r="BN146" t="str">
        <f>""</f>
        <v/>
      </c>
      <c r="BO146" t="str">
        <f>""</f>
        <v/>
      </c>
      <c r="BP146" t="str">
        <f>""</f>
        <v/>
      </c>
      <c r="BQ146" t="str">
        <f>""</f>
        <v/>
      </c>
      <c r="BR146" t="str">
        <f>""</f>
        <v/>
      </c>
      <c r="BS146" t="str">
        <f>""</f>
        <v/>
      </c>
      <c r="BT146" t="str">
        <f>""</f>
        <v/>
      </c>
      <c r="BU146" t="str">
        <f>""</f>
        <v/>
      </c>
      <c r="BV146" t="str">
        <f>""</f>
        <v/>
      </c>
      <c r="BW146" t="str">
        <f>""</f>
        <v/>
      </c>
      <c r="BX146" t="str">
        <f>""</f>
        <v/>
      </c>
      <c r="BY146" t="str">
        <f>""</f>
        <v/>
      </c>
      <c r="BZ146" t="str">
        <f>""</f>
        <v/>
      </c>
      <c r="CA146" t="str">
        <f>""</f>
        <v/>
      </c>
      <c r="CB146" t="str">
        <f>""</f>
        <v/>
      </c>
      <c r="CC146" t="str">
        <f>""</f>
        <v/>
      </c>
      <c r="CD146" t="str">
        <f>""</f>
        <v/>
      </c>
      <c r="CE146" t="str">
        <f>""</f>
        <v/>
      </c>
      <c r="CF146" t="str">
        <f>""</f>
        <v/>
      </c>
      <c r="CG146" t="str">
        <f>""</f>
        <v/>
      </c>
    </row>
    <row r="147" spans="1:85" x14ac:dyDescent="0.2">
      <c r="A147" t="str">
        <f>$A$41</f>
        <v xml:space="preserve">        Fed. Office Construction (Mn USD)</v>
      </c>
      <c r="B147" t="str">
        <f>$B$41</f>
        <v>FED1OFFI Index</v>
      </c>
      <c r="C147" t="str">
        <f>$C$41</f>
        <v>PX385</v>
      </c>
      <c r="D147" t="str">
        <f>$D$41</f>
        <v>INTERVAL_SUM</v>
      </c>
      <c r="E147" t="str">
        <f>$E$41</f>
        <v>Dynamic</v>
      </c>
      <c r="F147" t="e">
        <f ca="1">_xll.BDP($B$41,$C$41,CONCATENATE("PX391=", $F$115), CONCATENATE("PX392=",$F$116), CONCATENATE("DS004=",$B$108), "Fill=B")</f>
        <v>#NAME?</v>
      </c>
      <c r="G147" t="e">
        <f ca="1">_xll.BDP($B$41,$C$41,CONCATENATE("PX391=", $G$115), CONCATENATE("PX392=",$G$116), CONCATENATE("DS004=",$B$108), "Fill=B")</f>
        <v>#NAME?</v>
      </c>
      <c r="H147" t="e">
        <f ca="1">_xll.BDP($B$41,$C$41,CONCATENATE("PX391=", $H$115), CONCATENATE("PX392=",$H$116), CONCATENATE("DS004=",$B$108), "Fill=B")</f>
        <v>#NAME?</v>
      </c>
      <c r="I147" t="e">
        <f ca="1">_xll.BDP($B$41,$C$41,CONCATENATE("PX391=", $I$115), CONCATENATE("PX392=",$I$116), CONCATENATE("DS004=",$B$108), "Fill=B")</f>
        <v>#NAME?</v>
      </c>
      <c r="J147" t="e">
        <f ca="1">_xll.BDP($B$41,$C$41,CONCATENATE("PX391=", $J$115), CONCATENATE("PX392=",$J$116), CONCATENATE("DS004=",$B$108), "Fill=B")</f>
        <v>#NAME?</v>
      </c>
      <c r="K147" t="e">
        <f ca="1">_xll.BDP($B$41,$C$41,CONCATENATE("PX391=", $K$115), CONCATENATE("PX392=",$K$116), CONCATENATE("DS004=",$B$108), "Fill=B")</f>
        <v>#NAME?</v>
      </c>
      <c r="L147" t="e">
        <f ca="1">_xll.BDP($B$41,$C$41,CONCATENATE("PX391=", $L$115), CONCATENATE("PX392=",$L$116), CONCATENATE("DS004=",$B$108), "Fill=B")</f>
        <v>#NAME?</v>
      </c>
      <c r="M147" t="e">
        <f ca="1">_xll.BDP($B$41,$C$41,CONCATENATE("PX391=", $M$115), CONCATENATE("PX392=",$M$116), CONCATENATE("DS004=",$B$108), "Fill=B")</f>
        <v>#NAME?</v>
      </c>
      <c r="N147" t="e">
        <f ca="1">_xll.BDP($B$41,$C$41,CONCATENATE("PX391=", $N$115), CONCATENATE("PX392=",$N$116), CONCATENATE("DS004=",$B$108), "Fill=B")</f>
        <v>#NAME?</v>
      </c>
      <c r="O147" t="e">
        <f ca="1">_xll.BDP($B$41,$C$41,CONCATENATE("PX391=", $O$115), CONCATENATE("PX392=",$O$116), CONCATENATE("DS004=",$B$108), "Fill=B")</f>
        <v>#NAME?</v>
      </c>
      <c r="P147" t="e">
        <f ca="1">_xll.BDP($B$41,$C$41,CONCATENATE("PX391=", $P$115), CONCATENATE("PX392=",$P$116), CONCATENATE("DS004=",$B$108), "Fill=B")</f>
        <v>#NAME?</v>
      </c>
      <c r="Q147" t="e">
        <f ca="1">_xll.BDP($B$41,$C$41,CONCATENATE("PX391=", $Q$115), CONCATENATE("PX392=",$Q$116), CONCATENATE("DS004=",$B$108), "Fill=B")</f>
        <v>#NAME?</v>
      </c>
      <c r="R147" t="e">
        <f ca="1">_xll.BDP($B$41,$C$41,CONCATENATE("PX391=", $R$115), CONCATENATE("PX392=",$R$116), CONCATENATE("DS004=",$B$108), "Fill=B")</f>
        <v>#NAME?</v>
      </c>
      <c r="S147" t="e">
        <f ca="1">_xll.BDP($B$41,$C$41,CONCATENATE("PX391=", $S$115), CONCATENATE("PX392=",$S$116), CONCATENATE("DS004=",$B$108), "Fill=B")</f>
        <v>#NAME?</v>
      </c>
      <c r="T147" t="e">
        <f ca="1">_xll.BDP($B$41,$C$41,CONCATENATE("PX391=", $T$115), CONCATENATE("PX392=",$T$116), CONCATENATE("DS004=",$B$108), "Fill=B")</f>
        <v>#NAME?</v>
      </c>
      <c r="U147" t="e">
        <f ca="1">_xll.BDP($B$41,$C$41,CONCATENATE("PX391=", $U$115), CONCATENATE("PX392=",$U$116), CONCATENATE("DS004=",$B$108), "Fill=B")</f>
        <v>#NAME?</v>
      </c>
      <c r="V147" t="e">
        <f ca="1">_xll.BDP($B$41,$C$41,CONCATENATE("PX391=", $V$115), CONCATENATE("PX392=",$V$116), CONCATENATE("DS004=",$B$108), "Fill=B")</f>
        <v>#NAME?</v>
      </c>
      <c r="W147" t="e">
        <f ca="1">_xll.BDP($B$41,$C$41,CONCATENATE("PX391=", $W$115), CONCATENATE("PX392=",$W$116), CONCATENATE("DS004=",$B$108), "Fill=B")</f>
        <v>#NAME?</v>
      </c>
      <c r="X147" t="e">
        <f ca="1">_xll.BDP($B$41,$C$41,CONCATENATE("PX391=", $X$115), CONCATENATE("PX392=",$X$116), CONCATENATE("DS004=",$B$108), "Fill=B")</f>
        <v>#NAME?</v>
      </c>
      <c r="Y147" t="e">
        <f ca="1">_xll.BDP($B$41,$C$41,CONCATENATE("PX391=", $Y$115), CONCATENATE("PX392=",$Y$116), CONCATENATE("DS004=",$B$108), "Fill=B")</f>
        <v>#NAME?</v>
      </c>
      <c r="Z147" t="e">
        <f ca="1">_xll.BDP($B$41,$C$41,CONCATENATE("PX391=", $Z$115), CONCATENATE("PX392=",$Z$116), CONCATENATE("DS004=",$B$108), "Fill=B")</f>
        <v>#NAME?</v>
      </c>
      <c r="AA147" t="e">
        <f ca="1">_xll.BDP($B$41,$C$41,CONCATENATE("PX391=", $AA$115), CONCATENATE("PX392=",$AA$116), CONCATENATE("DS004=",$B$108), "Fill=B")</f>
        <v>#NAME?</v>
      </c>
      <c r="AB147" t="e">
        <f ca="1">_xll.BDP($B$41,$C$41,CONCATENATE("PX391=", $AB$115), CONCATENATE("PX392=",$AB$116), CONCATENATE("DS004=",$B$108), "Fill=B")</f>
        <v>#NAME?</v>
      </c>
      <c r="AC147" t="e">
        <f ca="1">_xll.BDP($B$41,$C$41,CONCATENATE("PX391=", $AC$115), CONCATENATE("PX392=",$AC$116), CONCATENATE("DS004=",$B$108), "Fill=B")</f>
        <v>#NAME?</v>
      </c>
      <c r="AD147" t="e">
        <f ca="1">_xll.BDP($B$41,$C$41,CONCATENATE("PX391=", $AD$115), CONCATENATE("PX392=",$AD$116), CONCATENATE("DS004=",$B$108), "Fill=B")</f>
        <v>#NAME?</v>
      </c>
      <c r="AE147" t="e">
        <f ca="1">_xll.BDP($B$41,$C$41,CONCATENATE("PX391=", $AE$115), CONCATENATE("PX392=",$AE$116), CONCATENATE("DS004=",$B$108), "Fill=B")</f>
        <v>#NAME?</v>
      </c>
      <c r="AF147" t="e">
        <f ca="1">_xll.BDP($B$41,$C$41,CONCATENATE("PX391=", $AF$115), CONCATENATE("PX392=",$AF$116), CONCATENATE("DS004=",$B$108), "Fill=B")</f>
        <v>#NAME?</v>
      </c>
      <c r="AG147" t="e">
        <f ca="1">_xll.BDP($B$41,$C$41,CONCATENATE("PX391=", $AG$115), CONCATENATE("PX392=",$AG$116), CONCATENATE("DS004=",$B$108), "Fill=B")</f>
        <v>#NAME?</v>
      </c>
      <c r="AH147" t="e">
        <f ca="1">_xll.BDP($B$41,$C$41,CONCATENATE("PX391=", $AH$115), CONCATENATE("PX392=",$AH$116), CONCATENATE("DS004=",$B$108), "Fill=B")</f>
        <v>#NAME?</v>
      </c>
      <c r="AI147" t="e">
        <f ca="1">_xll.BDP($B$41,$C$41,CONCATENATE("PX391=", $AI$115), CONCATENATE("PX392=",$AI$116), CONCATENATE("DS004=",$B$108), "Fill=B")</f>
        <v>#NAME?</v>
      </c>
      <c r="AJ147" t="e">
        <f ca="1">_xll.BDP($B$41,$C$41,CONCATENATE("PX391=", $AJ$115), CONCATENATE("PX392=",$AJ$116), CONCATENATE("DS004=",$B$108), "Fill=B")</f>
        <v>#NAME?</v>
      </c>
      <c r="AK147" t="e">
        <f ca="1">_xll.BDP($B$41,$C$41,CONCATENATE("PX391=", $AK$115), CONCATENATE("PX392=",$AK$116), CONCATENATE("DS004=",$B$108), "Fill=B")</f>
        <v>#NAME?</v>
      </c>
      <c r="AL147" t="e">
        <f ca="1">_xll.BDP($B$41,$C$41,CONCATENATE("PX391=", $AL$115), CONCATENATE("PX392=",$AL$116), CONCATENATE("DS004=",$B$108), "Fill=B")</f>
        <v>#NAME?</v>
      </c>
      <c r="AM147" t="e">
        <f ca="1">_xll.BDP($B$41,$C$41,CONCATENATE("PX391=", $AM$115), CONCATENATE("PX392=",$AM$116), CONCATENATE("DS004=",$B$108), "Fill=B")</f>
        <v>#NAME?</v>
      </c>
      <c r="AN147" t="e">
        <f ca="1">_xll.BDP($B$41,$C$41,CONCATENATE("PX391=", $AN$115), CONCATENATE("PX392=",$AN$116), CONCATENATE("DS004=",$B$108), "Fill=B")</f>
        <v>#NAME?</v>
      </c>
      <c r="AO147" t="e">
        <f ca="1">_xll.BDP($B$41,$C$41,CONCATENATE("PX391=", $AO$115), CONCATENATE("PX392=",$AO$116), CONCATENATE("DS004=",$B$108), "Fill=B")</f>
        <v>#NAME?</v>
      </c>
      <c r="AP147" t="e">
        <f ca="1">_xll.BDP($B$41,$C$41,CONCATENATE("PX391=", $AP$115), CONCATENATE("PX392=",$AP$116), CONCATENATE("DS004=",$B$108), "Fill=B")</f>
        <v>#NAME?</v>
      </c>
      <c r="AQ147" t="e">
        <f ca="1">_xll.BDP($B$41,$C$41,CONCATENATE("PX391=", $AQ$115), CONCATENATE("PX392=",$AQ$116), CONCATENATE("DS004=",$B$108), "Fill=B")</f>
        <v>#NAME?</v>
      </c>
      <c r="AR147" t="e">
        <f ca="1">_xll.BDP($B$41,$C$41,CONCATENATE("PX391=", $AR$115), CONCATENATE("PX392=",$AR$116), CONCATENATE("DS004=",$B$108), "Fill=B")</f>
        <v>#NAME?</v>
      </c>
      <c r="AS147" t="e">
        <f ca="1">_xll.BDP($B$41,$C$41,CONCATENATE("PX391=", $AS$115), CONCATENATE("PX392=",$AS$116), CONCATENATE("DS004=",$B$108), "Fill=B")</f>
        <v>#NAME?</v>
      </c>
      <c r="AT147" t="str">
        <f>""</f>
        <v/>
      </c>
      <c r="AU147" t="str">
        <f>""</f>
        <v/>
      </c>
      <c r="AV147" t="str">
        <f>""</f>
        <v/>
      </c>
      <c r="AW147" t="str">
        <f>""</f>
        <v/>
      </c>
      <c r="AX147" t="str">
        <f>""</f>
        <v/>
      </c>
      <c r="AY147" t="str">
        <f>""</f>
        <v/>
      </c>
      <c r="AZ147" t="str">
        <f>""</f>
        <v/>
      </c>
      <c r="BA147" t="str">
        <f>""</f>
        <v/>
      </c>
      <c r="BB147" t="str">
        <f>""</f>
        <v/>
      </c>
      <c r="BC147" t="str">
        <f>""</f>
        <v/>
      </c>
      <c r="BD147" t="str">
        <f>""</f>
        <v/>
      </c>
      <c r="BE147" t="str">
        <f>""</f>
        <v/>
      </c>
      <c r="BF147" t="str">
        <f>""</f>
        <v/>
      </c>
      <c r="BG147" t="str">
        <f>""</f>
        <v/>
      </c>
      <c r="BH147" t="str">
        <f>""</f>
        <v/>
      </c>
      <c r="BI147" t="str">
        <f>""</f>
        <v/>
      </c>
      <c r="BJ147" t="str">
        <f>""</f>
        <v/>
      </c>
      <c r="BK147" t="str">
        <f>""</f>
        <v/>
      </c>
      <c r="BL147" t="str">
        <f>""</f>
        <v/>
      </c>
      <c r="BM147" t="str">
        <f>""</f>
        <v/>
      </c>
      <c r="BN147" t="str">
        <f>""</f>
        <v/>
      </c>
      <c r="BO147" t="str">
        <f>""</f>
        <v/>
      </c>
      <c r="BP147" t="str">
        <f>""</f>
        <v/>
      </c>
      <c r="BQ147" t="str">
        <f>""</f>
        <v/>
      </c>
      <c r="BR147" t="str">
        <f>""</f>
        <v/>
      </c>
      <c r="BS147" t="str">
        <f>""</f>
        <v/>
      </c>
      <c r="BT147" t="str">
        <f>""</f>
        <v/>
      </c>
      <c r="BU147" t="str">
        <f>""</f>
        <v/>
      </c>
      <c r="BV147" t="str">
        <f>""</f>
        <v/>
      </c>
      <c r="BW147" t="str">
        <f>""</f>
        <v/>
      </c>
      <c r="BX147" t="str">
        <f>""</f>
        <v/>
      </c>
      <c r="BY147" t="str">
        <f>""</f>
        <v/>
      </c>
      <c r="BZ147" t="str">
        <f>""</f>
        <v/>
      </c>
      <c r="CA147" t="str">
        <f>""</f>
        <v/>
      </c>
      <c r="CB147" t="str">
        <f>""</f>
        <v/>
      </c>
      <c r="CC147" t="str">
        <f>""</f>
        <v/>
      </c>
      <c r="CD147" t="str">
        <f>""</f>
        <v/>
      </c>
      <c r="CE147" t="str">
        <f>""</f>
        <v/>
      </c>
      <c r="CF147" t="str">
        <f>""</f>
        <v/>
      </c>
      <c r="CG147" t="str">
        <f>""</f>
        <v/>
      </c>
    </row>
    <row r="148" spans="1:85" x14ac:dyDescent="0.2">
      <c r="A148" t="str">
        <f>$A$42</f>
        <v xml:space="preserve">        Fed. Healthcare Construction (Mn USD)</v>
      </c>
      <c r="B148" t="str">
        <f>$B$42</f>
        <v>FED1HCAR Index</v>
      </c>
      <c r="C148" t="str">
        <f>$C$42</f>
        <v>PX385</v>
      </c>
      <c r="D148" t="str">
        <f>$D$42</f>
        <v>INTERVAL_SUM</v>
      </c>
      <c r="E148" t="str">
        <f>$E$42</f>
        <v>Dynamic</v>
      </c>
      <c r="F148" t="e">
        <f ca="1">_xll.BDP($B$42,$C$42,CONCATENATE("PX391=", $F$115), CONCATENATE("PX392=",$F$116), CONCATENATE("DS004=",$B$108), "Fill=B")</f>
        <v>#NAME?</v>
      </c>
      <c r="G148" t="e">
        <f ca="1">_xll.BDP($B$42,$C$42,CONCATENATE("PX391=", $G$115), CONCATENATE("PX392=",$G$116), CONCATENATE("DS004=",$B$108), "Fill=B")</f>
        <v>#NAME?</v>
      </c>
      <c r="H148" t="e">
        <f ca="1">_xll.BDP($B$42,$C$42,CONCATENATE("PX391=", $H$115), CONCATENATE("PX392=",$H$116), CONCATENATE("DS004=",$B$108), "Fill=B")</f>
        <v>#NAME?</v>
      </c>
      <c r="I148" t="e">
        <f ca="1">_xll.BDP($B$42,$C$42,CONCATENATE("PX391=", $I$115), CONCATENATE("PX392=",$I$116), CONCATENATE("DS004=",$B$108), "Fill=B")</f>
        <v>#NAME?</v>
      </c>
      <c r="J148" t="e">
        <f ca="1">_xll.BDP($B$42,$C$42,CONCATENATE("PX391=", $J$115), CONCATENATE("PX392=",$J$116), CONCATENATE("DS004=",$B$108), "Fill=B")</f>
        <v>#NAME?</v>
      </c>
      <c r="K148" t="e">
        <f ca="1">_xll.BDP($B$42,$C$42,CONCATENATE("PX391=", $K$115), CONCATENATE("PX392=",$K$116), CONCATENATE("DS004=",$B$108), "Fill=B")</f>
        <v>#NAME?</v>
      </c>
      <c r="L148" t="e">
        <f ca="1">_xll.BDP($B$42,$C$42,CONCATENATE("PX391=", $L$115), CONCATENATE("PX392=",$L$116), CONCATENATE("DS004=",$B$108), "Fill=B")</f>
        <v>#NAME?</v>
      </c>
      <c r="M148" t="e">
        <f ca="1">_xll.BDP($B$42,$C$42,CONCATENATE("PX391=", $M$115), CONCATENATE("PX392=",$M$116), CONCATENATE("DS004=",$B$108), "Fill=B")</f>
        <v>#NAME?</v>
      </c>
      <c r="N148" t="e">
        <f ca="1">_xll.BDP($B$42,$C$42,CONCATENATE("PX391=", $N$115), CONCATENATE("PX392=",$N$116), CONCATENATE("DS004=",$B$108), "Fill=B")</f>
        <v>#NAME?</v>
      </c>
      <c r="O148" t="e">
        <f ca="1">_xll.BDP($B$42,$C$42,CONCATENATE("PX391=", $O$115), CONCATENATE("PX392=",$O$116), CONCATENATE("DS004=",$B$108), "Fill=B")</f>
        <v>#NAME?</v>
      </c>
      <c r="P148" t="e">
        <f ca="1">_xll.BDP($B$42,$C$42,CONCATENATE("PX391=", $P$115), CONCATENATE("PX392=",$P$116), CONCATENATE("DS004=",$B$108), "Fill=B")</f>
        <v>#NAME?</v>
      </c>
      <c r="Q148" t="e">
        <f ca="1">_xll.BDP($B$42,$C$42,CONCATENATE("PX391=", $Q$115), CONCATENATE("PX392=",$Q$116), CONCATENATE("DS004=",$B$108), "Fill=B")</f>
        <v>#NAME?</v>
      </c>
      <c r="R148" t="e">
        <f ca="1">_xll.BDP($B$42,$C$42,CONCATENATE("PX391=", $R$115), CONCATENATE("PX392=",$R$116), CONCATENATE("DS004=",$B$108), "Fill=B")</f>
        <v>#NAME?</v>
      </c>
      <c r="S148" t="e">
        <f ca="1">_xll.BDP($B$42,$C$42,CONCATENATE("PX391=", $S$115), CONCATENATE("PX392=",$S$116), CONCATENATE("DS004=",$B$108), "Fill=B")</f>
        <v>#NAME?</v>
      </c>
      <c r="T148" t="e">
        <f ca="1">_xll.BDP($B$42,$C$42,CONCATENATE("PX391=", $T$115), CONCATENATE("PX392=",$T$116), CONCATENATE("DS004=",$B$108), "Fill=B")</f>
        <v>#NAME?</v>
      </c>
      <c r="U148" t="e">
        <f ca="1">_xll.BDP($B$42,$C$42,CONCATENATE("PX391=", $U$115), CONCATENATE("PX392=",$U$116), CONCATENATE("DS004=",$B$108), "Fill=B")</f>
        <v>#NAME?</v>
      </c>
      <c r="V148" t="e">
        <f ca="1">_xll.BDP($B$42,$C$42,CONCATENATE("PX391=", $V$115), CONCATENATE("PX392=",$V$116), CONCATENATE("DS004=",$B$108), "Fill=B")</f>
        <v>#NAME?</v>
      </c>
      <c r="W148" t="e">
        <f ca="1">_xll.BDP($B$42,$C$42,CONCATENATE("PX391=", $W$115), CONCATENATE("PX392=",$W$116), CONCATENATE("DS004=",$B$108), "Fill=B")</f>
        <v>#NAME?</v>
      </c>
      <c r="X148" t="e">
        <f ca="1">_xll.BDP($B$42,$C$42,CONCATENATE("PX391=", $X$115), CONCATENATE("PX392=",$X$116), CONCATENATE("DS004=",$B$108), "Fill=B")</f>
        <v>#NAME?</v>
      </c>
      <c r="Y148" t="e">
        <f ca="1">_xll.BDP($B$42,$C$42,CONCATENATE("PX391=", $Y$115), CONCATENATE("PX392=",$Y$116), CONCATENATE("DS004=",$B$108), "Fill=B")</f>
        <v>#NAME?</v>
      </c>
      <c r="Z148" t="e">
        <f ca="1">_xll.BDP($B$42,$C$42,CONCATENATE("PX391=", $Z$115), CONCATENATE("PX392=",$Z$116), CONCATENATE("DS004=",$B$108), "Fill=B")</f>
        <v>#NAME?</v>
      </c>
      <c r="AA148" t="e">
        <f ca="1">_xll.BDP($B$42,$C$42,CONCATENATE("PX391=", $AA$115), CONCATENATE("PX392=",$AA$116), CONCATENATE("DS004=",$B$108), "Fill=B")</f>
        <v>#NAME?</v>
      </c>
      <c r="AB148" t="e">
        <f ca="1">_xll.BDP($B$42,$C$42,CONCATENATE("PX391=", $AB$115), CONCATENATE("PX392=",$AB$116), CONCATENATE("DS004=",$B$108), "Fill=B")</f>
        <v>#NAME?</v>
      </c>
      <c r="AC148" t="e">
        <f ca="1">_xll.BDP($B$42,$C$42,CONCATENATE("PX391=", $AC$115), CONCATENATE("PX392=",$AC$116), CONCATENATE("DS004=",$B$108), "Fill=B")</f>
        <v>#NAME?</v>
      </c>
      <c r="AD148" t="e">
        <f ca="1">_xll.BDP($B$42,$C$42,CONCATENATE("PX391=", $AD$115), CONCATENATE("PX392=",$AD$116), CONCATENATE("DS004=",$B$108), "Fill=B")</f>
        <v>#NAME?</v>
      </c>
      <c r="AE148" t="e">
        <f ca="1">_xll.BDP($B$42,$C$42,CONCATENATE("PX391=", $AE$115), CONCATENATE("PX392=",$AE$116), CONCATENATE("DS004=",$B$108), "Fill=B")</f>
        <v>#NAME?</v>
      </c>
      <c r="AF148" t="e">
        <f ca="1">_xll.BDP($B$42,$C$42,CONCATENATE("PX391=", $AF$115), CONCATENATE("PX392=",$AF$116), CONCATENATE("DS004=",$B$108), "Fill=B")</f>
        <v>#NAME?</v>
      </c>
      <c r="AG148" t="e">
        <f ca="1">_xll.BDP($B$42,$C$42,CONCATENATE("PX391=", $AG$115), CONCATENATE("PX392=",$AG$116), CONCATENATE("DS004=",$B$108), "Fill=B")</f>
        <v>#NAME?</v>
      </c>
      <c r="AH148" t="e">
        <f ca="1">_xll.BDP($B$42,$C$42,CONCATENATE("PX391=", $AH$115), CONCATENATE("PX392=",$AH$116), CONCATENATE("DS004=",$B$108), "Fill=B")</f>
        <v>#NAME?</v>
      </c>
      <c r="AI148" t="e">
        <f ca="1">_xll.BDP($B$42,$C$42,CONCATENATE("PX391=", $AI$115), CONCATENATE("PX392=",$AI$116), CONCATENATE("DS004=",$B$108), "Fill=B")</f>
        <v>#NAME?</v>
      </c>
      <c r="AJ148" t="e">
        <f ca="1">_xll.BDP($B$42,$C$42,CONCATENATE("PX391=", $AJ$115), CONCATENATE("PX392=",$AJ$116), CONCATENATE("DS004=",$B$108), "Fill=B")</f>
        <v>#NAME?</v>
      </c>
      <c r="AK148" t="e">
        <f ca="1">_xll.BDP($B$42,$C$42,CONCATENATE("PX391=", $AK$115), CONCATENATE("PX392=",$AK$116), CONCATENATE("DS004=",$B$108), "Fill=B")</f>
        <v>#NAME?</v>
      </c>
      <c r="AL148" t="e">
        <f ca="1">_xll.BDP($B$42,$C$42,CONCATENATE("PX391=", $AL$115), CONCATENATE("PX392=",$AL$116), CONCATENATE("DS004=",$B$108), "Fill=B")</f>
        <v>#NAME?</v>
      </c>
      <c r="AM148" t="e">
        <f ca="1">_xll.BDP($B$42,$C$42,CONCATENATE("PX391=", $AM$115), CONCATENATE("PX392=",$AM$116), CONCATENATE("DS004=",$B$108), "Fill=B")</f>
        <v>#NAME?</v>
      </c>
      <c r="AN148" t="e">
        <f ca="1">_xll.BDP($B$42,$C$42,CONCATENATE("PX391=", $AN$115), CONCATENATE("PX392=",$AN$116), CONCATENATE("DS004=",$B$108), "Fill=B")</f>
        <v>#NAME?</v>
      </c>
      <c r="AO148" t="e">
        <f ca="1">_xll.BDP($B$42,$C$42,CONCATENATE("PX391=", $AO$115), CONCATENATE("PX392=",$AO$116), CONCATENATE("DS004=",$B$108), "Fill=B")</f>
        <v>#NAME?</v>
      </c>
      <c r="AP148" t="e">
        <f ca="1">_xll.BDP($B$42,$C$42,CONCATENATE("PX391=", $AP$115), CONCATENATE("PX392=",$AP$116), CONCATENATE("DS004=",$B$108), "Fill=B")</f>
        <v>#NAME?</v>
      </c>
      <c r="AQ148" t="e">
        <f ca="1">_xll.BDP($B$42,$C$42,CONCATENATE("PX391=", $AQ$115), CONCATENATE("PX392=",$AQ$116), CONCATENATE("DS004=",$B$108), "Fill=B")</f>
        <v>#NAME?</v>
      </c>
      <c r="AR148" t="e">
        <f ca="1">_xll.BDP($B$42,$C$42,CONCATENATE("PX391=", $AR$115), CONCATENATE("PX392=",$AR$116), CONCATENATE("DS004=",$B$108), "Fill=B")</f>
        <v>#NAME?</v>
      </c>
      <c r="AS148" t="e">
        <f ca="1">_xll.BDP($B$42,$C$42,CONCATENATE("PX391=", $AS$115), CONCATENATE("PX392=",$AS$116), CONCATENATE("DS004=",$B$108), "Fill=B")</f>
        <v>#NAME?</v>
      </c>
      <c r="AT148" t="str">
        <f>""</f>
        <v/>
      </c>
      <c r="AU148" t="str">
        <f>""</f>
        <v/>
      </c>
      <c r="AV148" t="str">
        <f>""</f>
        <v/>
      </c>
      <c r="AW148" t="str">
        <f>""</f>
        <v/>
      </c>
      <c r="AX148" t="str">
        <f>""</f>
        <v/>
      </c>
      <c r="AY148" t="str">
        <f>""</f>
        <v/>
      </c>
      <c r="AZ148" t="str">
        <f>""</f>
        <v/>
      </c>
      <c r="BA148" t="str">
        <f>""</f>
        <v/>
      </c>
      <c r="BB148" t="str">
        <f>""</f>
        <v/>
      </c>
      <c r="BC148" t="str">
        <f>""</f>
        <v/>
      </c>
      <c r="BD148" t="str">
        <f>""</f>
        <v/>
      </c>
      <c r="BE148" t="str">
        <f>""</f>
        <v/>
      </c>
      <c r="BF148" t="str">
        <f>""</f>
        <v/>
      </c>
      <c r="BG148" t="str">
        <f>""</f>
        <v/>
      </c>
      <c r="BH148" t="str">
        <f>""</f>
        <v/>
      </c>
      <c r="BI148" t="str">
        <f>""</f>
        <v/>
      </c>
      <c r="BJ148" t="str">
        <f>""</f>
        <v/>
      </c>
      <c r="BK148" t="str">
        <f>""</f>
        <v/>
      </c>
      <c r="BL148" t="str">
        <f>""</f>
        <v/>
      </c>
      <c r="BM148" t="str">
        <f>""</f>
        <v/>
      </c>
      <c r="BN148" t="str">
        <f>""</f>
        <v/>
      </c>
      <c r="BO148" t="str">
        <f>""</f>
        <v/>
      </c>
      <c r="BP148" t="str">
        <f>""</f>
        <v/>
      </c>
      <c r="BQ148" t="str">
        <f>""</f>
        <v/>
      </c>
      <c r="BR148" t="str">
        <f>""</f>
        <v/>
      </c>
      <c r="BS148" t="str">
        <f>""</f>
        <v/>
      </c>
      <c r="BT148" t="str">
        <f>""</f>
        <v/>
      </c>
      <c r="BU148" t="str">
        <f>""</f>
        <v/>
      </c>
      <c r="BV148" t="str">
        <f>""</f>
        <v/>
      </c>
      <c r="BW148" t="str">
        <f>""</f>
        <v/>
      </c>
      <c r="BX148" t="str">
        <f>""</f>
        <v/>
      </c>
      <c r="BY148" t="str">
        <f>""</f>
        <v/>
      </c>
      <c r="BZ148" t="str">
        <f>""</f>
        <v/>
      </c>
      <c r="CA148" t="str">
        <f>""</f>
        <v/>
      </c>
      <c r="CB148" t="str">
        <f>""</f>
        <v/>
      </c>
      <c r="CC148" t="str">
        <f>""</f>
        <v/>
      </c>
      <c r="CD148" t="str">
        <f>""</f>
        <v/>
      </c>
      <c r="CE148" t="str">
        <f>""</f>
        <v/>
      </c>
      <c r="CF148" t="str">
        <f>""</f>
        <v/>
      </c>
      <c r="CG148" t="str">
        <f>""</f>
        <v/>
      </c>
    </row>
    <row r="149" spans="1:85" x14ac:dyDescent="0.2">
      <c r="A149" t="str">
        <f>$A$43</f>
        <v xml:space="preserve">        Fed. Education Facilit. Construction (Mn USD)</v>
      </c>
      <c r="B149" t="str">
        <f>$B$43</f>
        <v>FED1EDUC Index</v>
      </c>
      <c r="C149" t="str">
        <f>$C$43</f>
        <v>PX385</v>
      </c>
      <c r="D149" t="str">
        <f>$D$43</f>
        <v>INTERVAL_SUM</v>
      </c>
      <c r="E149" t="str">
        <f>$E$43</f>
        <v>Dynamic</v>
      </c>
      <c r="F149" t="e">
        <f ca="1">_xll.BDP($B$43,$C$43,CONCATENATE("PX391=", $F$115), CONCATENATE("PX392=",$F$116), CONCATENATE("DS004=",$B$108), "Fill=B")</f>
        <v>#NAME?</v>
      </c>
      <c r="G149" t="e">
        <f ca="1">_xll.BDP($B$43,$C$43,CONCATENATE("PX391=", $G$115), CONCATENATE("PX392=",$G$116), CONCATENATE("DS004=",$B$108), "Fill=B")</f>
        <v>#NAME?</v>
      </c>
      <c r="H149" t="e">
        <f ca="1">_xll.BDP($B$43,$C$43,CONCATENATE("PX391=", $H$115), CONCATENATE("PX392=",$H$116), CONCATENATE("DS004=",$B$108), "Fill=B")</f>
        <v>#NAME?</v>
      </c>
      <c r="I149" t="e">
        <f ca="1">_xll.BDP($B$43,$C$43,CONCATENATE("PX391=", $I$115), CONCATENATE("PX392=",$I$116), CONCATENATE("DS004=",$B$108), "Fill=B")</f>
        <v>#NAME?</v>
      </c>
      <c r="J149" t="e">
        <f ca="1">_xll.BDP($B$43,$C$43,CONCATENATE("PX391=", $J$115), CONCATENATE("PX392=",$J$116), CONCATENATE("DS004=",$B$108), "Fill=B")</f>
        <v>#NAME?</v>
      </c>
      <c r="K149" t="e">
        <f ca="1">_xll.BDP($B$43,$C$43,CONCATENATE("PX391=", $K$115), CONCATENATE("PX392=",$K$116), CONCATENATE("DS004=",$B$108), "Fill=B")</f>
        <v>#NAME?</v>
      </c>
      <c r="L149" t="e">
        <f ca="1">_xll.BDP($B$43,$C$43,CONCATENATE("PX391=", $L$115), CONCATENATE("PX392=",$L$116), CONCATENATE("DS004=",$B$108), "Fill=B")</f>
        <v>#NAME?</v>
      </c>
      <c r="M149" t="e">
        <f ca="1">_xll.BDP($B$43,$C$43,CONCATENATE("PX391=", $M$115), CONCATENATE("PX392=",$M$116), CONCATENATE("DS004=",$B$108), "Fill=B")</f>
        <v>#NAME?</v>
      </c>
      <c r="N149" t="e">
        <f ca="1">_xll.BDP($B$43,$C$43,CONCATENATE("PX391=", $N$115), CONCATENATE("PX392=",$N$116), CONCATENATE("DS004=",$B$108), "Fill=B")</f>
        <v>#NAME?</v>
      </c>
      <c r="O149" t="e">
        <f ca="1">_xll.BDP($B$43,$C$43,CONCATENATE("PX391=", $O$115), CONCATENATE("PX392=",$O$116), CONCATENATE("DS004=",$B$108), "Fill=B")</f>
        <v>#NAME?</v>
      </c>
      <c r="P149" t="e">
        <f ca="1">_xll.BDP($B$43,$C$43,CONCATENATE("PX391=", $P$115), CONCATENATE("PX392=",$P$116), CONCATENATE("DS004=",$B$108), "Fill=B")</f>
        <v>#NAME?</v>
      </c>
      <c r="Q149" t="e">
        <f ca="1">_xll.BDP($B$43,$C$43,CONCATENATE("PX391=", $Q$115), CONCATENATE("PX392=",$Q$116), CONCATENATE("DS004=",$B$108), "Fill=B")</f>
        <v>#NAME?</v>
      </c>
      <c r="R149" t="e">
        <f ca="1">_xll.BDP($B$43,$C$43,CONCATENATE("PX391=", $R$115), CONCATENATE("PX392=",$R$116), CONCATENATE("DS004=",$B$108), "Fill=B")</f>
        <v>#NAME?</v>
      </c>
      <c r="S149" t="e">
        <f ca="1">_xll.BDP($B$43,$C$43,CONCATENATE("PX391=", $S$115), CONCATENATE("PX392=",$S$116), CONCATENATE("DS004=",$B$108), "Fill=B")</f>
        <v>#NAME?</v>
      </c>
      <c r="T149" t="e">
        <f ca="1">_xll.BDP($B$43,$C$43,CONCATENATE("PX391=", $T$115), CONCATENATE("PX392=",$T$116), CONCATENATE("DS004=",$B$108), "Fill=B")</f>
        <v>#NAME?</v>
      </c>
      <c r="U149" t="e">
        <f ca="1">_xll.BDP($B$43,$C$43,CONCATENATE("PX391=", $U$115), CONCATENATE("PX392=",$U$116), CONCATENATE("DS004=",$B$108), "Fill=B")</f>
        <v>#NAME?</v>
      </c>
      <c r="V149" t="e">
        <f ca="1">_xll.BDP($B$43,$C$43,CONCATENATE("PX391=", $V$115), CONCATENATE("PX392=",$V$116), CONCATENATE("DS004=",$B$108), "Fill=B")</f>
        <v>#NAME?</v>
      </c>
      <c r="W149" t="e">
        <f ca="1">_xll.BDP($B$43,$C$43,CONCATENATE("PX391=", $W$115), CONCATENATE("PX392=",$W$116), CONCATENATE("DS004=",$B$108), "Fill=B")</f>
        <v>#NAME?</v>
      </c>
      <c r="X149" t="e">
        <f ca="1">_xll.BDP($B$43,$C$43,CONCATENATE("PX391=", $X$115), CONCATENATE("PX392=",$X$116), CONCATENATE("DS004=",$B$108), "Fill=B")</f>
        <v>#NAME?</v>
      </c>
      <c r="Y149" t="e">
        <f ca="1">_xll.BDP($B$43,$C$43,CONCATENATE("PX391=", $Y$115), CONCATENATE("PX392=",$Y$116), CONCATENATE("DS004=",$B$108), "Fill=B")</f>
        <v>#NAME?</v>
      </c>
      <c r="Z149" t="e">
        <f ca="1">_xll.BDP($B$43,$C$43,CONCATENATE("PX391=", $Z$115), CONCATENATE("PX392=",$Z$116), CONCATENATE("DS004=",$B$108), "Fill=B")</f>
        <v>#NAME?</v>
      </c>
      <c r="AA149" t="e">
        <f ca="1">_xll.BDP($B$43,$C$43,CONCATENATE("PX391=", $AA$115), CONCATENATE("PX392=",$AA$116), CONCATENATE("DS004=",$B$108), "Fill=B")</f>
        <v>#NAME?</v>
      </c>
      <c r="AB149" t="e">
        <f ca="1">_xll.BDP($B$43,$C$43,CONCATENATE("PX391=", $AB$115), CONCATENATE("PX392=",$AB$116), CONCATENATE("DS004=",$B$108), "Fill=B")</f>
        <v>#NAME?</v>
      </c>
      <c r="AC149" t="e">
        <f ca="1">_xll.BDP($B$43,$C$43,CONCATENATE("PX391=", $AC$115), CONCATENATE("PX392=",$AC$116), CONCATENATE("DS004=",$B$108), "Fill=B")</f>
        <v>#NAME?</v>
      </c>
      <c r="AD149" t="e">
        <f ca="1">_xll.BDP($B$43,$C$43,CONCATENATE("PX391=", $AD$115), CONCATENATE("PX392=",$AD$116), CONCATENATE("DS004=",$B$108), "Fill=B")</f>
        <v>#NAME?</v>
      </c>
      <c r="AE149" t="e">
        <f ca="1">_xll.BDP($B$43,$C$43,CONCATENATE("PX391=", $AE$115), CONCATENATE("PX392=",$AE$116), CONCATENATE("DS004=",$B$108), "Fill=B")</f>
        <v>#NAME?</v>
      </c>
      <c r="AF149" t="e">
        <f ca="1">_xll.BDP($B$43,$C$43,CONCATENATE("PX391=", $AF$115), CONCATENATE("PX392=",$AF$116), CONCATENATE("DS004=",$B$108), "Fill=B")</f>
        <v>#NAME?</v>
      </c>
      <c r="AG149" t="e">
        <f ca="1">_xll.BDP($B$43,$C$43,CONCATENATE("PX391=", $AG$115), CONCATENATE("PX392=",$AG$116), CONCATENATE("DS004=",$B$108), "Fill=B")</f>
        <v>#NAME?</v>
      </c>
      <c r="AH149" t="e">
        <f ca="1">_xll.BDP($B$43,$C$43,CONCATENATE("PX391=", $AH$115), CONCATENATE("PX392=",$AH$116), CONCATENATE("DS004=",$B$108), "Fill=B")</f>
        <v>#NAME?</v>
      </c>
      <c r="AI149" t="e">
        <f ca="1">_xll.BDP($B$43,$C$43,CONCATENATE("PX391=", $AI$115), CONCATENATE("PX392=",$AI$116), CONCATENATE("DS004=",$B$108), "Fill=B")</f>
        <v>#NAME?</v>
      </c>
      <c r="AJ149" t="e">
        <f ca="1">_xll.BDP($B$43,$C$43,CONCATENATE("PX391=", $AJ$115), CONCATENATE("PX392=",$AJ$116), CONCATENATE("DS004=",$B$108), "Fill=B")</f>
        <v>#NAME?</v>
      </c>
      <c r="AK149" t="e">
        <f ca="1">_xll.BDP($B$43,$C$43,CONCATENATE("PX391=", $AK$115), CONCATENATE("PX392=",$AK$116), CONCATENATE("DS004=",$B$108), "Fill=B")</f>
        <v>#NAME?</v>
      </c>
      <c r="AL149" t="e">
        <f ca="1">_xll.BDP($B$43,$C$43,CONCATENATE("PX391=", $AL$115), CONCATENATE("PX392=",$AL$116), CONCATENATE("DS004=",$B$108), "Fill=B")</f>
        <v>#NAME?</v>
      </c>
      <c r="AM149" t="e">
        <f ca="1">_xll.BDP($B$43,$C$43,CONCATENATE("PX391=", $AM$115), CONCATENATE("PX392=",$AM$116), CONCATENATE("DS004=",$B$108), "Fill=B")</f>
        <v>#NAME?</v>
      </c>
      <c r="AN149" t="e">
        <f ca="1">_xll.BDP($B$43,$C$43,CONCATENATE("PX391=", $AN$115), CONCATENATE("PX392=",$AN$116), CONCATENATE("DS004=",$B$108), "Fill=B")</f>
        <v>#NAME?</v>
      </c>
      <c r="AO149" t="e">
        <f ca="1">_xll.BDP($B$43,$C$43,CONCATENATE("PX391=", $AO$115), CONCATENATE("PX392=",$AO$116), CONCATENATE("DS004=",$B$108), "Fill=B")</f>
        <v>#NAME?</v>
      </c>
      <c r="AP149" t="e">
        <f ca="1">_xll.BDP($B$43,$C$43,CONCATENATE("PX391=", $AP$115), CONCATENATE("PX392=",$AP$116), CONCATENATE("DS004=",$B$108), "Fill=B")</f>
        <v>#NAME?</v>
      </c>
      <c r="AQ149" t="e">
        <f ca="1">_xll.BDP($B$43,$C$43,CONCATENATE("PX391=", $AQ$115), CONCATENATE("PX392=",$AQ$116), CONCATENATE("DS004=",$B$108), "Fill=B")</f>
        <v>#NAME?</v>
      </c>
      <c r="AR149" t="e">
        <f ca="1">_xll.BDP($B$43,$C$43,CONCATENATE("PX391=", $AR$115), CONCATENATE("PX392=",$AR$116), CONCATENATE("DS004=",$B$108), "Fill=B")</f>
        <v>#NAME?</v>
      </c>
      <c r="AS149" t="e">
        <f ca="1">_xll.BDP($B$43,$C$43,CONCATENATE("PX391=", $AS$115), CONCATENATE("PX392=",$AS$116), CONCATENATE("DS004=",$B$108), "Fill=B")</f>
        <v>#NAME?</v>
      </c>
      <c r="AT149" t="str">
        <f>""</f>
        <v/>
      </c>
      <c r="AU149" t="str">
        <f>""</f>
        <v/>
      </c>
      <c r="AV149" t="str">
        <f>""</f>
        <v/>
      </c>
      <c r="AW149" t="str">
        <f>""</f>
        <v/>
      </c>
      <c r="AX149" t="str">
        <f>""</f>
        <v/>
      </c>
      <c r="AY149" t="str">
        <f>""</f>
        <v/>
      </c>
      <c r="AZ149" t="str">
        <f>""</f>
        <v/>
      </c>
      <c r="BA149" t="str">
        <f>""</f>
        <v/>
      </c>
      <c r="BB149" t="str">
        <f>""</f>
        <v/>
      </c>
      <c r="BC149" t="str">
        <f>""</f>
        <v/>
      </c>
      <c r="BD149" t="str">
        <f>""</f>
        <v/>
      </c>
      <c r="BE149" t="str">
        <f>""</f>
        <v/>
      </c>
      <c r="BF149" t="str">
        <f>""</f>
        <v/>
      </c>
      <c r="BG149" t="str">
        <f>""</f>
        <v/>
      </c>
      <c r="BH149" t="str">
        <f>""</f>
        <v/>
      </c>
      <c r="BI149" t="str">
        <f>""</f>
        <v/>
      </c>
      <c r="BJ149" t="str">
        <f>""</f>
        <v/>
      </c>
      <c r="BK149" t="str">
        <f>""</f>
        <v/>
      </c>
      <c r="BL149" t="str">
        <f>""</f>
        <v/>
      </c>
      <c r="BM149" t="str">
        <f>""</f>
        <v/>
      </c>
      <c r="BN149" t="str">
        <f>""</f>
        <v/>
      </c>
      <c r="BO149" t="str">
        <f>""</f>
        <v/>
      </c>
      <c r="BP149" t="str">
        <f>""</f>
        <v/>
      </c>
      <c r="BQ149" t="str">
        <f>""</f>
        <v/>
      </c>
      <c r="BR149" t="str">
        <f>""</f>
        <v/>
      </c>
      <c r="BS149" t="str">
        <f>""</f>
        <v/>
      </c>
      <c r="BT149" t="str">
        <f>""</f>
        <v/>
      </c>
      <c r="BU149" t="str">
        <f>""</f>
        <v/>
      </c>
      <c r="BV149" t="str">
        <f>""</f>
        <v/>
      </c>
      <c r="BW149" t="str">
        <f>""</f>
        <v/>
      </c>
      <c r="BX149" t="str">
        <f>""</f>
        <v/>
      </c>
      <c r="BY149" t="str">
        <f>""</f>
        <v/>
      </c>
      <c r="BZ149" t="str">
        <f>""</f>
        <v/>
      </c>
      <c r="CA149" t="str">
        <f>""</f>
        <v/>
      </c>
      <c r="CB149" t="str">
        <f>""</f>
        <v/>
      </c>
      <c r="CC149" t="str">
        <f>""</f>
        <v/>
      </c>
      <c r="CD149" t="str">
        <f>""</f>
        <v/>
      </c>
      <c r="CE149" t="str">
        <f>""</f>
        <v/>
      </c>
      <c r="CF149" t="str">
        <f>""</f>
        <v/>
      </c>
      <c r="CG149" t="str">
        <f>""</f>
        <v/>
      </c>
    </row>
    <row r="150" spans="1:85" x14ac:dyDescent="0.2">
      <c r="A150" t="str">
        <f>$A$44</f>
        <v xml:space="preserve">        Fed. Conservation &amp; Development Construction (Mn USD)</v>
      </c>
      <c r="B150" t="str">
        <f>$B$44</f>
        <v>FED1CONS Index</v>
      </c>
      <c r="C150" t="str">
        <f>$C$44</f>
        <v>PX385</v>
      </c>
      <c r="D150" t="str">
        <f>$D$44</f>
        <v>INTERVAL_SUM</v>
      </c>
      <c r="E150" t="str">
        <f>$E$44</f>
        <v>Dynamic</v>
      </c>
      <c r="F150" t="e">
        <f ca="1">_xll.BDP($B$44,$C$44,CONCATENATE("PX391=", $F$115), CONCATENATE("PX392=",$F$116), CONCATENATE("DS004=",$B$108), "Fill=B")</f>
        <v>#NAME?</v>
      </c>
      <c r="G150" t="e">
        <f ca="1">_xll.BDP($B$44,$C$44,CONCATENATE("PX391=", $G$115), CONCATENATE("PX392=",$G$116), CONCATENATE("DS004=",$B$108), "Fill=B")</f>
        <v>#NAME?</v>
      </c>
      <c r="H150" t="e">
        <f ca="1">_xll.BDP($B$44,$C$44,CONCATENATE("PX391=", $H$115), CONCATENATE("PX392=",$H$116), CONCATENATE("DS004=",$B$108), "Fill=B")</f>
        <v>#NAME?</v>
      </c>
      <c r="I150" t="e">
        <f ca="1">_xll.BDP($B$44,$C$44,CONCATENATE("PX391=", $I$115), CONCATENATE("PX392=",$I$116), CONCATENATE("DS004=",$B$108), "Fill=B")</f>
        <v>#NAME?</v>
      </c>
      <c r="J150" t="e">
        <f ca="1">_xll.BDP($B$44,$C$44,CONCATENATE("PX391=", $J$115), CONCATENATE("PX392=",$J$116), CONCATENATE("DS004=",$B$108), "Fill=B")</f>
        <v>#NAME?</v>
      </c>
      <c r="K150" t="e">
        <f ca="1">_xll.BDP($B$44,$C$44,CONCATENATE("PX391=", $K$115), CONCATENATE("PX392=",$K$116), CONCATENATE("DS004=",$B$108), "Fill=B")</f>
        <v>#NAME?</v>
      </c>
      <c r="L150" t="e">
        <f ca="1">_xll.BDP($B$44,$C$44,CONCATENATE("PX391=", $L$115), CONCATENATE("PX392=",$L$116), CONCATENATE("DS004=",$B$108), "Fill=B")</f>
        <v>#NAME?</v>
      </c>
      <c r="M150" t="e">
        <f ca="1">_xll.BDP($B$44,$C$44,CONCATENATE("PX391=", $M$115), CONCATENATE("PX392=",$M$116), CONCATENATE("DS004=",$B$108), "Fill=B")</f>
        <v>#NAME?</v>
      </c>
      <c r="N150" t="e">
        <f ca="1">_xll.BDP($B$44,$C$44,CONCATENATE("PX391=", $N$115), CONCATENATE("PX392=",$N$116), CONCATENATE("DS004=",$B$108), "Fill=B")</f>
        <v>#NAME?</v>
      </c>
      <c r="O150" t="e">
        <f ca="1">_xll.BDP($B$44,$C$44,CONCATENATE("PX391=", $O$115), CONCATENATE("PX392=",$O$116), CONCATENATE("DS004=",$B$108), "Fill=B")</f>
        <v>#NAME?</v>
      </c>
      <c r="P150" t="e">
        <f ca="1">_xll.BDP($B$44,$C$44,CONCATENATE("PX391=", $P$115), CONCATENATE("PX392=",$P$116), CONCATENATE("DS004=",$B$108), "Fill=B")</f>
        <v>#NAME?</v>
      </c>
      <c r="Q150" t="e">
        <f ca="1">_xll.BDP($B$44,$C$44,CONCATENATE("PX391=", $Q$115), CONCATENATE("PX392=",$Q$116), CONCATENATE("DS004=",$B$108), "Fill=B")</f>
        <v>#NAME?</v>
      </c>
      <c r="R150" t="e">
        <f ca="1">_xll.BDP($B$44,$C$44,CONCATENATE("PX391=", $R$115), CONCATENATE("PX392=",$R$116), CONCATENATE("DS004=",$B$108), "Fill=B")</f>
        <v>#NAME?</v>
      </c>
      <c r="S150" t="e">
        <f ca="1">_xll.BDP($B$44,$C$44,CONCATENATE("PX391=", $S$115), CONCATENATE("PX392=",$S$116), CONCATENATE("DS004=",$B$108), "Fill=B")</f>
        <v>#NAME?</v>
      </c>
      <c r="T150" t="e">
        <f ca="1">_xll.BDP($B$44,$C$44,CONCATENATE("PX391=", $T$115), CONCATENATE("PX392=",$T$116), CONCATENATE("DS004=",$B$108), "Fill=B")</f>
        <v>#NAME?</v>
      </c>
      <c r="U150" t="e">
        <f ca="1">_xll.BDP($B$44,$C$44,CONCATENATE("PX391=", $U$115), CONCATENATE("PX392=",$U$116), CONCATENATE("DS004=",$B$108), "Fill=B")</f>
        <v>#NAME?</v>
      </c>
      <c r="V150" t="e">
        <f ca="1">_xll.BDP($B$44,$C$44,CONCATENATE("PX391=", $V$115), CONCATENATE("PX392=",$V$116), CONCATENATE("DS004=",$B$108), "Fill=B")</f>
        <v>#NAME?</v>
      </c>
      <c r="W150" t="e">
        <f ca="1">_xll.BDP($B$44,$C$44,CONCATENATE("PX391=", $W$115), CONCATENATE("PX392=",$W$116), CONCATENATE("DS004=",$B$108), "Fill=B")</f>
        <v>#NAME?</v>
      </c>
      <c r="X150" t="e">
        <f ca="1">_xll.BDP($B$44,$C$44,CONCATENATE("PX391=", $X$115), CONCATENATE("PX392=",$X$116), CONCATENATE("DS004=",$B$108), "Fill=B")</f>
        <v>#NAME?</v>
      </c>
      <c r="Y150" t="e">
        <f ca="1">_xll.BDP($B$44,$C$44,CONCATENATE("PX391=", $Y$115), CONCATENATE("PX392=",$Y$116), CONCATENATE("DS004=",$B$108), "Fill=B")</f>
        <v>#NAME?</v>
      </c>
      <c r="Z150" t="e">
        <f ca="1">_xll.BDP($B$44,$C$44,CONCATENATE("PX391=", $Z$115), CONCATENATE("PX392=",$Z$116), CONCATENATE("DS004=",$B$108), "Fill=B")</f>
        <v>#NAME?</v>
      </c>
      <c r="AA150" t="e">
        <f ca="1">_xll.BDP($B$44,$C$44,CONCATENATE("PX391=", $AA$115), CONCATENATE("PX392=",$AA$116), CONCATENATE("DS004=",$B$108), "Fill=B")</f>
        <v>#NAME?</v>
      </c>
      <c r="AB150" t="e">
        <f ca="1">_xll.BDP($B$44,$C$44,CONCATENATE("PX391=", $AB$115), CONCATENATE("PX392=",$AB$116), CONCATENATE("DS004=",$B$108), "Fill=B")</f>
        <v>#NAME?</v>
      </c>
      <c r="AC150" t="e">
        <f ca="1">_xll.BDP($B$44,$C$44,CONCATENATE("PX391=", $AC$115), CONCATENATE("PX392=",$AC$116), CONCATENATE("DS004=",$B$108), "Fill=B")</f>
        <v>#NAME?</v>
      </c>
      <c r="AD150" t="e">
        <f ca="1">_xll.BDP($B$44,$C$44,CONCATENATE("PX391=", $AD$115), CONCATENATE("PX392=",$AD$116), CONCATENATE("DS004=",$B$108), "Fill=B")</f>
        <v>#NAME?</v>
      </c>
      <c r="AE150" t="e">
        <f ca="1">_xll.BDP($B$44,$C$44,CONCATENATE("PX391=", $AE$115), CONCATENATE("PX392=",$AE$116), CONCATENATE("DS004=",$B$108), "Fill=B")</f>
        <v>#NAME?</v>
      </c>
      <c r="AF150" t="e">
        <f ca="1">_xll.BDP($B$44,$C$44,CONCATENATE("PX391=", $AF$115), CONCATENATE("PX392=",$AF$116), CONCATENATE("DS004=",$B$108), "Fill=B")</f>
        <v>#NAME?</v>
      </c>
      <c r="AG150" t="e">
        <f ca="1">_xll.BDP($B$44,$C$44,CONCATENATE("PX391=", $AG$115), CONCATENATE("PX392=",$AG$116), CONCATENATE("DS004=",$B$108), "Fill=B")</f>
        <v>#NAME?</v>
      </c>
      <c r="AH150" t="e">
        <f ca="1">_xll.BDP($B$44,$C$44,CONCATENATE("PX391=", $AH$115), CONCATENATE("PX392=",$AH$116), CONCATENATE("DS004=",$B$108), "Fill=B")</f>
        <v>#NAME?</v>
      </c>
      <c r="AI150" t="e">
        <f ca="1">_xll.BDP($B$44,$C$44,CONCATENATE("PX391=", $AI$115), CONCATENATE("PX392=",$AI$116), CONCATENATE("DS004=",$B$108), "Fill=B")</f>
        <v>#NAME?</v>
      </c>
      <c r="AJ150" t="e">
        <f ca="1">_xll.BDP($B$44,$C$44,CONCATENATE("PX391=", $AJ$115), CONCATENATE("PX392=",$AJ$116), CONCATENATE("DS004=",$B$108), "Fill=B")</f>
        <v>#NAME?</v>
      </c>
      <c r="AK150" t="e">
        <f ca="1">_xll.BDP($B$44,$C$44,CONCATENATE("PX391=", $AK$115), CONCATENATE("PX392=",$AK$116), CONCATENATE("DS004=",$B$108), "Fill=B")</f>
        <v>#NAME?</v>
      </c>
      <c r="AL150" t="e">
        <f ca="1">_xll.BDP($B$44,$C$44,CONCATENATE("PX391=", $AL$115), CONCATENATE("PX392=",$AL$116), CONCATENATE("DS004=",$B$108), "Fill=B")</f>
        <v>#NAME?</v>
      </c>
      <c r="AM150" t="e">
        <f ca="1">_xll.BDP($B$44,$C$44,CONCATENATE("PX391=", $AM$115), CONCATENATE("PX392=",$AM$116), CONCATENATE("DS004=",$B$108), "Fill=B")</f>
        <v>#NAME?</v>
      </c>
      <c r="AN150" t="e">
        <f ca="1">_xll.BDP($B$44,$C$44,CONCATENATE("PX391=", $AN$115), CONCATENATE("PX392=",$AN$116), CONCATENATE("DS004=",$B$108), "Fill=B")</f>
        <v>#NAME?</v>
      </c>
      <c r="AO150" t="e">
        <f ca="1">_xll.BDP($B$44,$C$44,CONCATENATE("PX391=", $AO$115), CONCATENATE("PX392=",$AO$116), CONCATENATE("DS004=",$B$108), "Fill=B")</f>
        <v>#NAME?</v>
      </c>
      <c r="AP150" t="e">
        <f ca="1">_xll.BDP($B$44,$C$44,CONCATENATE("PX391=", $AP$115), CONCATENATE("PX392=",$AP$116), CONCATENATE("DS004=",$B$108), "Fill=B")</f>
        <v>#NAME?</v>
      </c>
      <c r="AQ150" t="e">
        <f ca="1">_xll.BDP($B$44,$C$44,CONCATENATE("PX391=", $AQ$115), CONCATENATE("PX392=",$AQ$116), CONCATENATE("DS004=",$B$108), "Fill=B")</f>
        <v>#NAME?</v>
      </c>
      <c r="AR150" t="e">
        <f ca="1">_xll.BDP($B$44,$C$44,CONCATENATE("PX391=", $AR$115), CONCATENATE("PX392=",$AR$116), CONCATENATE("DS004=",$B$108), "Fill=B")</f>
        <v>#NAME?</v>
      </c>
      <c r="AS150" t="e">
        <f ca="1">_xll.BDP($B$44,$C$44,CONCATENATE("PX391=", $AS$115), CONCATENATE("PX392=",$AS$116), CONCATENATE("DS004=",$B$108), "Fill=B")</f>
        <v>#NAME?</v>
      </c>
      <c r="AT150" t="str">
        <f>""</f>
        <v/>
      </c>
      <c r="AU150" t="str">
        <f>""</f>
        <v/>
      </c>
      <c r="AV150" t="str">
        <f>""</f>
        <v/>
      </c>
      <c r="AW150" t="str">
        <f>""</f>
        <v/>
      </c>
      <c r="AX150" t="str">
        <f>""</f>
        <v/>
      </c>
      <c r="AY150" t="str">
        <f>""</f>
        <v/>
      </c>
      <c r="AZ150" t="str">
        <f>""</f>
        <v/>
      </c>
      <c r="BA150" t="str">
        <f>""</f>
        <v/>
      </c>
      <c r="BB150" t="str">
        <f>""</f>
        <v/>
      </c>
      <c r="BC150" t="str">
        <f>""</f>
        <v/>
      </c>
      <c r="BD150" t="str">
        <f>""</f>
        <v/>
      </c>
      <c r="BE150" t="str">
        <f>""</f>
        <v/>
      </c>
      <c r="BF150" t="str">
        <f>""</f>
        <v/>
      </c>
      <c r="BG150" t="str">
        <f>""</f>
        <v/>
      </c>
      <c r="BH150" t="str">
        <f>""</f>
        <v/>
      </c>
      <c r="BI150" t="str">
        <f>""</f>
        <v/>
      </c>
      <c r="BJ150" t="str">
        <f>""</f>
        <v/>
      </c>
      <c r="BK150" t="str">
        <f>""</f>
        <v/>
      </c>
      <c r="BL150" t="str">
        <f>""</f>
        <v/>
      </c>
      <c r="BM150" t="str">
        <f>""</f>
        <v/>
      </c>
      <c r="BN150" t="str">
        <f>""</f>
        <v/>
      </c>
      <c r="BO150" t="str">
        <f>""</f>
        <v/>
      </c>
      <c r="BP150" t="str">
        <f>""</f>
        <v/>
      </c>
      <c r="BQ150" t="str">
        <f>""</f>
        <v/>
      </c>
      <c r="BR150" t="str">
        <f>""</f>
        <v/>
      </c>
      <c r="BS150" t="str">
        <f>""</f>
        <v/>
      </c>
      <c r="BT150" t="str">
        <f>""</f>
        <v/>
      </c>
      <c r="BU150" t="str">
        <f>""</f>
        <v/>
      </c>
      <c r="BV150" t="str">
        <f>""</f>
        <v/>
      </c>
      <c r="BW150" t="str">
        <f>""</f>
        <v/>
      </c>
      <c r="BX150" t="str">
        <f>""</f>
        <v/>
      </c>
      <c r="BY150" t="str">
        <f>""</f>
        <v/>
      </c>
      <c r="BZ150" t="str">
        <f>""</f>
        <v/>
      </c>
      <c r="CA150" t="str">
        <f>""</f>
        <v/>
      </c>
      <c r="CB150" t="str">
        <f>""</f>
        <v/>
      </c>
      <c r="CC150" t="str">
        <f>""</f>
        <v/>
      </c>
      <c r="CD150" t="str">
        <f>""</f>
        <v/>
      </c>
      <c r="CE150" t="str">
        <f>""</f>
        <v/>
      </c>
      <c r="CF150" t="str">
        <f>""</f>
        <v/>
      </c>
      <c r="CG150" t="str">
        <f>""</f>
        <v/>
      </c>
    </row>
    <row r="151" spans="1:85" x14ac:dyDescent="0.2">
      <c r="A151" t="str">
        <f>$A$45</f>
        <v xml:space="preserve">        Fed. Public Safety Construction (Mn USD)</v>
      </c>
      <c r="B151" t="str">
        <f>$B$45</f>
        <v>FED1PSAF Index</v>
      </c>
      <c r="C151" t="str">
        <f>$C$45</f>
        <v>PX385</v>
      </c>
      <c r="D151" t="str">
        <f>$D$45</f>
        <v>INTERVAL_SUM</v>
      </c>
      <c r="E151" t="str">
        <f>$E$45</f>
        <v>Dynamic</v>
      </c>
      <c r="F151" t="e">
        <f ca="1">_xll.BDP($B$45,$C$45,CONCATENATE("PX391=", $F$115), CONCATENATE("PX392=",$F$116), CONCATENATE("DS004=",$B$108), "Fill=B")</f>
        <v>#NAME?</v>
      </c>
      <c r="G151" t="e">
        <f ca="1">_xll.BDP($B$45,$C$45,CONCATENATE("PX391=", $G$115), CONCATENATE("PX392=",$G$116), CONCATENATE("DS004=",$B$108), "Fill=B")</f>
        <v>#NAME?</v>
      </c>
      <c r="H151" t="e">
        <f ca="1">_xll.BDP($B$45,$C$45,CONCATENATE("PX391=", $H$115), CONCATENATE("PX392=",$H$116), CONCATENATE("DS004=",$B$108), "Fill=B")</f>
        <v>#NAME?</v>
      </c>
      <c r="I151" t="e">
        <f ca="1">_xll.BDP($B$45,$C$45,CONCATENATE("PX391=", $I$115), CONCATENATE("PX392=",$I$116), CONCATENATE("DS004=",$B$108), "Fill=B")</f>
        <v>#NAME?</v>
      </c>
      <c r="J151" t="e">
        <f ca="1">_xll.BDP($B$45,$C$45,CONCATENATE("PX391=", $J$115), CONCATENATE("PX392=",$J$116), CONCATENATE("DS004=",$B$108), "Fill=B")</f>
        <v>#NAME?</v>
      </c>
      <c r="K151" t="e">
        <f ca="1">_xll.BDP($B$45,$C$45,CONCATENATE("PX391=", $K$115), CONCATENATE("PX392=",$K$116), CONCATENATE("DS004=",$B$108), "Fill=B")</f>
        <v>#NAME?</v>
      </c>
      <c r="L151" t="e">
        <f ca="1">_xll.BDP($B$45,$C$45,CONCATENATE("PX391=", $L$115), CONCATENATE("PX392=",$L$116), CONCATENATE("DS004=",$B$108), "Fill=B")</f>
        <v>#NAME?</v>
      </c>
      <c r="M151" t="e">
        <f ca="1">_xll.BDP($B$45,$C$45,CONCATENATE("PX391=", $M$115), CONCATENATE("PX392=",$M$116), CONCATENATE("DS004=",$B$108), "Fill=B")</f>
        <v>#NAME?</v>
      </c>
      <c r="N151" t="e">
        <f ca="1">_xll.BDP($B$45,$C$45,CONCATENATE("PX391=", $N$115), CONCATENATE("PX392=",$N$116), CONCATENATE("DS004=",$B$108), "Fill=B")</f>
        <v>#NAME?</v>
      </c>
      <c r="O151" t="e">
        <f ca="1">_xll.BDP($B$45,$C$45,CONCATENATE("PX391=", $O$115), CONCATENATE("PX392=",$O$116), CONCATENATE("DS004=",$B$108), "Fill=B")</f>
        <v>#NAME?</v>
      </c>
      <c r="P151" t="e">
        <f ca="1">_xll.BDP($B$45,$C$45,CONCATENATE("PX391=", $P$115), CONCATENATE("PX392=",$P$116), CONCATENATE("DS004=",$B$108), "Fill=B")</f>
        <v>#NAME?</v>
      </c>
      <c r="Q151" t="e">
        <f ca="1">_xll.BDP($B$45,$C$45,CONCATENATE("PX391=", $Q$115), CONCATENATE("PX392=",$Q$116), CONCATENATE("DS004=",$B$108), "Fill=B")</f>
        <v>#NAME?</v>
      </c>
      <c r="R151" t="e">
        <f ca="1">_xll.BDP($B$45,$C$45,CONCATENATE("PX391=", $R$115), CONCATENATE("PX392=",$R$116), CONCATENATE("DS004=",$B$108), "Fill=B")</f>
        <v>#NAME?</v>
      </c>
      <c r="S151" t="e">
        <f ca="1">_xll.BDP($B$45,$C$45,CONCATENATE("PX391=", $S$115), CONCATENATE("PX392=",$S$116), CONCATENATE("DS004=",$B$108), "Fill=B")</f>
        <v>#NAME?</v>
      </c>
      <c r="T151" t="e">
        <f ca="1">_xll.BDP($B$45,$C$45,CONCATENATE("PX391=", $T$115), CONCATENATE("PX392=",$T$116), CONCATENATE("DS004=",$B$108), "Fill=B")</f>
        <v>#NAME?</v>
      </c>
      <c r="U151" t="e">
        <f ca="1">_xll.BDP($B$45,$C$45,CONCATENATE("PX391=", $U$115), CONCATENATE("PX392=",$U$116), CONCATENATE("DS004=",$B$108), "Fill=B")</f>
        <v>#NAME?</v>
      </c>
      <c r="V151" t="e">
        <f ca="1">_xll.BDP($B$45,$C$45,CONCATENATE("PX391=", $V$115), CONCATENATE("PX392=",$V$116), CONCATENATE("DS004=",$B$108), "Fill=B")</f>
        <v>#NAME?</v>
      </c>
      <c r="W151" t="e">
        <f ca="1">_xll.BDP($B$45,$C$45,CONCATENATE("PX391=", $W$115), CONCATENATE("PX392=",$W$116), CONCATENATE("DS004=",$B$108), "Fill=B")</f>
        <v>#NAME?</v>
      </c>
      <c r="X151" t="e">
        <f ca="1">_xll.BDP($B$45,$C$45,CONCATENATE("PX391=", $X$115), CONCATENATE("PX392=",$X$116), CONCATENATE("DS004=",$B$108), "Fill=B")</f>
        <v>#NAME?</v>
      </c>
      <c r="Y151" t="e">
        <f ca="1">_xll.BDP($B$45,$C$45,CONCATENATE("PX391=", $Y$115), CONCATENATE("PX392=",$Y$116), CONCATENATE("DS004=",$B$108), "Fill=B")</f>
        <v>#NAME?</v>
      </c>
      <c r="Z151" t="e">
        <f ca="1">_xll.BDP($B$45,$C$45,CONCATENATE("PX391=", $Z$115), CONCATENATE("PX392=",$Z$116), CONCATENATE("DS004=",$B$108), "Fill=B")</f>
        <v>#NAME?</v>
      </c>
      <c r="AA151" t="e">
        <f ca="1">_xll.BDP($B$45,$C$45,CONCATENATE("PX391=", $AA$115), CONCATENATE("PX392=",$AA$116), CONCATENATE("DS004=",$B$108), "Fill=B")</f>
        <v>#NAME?</v>
      </c>
      <c r="AB151" t="e">
        <f ca="1">_xll.BDP($B$45,$C$45,CONCATENATE("PX391=", $AB$115), CONCATENATE("PX392=",$AB$116), CONCATENATE("DS004=",$B$108), "Fill=B")</f>
        <v>#NAME?</v>
      </c>
      <c r="AC151" t="e">
        <f ca="1">_xll.BDP($B$45,$C$45,CONCATENATE("PX391=", $AC$115), CONCATENATE("PX392=",$AC$116), CONCATENATE("DS004=",$B$108), "Fill=B")</f>
        <v>#NAME?</v>
      </c>
      <c r="AD151" t="e">
        <f ca="1">_xll.BDP($B$45,$C$45,CONCATENATE("PX391=", $AD$115), CONCATENATE("PX392=",$AD$116), CONCATENATE("DS004=",$B$108), "Fill=B")</f>
        <v>#NAME?</v>
      </c>
      <c r="AE151" t="e">
        <f ca="1">_xll.BDP($B$45,$C$45,CONCATENATE("PX391=", $AE$115), CONCATENATE("PX392=",$AE$116), CONCATENATE("DS004=",$B$108), "Fill=B")</f>
        <v>#NAME?</v>
      </c>
      <c r="AF151" t="e">
        <f ca="1">_xll.BDP($B$45,$C$45,CONCATENATE("PX391=", $AF$115), CONCATENATE("PX392=",$AF$116), CONCATENATE("DS004=",$B$108), "Fill=B")</f>
        <v>#NAME?</v>
      </c>
      <c r="AG151" t="e">
        <f ca="1">_xll.BDP($B$45,$C$45,CONCATENATE("PX391=", $AG$115), CONCATENATE("PX392=",$AG$116), CONCATENATE("DS004=",$B$108), "Fill=B")</f>
        <v>#NAME?</v>
      </c>
      <c r="AH151" t="e">
        <f ca="1">_xll.BDP($B$45,$C$45,CONCATENATE("PX391=", $AH$115), CONCATENATE("PX392=",$AH$116), CONCATENATE("DS004=",$B$108), "Fill=B")</f>
        <v>#NAME?</v>
      </c>
      <c r="AI151" t="e">
        <f ca="1">_xll.BDP($B$45,$C$45,CONCATENATE("PX391=", $AI$115), CONCATENATE("PX392=",$AI$116), CONCATENATE("DS004=",$B$108), "Fill=B")</f>
        <v>#NAME?</v>
      </c>
      <c r="AJ151" t="e">
        <f ca="1">_xll.BDP($B$45,$C$45,CONCATENATE("PX391=", $AJ$115), CONCATENATE("PX392=",$AJ$116), CONCATENATE("DS004=",$B$108), "Fill=B")</f>
        <v>#NAME?</v>
      </c>
      <c r="AK151" t="e">
        <f ca="1">_xll.BDP($B$45,$C$45,CONCATENATE("PX391=", $AK$115), CONCATENATE("PX392=",$AK$116), CONCATENATE("DS004=",$B$108), "Fill=B")</f>
        <v>#NAME?</v>
      </c>
      <c r="AL151" t="e">
        <f ca="1">_xll.BDP($B$45,$C$45,CONCATENATE("PX391=", $AL$115), CONCATENATE("PX392=",$AL$116), CONCATENATE("DS004=",$B$108), "Fill=B")</f>
        <v>#NAME?</v>
      </c>
      <c r="AM151" t="e">
        <f ca="1">_xll.BDP($B$45,$C$45,CONCATENATE("PX391=", $AM$115), CONCATENATE("PX392=",$AM$116), CONCATENATE("DS004=",$B$108), "Fill=B")</f>
        <v>#NAME?</v>
      </c>
      <c r="AN151" t="e">
        <f ca="1">_xll.BDP($B$45,$C$45,CONCATENATE("PX391=", $AN$115), CONCATENATE("PX392=",$AN$116), CONCATENATE("DS004=",$B$108), "Fill=B")</f>
        <v>#NAME?</v>
      </c>
      <c r="AO151" t="e">
        <f ca="1">_xll.BDP($B$45,$C$45,CONCATENATE("PX391=", $AO$115), CONCATENATE("PX392=",$AO$116), CONCATENATE("DS004=",$B$108), "Fill=B")</f>
        <v>#NAME?</v>
      </c>
      <c r="AP151" t="e">
        <f ca="1">_xll.BDP($B$45,$C$45,CONCATENATE("PX391=", $AP$115), CONCATENATE("PX392=",$AP$116), CONCATENATE("DS004=",$B$108), "Fill=B")</f>
        <v>#NAME?</v>
      </c>
      <c r="AQ151" t="e">
        <f ca="1">_xll.BDP($B$45,$C$45,CONCATENATE("PX391=", $AQ$115), CONCATENATE("PX392=",$AQ$116), CONCATENATE("DS004=",$B$108), "Fill=B")</f>
        <v>#NAME?</v>
      </c>
      <c r="AR151" t="e">
        <f ca="1">_xll.BDP($B$45,$C$45,CONCATENATE("PX391=", $AR$115), CONCATENATE("PX392=",$AR$116), CONCATENATE("DS004=",$B$108), "Fill=B")</f>
        <v>#NAME?</v>
      </c>
      <c r="AS151" t="e">
        <f ca="1">_xll.BDP($B$45,$C$45,CONCATENATE("PX391=", $AS$115), CONCATENATE("PX392=",$AS$116), CONCATENATE("DS004=",$B$108), "Fill=B")</f>
        <v>#NAME?</v>
      </c>
      <c r="AT151" t="str">
        <f>""</f>
        <v/>
      </c>
      <c r="AU151" t="str">
        <f>""</f>
        <v/>
      </c>
      <c r="AV151" t="str">
        <f>""</f>
        <v/>
      </c>
      <c r="AW151" t="str">
        <f>""</f>
        <v/>
      </c>
      <c r="AX151" t="str">
        <f>""</f>
        <v/>
      </c>
      <c r="AY151" t="str">
        <f>""</f>
        <v/>
      </c>
      <c r="AZ151" t="str">
        <f>""</f>
        <v/>
      </c>
      <c r="BA151" t="str">
        <f>""</f>
        <v/>
      </c>
      <c r="BB151" t="str">
        <f>""</f>
        <v/>
      </c>
      <c r="BC151" t="str">
        <f>""</f>
        <v/>
      </c>
      <c r="BD151" t="str">
        <f>""</f>
        <v/>
      </c>
      <c r="BE151" t="str">
        <f>""</f>
        <v/>
      </c>
      <c r="BF151" t="str">
        <f>""</f>
        <v/>
      </c>
      <c r="BG151" t="str">
        <f>""</f>
        <v/>
      </c>
      <c r="BH151" t="str">
        <f>""</f>
        <v/>
      </c>
      <c r="BI151" t="str">
        <f>""</f>
        <v/>
      </c>
      <c r="BJ151" t="str">
        <f>""</f>
        <v/>
      </c>
      <c r="BK151" t="str">
        <f>""</f>
        <v/>
      </c>
      <c r="BL151" t="str">
        <f>""</f>
        <v/>
      </c>
      <c r="BM151" t="str">
        <f>""</f>
        <v/>
      </c>
      <c r="BN151" t="str">
        <f>""</f>
        <v/>
      </c>
      <c r="BO151" t="str">
        <f>""</f>
        <v/>
      </c>
      <c r="BP151" t="str">
        <f>""</f>
        <v/>
      </c>
      <c r="BQ151" t="str">
        <f>""</f>
        <v/>
      </c>
      <c r="BR151" t="str">
        <f>""</f>
        <v/>
      </c>
      <c r="BS151" t="str">
        <f>""</f>
        <v/>
      </c>
      <c r="BT151" t="str">
        <f>""</f>
        <v/>
      </c>
      <c r="BU151" t="str">
        <f>""</f>
        <v/>
      </c>
      <c r="BV151" t="str">
        <f>""</f>
        <v/>
      </c>
      <c r="BW151" t="str">
        <f>""</f>
        <v/>
      </c>
      <c r="BX151" t="str">
        <f>""</f>
        <v/>
      </c>
      <c r="BY151" t="str">
        <f>""</f>
        <v/>
      </c>
      <c r="BZ151" t="str">
        <f>""</f>
        <v/>
      </c>
      <c r="CA151" t="str">
        <f>""</f>
        <v/>
      </c>
      <c r="CB151" t="str">
        <f>""</f>
        <v/>
      </c>
      <c r="CC151" t="str">
        <f>""</f>
        <v/>
      </c>
      <c r="CD151" t="str">
        <f>""</f>
        <v/>
      </c>
      <c r="CE151" t="str">
        <f>""</f>
        <v/>
      </c>
      <c r="CF151" t="str">
        <f>""</f>
        <v/>
      </c>
      <c r="CG151" t="str">
        <f>""</f>
        <v/>
      </c>
    </row>
    <row r="152" spans="1:85" x14ac:dyDescent="0.2">
      <c r="A152" t="str">
        <f>$A$49</f>
        <v xml:space="preserve">        Airports</v>
      </c>
      <c r="B152" t="str">
        <f>$B$49</f>
        <v>RTBAAAVD Index</v>
      </c>
      <c r="C152" t="str">
        <f>$C$49</f>
        <v>PX385</v>
      </c>
      <c r="D152" t="str">
        <f>$D$49</f>
        <v>INTERVAL_SUM</v>
      </c>
      <c r="E152" t="str">
        <f>$E$49</f>
        <v>Dynamic</v>
      </c>
      <c r="F152" t="e">
        <f ca="1">_xll.BDP($B$49,$C$49,CONCATENATE("PX391=", $F$115), CONCATENATE("PX392=",$F$116), CONCATENATE("DS004=",$B$108), "Fill=B")</f>
        <v>#NAME?</v>
      </c>
      <c r="G152" t="e">
        <f ca="1">_xll.BDP($B$49,$C$49,CONCATENATE("PX391=", $G$115), CONCATENATE("PX392=",$G$116), CONCATENATE("DS004=",$B$108), "Fill=B")</f>
        <v>#NAME?</v>
      </c>
      <c r="H152" t="e">
        <f ca="1">_xll.BDP($B$49,$C$49,CONCATENATE("PX391=", $H$115), CONCATENATE("PX392=",$H$116), CONCATENATE("DS004=",$B$108), "Fill=B")</f>
        <v>#NAME?</v>
      </c>
      <c r="I152" t="e">
        <f ca="1">_xll.BDP($B$49,$C$49,CONCATENATE("PX391=", $I$115), CONCATENATE("PX392=",$I$116), CONCATENATE("DS004=",$B$108), "Fill=B")</f>
        <v>#NAME?</v>
      </c>
      <c r="J152" t="e">
        <f ca="1">_xll.BDP($B$49,$C$49,CONCATENATE("PX391=", $J$115), CONCATENATE("PX392=",$J$116), CONCATENATE("DS004=",$B$108), "Fill=B")</f>
        <v>#NAME?</v>
      </c>
      <c r="K152" t="e">
        <f ca="1">_xll.BDP($B$49,$C$49,CONCATENATE("PX391=", $K$115), CONCATENATE("PX392=",$K$116), CONCATENATE("DS004=",$B$108), "Fill=B")</f>
        <v>#NAME?</v>
      </c>
      <c r="L152" t="e">
        <f ca="1">_xll.BDP($B$49,$C$49,CONCATENATE("PX391=", $L$115), CONCATENATE("PX392=",$L$116), CONCATENATE("DS004=",$B$108), "Fill=B")</f>
        <v>#NAME?</v>
      </c>
      <c r="M152" t="e">
        <f ca="1">_xll.BDP($B$49,$C$49,CONCATENATE("PX391=", $M$115), CONCATENATE("PX392=",$M$116), CONCATENATE("DS004=",$B$108), "Fill=B")</f>
        <v>#NAME?</v>
      </c>
      <c r="N152" t="e">
        <f ca="1">_xll.BDP($B$49,$C$49,CONCATENATE("PX391=", $N$115), CONCATENATE("PX392=",$N$116), CONCATENATE("DS004=",$B$108), "Fill=B")</f>
        <v>#NAME?</v>
      </c>
      <c r="O152" t="e">
        <f ca="1">_xll.BDP($B$49,$C$49,CONCATENATE("PX391=", $O$115), CONCATENATE("PX392=",$O$116), CONCATENATE("DS004=",$B$108), "Fill=B")</f>
        <v>#NAME?</v>
      </c>
      <c r="P152" t="e">
        <f ca="1">_xll.BDP($B$49,$C$49,CONCATENATE("PX391=", $P$115), CONCATENATE("PX392=",$P$116), CONCATENATE("DS004=",$B$108), "Fill=B")</f>
        <v>#NAME?</v>
      </c>
      <c r="Q152" t="e">
        <f ca="1">_xll.BDP($B$49,$C$49,CONCATENATE("PX391=", $Q$115), CONCATENATE("PX392=",$Q$116), CONCATENATE("DS004=",$B$108), "Fill=B")</f>
        <v>#NAME?</v>
      </c>
      <c r="R152" t="e">
        <f ca="1">_xll.BDP($B$49,$C$49,CONCATENATE("PX391=", $R$115), CONCATENATE("PX392=",$R$116), CONCATENATE("DS004=",$B$108), "Fill=B")</f>
        <v>#NAME?</v>
      </c>
      <c r="S152" t="e">
        <f ca="1">_xll.BDP($B$49,$C$49,CONCATENATE("PX391=", $S$115), CONCATENATE("PX392=",$S$116), CONCATENATE("DS004=",$B$108), "Fill=B")</f>
        <v>#NAME?</v>
      </c>
      <c r="T152" t="e">
        <f ca="1">_xll.BDP($B$49,$C$49,CONCATENATE("PX391=", $T$115), CONCATENATE("PX392=",$T$116), CONCATENATE("DS004=",$B$108), "Fill=B")</f>
        <v>#NAME?</v>
      </c>
      <c r="U152" t="e">
        <f ca="1">_xll.BDP($B$49,$C$49,CONCATENATE("PX391=", $U$115), CONCATENATE("PX392=",$U$116), CONCATENATE("DS004=",$B$108), "Fill=B")</f>
        <v>#NAME?</v>
      </c>
      <c r="V152" t="e">
        <f ca="1">_xll.BDP($B$49,$C$49,CONCATENATE("PX391=", $V$115), CONCATENATE("PX392=",$V$116), CONCATENATE("DS004=",$B$108), "Fill=B")</f>
        <v>#NAME?</v>
      </c>
      <c r="W152" t="e">
        <f ca="1">_xll.BDP($B$49,$C$49,CONCATENATE("PX391=", $W$115), CONCATENATE("PX392=",$W$116), CONCATENATE("DS004=",$B$108), "Fill=B")</f>
        <v>#NAME?</v>
      </c>
      <c r="X152" t="e">
        <f ca="1">_xll.BDP($B$49,$C$49,CONCATENATE("PX391=", $X$115), CONCATENATE("PX392=",$X$116), CONCATENATE("DS004=",$B$108), "Fill=B")</f>
        <v>#NAME?</v>
      </c>
      <c r="Y152" t="e">
        <f ca="1">_xll.BDP($B$49,$C$49,CONCATENATE("PX391=", $Y$115), CONCATENATE("PX392=",$Y$116), CONCATENATE("DS004=",$B$108), "Fill=B")</f>
        <v>#NAME?</v>
      </c>
      <c r="Z152" t="e">
        <f ca="1">_xll.BDP($B$49,$C$49,CONCATENATE("PX391=", $Z$115), CONCATENATE("PX392=",$Z$116), CONCATENATE("DS004=",$B$108), "Fill=B")</f>
        <v>#NAME?</v>
      </c>
      <c r="AA152" t="e">
        <f ca="1">_xll.BDP($B$49,$C$49,CONCATENATE("PX391=", $AA$115), CONCATENATE("PX392=",$AA$116), CONCATENATE("DS004=",$B$108), "Fill=B")</f>
        <v>#NAME?</v>
      </c>
      <c r="AB152" t="e">
        <f ca="1">_xll.BDP($B$49,$C$49,CONCATENATE("PX391=", $AB$115), CONCATENATE("PX392=",$AB$116), CONCATENATE("DS004=",$B$108), "Fill=B")</f>
        <v>#NAME?</v>
      </c>
      <c r="AC152" t="e">
        <f ca="1">_xll.BDP($B$49,$C$49,CONCATENATE("PX391=", $AC$115), CONCATENATE("PX392=",$AC$116), CONCATENATE("DS004=",$B$108), "Fill=B")</f>
        <v>#NAME?</v>
      </c>
      <c r="AD152" t="e">
        <f ca="1">_xll.BDP($B$49,$C$49,CONCATENATE("PX391=", $AD$115), CONCATENATE("PX392=",$AD$116), CONCATENATE("DS004=",$B$108), "Fill=B")</f>
        <v>#NAME?</v>
      </c>
      <c r="AE152" t="e">
        <f ca="1">_xll.BDP($B$49,$C$49,CONCATENATE("PX391=", $AE$115), CONCATENATE("PX392=",$AE$116), CONCATENATE("DS004=",$B$108), "Fill=B")</f>
        <v>#NAME?</v>
      </c>
      <c r="AF152" t="e">
        <f ca="1">_xll.BDP($B$49,$C$49,CONCATENATE("PX391=", $AF$115), CONCATENATE("PX392=",$AF$116), CONCATENATE("DS004=",$B$108), "Fill=B")</f>
        <v>#NAME?</v>
      </c>
      <c r="AG152" t="e">
        <f ca="1">_xll.BDP($B$49,$C$49,CONCATENATE("PX391=", $AG$115), CONCATENATE("PX392=",$AG$116), CONCATENATE("DS004=",$B$108), "Fill=B")</f>
        <v>#NAME?</v>
      </c>
      <c r="AH152" t="e">
        <f ca="1">_xll.BDP($B$49,$C$49,CONCATENATE("PX391=", $AH$115), CONCATENATE("PX392=",$AH$116), CONCATENATE("DS004=",$B$108), "Fill=B")</f>
        <v>#NAME?</v>
      </c>
      <c r="AI152" t="e">
        <f ca="1">_xll.BDP($B$49,$C$49,CONCATENATE("PX391=", $AI$115), CONCATENATE("PX392=",$AI$116), CONCATENATE("DS004=",$B$108), "Fill=B")</f>
        <v>#NAME?</v>
      </c>
      <c r="AJ152" t="e">
        <f ca="1">_xll.BDP($B$49,$C$49,CONCATENATE("PX391=", $AJ$115), CONCATENATE("PX392=",$AJ$116), CONCATENATE("DS004=",$B$108), "Fill=B")</f>
        <v>#NAME?</v>
      </c>
      <c r="AK152" t="e">
        <f ca="1">_xll.BDP($B$49,$C$49,CONCATENATE("PX391=", $AK$115), CONCATENATE("PX392=",$AK$116), CONCATENATE("DS004=",$B$108), "Fill=B")</f>
        <v>#NAME?</v>
      </c>
      <c r="AL152" t="e">
        <f ca="1">_xll.BDP($B$49,$C$49,CONCATENATE("PX391=", $AL$115), CONCATENATE("PX392=",$AL$116), CONCATENATE("DS004=",$B$108), "Fill=B")</f>
        <v>#NAME?</v>
      </c>
      <c r="AM152" t="e">
        <f ca="1">_xll.BDP($B$49,$C$49,CONCATENATE("PX391=", $AM$115), CONCATENATE("PX392=",$AM$116), CONCATENATE("DS004=",$B$108), "Fill=B")</f>
        <v>#NAME?</v>
      </c>
      <c r="AN152" t="e">
        <f ca="1">_xll.BDP($B$49,$C$49,CONCATENATE("PX391=", $AN$115), CONCATENATE("PX392=",$AN$116), CONCATENATE("DS004=",$B$108), "Fill=B")</f>
        <v>#NAME?</v>
      </c>
      <c r="AO152" t="e">
        <f ca="1">_xll.BDP($B$49,$C$49,CONCATENATE("PX391=", $AO$115), CONCATENATE("PX392=",$AO$116), CONCATENATE("DS004=",$B$108), "Fill=B")</f>
        <v>#NAME?</v>
      </c>
      <c r="AP152" t="e">
        <f ca="1">_xll.BDP($B$49,$C$49,CONCATENATE("PX391=", $AP$115), CONCATENATE("PX392=",$AP$116), CONCATENATE("DS004=",$B$108), "Fill=B")</f>
        <v>#NAME?</v>
      </c>
      <c r="AQ152" t="e">
        <f ca="1">_xll.BDP($B$49,$C$49,CONCATENATE("PX391=", $AQ$115), CONCATENATE("PX392=",$AQ$116), CONCATENATE("DS004=",$B$108), "Fill=B")</f>
        <v>#NAME?</v>
      </c>
      <c r="AR152" t="e">
        <f ca="1">_xll.BDP($B$49,$C$49,CONCATENATE("PX391=", $AR$115), CONCATENATE("PX392=",$AR$116), CONCATENATE("DS004=",$B$108), "Fill=B")</f>
        <v>#NAME?</v>
      </c>
      <c r="AS152" t="e">
        <f ca="1">_xll.BDP($B$49,$C$49,CONCATENATE("PX391=", $AS$115), CONCATENATE("PX392=",$AS$116), CONCATENATE("DS004=",$B$108), "Fill=B")</f>
        <v>#NAME?</v>
      </c>
      <c r="AT152" t="str">
        <f>""</f>
        <v/>
      </c>
      <c r="AU152" t="str">
        <f>""</f>
        <v/>
      </c>
      <c r="AV152" t="str">
        <f>""</f>
        <v/>
      </c>
      <c r="AW152" t="str">
        <f>""</f>
        <v/>
      </c>
      <c r="AX152" t="str">
        <f>""</f>
        <v/>
      </c>
      <c r="AY152" t="str">
        <f>""</f>
        <v/>
      </c>
      <c r="AZ152" t="str">
        <f>""</f>
        <v/>
      </c>
      <c r="BA152" t="str">
        <f>""</f>
        <v/>
      </c>
      <c r="BB152" t="str">
        <f>""</f>
        <v/>
      </c>
      <c r="BC152" t="str">
        <f>""</f>
        <v/>
      </c>
      <c r="BD152" t="str">
        <f>""</f>
        <v/>
      </c>
      <c r="BE152" t="str">
        <f>""</f>
        <v/>
      </c>
      <c r="BF152" t="str">
        <f>""</f>
        <v/>
      </c>
      <c r="BG152" t="str">
        <f>""</f>
        <v/>
      </c>
      <c r="BH152" t="str">
        <f>""</f>
        <v/>
      </c>
      <c r="BI152" t="str">
        <f>""</f>
        <v/>
      </c>
      <c r="BJ152" t="str">
        <f>""</f>
        <v/>
      </c>
      <c r="BK152" t="str">
        <f>""</f>
        <v/>
      </c>
      <c r="BL152" t="str">
        <f>""</f>
        <v/>
      </c>
      <c r="BM152" t="str">
        <f>""</f>
        <v/>
      </c>
      <c r="BN152" t="str">
        <f>""</f>
        <v/>
      </c>
      <c r="BO152" t="str">
        <f>""</f>
        <v/>
      </c>
      <c r="BP152" t="str">
        <f>""</f>
        <v/>
      </c>
      <c r="BQ152" t="str">
        <f>""</f>
        <v/>
      </c>
      <c r="BR152" t="str">
        <f>""</f>
        <v/>
      </c>
      <c r="BS152" t="str">
        <f>""</f>
        <v/>
      </c>
      <c r="BT152" t="str">
        <f>""</f>
        <v/>
      </c>
      <c r="BU152" t="str">
        <f>""</f>
        <v/>
      </c>
      <c r="BV152" t="str">
        <f>""</f>
        <v/>
      </c>
      <c r="BW152" t="str">
        <f>""</f>
        <v/>
      </c>
      <c r="BX152" t="str">
        <f>""</f>
        <v/>
      </c>
      <c r="BY152" t="str">
        <f>""</f>
        <v/>
      </c>
      <c r="BZ152" t="str">
        <f>""</f>
        <v/>
      </c>
      <c r="CA152" t="str">
        <f>""</f>
        <v/>
      </c>
      <c r="CB152" t="str">
        <f>""</f>
        <v/>
      </c>
      <c r="CC152" t="str">
        <f>""</f>
        <v/>
      </c>
      <c r="CD152" t="str">
        <f>""</f>
        <v/>
      </c>
      <c r="CE152" t="str">
        <f>""</f>
        <v/>
      </c>
      <c r="CF152" t="str">
        <f>""</f>
        <v/>
      </c>
      <c r="CG152" t="str">
        <f>""</f>
        <v/>
      </c>
    </row>
    <row r="153" spans="1:85" x14ac:dyDescent="0.2">
      <c r="A153" t="str">
        <f>$A$50</f>
        <v xml:space="preserve">        Bridge &amp; Tunnel</v>
      </c>
      <c r="B153" t="str">
        <f>$B$50</f>
        <v>RTBABTVD Index</v>
      </c>
      <c r="C153" t="str">
        <f>$C$50</f>
        <v>PX385</v>
      </c>
      <c r="D153" t="str">
        <f>$D$50</f>
        <v>INTERVAL_SUM</v>
      </c>
      <c r="E153" t="str">
        <f>$E$50</f>
        <v>Dynamic</v>
      </c>
      <c r="F153" t="e">
        <f ca="1">_xll.BDP($B$50,$C$50,CONCATENATE("PX391=", $F$115), CONCATENATE("PX392=",$F$116), CONCATENATE("DS004=",$B$108), "Fill=B")</f>
        <v>#NAME?</v>
      </c>
      <c r="G153" t="e">
        <f ca="1">_xll.BDP($B$50,$C$50,CONCATENATE("PX391=", $G$115), CONCATENATE("PX392=",$G$116), CONCATENATE("DS004=",$B$108), "Fill=B")</f>
        <v>#NAME?</v>
      </c>
      <c r="H153" t="e">
        <f ca="1">_xll.BDP($B$50,$C$50,CONCATENATE("PX391=", $H$115), CONCATENATE("PX392=",$H$116), CONCATENATE("DS004=",$B$108), "Fill=B")</f>
        <v>#NAME?</v>
      </c>
      <c r="I153" t="e">
        <f ca="1">_xll.BDP($B$50,$C$50,CONCATENATE("PX391=", $I$115), CONCATENATE("PX392=",$I$116), CONCATENATE("DS004=",$B$108), "Fill=B")</f>
        <v>#NAME?</v>
      </c>
      <c r="J153" t="e">
        <f ca="1">_xll.BDP($B$50,$C$50,CONCATENATE("PX391=", $J$115), CONCATENATE("PX392=",$J$116), CONCATENATE("DS004=",$B$108), "Fill=B")</f>
        <v>#NAME?</v>
      </c>
      <c r="K153" t="e">
        <f ca="1">_xll.BDP($B$50,$C$50,CONCATENATE("PX391=", $K$115), CONCATENATE("PX392=",$K$116), CONCATENATE("DS004=",$B$108), "Fill=B")</f>
        <v>#NAME?</v>
      </c>
      <c r="L153" t="e">
        <f ca="1">_xll.BDP($B$50,$C$50,CONCATENATE("PX391=", $L$115), CONCATENATE("PX392=",$L$116), CONCATENATE("DS004=",$B$108), "Fill=B")</f>
        <v>#NAME?</v>
      </c>
      <c r="M153" t="e">
        <f ca="1">_xll.BDP($B$50,$C$50,CONCATENATE("PX391=", $M$115), CONCATENATE("PX392=",$M$116), CONCATENATE("DS004=",$B$108), "Fill=B")</f>
        <v>#NAME?</v>
      </c>
      <c r="N153" t="e">
        <f ca="1">_xll.BDP($B$50,$C$50,CONCATENATE("PX391=", $N$115), CONCATENATE("PX392=",$N$116), CONCATENATE("DS004=",$B$108), "Fill=B")</f>
        <v>#NAME?</v>
      </c>
      <c r="O153" t="e">
        <f ca="1">_xll.BDP($B$50,$C$50,CONCATENATE("PX391=", $O$115), CONCATENATE("PX392=",$O$116), CONCATENATE("DS004=",$B$108), "Fill=B")</f>
        <v>#NAME?</v>
      </c>
      <c r="P153" t="e">
        <f ca="1">_xll.BDP($B$50,$C$50,CONCATENATE("PX391=", $P$115), CONCATENATE("PX392=",$P$116), CONCATENATE("DS004=",$B$108), "Fill=B")</f>
        <v>#NAME?</v>
      </c>
      <c r="Q153" t="e">
        <f ca="1">_xll.BDP($B$50,$C$50,CONCATENATE("PX391=", $Q$115), CONCATENATE("PX392=",$Q$116), CONCATENATE("DS004=",$B$108), "Fill=B")</f>
        <v>#NAME?</v>
      </c>
      <c r="R153" t="e">
        <f ca="1">_xll.BDP($B$50,$C$50,CONCATENATE("PX391=", $R$115), CONCATENATE("PX392=",$R$116), CONCATENATE("DS004=",$B$108), "Fill=B")</f>
        <v>#NAME?</v>
      </c>
      <c r="S153" t="e">
        <f ca="1">_xll.BDP($B$50,$C$50,CONCATENATE("PX391=", $S$115), CONCATENATE("PX392=",$S$116), CONCATENATE("DS004=",$B$108), "Fill=B")</f>
        <v>#NAME?</v>
      </c>
      <c r="T153" t="e">
        <f ca="1">_xll.BDP($B$50,$C$50,CONCATENATE("PX391=", $T$115), CONCATENATE("PX392=",$T$116), CONCATENATE("DS004=",$B$108), "Fill=B")</f>
        <v>#NAME?</v>
      </c>
      <c r="U153" t="e">
        <f ca="1">_xll.BDP($B$50,$C$50,CONCATENATE("PX391=", $U$115), CONCATENATE("PX392=",$U$116), CONCATENATE("DS004=",$B$108), "Fill=B")</f>
        <v>#NAME?</v>
      </c>
      <c r="V153" t="e">
        <f ca="1">_xll.BDP($B$50,$C$50,CONCATENATE("PX391=", $V$115), CONCATENATE("PX392=",$V$116), CONCATENATE("DS004=",$B$108), "Fill=B")</f>
        <v>#NAME?</v>
      </c>
      <c r="W153" t="e">
        <f ca="1">_xll.BDP($B$50,$C$50,CONCATENATE("PX391=", $W$115), CONCATENATE("PX392=",$W$116), CONCATENATE("DS004=",$B$108), "Fill=B")</f>
        <v>#NAME?</v>
      </c>
      <c r="X153" t="e">
        <f ca="1">_xll.BDP($B$50,$C$50,CONCATENATE("PX391=", $X$115), CONCATENATE("PX392=",$X$116), CONCATENATE("DS004=",$B$108), "Fill=B")</f>
        <v>#NAME?</v>
      </c>
      <c r="Y153" t="e">
        <f ca="1">_xll.BDP($B$50,$C$50,CONCATENATE("PX391=", $Y$115), CONCATENATE("PX392=",$Y$116), CONCATENATE("DS004=",$B$108), "Fill=B")</f>
        <v>#NAME?</v>
      </c>
      <c r="Z153" t="e">
        <f ca="1">_xll.BDP($B$50,$C$50,CONCATENATE("PX391=", $Z$115), CONCATENATE("PX392=",$Z$116), CONCATENATE("DS004=",$B$108), "Fill=B")</f>
        <v>#NAME?</v>
      </c>
      <c r="AA153" t="e">
        <f ca="1">_xll.BDP($B$50,$C$50,CONCATENATE("PX391=", $AA$115), CONCATENATE("PX392=",$AA$116), CONCATENATE("DS004=",$B$108), "Fill=B")</f>
        <v>#NAME?</v>
      </c>
      <c r="AB153" t="e">
        <f ca="1">_xll.BDP($B$50,$C$50,CONCATENATE("PX391=", $AB$115), CONCATENATE("PX392=",$AB$116), CONCATENATE("DS004=",$B$108), "Fill=B")</f>
        <v>#NAME?</v>
      </c>
      <c r="AC153" t="e">
        <f ca="1">_xll.BDP($B$50,$C$50,CONCATENATE("PX391=", $AC$115), CONCATENATE("PX392=",$AC$116), CONCATENATE("DS004=",$B$108), "Fill=B")</f>
        <v>#NAME?</v>
      </c>
      <c r="AD153" t="e">
        <f ca="1">_xll.BDP($B$50,$C$50,CONCATENATE("PX391=", $AD$115), CONCATENATE("PX392=",$AD$116), CONCATENATE("DS004=",$B$108), "Fill=B")</f>
        <v>#NAME?</v>
      </c>
      <c r="AE153" t="e">
        <f ca="1">_xll.BDP($B$50,$C$50,CONCATENATE("PX391=", $AE$115), CONCATENATE("PX392=",$AE$116), CONCATENATE("DS004=",$B$108), "Fill=B")</f>
        <v>#NAME?</v>
      </c>
      <c r="AF153" t="e">
        <f ca="1">_xll.BDP($B$50,$C$50,CONCATENATE("PX391=", $AF$115), CONCATENATE("PX392=",$AF$116), CONCATENATE("DS004=",$B$108), "Fill=B")</f>
        <v>#NAME?</v>
      </c>
      <c r="AG153" t="e">
        <f ca="1">_xll.BDP($B$50,$C$50,CONCATENATE("PX391=", $AG$115), CONCATENATE("PX392=",$AG$116), CONCATENATE("DS004=",$B$108), "Fill=B")</f>
        <v>#NAME?</v>
      </c>
      <c r="AH153" t="e">
        <f ca="1">_xll.BDP($B$50,$C$50,CONCATENATE("PX391=", $AH$115), CONCATENATE("PX392=",$AH$116), CONCATENATE("DS004=",$B$108), "Fill=B")</f>
        <v>#NAME?</v>
      </c>
      <c r="AI153" t="e">
        <f ca="1">_xll.BDP($B$50,$C$50,CONCATENATE("PX391=", $AI$115), CONCATENATE("PX392=",$AI$116), CONCATENATE("DS004=",$B$108), "Fill=B")</f>
        <v>#NAME?</v>
      </c>
      <c r="AJ153" t="e">
        <f ca="1">_xll.BDP($B$50,$C$50,CONCATENATE("PX391=", $AJ$115), CONCATENATE("PX392=",$AJ$116), CONCATENATE("DS004=",$B$108), "Fill=B")</f>
        <v>#NAME?</v>
      </c>
      <c r="AK153" t="e">
        <f ca="1">_xll.BDP($B$50,$C$50,CONCATENATE("PX391=", $AK$115), CONCATENATE("PX392=",$AK$116), CONCATENATE("DS004=",$B$108), "Fill=B")</f>
        <v>#NAME?</v>
      </c>
      <c r="AL153" t="e">
        <f ca="1">_xll.BDP($B$50,$C$50,CONCATENATE("PX391=", $AL$115), CONCATENATE("PX392=",$AL$116), CONCATENATE("DS004=",$B$108), "Fill=B")</f>
        <v>#NAME?</v>
      </c>
      <c r="AM153" t="e">
        <f ca="1">_xll.BDP($B$50,$C$50,CONCATENATE("PX391=", $AM$115), CONCATENATE("PX392=",$AM$116), CONCATENATE("DS004=",$B$108), "Fill=B")</f>
        <v>#NAME?</v>
      </c>
      <c r="AN153" t="e">
        <f ca="1">_xll.BDP($B$50,$C$50,CONCATENATE("PX391=", $AN$115), CONCATENATE("PX392=",$AN$116), CONCATENATE("DS004=",$B$108), "Fill=B")</f>
        <v>#NAME?</v>
      </c>
      <c r="AO153" t="e">
        <f ca="1">_xll.BDP($B$50,$C$50,CONCATENATE("PX391=", $AO$115), CONCATENATE("PX392=",$AO$116), CONCATENATE("DS004=",$B$108), "Fill=B")</f>
        <v>#NAME?</v>
      </c>
      <c r="AP153" t="e">
        <f ca="1">_xll.BDP($B$50,$C$50,CONCATENATE("PX391=", $AP$115), CONCATENATE("PX392=",$AP$116), CONCATENATE("DS004=",$B$108), "Fill=B")</f>
        <v>#NAME?</v>
      </c>
      <c r="AQ153" t="e">
        <f ca="1">_xll.BDP($B$50,$C$50,CONCATENATE("PX391=", $AQ$115), CONCATENATE("PX392=",$AQ$116), CONCATENATE("DS004=",$B$108), "Fill=B")</f>
        <v>#NAME?</v>
      </c>
      <c r="AR153" t="e">
        <f ca="1">_xll.BDP($B$50,$C$50,CONCATENATE("PX391=", $AR$115), CONCATENATE("PX392=",$AR$116), CONCATENATE("DS004=",$B$108), "Fill=B")</f>
        <v>#NAME?</v>
      </c>
      <c r="AS153" t="e">
        <f ca="1">_xll.BDP($B$50,$C$50,CONCATENATE("PX391=", $AS$115), CONCATENATE("PX392=",$AS$116), CONCATENATE("DS004=",$B$108), "Fill=B")</f>
        <v>#NAME?</v>
      </c>
      <c r="AT153" t="str">
        <f>""</f>
        <v/>
      </c>
      <c r="AU153" t="str">
        <f>""</f>
        <v/>
      </c>
      <c r="AV153" t="str">
        <f>""</f>
        <v/>
      </c>
      <c r="AW153" t="str">
        <f>""</f>
        <v/>
      </c>
      <c r="AX153" t="str">
        <f>""</f>
        <v/>
      </c>
      <c r="AY153" t="str">
        <f>""</f>
        <v/>
      </c>
      <c r="AZ153" t="str">
        <f>""</f>
        <v/>
      </c>
      <c r="BA153" t="str">
        <f>""</f>
        <v/>
      </c>
      <c r="BB153" t="str">
        <f>""</f>
        <v/>
      </c>
      <c r="BC153" t="str">
        <f>""</f>
        <v/>
      </c>
      <c r="BD153" t="str">
        <f>""</f>
        <v/>
      </c>
      <c r="BE153" t="str">
        <f>""</f>
        <v/>
      </c>
      <c r="BF153" t="str">
        <f>""</f>
        <v/>
      </c>
      <c r="BG153" t="str">
        <f>""</f>
        <v/>
      </c>
      <c r="BH153" t="str">
        <f>""</f>
        <v/>
      </c>
      <c r="BI153" t="str">
        <f>""</f>
        <v/>
      </c>
      <c r="BJ153" t="str">
        <f>""</f>
        <v/>
      </c>
      <c r="BK153" t="str">
        <f>""</f>
        <v/>
      </c>
      <c r="BL153" t="str">
        <f>""</f>
        <v/>
      </c>
      <c r="BM153" t="str">
        <f>""</f>
        <v/>
      </c>
      <c r="BN153" t="str">
        <f>""</f>
        <v/>
      </c>
      <c r="BO153" t="str">
        <f>""</f>
        <v/>
      </c>
      <c r="BP153" t="str">
        <f>""</f>
        <v/>
      </c>
      <c r="BQ153" t="str">
        <f>""</f>
        <v/>
      </c>
      <c r="BR153" t="str">
        <f>""</f>
        <v/>
      </c>
      <c r="BS153" t="str">
        <f>""</f>
        <v/>
      </c>
      <c r="BT153" t="str">
        <f>""</f>
        <v/>
      </c>
      <c r="BU153" t="str">
        <f>""</f>
        <v/>
      </c>
      <c r="BV153" t="str">
        <f>""</f>
        <v/>
      </c>
      <c r="BW153" t="str">
        <f>""</f>
        <v/>
      </c>
      <c r="BX153" t="str">
        <f>""</f>
        <v/>
      </c>
      <c r="BY153" t="str">
        <f>""</f>
        <v/>
      </c>
      <c r="BZ153" t="str">
        <f>""</f>
        <v/>
      </c>
      <c r="CA153" t="str">
        <f>""</f>
        <v/>
      </c>
      <c r="CB153" t="str">
        <f>""</f>
        <v/>
      </c>
      <c r="CC153" t="str">
        <f>""</f>
        <v/>
      </c>
      <c r="CD153" t="str">
        <f>""</f>
        <v/>
      </c>
      <c r="CE153" t="str">
        <f>""</f>
        <v/>
      </c>
      <c r="CF153" t="str">
        <f>""</f>
        <v/>
      </c>
      <c r="CG153" t="str">
        <f>""</f>
        <v/>
      </c>
    </row>
    <row r="154" spans="1:85" x14ac:dyDescent="0.2">
      <c r="A154" t="str">
        <f>$A$51</f>
        <v xml:space="preserve">        Docks, Piers &amp; Wharves</v>
      </c>
      <c r="B154" t="str">
        <f>$B$51</f>
        <v>RTBADPVD Index</v>
      </c>
      <c r="C154" t="str">
        <f>$C$51</f>
        <v>PX385</v>
      </c>
      <c r="D154" t="str">
        <f>$D$51</f>
        <v>INTERVAL_SUM</v>
      </c>
      <c r="E154" t="str">
        <f>$E$51</f>
        <v>Dynamic</v>
      </c>
      <c r="F154" t="e">
        <f ca="1">_xll.BDP($B$51,$C$51,CONCATENATE("PX391=", $F$115), CONCATENATE("PX392=",$F$116), CONCATENATE("DS004=",$B$108), "Fill=B")</f>
        <v>#NAME?</v>
      </c>
      <c r="G154" t="e">
        <f ca="1">_xll.BDP($B$51,$C$51,CONCATENATE("PX391=", $G$115), CONCATENATE("PX392=",$G$116), CONCATENATE("DS004=",$B$108), "Fill=B")</f>
        <v>#NAME?</v>
      </c>
      <c r="H154" t="e">
        <f ca="1">_xll.BDP($B$51,$C$51,CONCATENATE("PX391=", $H$115), CONCATENATE("PX392=",$H$116), CONCATENATE("DS004=",$B$108), "Fill=B")</f>
        <v>#NAME?</v>
      </c>
      <c r="I154" t="e">
        <f ca="1">_xll.BDP($B$51,$C$51,CONCATENATE("PX391=", $I$115), CONCATENATE("PX392=",$I$116), CONCATENATE("DS004=",$B$108), "Fill=B")</f>
        <v>#NAME?</v>
      </c>
      <c r="J154" t="e">
        <f ca="1">_xll.BDP($B$51,$C$51,CONCATENATE("PX391=", $J$115), CONCATENATE("PX392=",$J$116), CONCATENATE("DS004=",$B$108), "Fill=B")</f>
        <v>#NAME?</v>
      </c>
      <c r="K154" t="e">
        <f ca="1">_xll.BDP($B$51,$C$51,CONCATENATE("PX391=", $K$115), CONCATENATE("PX392=",$K$116), CONCATENATE("DS004=",$B$108), "Fill=B")</f>
        <v>#NAME?</v>
      </c>
      <c r="L154" t="e">
        <f ca="1">_xll.BDP($B$51,$C$51,CONCATENATE("PX391=", $L$115), CONCATENATE("PX392=",$L$116), CONCATENATE("DS004=",$B$108), "Fill=B")</f>
        <v>#NAME?</v>
      </c>
      <c r="M154" t="e">
        <f ca="1">_xll.BDP($B$51,$C$51,CONCATENATE("PX391=", $M$115), CONCATENATE("PX392=",$M$116), CONCATENATE("DS004=",$B$108), "Fill=B")</f>
        <v>#NAME?</v>
      </c>
      <c r="N154" t="e">
        <f ca="1">_xll.BDP($B$51,$C$51,CONCATENATE("PX391=", $N$115), CONCATENATE("PX392=",$N$116), CONCATENATE("DS004=",$B$108), "Fill=B")</f>
        <v>#NAME?</v>
      </c>
      <c r="O154" t="e">
        <f ca="1">_xll.BDP($B$51,$C$51,CONCATENATE("PX391=", $O$115), CONCATENATE("PX392=",$O$116), CONCATENATE("DS004=",$B$108), "Fill=B")</f>
        <v>#NAME?</v>
      </c>
      <c r="P154" t="e">
        <f ca="1">_xll.BDP($B$51,$C$51,CONCATENATE("PX391=", $P$115), CONCATENATE("PX392=",$P$116), CONCATENATE("DS004=",$B$108), "Fill=B")</f>
        <v>#NAME?</v>
      </c>
      <c r="Q154" t="e">
        <f ca="1">_xll.BDP($B$51,$C$51,CONCATENATE("PX391=", $Q$115), CONCATENATE("PX392=",$Q$116), CONCATENATE("DS004=",$B$108), "Fill=B")</f>
        <v>#NAME?</v>
      </c>
      <c r="R154" t="e">
        <f ca="1">_xll.BDP($B$51,$C$51,CONCATENATE("PX391=", $R$115), CONCATENATE("PX392=",$R$116), CONCATENATE("DS004=",$B$108), "Fill=B")</f>
        <v>#NAME?</v>
      </c>
      <c r="S154" t="e">
        <f ca="1">_xll.BDP($B$51,$C$51,CONCATENATE("PX391=", $S$115), CONCATENATE("PX392=",$S$116), CONCATENATE("DS004=",$B$108), "Fill=B")</f>
        <v>#NAME?</v>
      </c>
      <c r="T154" t="e">
        <f ca="1">_xll.BDP($B$51,$C$51,CONCATENATE("PX391=", $T$115), CONCATENATE("PX392=",$T$116), CONCATENATE("DS004=",$B$108), "Fill=B")</f>
        <v>#NAME?</v>
      </c>
      <c r="U154" t="e">
        <f ca="1">_xll.BDP($B$51,$C$51,CONCATENATE("PX391=", $U$115), CONCATENATE("PX392=",$U$116), CONCATENATE("DS004=",$B$108), "Fill=B")</f>
        <v>#NAME?</v>
      </c>
      <c r="V154" t="e">
        <f ca="1">_xll.BDP($B$51,$C$51,CONCATENATE("PX391=", $V$115), CONCATENATE("PX392=",$V$116), CONCATENATE("DS004=",$B$108), "Fill=B")</f>
        <v>#NAME?</v>
      </c>
      <c r="W154" t="e">
        <f ca="1">_xll.BDP($B$51,$C$51,CONCATENATE("PX391=", $W$115), CONCATENATE("PX392=",$W$116), CONCATENATE("DS004=",$B$108), "Fill=B")</f>
        <v>#NAME?</v>
      </c>
      <c r="X154" t="e">
        <f ca="1">_xll.BDP($B$51,$C$51,CONCATENATE("PX391=", $X$115), CONCATENATE("PX392=",$X$116), CONCATENATE("DS004=",$B$108), "Fill=B")</f>
        <v>#NAME?</v>
      </c>
      <c r="Y154" t="e">
        <f ca="1">_xll.BDP($B$51,$C$51,CONCATENATE("PX391=", $Y$115), CONCATENATE("PX392=",$Y$116), CONCATENATE("DS004=",$B$108), "Fill=B")</f>
        <v>#NAME?</v>
      </c>
      <c r="Z154" t="e">
        <f ca="1">_xll.BDP($B$51,$C$51,CONCATENATE("PX391=", $Z$115), CONCATENATE("PX392=",$Z$116), CONCATENATE("DS004=",$B$108), "Fill=B")</f>
        <v>#NAME?</v>
      </c>
      <c r="AA154" t="e">
        <f ca="1">_xll.BDP($B$51,$C$51,CONCATENATE("PX391=", $AA$115), CONCATENATE("PX392=",$AA$116), CONCATENATE("DS004=",$B$108), "Fill=B")</f>
        <v>#NAME?</v>
      </c>
      <c r="AB154" t="e">
        <f ca="1">_xll.BDP($B$51,$C$51,CONCATENATE("PX391=", $AB$115), CONCATENATE("PX392=",$AB$116), CONCATENATE("DS004=",$B$108), "Fill=B")</f>
        <v>#NAME?</v>
      </c>
      <c r="AC154" t="e">
        <f ca="1">_xll.BDP($B$51,$C$51,CONCATENATE("PX391=", $AC$115), CONCATENATE("PX392=",$AC$116), CONCATENATE("DS004=",$B$108), "Fill=B")</f>
        <v>#NAME?</v>
      </c>
      <c r="AD154" t="e">
        <f ca="1">_xll.BDP($B$51,$C$51,CONCATENATE("PX391=", $AD$115), CONCATENATE("PX392=",$AD$116), CONCATENATE("DS004=",$B$108), "Fill=B")</f>
        <v>#NAME?</v>
      </c>
      <c r="AE154" t="e">
        <f ca="1">_xll.BDP($B$51,$C$51,CONCATENATE("PX391=", $AE$115), CONCATENATE("PX392=",$AE$116), CONCATENATE("DS004=",$B$108), "Fill=B")</f>
        <v>#NAME?</v>
      </c>
      <c r="AF154" t="e">
        <f ca="1">_xll.BDP($B$51,$C$51,CONCATENATE("PX391=", $AF$115), CONCATENATE("PX392=",$AF$116), CONCATENATE("DS004=",$B$108), "Fill=B")</f>
        <v>#NAME?</v>
      </c>
      <c r="AG154" t="e">
        <f ca="1">_xll.BDP($B$51,$C$51,CONCATENATE("PX391=", $AG$115), CONCATENATE("PX392=",$AG$116), CONCATENATE("DS004=",$B$108), "Fill=B")</f>
        <v>#NAME?</v>
      </c>
      <c r="AH154" t="e">
        <f ca="1">_xll.BDP($B$51,$C$51,CONCATENATE("PX391=", $AH$115), CONCATENATE("PX392=",$AH$116), CONCATENATE("DS004=",$B$108), "Fill=B")</f>
        <v>#NAME?</v>
      </c>
      <c r="AI154" t="e">
        <f ca="1">_xll.BDP($B$51,$C$51,CONCATENATE("PX391=", $AI$115), CONCATENATE("PX392=",$AI$116), CONCATENATE("DS004=",$B$108), "Fill=B")</f>
        <v>#NAME?</v>
      </c>
      <c r="AJ154" t="e">
        <f ca="1">_xll.BDP($B$51,$C$51,CONCATENATE("PX391=", $AJ$115), CONCATENATE("PX392=",$AJ$116), CONCATENATE("DS004=",$B$108), "Fill=B")</f>
        <v>#NAME?</v>
      </c>
      <c r="AK154" t="e">
        <f ca="1">_xll.BDP($B$51,$C$51,CONCATENATE("PX391=", $AK$115), CONCATENATE("PX392=",$AK$116), CONCATENATE("DS004=",$B$108), "Fill=B")</f>
        <v>#NAME?</v>
      </c>
      <c r="AL154" t="e">
        <f ca="1">_xll.BDP($B$51,$C$51,CONCATENATE("PX391=", $AL$115), CONCATENATE("PX392=",$AL$116), CONCATENATE("DS004=",$B$108), "Fill=B")</f>
        <v>#NAME?</v>
      </c>
      <c r="AM154" t="e">
        <f ca="1">_xll.BDP($B$51,$C$51,CONCATENATE("PX391=", $AM$115), CONCATENATE("PX392=",$AM$116), CONCATENATE("DS004=",$B$108), "Fill=B")</f>
        <v>#NAME?</v>
      </c>
      <c r="AN154" t="e">
        <f ca="1">_xll.BDP($B$51,$C$51,CONCATENATE("PX391=", $AN$115), CONCATENATE("PX392=",$AN$116), CONCATENATE("DS004=",$B$108), "Fill=B")</f>
        <v>#NAME?</v>
      </c>
      <c r="AO154" t="e">
        <f ca="1">_xll.BDP($B$51,$C$51,CONCATENATE("PX391=", $AO$115), CONCATENATE("PX392=",$AO$116), CONCATENATE("DS004=",$B$108), "Fill=B")</f>
        <v>#NAME?</v>
      </c>
      <c r="AP154" t="e">
        <f ca="1">_xll.BDP($B$51,$C$51,CONCATENATE("PX391=", $AP$115), CONCATENATE("PX392=",$AP$116), CONCATENATE("DS004=",$B$108), "Fill=B")</f>
        <v>#NAME?</v>
      </c>
      <c r="AQ154" t="e">
        <f ca="1">_xll.BDP($B$51,$C$51,CONCATENATE("PX391=", $AQ$115), CONCATENATE("PX392=",$AQ$116), CONCATENATE("DS004=",$B$108), "Fill=B")</f>
        <v>#NAME?</v>
      </c>
      <c r="AR154" t="e">
        <f ca="1">_xll.BDP($B$51,$C$51,CONCATENATE("PX391=", $AR$115), CONCATENATE("PX392=",$AR$116), CONCATENATE("DS004=",$B$108), "Fill=B")</f>
        <v>#NAME?</v>
      </c>
      <c r="AS154" t="e">
        <f ca="1">_xll.BDP($B$51,$C$51,CONCATENATE("PX391=", $AS$115), CONCATENATE("PX392=",$AS$116), CONCATENATE("DS004=",$B$108), "Fill=B")</f>
        <v>#NAME?</v>
      </c>
      <c r="AT154" t="str">
        <f>""</f>
        <v/>
      </c>
      <c r="AU154" t="str">
        <f>""</f>
        <v/>
      </c>
      <c r="AV154" t="str">
        <f>""</f>
        <v/>
      </c>
      <c r="AW154" t="str">
        <f>""</f>
        <v/>
      </c>
      <c r="AX154" t="str">
        <f>""</f>
        <v/>
      </c>
      <c r="AY154" t="str">
        <f>""</f>
        <v/>
      </c>
      <c r="AZ154" t="str">
        <f>""</f>
        <v/>
      </c>
      <c r="BA154" t="str">
        <f>""</f>
        <v/>
      </c>
      <c r="BB154" t="str">
        <f>""</f>
        <v/>
      </c>
      <c r="BC154" t="str">
        <f>""</f>
        <v/>
      </c>
      <c r="BD154" t="str">
        <f>""</f>
        <v/>
      </c>
      <c r="BE154" t="str">
        <f>""</f>
        <v/>
      </c>
      <c r="BF154" t="str">
        <f>""</f>
        <v/>
      </c>
      <c r="BG154" t="str">
        <f>""</f>
        <v/>
      </c>
      <c r="BH154" t="str">
        <f>""</f>
        <v/>
      </c>
      <c r="BI154" t="str">
        <f>""</f>
        <v/>
      </c>
      <c r="BJ154" t="str">
        <f>""</f>
        <v/>
      </c>
      <c r="BK154" t="str">
        <f>""</f>
        <v/>
      </c>
      <c r="BL154" t="str">
        <f>""</f>
        <v/>
      </c>
      <c r="BM154" t="str">
        <f>""</f>
        <v/>
      </c>
      <c r="BN154" t="str">
        <f>""</f>
        <v/>
      </c>
      <c r="BO154" t="str">
        <f>""</f>
        <v/>
      </c>
      <c r="BP154" t="str">
        <f>""</f>
        <v/>
      </c>
      <c r="BQ154" t="str">
        <f>""</f>
        <v/>
      </c>
      <c r="BR154" t="str">
        <f>""</f>
        <v/>
      </c>
      <c r="BS154" t="str">
        <f>""</f>
        <v/>
      </c>
      <c r="BT154" t="str">
        <f>""</f>
        <v/>
      </c>
      <c r="BU154" t="str">
        <f>""</f>
        <v/>
      </c>
      <c r="BV154" t="str">
        <f>""</f>
        <v/>
      </c>
      <c r="BW154" t="str">
        <f>""</f>
        <v/>
      </c>
      <c r="BX154" t="str">
        <f>""</f>
        <v/>
      </c>
      <c r="BY154" t="str">
        <f>""</f>
        <v/>
      </c>
      <c r="BZ154" t="str">
        <f>""</f>
        <v/>
      </c>
      <c r="CA154" t="str">
        <f>""</f>
        <v/>
      </c>
      <c r="CB154" t="str">
        <f>""</f>
        <v/>
      </c>
      <c r="CC154" t="str">
        <f>""</f>
        <v/>
      </c>
      <c r="CD154" t="str">
        <f>""</f>
        <v/>
      </c>
      <c r="CE154" t="str">
        <f>""</f>
        <v/>
      </c>
      <c r="CF154" t="str">
        <f>""</f>
        <v/>
      </c>
      <c r="CG154" t="str">
        <f>""</f>
        <v/>
      </c>
    </row>
    <row r="155" spans="1:85" x14ac:dyDescent="0.2">
      <c r="A155" t="str">
        <f>$A$52</f>
        <v xml:space="preserve">        Highways</v>
      </c>
      <c r="B155" t="str">
        <f>$B$52</f>
        <v>RTBAHWVD Index</v>
      </c>
      <c r="C155" t="str">
        <f>$C$52</f>
        <v>PX385</v>
      </c>
      <c r="D155" t="str">
        <f>$D$52</f>
        <v>INTERVAL_SUM</v>
      </c>
      <c r="E155" t="str">
        <f>$E$52</f>
        <v>Dynamic</v>
      </c>
      <c r="F155" t="e">
        <f ca="1">_xll.BDP($B$52,$C$52,CONCATENATE("PX391=", $F$115), CONCATENATE("PX392=",$F$116), CONCATENATE("DS004=",$B$108), "Fill=B")</f>
        <v>#NAME?</v>
      </c>
      <c r="G155" t="e">
        <f ca="1">_xll.BDP($B$52,$C$52,CONCATENATE("PX391=", $G$115), CONCATENATE("PX392=",$G$116), CONCATENATE("DS004=",$B$108), "Fill=B")</f>
        <v>#NAME?</v>
      </c>
      <c r="H155" t="e">
        <f ca="1">_xll.BDP($B$52,$C$52,CONCATENATE("PX391=", $H$115), CONCATENATE("PX392=",$H$116), CONCATENATE("DS004=",$B$108), "Fill=B")</f>
        <v>#NAME?</v>
      </c>
      <c r="I155" t="e">
        <f ca="1">_xll.BDP($B$52,$C$52,CONCATENATE("PX391=", $I$115), CONCATENATE("PX392=",$I$116), CONCATENATE("DS004=",$B$108), "Fill=B")</f>
        <v>#NAME?</v>
      </c>
      <c r="J155" t="e">
        <f ca="1">_xll.BDP($B$52,$C$52,CONCATENATE("PX391=", $J$115), CONCATENATE("PX392=",$J$116), CONCATENATE("DS004=",$B$108), "Fill=B")</f>
        <v>#NAME?</v>
      </c>
      <c r="K155" t="e">
        <f ca="1">_xll.BDP($B$52,$C$52,CONCATENATE("PX391=", $K$115), CONCATENATE("PX392=",$K$116), CONCATENATE("DS004=",$B$108), "Fill=B")</f>
        <v>#NAME?</v>
      </c>
      <c r="L155" t="e">
        <f ca="1">_xll.BDP($B$52,$C$52,CONCATENATE("PX391=", $L$115), CONCATENATE("PX392=",$L$116), CONCATENATE("DS004=",$B$108), "Fill=B")</f>
        <v>#NAME?</v>
      </c>
      <c r="M155" t="e">
        <f ca="1">_xll.BDP($B$52,$C$52,CONCATENATE("PX391=", $M$115), CONCATENATE("PX392=",$M$116), CONCATENATE("DS004=",$B$108), "Fill=B")</f>
        <v>#NAME?</v>
      </c>
      <c r="N155" t="e">
        <f ca="1">_xll.BDP($B$52,$C$52,CONCATENATE("PX391=", $N$115), CONCATENATE("PX392=",$N$116), CONCATENATE("DS004=",$B$108), "Fill=B")</f>
        <v>#NAME?</v>
      </c>
      <c r="O155" t="e">
        <f ca="1">_xll.BDP($B$52,$C$52,CONCATENATE("PX391=", $O$115), CONCATENATE("PX392=",$O$116), CONCATENATE("DS004=",$B$108), "Fill=B")</f>
        <v>#NAME?</v>
      </c>
      <c r="P155" t="e">
        <f ca="1">_xll.BDP($B$52,$C$52,CONCATENATE("PX391=", $P$115), CONCATENATE("PX392=",$P$116), CONCATENATE("DS004=",$B$108), "Fill=B")</f>
        <v>#NAME?</v>
      </c>
      <c r="Q155" t="e">
        <f ca="1">_xll.BDP($B$52,$C$52,CONCATENATE("PX391=", $Q$115), CONCATENATE("PX392=",$Q$116), CONCATENATE("DS004=",$B$108), "Fill=B")</f>
        <v>#NAME?</v>
      </c>
      <c r="R155" t="e">
        <f ca="1">_xll.BDP($B$52,$C$52,CONCATENATE("PX391=", $R$115), CONCATENATE("PX392=",$R$116), CONCATENATE("DS004=",$B$108), "Fill=B")</f>
        <v>#NAME?</v>
      </c>
      <c r="S155" t="e">
        <f ca="1">_xll.BDP($B$52,$C$52,CONCATENATE("PX391=", $S$115), CONCATENATE("PX392=",$S$116), CONCATENATE("DS004=",$B$108), "Fill=B")</f>
        <v>#NAME?</v>
      </c>
      <c r="T155" t="e">
        <f ca="1">_xll.BDP($B$52,$C$52,CONCATENATE("PX391=", $T$115), CONCATENATE("PX392=",$T$116), CONCATENATE("DS004=",$B$108), "Fill=B")</f>
        <v>#NAME?</v>
      </c>
      <c r="U155" t="e">
        <f ca="1">_xll.BDP($B$52,$C$52,CONCATENATE("PX391=", $U$115), CONCATENATE("PX392=",$U$116), CONCATENATE("DS004=",$B$108), "Fill=B")</f>
        <v>#NAME?</v>
      </c>
      <c r="V155" t="e">
        <f ca="1">_xll.BDP($B$52,$C$52,CONCATENATE("PX391=", $V$115), CONCATENATE("PX392=",$V$116), CONCATENATE("DS004=",$B$108), "Fill=B")</f>
        <v>#NAME?</v>
      </c>
      <c r="W155" t="e">
        <f ca="1">_xll.BDP($B$52,$C$52,CONCATENATE("PX391=", $W$115), CONCATENATE("PX392=",$W$116), CONCATENATE("DS004=",$B$108), "Fill=B")</f>
        <v>#NAME?</v>
      </c>
      <c r="X155" t="e">
        <f ca="1">_xll.BDP($B$52,$C$52,CONCATENATE("PX391=", $X$115), CONCATENATE("PX392=",$X$116), CONCATENATE("DS004=",$B$108), "Fill=B")</f>
        <v>#NAME?</v>
      </c>
      <c r="Y155" t="e">
        <f ca="1">_xll.BDP($B$52,$C$52,CONCATENATE("PX391=", $Y$115), CONCATENATE("PX392=",$Y$116), CONCATENATE("DS004=",$B$108), "Fill=B")</f>
        <v>#NAME?</v>
      </c>
      <c r="Z155" t="e">
        <f ca="1">_xll.BDP($B$52,$C$52,CONCATENATE("PX391=", $Z$115), CONCATENATE("PX392=",$Z$116), CONCATENATE("DS004=",$B$108), "Fill=B")</f>
        <v>#NAME?</v>
      </c>
      <c r="AA155" t="e">
        <f ca="1">_xll.BDP($B$52,$C$52,CONCATENATE("PX391=", $AA$115), CONCATENATE("PX392=",$AA$116), CONCATENATE("DS004=",$B$108), "Fill=B")</f>
        <v>#NAME?</v>
      </c>
      <c r="AB155" t="e">
        <f ca="1">_xll.BDP($B$52,$C$52,CONCATENATE("PX391=", $AB$115), CONCATENATE("PX392=",$AB$116), CONCATENATE("DS004=",$B$108), "Fill=B")</f>
        <v>#NAME?</v>
      </c>
      <c r="AC155" t="e">
        <f ca="1">_xll.BDP($B$52,$C$52,CONCATENATE("PX391=", $AC$115), CONCATENATE("PX392=",$AC$116), CONCATENATE("DS004=",$B$108), "Fill=B")</f>
        <v>#NAME?</v>
      </c>
      <c r="AD155" t="e">
        <f ca="1">_xll.BDP($B$52,$C$52,CONCATENATE("PX391=", $AD$115), CONCATENATE("PX392=",$AD$116), CONCATENATE("DS004=",$B$108), "Fill=B")</f>
        <v>#NAME?</v>
      </c>
      <c r="AE155" t="e">
        <f ca="1">_xll.BDP($B$52,$C$52,CONCATENATE("PX391=", $AE$115), CONCATENATE("PX392=",$AE$116), CONCATENATE("DS004=",$B$108), "Fill=B")</f>
        <v>#NAME?</v>
      </c>
      <c r="AF155" t="e">
        <f ca="1">_xll.BDP($B$52,$C$52,CONCATENATE("PX391=", $AF$115), CONCATENATE("PX392=",$AF$116), CONCATENATE("DS004=",$B$108), "Fill=B")</f>
        <v>#NAME?</v>
      </c>
      <c r="AG155" t="e">
        <f ca="1">_xll.BDP($B$52,$C$52,CONCATENATE("PX391=", $AG$115), CONCATENATE("PX392=",$AG$116), CONCATENATE("DS004=",$B$108), "Fill=B")</f>
        <v>#NAME?</v>
      </c>
      <c r="AH155" t="e">
        <f ca="1">_xll.BDP($B$52,$C$52,CONCATENATE("PX391=", $AH$115), CONCATENATE("PX392=",$AH$116), CONCATENATE("DS004=",$B$108), "Fill=B")</f>
        <v>#NAME?</v>
      </c>
      <c r="AI155" t="e">
        <f ca="1">_xll.BDP($B$52,$C$52,CONCATENATE("PX391=", $AI$115), CONCATENATE("PX392=",$AI$116), CONCATENATE("DS004=",$B$108), "Fill=B")</f>
        <v>#NAME?</v>
      </c>
      <c r="AJ155" t="e">
        <f ca="1">_xll.BDP($B$52,$C$52,CONCATENATE("PX391=", $AJ$115), CONCATENATE("PX392=",$AJ$116), CONCATENATE("DS004=",$B$108), "Fill=B")</f>
        <v>#NAME?</v>
      </c>
      <c r="AK155" t="e">
        <f ca="1">_xll.BDP($B$52,$C$52,CONCATENATE("PX391=", $AK$115), CONCATENATE("PX392=",$AK$116), CONCATENATE("DS004=",$B$108), "Fill=B")</f>
        <v>#NAME?</v>
      </c>
      <c r="AL155" t="e">
        <f ca="1">_xll.BDP($B$52,$C$52,CONCATENATE("PX391=", $AL$115), CONCATENATE("PX392=",$AL$116), CONCATENATE("DS004=",$B$108), "Fill=B")</f>
        <v>#NAME?</v>
      </c>
      <c r="AM155" t="e">
        <f ca="1">_xll.BDP($B$52,$C$52,CONCATENATE("PX391=", $AM$115), CONCATENATE("PX392=",$AM$116), CONCATENATE("DS004=",$B$108), "Fill=B")</f>
        <v>#NAME?</v>
      </c>
      <c r="AN155" t="e">
        <f ca="1">_xll.BDP($B$52,$C$52,CONCATENATE("PX391=", $AN$115), CONCATENATE("PX392=",$AN$116), CONCATENATE("DS004=",$B$108), "Fill=B")</f>
        <v>#NAME?</v>
      </c>
      <c r="AO155" t="e">
        <f ca="1">_xll.BDP($B$52,$C$52,CONCATENATE("PX391=", $AO$115), CONCATENATE("PX392=",$AO$116), CONCATENATE("DS004=",$B$108), "Fill=B")</f>
        <v>#NAME?</v>
      </c>
      <c r="AP155" t="e">
        <f ca="1">_xll.BDP($B$52,$C$52,CONCATENATE("PX391=", $AP$115), CONCATENATE("PX392=",$AP$116), CONCATENATE("DS004=",$B$108), "Fill=B")</f>
        <v>#NAME?</v>
      </c>
      <c r="AQ155" t="e">
        <f ca="1">_xll.BDP($B$52,$C$52,CONCATENATE("PX391=", $AQ$115), CONCATENATE("PX392=",$AQ$116), CONCATENATE("DS004=",$B$108), "Fill=B")</f>
        <v>#NAME?</v>
      </c>
      <c r="AR155" t="e">
        <f ca="1">_xll.BDP($B$52,$C$52,CONCATENATE("PX391=", $AR$115), CONCATENATE("PX392=",$AR$116), CONCATENATE("DS004=",$B$108), "Fill=B")</f>
        <v>#NAME?</v>
      </c>
      <c r="AS155" t="e">
        <f ca="1">_xll.BDP($B$52,$C$52,CONCATENATE("PX391=", $AS$115), CONCATENATE("PX392=",$AS$116), CONCATENATE("DS004=",$B$108), "Fill=B")</f>
        <v>#NAME?</v>
      </c>
      <c r="AT155" t="str">
        <f>""</f>
        <v/>
      </c>
      <c r="AU155" t="str">
        <f>""</f>
        <v/>
      </c>
      <c r="AV155" t="str">
        <f>""</f>
        <v/>
      </c>
      <c r="AW155" t="str">
        <f>""</f>
        <v/>
      </c>
      <c r="AX155" t="str">
        <f>""</f>
        <v/>
      </c>
      <c r="AY155" t="str">
        <f>""</f>
        <v/>
      </c>
      <c r="AZ155" t="str">
        <f>""</f>
        <v/>
      </c>
      <c r="BA155" t="str">
        <f>""</f>
        <v/>
      </c>
      <c r="BB155" t="str">
        <f>""</f>
        <v/>
      </c>
      <c r="BC155" t="str">
        <f>""</f>
        <v/>
      </c>
      <c r="BD155" t="str">
        <f>""</f>
        <v/>
      </c>
      <c r="BE155" t="str">
        <f>""</f>
        <v/>
      </c>
      <c r="BF155" t="str">
        <f>""</f>
        <v/>
      </c>
      <c r="BG155" t="str">
        <f>""</f>
        <v/>
      </c>
      <c r="BH155" t="str">
        <f>""</f>
        <v/>
      </c>
      <c r="BI155" t="str">
        <f>""</f>
        <v/>
      </c>
      <c r="BJ155" t="str">
        <f>""</f>
        <v/>
      </c>
      <c r="BK155" t="str">
        <f>""</f>
        <v/>
      </c>
      <c r="BL155" t="str">
        <f>""</f>
        <v/>
      </c>
      <c r="BM155" t="str">
        <f>""</f>
        <v/>
      </c>
      <c r="BN155" t="str">
        <f>""</f>
        <v/>
      </c>
      <c r="BO155" t="str">
        <f>""</f>
        <v/>
      </c>
      <c r="BP155" t="str">
        <f>""</f>
        <v/>
      </c>
      <c r="BQ155" t="str">
        <f>""</f>
        <v/>
      </c>
      <c r="BR155" t="str">
        <f>""</f>
        <v/>
      </c>
      <c r="BS155" t="str">
        <f>""</f>
        <v/>
      </c>
      <c r="BT155" t="str">
        <f>""</f>
        <v/>
      </c>
      <c r="BU155" t="str">
        <f>""</f>
        <v/>
      </c>
      <c r="BV155" t="str">
        <f>""</f>
        <v/>
      </c>
      <c r="BW155" t="str">
        <f>""</f>
        <v/>
      </c>
      <c r="BX155" t="str">
        <f>""</f>
        <v/>
      </c>
      <c r="BY155" t="str">
        <f>""</f>
        <v/>
      </c>
      <c r="BZ155" t="str">
        <f>""</f>
        <v/>
      </c>
      <c r="CA155" t="str">
        <f>""</f>
        <v/>
      </c>
      <c r="CB155" t="str">
        <f>""</f>
        <v/>
      </c>
      <c r="CC155" t="str">
        <f>""</f>
        <v/>
      </c>
      <c r="CD155" t="str">
        <f>""</f>
        <v/>
      </c>
      <c r="CE155" t="str">
        <f>""</f>
        <v/>
      </c>
      <c r="CF155" t="str">
        <f>""</f>
        <v/>
      </c>
      <c r="CG155" t="str">
        <f>""</f>
        <v/>
      </c>
    </row>
    <row r="156" spans="1:85" x14ac:dyDescent="0.2">
      <c r="A156" t="str">
        <f>$A$53</f>
        <v xml:space="preserve">        Railways</v>
      </c>
      <c r="B156" t="str">
        <f>$B$53</f>
        <v>RTBARAVD Index</v>
      </c>
      <c r="C156" t="str">
        <f>$C$53</f>
        <v>PX385</v>
      </c>
      <c r="D156" t="str">
        <f>$D$53</f>
        <v>INTERVAL_SUM</v>
      </c>
      <c r="E156" t="str">
        <f>$E$53</f>
        <v>Dynamic</v>
      </c>
      <c r="F156" t="e">
        <f ca="1">_xll.BDP($B$53,$C$53,CONCATENATE("PX391=", $F$115), CONCATENATE("PX392=",$F$116), CONCATENATE("DS004=",$B$108), "Fill=B")</f>
        <v>#NAME?</v>
      </c>
      <c r="G156" t="e">
        <f ca="1">_xll.BDP($B$53,$C$53,CONCATENATE("PX391=", $G$115), CONCATENATE("PX392=",$G$116), CONCATENATE("DS004=",$B$108), "Fill=B")</f>
        <v>#NAME?</v>
      </c>
      <c r="H156" t="e">
        <f ca="1">_xll.BDP($B$53,$C$53,CONCATENATE("PX391=", $H$115), CONCATENATE("PX392=",$H$116), CONCATENATE("DS004=",$B$108), "Fill=B")</f>
        <v>#NAME?</v>
      </c>
      <c r="I156" t="e">
        <f ca="1">_xll.BDP($B$53,$C$53,CONCATENATE("PX391=", $I$115), CONCATENATE("PX392=",$I$116), CONCATENATE("DS004=",$B$108), "Fill=B")</f>
        <v>#NAME?</v>
      </c>
      <c r="J156" t="e">
        <f ca="1">_xll.BDP($B$53,$C$53,CONCATENATE("PX391=", $J$115), CONCATENATE("PX392=",$J$116), CONCATENATE("DS004=",$B$108), "Fill=B")</f>
        <v>#NAME?</v>
      </c>
      <c r="K156" t="e">
        <f ca="1">_xll.BDP($B$53,$C$53,CONCATENATE("PX391=", $K$115), CONCATENATE("PX392=",$K$116), CONCATENATE("DS004=",$B$108), "Fill=B")</f>
        <v>#NAME?</v>
      </c>
      <c r="L156" t="e">
        <f ca="1">_xll.BDP($B$53,$C$53,CONCATENATE("PX391=", $L$115), CONCATENATE("PX392=",$L$116), CONCATENATE("DS004=",$B$108), "Fill=B")</f>
        <v>#NAME?</v>
      </c>
      <c r="M156" t="e">
        <f ca="1">_xll.BDP($B$53,$C$53,CONCATENATE("PX391=", $M$115), CONCATENATE("PX392=",$M$116), CONCATENATE("DS004=",$B$108), "Fill=B")</f>
        <v>#NAME?</v>
      </c>
      <c r="N156" t="e">
        <f ca="1">_xll.BDP($B$53,$C$53,CONCATENATE("PX391=", $N$115), CONCATENATE("PX392=",$N$116), CONCATENATE("DS004=",$B$108), "Fill=B")</f>
        <v>#NAME?</v>
      </c>
      <c r="O156" t="e">
        <f ca="1">_xll.BDP($B$53,$C$53,CONCATENATE("PX391=", $O$115), CONCATENATE("PX392=",$O$116), CONCATENATE("DS004=",$B$108), "Fill=B")</f>
        <v>#NAME?</v>
      </c>
      <c r="P156" t="e">
        <f ca="1">_xll.BDP($B$53,$C$53,CONCATENATE("PX391=", $P$115), CONCATENATE("PX392=",$P$116), CONCATENATE("DS004=",$B$108), "Fill=B")</f>
        <v>#NAME?</v>
      </c>
      <c r="Q156" t="e">
        <f ca="1">_xll.BDP($B$53,$C$53,CONCATENATE("PX391=", $Q$115), CONCATENATE("PX392=",$Q$116), CONCATENATE("DS004=",$B$108), "Fill=B")</f>
        <v>#NAME?</v>
      </c>
      <c r="R156" t="e">
        <f ca="1">_xll.BDP($B$53,$C$53,CONCATENATE("PX391=", $R$115), CONCATENATE("PX392=",$R$116), CONCATENATE("DS004=",$B$108), "Fill=B")</f>
        <v>#NAME?</v>
      </c>
      <c r="S156" t="e">
        <f ca="1">_xll.BDP($B$53,$C$53,CONCATENATE("PX391=", $S$115), CONCATENATE("PX392=",$S$116), CONCATENATE("DS004=",$B$108), "Fill=B")</f>
        <v>#NAME?</v>
      </c>
      <c r="T156" t="e">
        <f ca="1">_xll.BDP($B$53,$C$53,CONCATENATE("PX391=", $T$115), CONCATENATE("PX392=",$T$116), CONCATENATE("DS004=",$B$108), "Fill=B")</f>
        <v>#NAME?</v>
      </c>
      <c r="U156" t="e">
        <f ca="1">_xll.BDP($B$53,$C$53,CONCATENATE("PX391=", $U$115), CONCATENATE("PX392=",$U$116), CONCATENATE("DS004=",$B$108), "Fill=B")</f>
        <v>#NAME?</v>
      </c>
      <c r="V156" t="e">
        <f ca="1">_xll.BDP($B$53,$C$53,CONCATENATE("PX391=", $V$115), CONCATENATE("PX392=",$V$116), CONCATENATE("DS004=",$B$108), "Fill=B")</f>
        <v>#NAME?</v>
      </c>
      <c r="W156" t="e">
        <f ca="1">_xll.BDP($B$53,$C$53,CONCATENATE("PX391=", $W$115), CONCATENATE("PX392=",$W$116), CONCATENATE("DS004=",$B$108), "Fill=B")</f>
        <v>#NAME?</v>
      </c>
      <c r="X156" t="e">
        <f ca="1">_xll.BDP($B$53,$C$53,CONCATENATE("PX391=", $X$115), CONCATENATE("PX392=",$X$116), CONCATENATE("DS004=",$B$108), "Fill=B")</f>
        <v>#NAME?</v>
      </c>
      <c r="Y156" t="e">
        <f ca="1">_xll.BDP($B$53,$C$53,CONCATENATE("PX391=", $Y$115), CONCATENATE("PX392=",$Y$116), CONCATENATE("DS004=",$B$108), "Fill=B")</f>
        <v>#NAME?</v>
      </c>
      <c r="Z156" t="e">
        <f ca="1">_xll.BDP($B$53,$C$53,CONCATENATE("PX391=", $Z$115), CONCATENATE("PX392=",$Z$116), CONCATENATE("DS004=",$B$108), "Fill=B")</f>
        <v>#NAME?</v>
      </c>
      <c r="AA156" t="e">
        <f ca="1">_xll.BDP($B$53,$C$53,CONCATENATE("PX391=", $AA$115), CONCATENATE("PX392=",$AA$116), CONCATENATE("DS004=",$B$108), "Fill=B")</f>
        <v>#NAME?</v>
      </c>
      <c r="AB156" t="e">
        <f ca="1">_xll.BDP($B$53,$C$53,CONCATENATE("PX391=", $AB$115), CONCATENATE("PX392=",$AB$116), CONCATENATE("DS004=",$B$108), "Fill=B")</f>
        <v>#NAME?</v>
      </c>
      <c r="AC156" t="e">
        <f ca="1">_xll.BDP($B$53,$C$53,CONCATENATE("PX391=", $AC$115), CONCATENATE("PX392=",$AC$116), CONCATENATE("DS004=",$B$108), "Fill=B")</f>
        <v>#NAME?</v>
      </c>
      <c r="AD156" t="e">
        <f ca="1">_xll.BDP($B$53,$C$53,CONCATENATE("PX391=", $AD$115), CONCATENATE("PX392=",$AD$116), CONCATENATE("DS004=",$B$108), "Fill=B")</f>
        <v>#NAME?</v>
      </c>
      <c r="AE156" t="e">
        <f ca="1">_xll.BDP($B$53,$C$53,CONCATENATE("PX391=", $AE$115), CONCATENATE("PX392=",$AE$116), CONCATENATE("DS004=",$B$108), "Fill=B")</f>
        <v>#NAME?</v>
      </c>
      <c r="AF156" t="e">
        <f ca="1">_xll.BDP($B$53,$C$53,CONCATENATE("PX391=", $AF$115), CONCATENATE("PX392=",$AF$116), CONCATENATE("DS004=",$B$108), "Fill=B")</f>
        <v>#NAME?</v>
      </c>
      <c r="AG156" t="e">
        <f ca="1">_xll.BDP($B$53,$C$53,CONCATENATE("PX391=", $AG$115), CONCATENATE("PX392=",$AG$116), CONCATENATE("DS004=",$B$108), "Fill=B")</f>
        <v>#NAME?</v>
      </c>
      <c r="AH156" t="e">
        <f ca="1">_xll.BDP($B$53,$C$53,CONCATENATE("PX391=", $AH$115), CONCATENATE("PX392=",$AH$116), CONCATENATE("DS004=",$B$108), "Fill=B")</f>
        <v>#NAME?</v>
      </c>
      <c r="AI156" t="e">
        <f ca="1">_xll.BDP($B$53,$C$53,CONCATENATE("PX391=", $AI$115), CONCATENATE("PX392=",$AI$116), CONCATENATE("DS004=",$B$108), "Fill=B")</f>
        <v>#NAME?</v>
      </c>
      <c r="AJ156" t="e">
        <f ca="1">_xll.BDP($B$53,$C$53,CONCATENATE("PX391=", $AJ$115), CONCATENATE("PX392=",$AJ$116), CONCATENATE("DS004=",$B$108), "Fill=B")</f>
        <v>#NAME?</v>
      </c>
      <c r="AK156" t="e">
        <f ca="1">_xll.BDP($B$53,$C$53,CONCATENATE("PX391=", $AK$115), CONCATENATE("PX392=",$AK$116), CONCATENATE("DS004=",$B$108), "Fill=B")</f>
        <v>#NAME?</v>
      </c>
      <c r="AL156" t="e">
        <f ca="1">_xll.BDP($B$53,$C$53,CONCATENATE("PX391=", $AL$115), CONCATENATE("PX392=",$AL$116), CONCATENATE("DS004=",$B$108), "Fill=B")</f>
        <v>#NAME?</v>
      </c>
      <c r="AM156" t="e">
        <f ca="1">_xll.BDP($B$53,$C$53,CONCATENATE("PX391=", $AM$115), CONCATENATE("PX392=",$AM$116), CONCATENATE("DS004=",$B$108), "Fill=B")</f>
        <v>#NAME?</v>
      </c>
      <c r="AN156" t="e">
        <f ca="1">_xll.BDP($B$53,$C$53,CONCATENATE("PX391=", $AN$115), CONCATENATE("PX392=",$AN$116), CONCATENATE("DS004=",$B$108), "Fill=B")</f>
        <v>#NAME?</v>
      </c>
      <c r="AO156" t="e">
        <f ca="1">_xll.BDP($B$53,$C$53,CONCATENATE("PX391=", $AO$115), CONCATENATE("PX392=",$AO$116), CONCATENATE("DS004=",$B$108), "Fill=B")</f>
        <v>#NAME?</v>
      </c>
      <c r="AP156" t="e">
        <f ca="1">_xll.BDP($B$53,$C$53,CONCATENATE("PX391=", $AP$115), CONCATENATE("PX392=",$AP$116), CONCATENATE("DS004=",$B$108), "Fill=B")</f>
        <v>#NAME?</v>
      </c>
      <c r="AQ156" t="e">
        <f ca="1">_xll.BDP($B$53,$C$53,CONCATENATE("PX391=", $AQ$115), CONCATENATE("PX392=",$AQ$116), CONCATENATE("DS004=",$B$108), "Fill=B")</f>
        <v>#NAME?</v>
      </c>
      <c r="AR156" t="e">
        <f ca="1">_xll.BDP($B$53,$C$53,CONCATENATE("PX391=", $AR$115), CONCATENATE("PX392=",$AR$116), CONCATENATE("DS004=",$B$108), "Fill=B")</f>
        <v>#NAME?</v>
      </c>
      <c r="AS156" t="e">
        <f ca="1">_xll.BDP($B$53,$C$53,CONCATENATE("PX391=", $AS$115), CONCATENATE("PX392=",$AS$116), CONCATENATE("DS004=",$B$108), "Fill=B")</f>
        <v>#NAME?</v>
      </c>
      <c r="AT156" t="str">
        <f>""</f>
        <v/>
      </c>
      <c r="AU156" t="str">
        <f>""</f>
        <v/>
      </c>
      <c r="AV156" t="str">
        <f>""</f>
        <v/>
      </c>
      <c r="AW156" t="str">
        <f>""</f>
        <v/>
      </c>
      <c r="AX156" t="str">
        <f>""</f>
        <v/>
      </c>
      <c r="AY156" t="str">
        <f>""</f>
        <v/>
      </c>
      <c r="AZ156" t="str">
        <f>""</f>
        <v/>
      </c>
      <c r="BA156" t="str">
        <f>""</f>
        <v/>
      </c>
      <c r="BB156" t="str">
        <f>""</f>
        <v/>
      </c>
      <c r="BC156" t="str">
        <f>""</f>
        <v/>
      </c>
      <c r="BD156" t="str">
        <f>""</f>
        <v/>
      </c>
      <c r="BE156" t="str">
        <f>""</f>
        <v/>
      </c>
      <c r="BF156" t="str">
        <f>""</f>
        <v/>
      </c>
      <c r="BG156" t="str">
        <f>""</f>
        <v/>
      </c>
      <c r="BH156" t="str">
        <f>""</f>
        <v/>
      </c>
      <c r="BI156" t="str">
        <f>""</f>
        <v/>
      </c>
      <c r="BJ156" t="str">
        <f>""</f>
        <v/>
      </c>
      <c r="BK156" t="str">
        <f>""</f>
        <v/>
      </c>
      <c r="BL156" t="str">
        <f>""</f>
        <v/>
      </c>
      <c r="BM156" t="str">
        <f>""</f>
        <v/>
      </c>
      <c r="BN156" t="str">
        <f>""</f>
        <v/>
      </c>
      <c r="BO156" t="str">
        <f>""</f>
        <v/>
      </c>
      <c r="BP156" t="str">
        <f>""</f>
        <v/>
      </c>
      <c r="BQ156" t="str">
        <f>""</f>
        <v/>
      </c>
      <c r="BR156" t="str">
        <f>""</f>
        <v/>
      </c>
      <c r="BS156" t="str">
        <f>""</f>
        <v/>
      </c>
      <c r="BT156" t="str">
        <f>""</f>
        <v/>
      </c>
      <c r="BU156" t="str">
        <f>""</f>
        <v/>
      </c>
      <c r="BV156" t="str">
        <f>""</f>
        <v/>
      </c>
      <c r="BW156" t="str">
        <f>""</f>
        <v/>
      </c>
      <c r="BX156" t="str">
        <f>""</f>
        <v/>
      </c>
      <c r="BY156" t="str">
        <f>""</f>
        <v/>
      </c>
      <c r="BZ156" t="str">
        <f>""</f>
        <v/>
      </c>
      <c r="CA156" t="str">
        <f>""</f>
        <v/>
      </c>
      <c r="CB156" t="str">
        <f>""</f>
        <v/>
      </c>
      <c r="CC156" t="str">
        <f>""</f>
        <v/>
      </c>
      <c r="CD156" t="str">
        <f>""</f>
        <v/>
      </c>
      <c r="CE156" t="str">
        <f>""</f>
        <v/>
      </c>
      <c r="CF156" t="str">
        <f>""</f>
        <v/>
      </c>
      <c r="CG156" t="str">
        <f>""</f>
        <v/>
      </c>
    </row>
    <row r="157" spans="1:85" x14ac:dyDescent="0.2">
      <c r="A157" t="str">
        <f>$A$56</f>
        <v xml:space="preserve">        Airports</v>
      </c>
      <c r="B157" t="str">
        <f>$B$56</f>
        <v>RTBAAANU Index</v>
      </c>
      <c r="C157" t="str">
        <f>$C$56</f>
        <v>PX385</v>
      </c>
      <c r="D157" t="str">
        <f>$D$56</f>
        <v>INTERVAL_SUM</v>
      </c>
      <c r="E157" t="str">
        <f>$E$56</f>
        <v>Dynamic</v>
      </c>
      <c r="F157" t="e">
        <f ca="1">_xll.BDP($B$56,$C$56,CONCATENATE("PX391=", $F$115), CONCATENATE("PX392=",$F$116), CONCATENATE("DS004=",$B$108), "Fill=B")</f>
        <v>#NAME?</v>
      </c>
      <c r="G157" t="e">
        <f ca="1">_xll.BDP($B$56,$C$56,CONCATENATE("PX391=", $G$115), CONCATENATE("PX392=",$G$116), CONCATENATE("DS004=",$B$108), "Fill=B")</f>
        <v>#NAME?</v>
      </c>
      <c r="H157" t="e">
        <f ca="1">_xll.BDP($B$56,$C$56,CONCATENATE("PX391=", $H$115), CONCATENATE("PX392=",$H$116), CONCATENATE("DS004=",$B$108), "Fill=B")</f>
        <v>#NAME?</v>
      </c>
      <c r="I157" t="e">
        <f ca="1">_xll.BDP($B$56,$C$56,CONCATENATE("PX391=", $I$115), CONCATENATE("PX392=",$I$116), CONCATENATE("DS004=",$B$108), "Fill=B")</f>
        <v>#NAME?</v>
      </c>
      <c r="J157" t="e">
        <f ca="1">_xll.BDP($B$56,$C$56,CONCATENATE("PX391=", $J$115), CONCATENATE("PX392=",$J$116), CONCATENATE("DS004=",$B$108), "Fill=B")</f>
        <v>#NAME?</v>
      </c>
      <c r="K157" t="e">
        <f ca="1">_xll.BDP($B$56,$C$56,CONCATENATE("PX391=", $K$115), CONCATENATE("PX392=",$K$116), CONCATENATE("DS004=",$B$108), "Fill=B")</f>
        <v>#NAME?</v>
      </c>
      <c r="L157" t="e">
        <f ca="1">_xll.BDP($B$56,$C$56,CONCATENATE("PX391=", $L$115), CONCATENATE("PX392=",$L$116), CONCATENATE("DS004=",$B$108), "Fill=B")</f>
        <v>#NAME?</v>
      </c>
      <c r="M157" t="e">
        <f ca="1">_xll.BDP($B$56,$C$56,CONCATENATE("PX391=", $M$115), CONCATENATE("PX392=",$M$116), CONCATENATE("DS004=",$B$108), "Fill=B")</f>
        <v>#NAME?</v>
      </c>
      <c r="N157" t="e">
        <f ca="1">_xll.BDP($B$56,$C$56,CONCATENATE("PX391=", $N$115), CONCATENATE("PX392=",$N$116), CONCATENATE("DS004=",$B$108), "Fill=B")</f>
        <v>#NAME?</v>
      </c>
      <c r="O157" t="e">
        <f ca="1">_xll.BDP($B$56,$C$56,CONCATENATE("PX391=", $O$115), CONCATENATE("PX392=",$O$116), CONCATENATE("DS004=",$B$108), "Fill=B")</f>
        <v>#NAME?</v>
      </c>
      <c r="P157" t="e">
        <f ca="1">_xll.BDP($B$56,$C$56,CONCATENATE("PX391=", $P$115), CONCATENATE("PX392=",$P$116), CONCATENATE("DS004=",$B$108), "Fill=B")</f>
        <v>#NAME?</v>
      </c>
      <c r="Q157" t="e">
        <f ca="1">_xll.BDP($B$56,$C$56,CONCATENATE("PX391=", $Q$115), CONCATENATE("PX392=",$Q$116), CONCATENATE("DS004=",$B$108), "Fill=B")</f>
        <v>#NAME?</v>
      </c>
      <c r="R157" t="e">
        <f ca="1">_xll.BDP($B$56,$C$56,CONCATENATE("PX391=", $R$115), CONCATENATE("PX392=",$R$116), CONCATENATE("DS004=",$B$108), "Fill=B")</f>
        <v>#NAME?</v>
      </c>
      <c r="S157" t="e">
        <f ca="1">_xll.BDP($B$56,$C$56,CONCATENATE("PX391=", $S$115), CONCATENATE("PX392=",$S$116), CONCATENATE("DS004=",$B$108), "Fill=B")</f>
        <v>#NAME?</v>
      </c>
      <c r="T157" t="e">
        <f ca="1">_xll.BDP($B$56,$C$56,CONCATENATE("PX391=", $T$115), CONCATENATE("PX392=",$T$116), CONCATENATE("DS004=",$B$108), "Fill=B")</f>
        <v>#NAME?</v>
      </c>
      <c r="U157" t="e">
        <f ca="1">_xll.BDP($B$56,$C$56,CONCATENATE("PX391=", $U$115), CONCATENATE("PX392=",$U$116), CONCATENATE("DS004=",$B$108), "Fill=B")</f>
        <v>#NAME?</v>
      </c>
      <c r="V157" t="e">
        <f ca="1">_xll.BDP($B$56,$C$56,CONCATENATE("PX391=", $V$115), CONCATENATE("PX392=",$V$116), CONCATENATE("DS004=",$B$108), "Fill=B")</f>
        <v>#NAME?</v>
      </c>
      <c r="W157" t="e">
        <f ca="1">_xll.BDP($B$56,$C$56,CONCATENATE("PX391=", $W$115), CONCATENATE("PX392=",$W$116), CONCATENATE("DS004=",$B$108), "Fill=B")</f>
        <v>#NAME?</v>
      </c>
      <c r="X157" t="e">
        <f ca="1">_xll.BDP($B$56,$C$56,CONCATENATE("PX391=", $X$115), CONCATENATE("PX392=",$X$116), CONCATENATE("DS004=",$B$108), "Fill=B")</f>
        <v>#NAME?</v>
      </c>
      <c r="Y157" t="e">
        <f ca="1">_xll.BDP($B$56,$C$56,CONCATENATE("PX391=", $Y$115), CONCATENATE("PX392=",$Y$116), CONCATENATE("DS004=",$B$108), "Fill=B")</f>
        <v>#NAME?</v>
      </c>
      <c r="Z157" t="e">
        <f ca="1">_xll.BDP($B$56,$C$56,CONCATENATE("PX391=", $Z$115), CONCATENATE("PX392=",$Z$116), CONCATENATE("DS004=",$B$108), "Fill=B")</f>
        <v>#NAME?</v>
      </c>
      <c r="AA157" t="e">
        <f ca="1">_xll.BDP($B$56,$C$56,CONCATENATE("PX391=", $AA$115), CONCATENATE("PX392=",$AA$116), CONCATENATE("DS004=",$B$108), "Fill=B")</f>
        <v>#NAME?</v>
      </c>
      <c r="AB157" t="e">
        <f ca="1">_xll.BDP($B$56,$C$56,CONCATENATE("PX391=", $AB$115), CONCATENATE("PX392=",$AB$116), CONCATENATE("DS004=",$B$108), "Fill=B")</f>
        <v>#NAME?</v>
      </c>
      <c r="AC157" t="e">
        <f ca="1">_xll.BDP($B$56,$C$56,CONCATENATE("PX391=", $AC$115), CONCATENATE("PX392=",$AC$116), CONCATENATE("DS004=",$B$108), "Fill=B")</f>
        <v>#NAME?</v>
      </c>
      <c r="AD157" t="e">
        <f ca="1">_xll.BDP($B$56,$C$56,CONCATENATE("PX391=", $AD$115), CONCATENATE("PX392=",$AD$116), CONCATENATE("DS004=",$B$108), "Fill=B")</f>
        <v>#NAME?</v>
      </c>
      <c r="AE157" t="e">
        <f ca="1">_xll.BDP($B$56,$C$56,CONCATENATE("PX391=", $AE$115), CONCATENATE("PX392=",$AE$116), CONCATENATE("DS004=",$B$108), "Fill=B")</f>
        <v>#NAME?</v>
      </c>
      <c r="AF157" t="e">
        <f ca="1">_xll.BDP($B$56,$C$56,CONCATENATE("PX391=", $AF$115), CONCATENATE("PX392=",$AF$116), CONCATENATE("DS004=",$B$108), "Fill=B")</f>
        <v>#NAME?</v>
      </c>
      <c r="AG157" t="e">
        <f ca="1">_xll.BDP($B$56,$C$56,CONCATENATE("PX391=", $AG$115), CONCATENATE("PX392=",$AG$116), CONCATENATE("DS004=",$B$108), "Fill=B")</f>
        <v>#NAME?</v>
      </c>
      <c r="AH157" t="e">
        <f ca="1">_xll.BDP($B$56,$C$56,CONCATENATE("PX391=", $AH$115), CONCATENATE("PX392=",$AH$116), CONCATENATE("DS004=",$B$108), "Fill=B")</f>
        <v>#NAME?</v>
      </c>
      <c r="AI157" t="e">
        <f ca="1">_xll.BDP($B$56,$C$56,CONCATENATE("PX391=", $AI$115), CONCATENATE("PX392=",$AI$116), CONCATENATE("DS004=",$B$108), "Fill=B")</f>
        <v>#NAME?</v>
      </c>
      <c r="AJ157" t="e">
        <f ca="1">_xll.BDP($B$56,$C$56,CONCATENATE("PX391=", $AJ$115), CONCATENATE("PX392=",$AJ$116), CONCATENATE("DS004=",$B$108), "Fill=B")</f>
        <v>#NAME?</v>
      </c>
      <c r="AK157" t="e">
        <f ca="1">_xll.BDP($B$56,$C$56,CONCATENATE("PX391=", $AK$115), CONCATENATE("PX392=",$AK$116), CONCATENATE("DS004=",$B$108), "Fill=B")</f>
        <v>#NAME?</v>
      </c>
      <c r="AL157" t="e">
        <f ca="1">_xll.BDP($B$56,$C$56,CONCATENATE("PX391=", $AL$115), CONCATENATE("PX392=",$AL$116), CONCATENATE("DS004=",$B$108), "Fill=B")</f>
        <v>#NAME?</v>
      </c>
      <c r="AM157" t="e">
        <f ca="1">_xll.BDP($B$56,$C$56,CONCATENATE("PX391=", $AM$115), CONCATENATE("PX392=",$AM$116), CONCATENATE("DS004=",$B$108), "Fill=B")</f>
        <v>#NAME?</v>
      </c>
      <c r="AN157" t="e">
        <f ca="1">_xll.BDP($B$56,$C$56,CONCATENATE("PX391=", $AN$115), CONCATENATE("PX392=",$AN$116), CONCATENATE("DS004=",$B$108), "Fill=B")</f>
        <v>#NAME?</v>
      </c>
      <c r="AO157" t="e">
        <f ca="1">_xll.BDP($B$56,$C$56,CONCATENATE("PX391=", $AO$115), CONCATENATE("PX392=",$AO$116), CONCATENATE("DS004=",$B$108), "Fill=B")</f>
        <v>#NAME?</v>
      </c>
      <c r="AP157" t="e">
        <f ca="1">_xll.BDP($B$56,$C$56,CONCATENATE("PX391=", $AP$115), CONCATENATE("PX392=",$AP$116), CONCATENATE("DS004=",$B$108), "Fill=B")</f>
        <v>#NAME?</v>
      </c>
      <c r="AQ157" t="e">
        <f ca="1">_xll.BDP($B$56,$C$56,CONCATENATE("PX391=", $AQ$115), CONCATENATE("PX392=",$AQ$116), CONCATENATE("DS004=",$B$108), "Fill=B")</f>
        <v>#NAME?</v>
      </c>
      <c r="AR157" t="e">
        <f ca="1">_xll.BDP($B$56,$C$56,CONCATENATE("PX391=", $AR$115), CONCATENATE("PX392=",$AR$116), CONCATENATE("DS004=",$B$108), "Fill=B")</f>
        <v>#NAME?</v>
      </c>
      <c r="AS157" t="e">
        <f ca="1">_xll.BDP($B$56,$C$56,CONCATENATE("PX391=", $AS$115), CONCATENATE("PX392=",$AS$116), CONCATENATE("DS004=",$B$108), "Fill=B")</f>
        <v>#NAME?</v>
      </c>
      <c r="AT157" t="str">
        <f>""</f>
        <v/>
      </c>
      <c r="AU157" t="str">
        <f>""</f>
        <v/>
      </c>
      <c r="AV157" t="str">
        <f>""</f>
        <v/>
      </c>
      <c r="AW157" t="str">
        <f>""</f>
        <v/>
      </c>
      <c r="AX157" t="str">
        <f>""</f>
        <v/>
      </c>
      <c r="AY157" t="str">
        <f>""</f>
        <v/>
      </c>
      <c r="AZ157" t="str">
        <f>""</f>
        <v/>
      </c>
      <c r="BA157" t="str">
        <f>""</f>
        <v/>
      </c>
      <c r="BB157" t="str">
        <f>""</f>
        <v/>
      </c>
      <c r="BC157" t="str">
        <f>""</f>
        <v/>
      </c>
      <c r="BD157" t="str">
        <f>""</f>
        <v/>
      </c>
      <c r="BE157" t="str">
        <f>""</f>
        <v/>
      </c>
      <c r="BF157" t="str">
        <f>""</f>
        <v/>
      </c>
      <c r="BG157" t="str">
        <f>""</f>
        <v/>
      </c>
      <c r="BH157" t="str">
        <f>""</f>
        <v/>
      </c>
      <c r="BI157" t="str">
        <f>""</f>
        <v/>
      </c>
      <c r="BJ157" t="str">
        <f>""</f>
        <v/>
      </c>
      <c r="BK157" t="str">
        <f>""</f>
        <v/>
      </c>
      <c r="BL157" t="str">
        <f>""</f>
        <v/>
      </c>
      <c r="BM157" t="str">
        <f>""</f>
        <v/>
      </c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  <c r="BT157" t="str">
        <f>""</f>
        <v/>
      </c>
      <c r="BU157" t="str">
        <f>""</f>
        <v/>
      </c>
      <c r="BV157" t="str">
        <f>""</f>
        <v/>
      </c>
      <c r="BW157" t="str">
        <f>""</f>
        <v/>
      </c>
      <c r="BX157" t="str">
        <f>""</f>
        <v/>
      </c>
      <c r="BY157" t="str">
        <f>""</f>
        <v/>
      </c>
      <c r="BZ157" t="str">
        <f>""</f>
        <v/>
      </c>
      <c r="CA157" t="str">
        <f>""</f>
        <v/>
      </c>
      <c r="CB157" t="str">
        <f>""</f>
        <v/>
      </c>
      <c r="CC157" t="str">
        <f>""</f>
        <v/>
      </c>
      <c r="CD157" t="str">
        <f>""</f>
        <v/>
      </c>
      <c r="CE157" t="str">
        <f>""</f>
        <v/>
      </c>
      <c r="CF157" t="str">
        <f>""</f>
        <v/>
      </c>
      <c r="CG157" t="str">
        <f>""</f>
        <v/>
      </c>
    </row>
    <row r="158" spans="1:85" x14ac:dyDescent="0.2">
      <c r="A158" t="str">
        <f>$A$57</f>
        <v xml:space="preserve">        Bridge &amp; Tunnel</v>
      </c>
      <c r="B158" t="str">
        <f>$B$57</f>
        <v>RTBABTNU Index</v>
      </c>
      <c r="C158" t="str">
        <f>$C$57</f>
        <v>PX385</v>
      </c>
      <c r="D158" t="str">
        <f>$D$57</f>
        <v>INTERVAL_SUM</v>
      </c>
      <c r="E158" t="str">
        <f>$E$57</f>
        <v>Dynamic</v>
      </c>
      <c r="F158" t="e">
        <f ca="1">_xll.BDP($B$57,$C$57,CONCATENATE("PX391=", $F$115), CONCATENATE("PX392=",$F$116), CONCATENATE("DS004=",$B$108), "Fill=B")</f>
        <v>#NAME?</v>
      </c>
      <c r="G158" t="e">
        <f ca="1">_xll.BDP($B$57,$C$57,CONCATENATE("PX391=", $G$115), CONCATENATE("PX392=",$G$116), CONCATENATE("DS004=",$B$108), "Fill=B")</f>
        <v>#NAME?</v>
      </c>
      <c r="H158" t="e">
        <f ca="1">_xll.BDP($B$57,$C$57,CONCATENATE("PX391=", $H$115), CONCATENATE("PX392=",$H$116), CONCATENATE("DS004=",$B$108), "Fill=B")</f>
        <v>#NAME?</v>
      </c>
      <c r="I158" t="e">
        <f ca="1">_xll.BDP($B$57,$C$57,CONCATENATE("PX391=", $I$115), CONCATENATE("PX392=",$I$116), CONCATENATE("DS004=",$B$108), "Fill=B")</f>
        <v>#NAME?</v>
      </c>
      <c r="J158" t="e">
        <f ca="1">_xll.BDP($B$57,$C$57,CONCATENATE("PX391=", $J$115), CONCATENATE("PX392=",$J$116), CONCATENATE("DS004=",$B$108), "Fill=B")</f>
        <v>#NAME?</v>
      </c>
      <c r="K158" t="e">
        <f ca="1">_xll.BDP($B$57,$C$57,CONCATENATE("PX391=", $K$115), CONCATENATE("PX392=",$K$116), CONCATENATE("DS004=",$B$108), "Fill=B")</f>
        <v>#NAME?</v>
      </c>
      <c r="L158" t="e">
        <f ca="1">_xll.BDP($B$57,$C$57,CONCATENATE("PX391=", $L$115), CONCATENATE("PX392=",$L$116), CONCATENATE("DS004=",$B$108), "Fill=B")</f>
        <v>#NAME?</v>
      </c>
      <c r="M158" t="e">
        <f ca="1">_xll.BDP($B$57,$C$57,CONCATENATE("PX391=", $M$115), CONCATENATE("PX392=",$M$116), CONCATENATE("DS004=",$B$108), "Fill=B")</f>
        <v>#NAME?</v>
      </c>
      <c r="N158" t="e">
        <f ca="1">_xll.BDP($B$57,$C$57,CONCATENATE("PX391=", $N$115), CONCATENATE("PX392=",$N$116), CONCATENATE("DS004=",$B$108), "Fill=B")</f>
        <v>#NAME?</v>
      </c>
      <c r="O158" t="e">
        <f ca="1">_xll.BDP($B$57,$C$57,CONCATENATE("PX391=", $O$115), CONCATENATE("PX392=",$O$116), CONCATENATE("DS004=",$B$108), "Fill=B")</f>
        <v>#NAME?</v>
      </c>
      <c r="P158" t="e">
        <f ca="1">_xll.BDP($B$57,$C$57,CONCATENATE("PX391=", $P$115), CONCATENATE("PX392=",$P$116), CONCATENATE("DS004=",$B$108), "Fill=B")</f>
        <v>#NAME?</v>
      </c>
      <c r="Q158" t="e">
        <f ca="1">_xll.BDP($B$57,$C$57,CONCATENATE("PX391=", $Q$115), CONCATENATE("PX392=",$Q$116), CONCATENATE("DS004=",$B$108), "Fill=B")</f>
        <v>#NAME?</v>
      </c>
      <c r="R158" t="e">
        <f ca="1">_xll.BDP($B$57,$C$57,CONCATENATE("PX391=", $R$115), CONCATENATE("PX392=",$R$116), CONCATENATE("DS004=",$B$108), "Fill=B")</f>
        <v>#NAME?</v>
      </c>
      <c r="S158" t="e">
        <f ca="1">_xll.BDP($B$57,$C$57,CONCATENATE("PX391=", $S$115), CONCATENATE("PX392=",$S$116), CONCATENATE("DS004=",$B$108), "Fill=B")</f>
        <v>#NAME?</v>
      </c>
      <c r="T158" t="e">
        <f ca="1">_xll.BDP($B$57,$C$57,CONCATENATE("PX391=", $T$115), CONCATENATE("PX392=",$T$116), CONCATENATE("DS004=",$B$108), "Fill=B")</f>
        <v>#NAME?</v>
      </c>
      <c r="U158" t="e">
        <f ca="1">_xll.BDP($B$57,$C$57,CONCATENATE("PX391=", $U$115), CONCATENATE("PX392=",$U$116), CONCATENATE("DS004=",$B$108), "Fill=B")</f>
        <v>#NAME?</v>
      </c>
      <c r="V158" t="e">
        <f ca="1">_xll.BDP($B$57,$C$57,CONCATENATE("PX391=", $V$115), CONCATENATE("PX392=",$V$116), CONCATENATE("DS004=",$B$108), "Fill=B")</f>
        <v>#NAME?</v>
      </c>
      <c r="W158" t="e">
        <f ca="1">_xll.BDP($B$57,$C$57,CONCATENATE("PX391=", $W$115), CONCATENATE("PX392=",$W$116), CONCATENATE("DS004=",$B$108), "Fill=B")</f>
        <v>#NAME?</v>
      </c>
      <c r="X158" t="e">
        <f ca="1">_xll.BDP($B$57,$C$57,CONCATENATE("PX391=", $X$115), CONCATENATE("PX392=",$X$116), CONCATENATE("DS004=",$B$108), "Fill=B")</f>
        <v>#NAME?</v>
      </c>
      <c r="Y158" t="e">
        <f ca="1">_xll.BDP($B$57,$C$57,CONCATENATE("PX391=", $Y$115), CONCATENATE("PX392=",$Y$116), CONCATENATE("DS004=",$B$108), "Fill=B")</f>
        <v>#NAME?</v>
      </c>
      <c r="Z158" t="e">
        <f ca="1">_xll.BDP($B$57,$C$57,CONCATENATE("PX391=", $Z$115), CONCATENATE("PX392=",$Z$116), CONCATENATE("DS004=",$B$108), "Fill=B")</f>
        <v>#NAME?</v>
      </c>
      <c r="AA158" t="e">
        <f ca="1">_xll.BDP($B$57,$C$57,CONCATENATE("PX391=", $AA$115), CONCATENATE("PX392=",$AA$116), CONCATENATE("DS004=",$B$108), "Fill=B")</f>
        <v>#NAME?</v>
      </c>
      <c r="AB158" t="e">
        <f ca="1">_xll.BDP($B$57,$C$57,CONCATENATE("PX391=", $AB$115), CONCATENATE("PX392=",$AB$116), CONCATENATE("DS004=",$B$108), "Fill=B")</f>
        <v>#NAME?</v>
      </c>
      <c r="AC158" t="e">
        <f ca="1">_xll.BDP($B$57,$C$57,CONCATENATE("PX391=", $AC$115), CONCATENATE("PX392=",$AC$116), CONCATENATE("DS004=",$B$108), "Fill=B")</f>
        <v>#NAME?</v>
      </c>
      <c r="AD158" t="e">
        <f ca="1">_xll.BDP($B$57,$C$57,CONCATENATE("PX391=", $AD$115), CONCATENATE("PX392=",$AD$116), CONCATENATE("DS004=",$B$108), "Fill=B")</f>
        <v>#NAME?</v>
      </c>
      <c r="AE158" t="e">
        <f ca="1">_xll.BDP($B$57,$C$57,CONCATENATE("PX391=", $AE$115), CONCATENATE("PX392=",$AE$116), CONCATENATE("DS004=",$B$108), "Fill=B")</f>
        <v>#NAME?</v>
      </c>
      <c r="AF158" t="e">
        <f ca="1">_xll.BDP($B$57,$C$57,CONCATENATE("PX391=", $AF$115), CONCATENATE("PX392=",$AF$116), CONCATENATE("DS004=",$B$108), "Fill=B")</f>
        <v>#NAME?</v>
      </c>
      <c r="AG158" t="e">
        <f ca="1">_xll.BDP($B$57,$C$57,CONCATENATE("PX391=", $AG$115), CONCATENATE("PX392=",$AG$116), CONCATENATE("DS004=",$B$108), "Fill=B")</f>
        <v>#NAME?</v>
      </c>
      <c r="AH158" t="e">
        <f ca="1">_xll.BDP($B$57,$C$57,CONCATENATE("PX391=", $AH$115), CONCATENATE("PX392=",$AH$116), CONCATENATE("DS004=",$B$108), "Fill=B")</f>
        <v>#NAME?</v>
      </c>
      <c r="AI158" t="e">
        <f ca="1">_xll.BDP($B$57,$C$57,CONCATENATE("PX391=", $AI$115), CONCATENATE("PX392=",$AI$116), CONCATENATE("DS004=",$B$108), "Fill=B")</f>
        <v>#NAME?</v>
      </c>
      <c r="AJ158" t="e">
        <f ca="1">_xll.BDP($B$57,$C$57,CONCATENATE("PX391=", $AJ$115), CONCATENATE("PX392=",$AJ$116), CONCATENATE("DS004=",$B$108), "Fill=B")</f>
        <v>#NAME?</v>
      </c>
      <c r="AK158" t="e">
        <f ca="1">_xll.BDP($B$57,$C$57,CONCATENATE("PX391=", $AK$115), CONCATENATE("PX392=",$AK$116), CONCATENATE("DS004=",$B$108), "Fill=B")</f>
        <v>#NAME?</v>
      </c>
      <c r="AL158" t="e">
        <f ca="1">_xll.BDP($B$57,$C$57,CONCATENATE("PX391=", $AL$115), CONCATENATE("PX392=",$AL$116), CONCATENATE("DS004=",$B$108), "Fill=B")</f>
        <v>#NAME?</v>
      </c>
      <c r="AM158" t="e">
        <f ca="1">_xll.BDP($B$57,$C$57,CONCATENATE("PX391=", $AM$115), CONCATENATE("PX392=",$AM$116), CONCATENATE("DS004=",$B$108), "Fill=B")</f>
        <v>#NAME?</v>
      </c>
      <c r="AN158" t="e">
        <f ca="1">_xll.BDP($B$57,$C$57,CONCATENATE("PX391=", $AN$115), CONCATENATE("PX392=",$AN$116), CONCATENATE("DS004=",$B$108), "Fill=B")</f>
        <v>#NAME?</v>
      </c>
      <c r="AO158" t="e">
        <f ca="1">_xll.BDP($B$57,$C$57,CONCATENATE("PX391=", $AO$115), CONCATENATE("PX392=",$AO$116), CONCATENATE("DS004=",$B$108), "Fill=B")</f>
        <v>#NAME?</v>
      </c>
      <c r="AP158" t="e">
        <f ca="1">_xll.BDP($B$57,$C$57,CONCATENATE("PX391=", $AP$115), CONCATENATE("PX392=",$AP$116), CONCATENATE("DS004=",$B$108), "Fill=B")</f>
        <v>#NAME?</v>
      </c>
      <c r="AQ158" t="e">
        <f ca="1">_xll.BDP($B$57,$C$57,CONCATENATE("PX391=", $AQ$115), CONCATENATE("PX392=",$AQ$116), CONCATENATE("DS004=",$B$108), "Fill=B")</f>
        <v>#NAME?</v>
      </c>
      <c r="AR158" t="e">
        <f ca="1">_xll.BDP($B$57,$C$57,CONCATENATE("PX391=", $AR$115), CONCATENATE("PX392=",$AR$116), CONCATENATE("DS004=",$B$108), "Fill=B")</f>
        <v>#NAME?</v>
      </c>
      <c r="AS158" t="e">
        <f ca="1">_xll.BDP($B$57,$C$57,CONCATENATE("PX391=", $AS$115), CONCATENATE("PX392=",$AS$116), CONCATENATE("DS004=",$B$108), "Fill=B")</f>
        <v>#NAME?</v>
      </c>
      <c r="AT158" t="str">
        <f>""</f>
        <v/>
      </c>
      <c r="AU158" t="str">
        <f>""</f>
        <v/>
      </c>
      <c r="AV158" t="str">
        <f>""</f>
        <v/>
      </c>
      <c r="AW158" t="str">
        <f>""</f>
        <v/>
      </c>
      <c r="AX158" t="str">
        <f>""</f>
        <v/>
      </c>
      <c r="AY158" t="str">
        <f>""</f>
        <v/>
      </c>
      <c r="AZ158" t="str">
        <f>""</f>
        <v/>
      </c>
      <c r="BA158" t="str">
        <f>""</f>
        <v/>
      </c>
      <c r="BB158" t="str">
        <f>""</f>
        <v/>
      </c>
      <c r="BC158" t="str">
        <f>""</f>
        <v/>
      </c>
      <c r="BD158" t="str">
        <f>""</f>
        <v/>
      </c>
      <c r="BE158" t="str">
        <f>""</f>
        <v/>
      </c>
      <c r="BF158" t="str">
        <f>""</f>
        <v/>
      </c>
      <c r="BG158" t="str">
        <f>""</f>
        <v/>
      </c>
      <c r="BH158" t="str">
        <f>""</f>
        <v/>
      </c>
      <c r="BI158" t="str">
        <f>""</f>
        <v/>
      </c>
      <c r="BJ158" t="str">
        <f>""</f>
        <v/>
      </c>
      <c r="BK158" t="str">
        <f>""</f>
        <v/>
      </c>
      <c r="BL158" t="str">
        <f>""</f>
        <v/>
      </c>
      <c r="BM158" t="str">
        <f>""</f>
        <v/>
      </c>
      <c r="BN158" t="str">
        <f>""</f>
        <v/>
      </c>
      <c r="BO158" t="str">
        <f>""</f>
        <v/>
      </c>
      <c r="BP158" t="str">
        <f>""</f>
        <v/>
      </c>
      <c r="BQ158" t="str">
        <f>""</f>
        <v/>
      </c>
      <c r="BR158" t="str">
        <f>""</f>
        <v/>
      </c>
      <c r="BS158" t="str">
        <f>""</f>
        <v/>
      </c>
      <c r="BT158" t="str">
        <f>""</f>
        <v/>
      </c>
      <c r="BU158" t="str">
        <f>""</f>
        <v/>
      </c>
      <c r="BV158" t="str">
        <f>""</f>
        <v/>
      </c>
      <c r="BW158" t="str">
        <f>""</f>
        <v/>
      </c>
      <c r="BX158" t="str">
        <f>""</f>
        <v/>
      </c>
      <c r="BY158" t="str">
        <f>""</f>
        <v/>
      </c>
      <c r="BZ158" t="str">
        <f>""</f>
        <v/>
      </c>
      <c r="CA158" t="str">
        <f>""</f>
        <v/>
      </c>
      <c r="CB158" t="str">
        <f>""</f>
        <v/>
      </c>
      <c r="CC158" t="str">
        <f>""</f>
        <v/>
      </c>
      <c r="CD158" t="str">
        <f>""</f>
        <v/>
      </c>
      <c r="CE158" t="str">
        <f>""</f>
        <v/>
      </c>
      <c r="CF158" t="str">
        <f>""</f>
        <v/>
      </c>
      <c r="CG158" t="str">
        <f>""</f>
        <v/>
      </c>
    </row>
    <row r="159" spans="1:85" x14ac:dyDescent="0.2">
      <c r="A159" t="str">
        <f>$A$58</f>
        <v xml:space="preserve">        Docks, Piers &amp; Wharves</v>
      </c>
      <c r="B159" t="str">
        <f>$B$58</f>
        <v>RTBADPNU Index</v>
      </c>
      <c r="C159" t="str">
        <f>$C$58</f>
        <v>PX385</v>
      </c>
      <c r="D159" t="str">
        <f>$D$58</f>
        <v>INTERVAL_SUM</v>
      </c>
      <c r="E159" t="str">
        <f>$E$58</f>
        <v>Dynamic</v>
      </c>
      <c r="F159" t="e">
        <f ca="1">_xll.BDP($B$58,$C$58,CONCATENATE("PX391=", $F$115), CONCATENATE("PX392=",$F$116), CONCATENATE("DS004=",$B$108), "Fill=B")</f>
        <v>#NAME?</v>
      </c>
      <c r="G159" t="e">
        <f ca="1">_xll.BDP($B$58,$C$58,CONCATENATE("PX391=", $G$115), CONCATENATE("PX392=",$G$116), CONCATENATE("DS004=",$B$108), "Fill=B")</f>
        <v>#NAME?</v>
      </c>
      <c r="H159" t="e">
        <f ca="1">_xll.BDP($B$58,$C$58,CONCATENATE("PX391=", $H$115), CONCATENATE("PX392=",$H$116), CONCATENATE("DS004=",$B$108), "Fill=B")</f>
        <v>#NAME?</v>
      </c>
      <c r="I159" t="e">
        <f ca="1">_xll.BDP($B$58,$C$58,CONCATENATE("PX391=", $I$115), CONCATENATE("PX392=",$I$116), CONCATENATE("DS004=",$B$108), "Fill=B")</f>
        <v>#NAME?</v>
      </c>
      <c r="J159" t="e">
        <f ca="1">_xll.BDP($B$58,$C$58,CONCATENATE("PX391=", $J$115), CONCATENATE("PX392=",$J$116), CONCATENATE("DS004=",$B$108), "Fill=B")</f>
        <v>#NAME?</v>
      </c>
      <c r="K159" t="e">
        <f ca="1">_xll.BDP($B$58,$C$58,CONCATENATE("PX391=", $K$115), CONCATENATE("PX392=",$K$116), CONCATENATE("DS004=",$B$108), "Fill=B")</f>
        <v>#NAME?</v>
      </c>
      <c r="L159" t="e">
        <f ca="1">_xll.BDP($B$58,$C$58,CONCATENATE("PX391=", $L$115), CONCATENATE("PX392=",$L$116), CONCATENATE("DS004=",$B$108), "Fill=B")</f>
        <v>#NAME?</v>
      </c>
      <c r="M159" t="e">
        <f ca="1">_xll.BDP($B$58,$C$58,CONCATENATE("PX391=", $M$115), CONCATENATE("PX392=",$M$116), CONCATENATE("DS004=",$B$108), "Fill=B")</f>
        <v>#NAME?</v>
      </c>
      <c r="N159" t="e">
        <f ca="1">_xll.BDP($B$58,$C$58,CONCATENATE("PX391=", $N$115), CONCATENATE("PX392=",$N$116), CONCATENATE("DS004=",$B$108), "Fill=B")</f>
        <v>#NAME?</v>
      </c>
      <c r="O159" t="e">
        <f ca="1">_xll.BDP($B$58,$C$58,CONCATENATE("PX391=", $O$115), CONCATENATE("PX392=",$O$116), CONCATENATE("DS004=",$B$108), "Fill=B")</f>
        <v>#NAME?</v>
      </c>
      <c r="P159" t="e">
        <f ca="1">_xll.BDP($B$58,$C$58,CONCATENATE("PX391=", $P$115), CONCATENATE("PX392=",$P$116), CONCATENATE("DS004=",$B$108), "Fill=B")</f>
        <v>#NAME?</v>
      </c>
      <c r="Q159" t="e">
        <f ca="1">_xll.BDP($B$58,$C$58,CONCATENATE("PX391=", $Q$115), CONCATENATE("PX392=",$Q$116), CONCATENATE("DS004=",$B$108), "Fill=B")</f>
        <v>#NAME?</v>
      </c>
      <c r="R159" t="e">
        <f ca="1">_xll.BDP($B$58,$C$58,CONCATENATE("PX391=", $R$115), CONCATENATE("PX392=",$R$116), CONCATENATE("DS004=",$B$108), "Fill=B")</f>
        <v>#NAME?</v>
      </c>
      <c r="S159" t="e">
        <f ca="1">_xll.BDP($B$58,$C$58,CONCATENATE("PX391=", $S$115), CONCATENATE("PX392=",$S$116), CONCATENATE("DS004=",$B$108), "Fill=B")</f>
        <v>#NAME?</v>
      </c>
      <c r="T159" t="e">
        <f ca="1">_xll.BDP($B$58,$C$58,CONCATENATE("PX391=", $T$115), CONCATENATE("PX392=",$T$116), CONCATENATE("DS004=",$B$108), "Fill=B")</f>
        <v>#NAME?</v>
      </c>
      <c r="U159" t="e">
        <f ca="1">_xll.BDP($B$58,$C$58,CONCATENATE("PX391=", $U$115), CONCATENATE("PX392=",$U$116), CONCATENATE("DS004=",$B$108), "Fill=B")</f>
        <v>#NAME?</v>
      </c>
      <c r="V159" t="e">
        <f ca="1">_xll.BDP($B$58,$C$58,CONCATENATE("PX391=", $V$115), CONCATENATE("PX392=",$V$116), CONCATENATE("DS004=",$B$108), "Fill=B")</f>
        <v>#NAME?</v>
      </c>
      <c r="W159" t="e">
        <f ca="1">_xll.BDP($B$58,$C$58,CONCATENATE("PX391=", $W$115), CONCATENATE("PX392=",$W$116), CONCATENATE("DS004=",$B$108), "Fill=B")</f>
        <v>#NAME?</v>
      </c>
      <c r="X159" t="e">
        <f ca="1">_xll.BDP($B$58,$C$58,CONCATENATE("PX391=", $X$115), CONCATENATE("PX392=",$X$116), CONCATENATE("DS004=",$B$108), "Fill=B")</f>
        <v>#NAME?</v>
      </c>
      <c r="Y159" t="e">
        <f ca="1">_xll.BDP($B$58,$C$58,CONCATENATE("PX391=", $Y$115), CONCATENATE("PX392=",$Y$116), CONCATENATE("DS004=",$B$108), "Fill=B")</f>
        <v>#NAME?</v>
      </c>
      <c r="Z159" t="e">
        <f ca="1">_xll.BDP($B$58,$C$58,CONCATENATE("PX391=", $Z$115), CONCATENATE("PX392=",$Z$116), CONCATENATE("DS004=",$B$108), "Fill=B")</f>
        <v>#NAME?</v>
      </c>
      <c r="AA159" t="e">
        <f ca="1">_xll.BDP($B$58,$C$58,CONCATENATE("PX391=", $AA$115), CONCATENATE("PX392=",$AA$116), CONCATENATE("DS004=",$B$108), "Fill=B")</f>
        <v>#NAME?</v>
      </c>
      <c r="AB159" t="e">
        <f ca="1">_xll.BDP($B$58,$C$58,CONCATENATE("PX391=", $AB$115), CONCATENATE("PX392=",$AB$116), CONCATENATE("DS004=",$B$108), "Fill=B")</f>
        <v>#NAME?</v>
      </c>
      <c r="AC159" t="e">
        <f ca="1">_xll.BDP($B$58,$C$58,CONCATENATE("PX391=", $AC$115), CONCATENATE("PX392=",$AC$116), CONCATENATE("DS004=",$B$108), "Fill=B")</f>
        <v>#NAME?</v>
      </c>
      <c r="AD159" t="e">
        <f ca="1">_xll.BDP($B$58,$C$58,CONCATENATE("PX391=", $AD$115), CONCATENATE("PX392=",$AD$116), CONCATENATE("DS004=",$B$108), "Fill=B")</f>
        <v>#NAME?</v>
      </c>
      <c r="AE159" t="e">
        <f ca="1">_xll.BDP($B$58,$C$58,CONCATENATE("PX391=", $AE$115), CONCATENATE("PX392=",$AE$116), CONCATENATE("DS004=",$B$108), "Fill=B")</f>
        <v>#NAME?</v>
      </c>
      <c r="AF159" t="e">
        <f ca="1">_xll.BDP($B$58,$C$58,CONCATENATE("PX391=", $AF$115), CONCATENATE("PX392=",$AF$116), CONCATENATE("DS004=",$B$108), "Fill=B")</f>
        <v>#NAME?</v>
      </c>
      <c r="AG159" t="e">
        <f ca="1">_xll.BDP($B$58,$C$58,CONCATENATE("PX391=", $AG$115), CONCATENATE("PX392=",$AG$116), CONCATENATE("DS004=",$B$108), "Fill=B")</f>
        <v>#NAME?</v>
      </c>
      <c r="AH159" t="e">
        <f ca="1">_xll.BDP($B$58,$C$58,CONCATENATE("PX391=", $AH$115), CONCATENATE("PX392=",$AH$116), CONCATENATE("DS004=",$B$108), "Fill=B")</f>
        <v>#NAME?</v>
      </c>
      <c r="AI159" t="e">
        <f ca="1">_xll.BDP($B$58,$C$58,CONCATENATE("PX391=", $AI$115), CONCATENATE("PX392=",$AI$116), CONCATENATE("DS004=",$B$108), "Fill=B")</f>
        <v>#NAME?</v>
      </c>
      <c r="AJ159" t="e">
        <f ca="1">_xll.BDP($B$58,$C$58,CONCATENATE("PX391=", $AJ$115), CONCATENATE("PX392=",$AJ$116), CONCATENATE("DS004=",$B$108), "Fill=B")</f>
        <v>#NAME?</v>
      </c>
      <c r="AK159" t="e">
        <f ca="1">_xll.BDP($B$58,$C$58,CONCATENATE("PX391=", $AK$115), CONCATENATE("PX392=",$AK$116), CONCATENATE("DS004=",$B$108), "Fill=B")</f>
        <v>#NAME?</v>
      </c>
      <c r="AL159" t="e">
        <f ca="1">_xll.BDP($B$58,$C$58,CONCATENATE("PX391=", $AL$115), CONCATENATE("PX392=",$AL$116), CONCATENATE("DS004=",$B$108), "Fill=B")</f>
        <v>#NAME?</v>
      </c>
      <c r="AM159" t="e">
        <f ca="1">_xll.BDP($B$58,$C$58,CONCATENATE("PX391=", $AM$115), CONCATENATE("PX392=",$AM$116), CONCATENATE("DS004=",$B$108), "Fill=B")</f>
        <v>#NAME?</v>
      </c>
      <c r="AN159" t="e">
        <f ca="1">_xll.BDP($B$58,$C$58,CONCATENATE("PX391=", $AN$115), CONCATENATE("PX392=",$AN$116), CONCATENATE("DS004=",$B$108), "Fill=B")</f>
        <v>#NAME?</v>
      </c>
      <c r="AO159" t="e">
        <f ca="1">_xll.BDP($B$58,$C$58,CONCATENATE("PX391=", $AO$115), CONCATENATE("PX392=",$AO$116), CONCATENATE("DS004=",$B$108), "Fill=B")</f>
        <v>#NAME?</v>
      </c>
      <c r="AP159" t="e">
        <f ca="1">_xll.BDP($B$58,$C$58,CONCATENATE("PX391=", $AP$115), CONCATENATE("PX392=",$AP$116), CONCATENATE("DS004=",$B$108), "Fill=B")</f>
        <v>#NAME?</v>
      </c>
      <c r="AQ159" t="e">
        <f ca="1">_xll.BDP($B$58,$C$58,CONCATENATE("PX391=", $AQ$115), CONCATENATE("PX392=",$AQ$116), CONCATENATE("DS004=",$B$108), "Fill=B")</f>
        <v>#NAME?</v>
      </c>
      <c r="AR159" t="e">
        <f ca="1">_xll.BDP($B$58,$C$58,CONCATENATE("PX391=", $AR$115), CONCATENATE("PX392=",$AR$116), CONCATENATE("DS004=",$B$108), "Fill=B")</f>
        <v>#NAME?</v>
      </c>
      <c r="AS159" t="e">
        <f ca="1">_xll.BDP($B$58,$C$58,CONCATENATE("PX391=", $AS$115), CONCATENATE("PX392=",$AS$116), CONCATENATE("DS004=",$B$108), "Fill=B")</f>
        <v>#NAME?</v>
      </c>
      <c r="AT159" t="str">
        <f>""</f>
        <v/>
      </c>
      <c r="AU159" t="str">
        <f>""</f>
        <v/>
      </c>
      <c r="AV159" t="str">
        <f>""</f>
        <v/>
      </c>
      <c r="AW159" t="str">
        <f>""</f>
        <v/>
      </c>
      <c r="AX159" t="str">
        <f>""</f>
        <v/>
      </c>
      <c r="AY159" t="str">
        <f>""</f>
        <v/>
      </c>
      <c r="AZ159" t="str">
        <f>""</f>
        <v/>
      </c>
      <c r="BA159" t="str">
        <f>""</f>
        <v/>
      </c>
      <c r="BB159" t="str">
        <f>""</f>
        <v/>
      </c>
      <c r="BC159" t="str">
        <f>""</f>
        <v/>
      </c>
      <c r="BD159" t="str">
        <f>""</f>
        <v/>
      </c>
      <c r="BE159" t="str">
        <f>""</f>
        <v/>
      </c>
      <c r="BF159" t="str">
        <f>""</f>
        <v/>
      </c>
      <c r="BG159" t="str">
        <f>""</f>
        <v/>
      </c>
      <c r="BH159" t="str">
        <f>""</f>
        <v/>
      </c>
      <c r="BI159" t="str">
        <f>""</f>
        <v/>
      </c>
      <c r="BJ159" t="str">
        <f>""</f>
        <v/>
      </c>
      <c r="BK159" t="str">
        <f>""</f>
        <v/>
      </c>
      <c r="BL159" t="str">
        <f>""</f>
        <v/>
      </c>
      <c r="BM159" t="str">
        <f>""</f>
        <v/>
      </c>
      <c r="BN159" t="str">
        <f>""</f>
        <v/>
      </c>
      <c r="BO159" t="str">
        <f>""</f>
        <v/>
      </c>
      <c r="BP159" t="str">
        <f>""</f>
        <v/>
      </c>
      <c r="BQ159" t="str">
        <f>""</f>
        <v/>
      </c>
      <c r="BR159" t="str">
        <f>""</f>
        <v/>
      </c>
      <c r="BS159" t="str">
        <f>""</f>
        <v/>
      </c>
      <c r="BT159" t="str">
        <f>""</f>
        <v/>
      </c>
      <c r="BU159" t="str">
        <f>""</f>
        <v/>
      </c>
      <c r="BV159" t="str">
        <f>""</f>
        <v/>
      </c>
      <c r="BW159" t="str">
        <f>""</f>
        <v/>
      </c>
      <c r="BX159" t="str">
        <f>""</f>
        <v/>
      </c>
      <c r="BY159" t="str">
        <f>""</f>
        <v/>
      </c>
      <c r="BZ159" t="str">
        <f>""</f>
        <v/>
      </c>
      <c r="CA159" t="str">
        <f>""</f>
        <v/>
      </c>
      <c r="CB159" t="str">
        <f>""</f>
        <v/>
      </c>
      <c r="CC159" t="str">
        <f>""</f>
        <v/>
      </c>
      <c r="CD159" t="str">
        <f>""</f>
        <v/>
      </c>
      <c r="CE159" t="str">
        <f>""</f>
        <v/>
      </c>
      <c r="CF159" t="str">
        <f>""</f>
        <v/>
      </c>
      <c r="CG159" t="str">
        <f>""</f>
        <v/>
      </c>
    </row>
    <row r="160" spans="1:85" x14ac:dyDescent="0.2">
      <c r="A160" t="str">
        <f>$A$59</f>
        <v xml:space="preserve">        Highways</v>
      </c>
      <c r="B160" t="str">
        <f>$B$59</f>
        <v>RTBAHWNU Index</v>
      </c>
      <c r="C160" t="str">
        <f>$C$59</f>
        <v>PX385</v>
      </c>
      <c r="D160" t="str">
        <f>$D$59</f>
        <v>INTERVAL_SUM</v>
      </c>
      <c r="E160" t="str">
        <f>$E$59</f>
        <v>Dynamic</v>
      </c>
      <c r="F160" t="e">
        <f ca="1">_xll.BDP($B$59,$C$59,CONCATENATE("PX391=", $F$115), CONCATENATE("PX392=",$F$116), CONCATENATE("DS004=",$B$108), "Fill=B")</f>
        <v>#NAME?</v>
      </c>
      <c r="G160" t="e">
        <f ca="1">_xll.BDP($B$59,$C$59,CONCATENATE("PX391=", $G$115), CONCATENATE("PX392=",$G$116), CONCATENATE("DS004=",$B$108), "Fill=B")</f>
        <v>#NAME?</v>
      </c>
      <c r="H160" t="e">
        <f ca="1">_xll.BDP($B$59,$C$59,CONCATENATE("PX391=", $H$115), CONCATENATE("PX392=",$H$116), CONCATENATE("DS004=",$B$108), "Fill=B")</f>
        <v>#NAME?</v>
      </c>
      <c r="I160" t="e">
        <f ca="1">_xll.BDP($B$59,$C$59,CONCATENATE("PX391=", $I$115), CONCATENATE("PX392=",$I$116), CONCATENATE("DS004=",$B$108), "Fill=B")</f>
        <v>#NAME?</v>
      </c>
      <c r="J160" t="e">
        <f ca="1">_xll.BDP($B$59,$C$59,CONCATENATE("PX391=", $J$115), CONCATENATE("PX392=",$J$116), CONCATENATE("DS004=",$B$108), "Fill=B")</f>
        <v>#NAME?</v>
      </c>
      <c r="K160" t="e">
        <f ca="1">_xll.BDP($B$59,$C$59,CONCATENATE("PX391=", $K$115), CONCATENATE("PX392=",$K$116), CONCATENATE("DS004=",$B$108), "Fill=B")</f>
        <v>#NAME?</v>
      </c>
      <c r="L160" t="e">
        <f ca="1">_xll.BDP($B$59,$C$59,CONCATENATE("PX391=", $L$115), CONCATENATE("PX392=",$L$116), CONCATENATE("DS004=",$B$108), "Fill=B")</f>
        <v>#NAME?</v>
      </c>
      <c r="M160" t="e">
        <f ca="1">_xll.BDP($B$59,$C$59,CONCATENATE("PX391=", $M$115), CONCATENATE("PX392=",$M$116), CONCATENATE("DS004=",$B$108), "Fill=B")</f>
        <v>#NAME?</v>
      </c>
      <c r="N160" t="e">
        <f ca="1">_xll.BDP($B$59,$C$59,CONCATENATE("PX391=", $N$115), CONCATENATE("PX392=",$N$116), CONCATENATE("DS004=",$B$108), "Fill=B")</f>
        <v>#NAME?</v>
      </c>
      <c r="O160" t="e">
        <f ca="1">_xll.BDP($B$59,$C$59,CONCATENATE("PX391=", $O$115), CONCATENATE("PX392=",$O$116), CONCATENATE("DS004=",$B$108), "Fill=B")</f>
        <v>#NAME?</v>
      </c>
      <c r="P160" t="e">
        <f ca="1">_xll.BDP($B$59,$C$59,CONCATENATE("PX391=", $P$115), CONCATENATE("PX392=",$P$116), CONCATENATE("DS004=",$B$108), "Fill=B")</f>
        <v>#NAME?</v>
      </c>
      <c r="Q160" t="e">
        <f ca="1">_xll.BDP($B$59,$C$59,CONCATENATE("PX391=", $Q$115), CONCATENATE("PX392=",$Q$116), CONCATENATE("DS004=",$B$108), "Fill=B")</f>
        <v>#NAME?</v>
      </c>
      <c r="R160" t="e">
        <f ca="1">_xll.BDP($B$59,$C$59,CONCATENATE("PX391=", $R$115), CONCATENATE("PX392=",$R$116), CONCATENATE("DS004=",$B$108), "Fill=B")</f>
        <v>#NAME?</v>
      </c>
      <c r="S160" t="e">
        <f ca="1">_xll.BDP($B$59,$C$59,CONCATENATE("PX391=", $S$115), CONCATENATE("PX392=",$S$116), CONCATENATE("DS004=",$B$108), "Fill=B")</f>
        <v>#NAME?</v>
      </c>
      <c r="T160" t="e">
        <f ca="1">_xll.BDP($B$59,$C$59,CONCATENATE("PX391=", $T$115), CONCATENATE("PX392=",$T$116), CONCATENATE("DS004=",$B$108), "Fill=B")</f>
        <v>#NAME?</v>
      </c>
      <c r="U160" t="e">
        <f ca="1">_xll.BDP($B$59,$C$59,CONCATENATE("PX391=", $U$115), CONCATENATE("PX392=",$U$116), CONCATENATE("DS004=",$B$108), "Fill=B")</f>
        <v>#NAME?</v>
      </c>
      <c r="V160" t="e">
        <f ca="1">_xll.BDP($B$59,$C$59,CONCATENATE("PX391=", $V$115), CONCATENATE("PX392=",$V$116), CONCATENATE("DS004=",$B$108), "Fill=B")</f>
        <v>#NAME?</v>
      </c>
      <c r="W160" t="e">
        <f ca="1">_xll.BDP($B$59,$C$59,CONCATENATE("PX391=", $W$115), CONCATENATE("PX392=",$W$116), CONCATENATE("DS004=",$B$108), "Fill=B")</f>
        <v>#NAME?</v>
      </c>
      <c r="X160" t="e">
        <f ca="1">_xll.BDP($B$59,$C$59,CONCATENATE("PX391=", $X$115), CONCATENATE("PX392=",$X$116), CONCATENATE("DS004=",$B$108), "Fill=B")</f>
        <v>#NAME?</v>
      </c>
      <c r="Y160" t="e">
        <f ca="1">_xll.BDP($B$59,$C$59,CONCATENATE("PX391=", $Y$115), CONCATENATE("PX392=",$Y$116), CONCATENATE("DS004=",$B$108), "Fill=B")</f>
        <v>#NAME?</v>
      </c>
      <c r="Z160" t="e">
        <f ca="1">_xll.BDP($B$59,$C$59,CONCATENATE("PX391=", $Z$115), CONCATENATE("PX392=",$Z$116), CONCATENATE("DS004=",$B$108), "Fill=B")</f>
        <v>#NAME?</v>
      </c>
      <c r="AA160" t="e">
        <f ca="1">_xll.BDP($B$59,$C$59,CONCATENATE("PX391=", $AA$115), CONCATENATE("PX392=",$AA$116), CONCATENATE("DS004=",$B$108), "Fill=B")</f>
        <v>#NAME?</v>
      </c>
      <c r="AB160" t="e">
        <f ca="1">_xll.BDP($B$59,$C$59,CONCATENATE("PX391=", $AB$115), CONCATENATE("PX392=",$AB$116), CONCATENATE("DS004=",$B$108), "Fill=B")</f>
        <v>#NAME?</v>
      </c>
      <c r="AC160" t="e">
        <f ca="1">_xll.BDP($B$59,$C$59,CONCATENATE("PX391=", $AC$115), CONCATENATE("PX392=",$AC$116), CONCATENATE("DS004=",$B$108), "Fill=B")</f>
        <v>#NAME?</v>
      </c>
      <c r="AD160" t="e">
        <f ca="1">_xll.BDP($B$59,$C$59,CONCATENATE("PX391=", $AD$115), CONCATENATE("PX392=",$AD$116), CONCATENATE("DS004=",$B$108), "Fill=B")</f>
        <v>#NAME?</v>
      </c>
      <c r="AE160" t="e">
        <f ca="1">_xll.BDP($B$59,$C$59,CONCATENATE("PX391=", $AE$115), CONCATENATE("PX392=",$AE$116), CONCATENATE("DS004=",$B$108), "Fill=B")</f>
        <v>#NAME?</v>
      </c>
      <c r="AF160" t="e">
        <f ca="1">_xll.BDP($B$59,$C$59,CONCATENATE("PX391=", $AF$115), CONCATENATE("PX392=",$AF$116), CONCATENATE("DS004=",$B$108), "Fill=B")</f>
        <v>#NAME?</v>
      </c>
      <c r="AG160" t="e">
        <f ca="1">_xll.BDP($B$59,$C$59,CONCATENATE("PX391=", $AG$115), CONCATENATE("PX392=",$AG$116), CONCATENATE("DS004=",$B$108), "Fill=B")</f>
        <v>#NAME?</v>
      </c>
      <c r="AH160" t="e">
        <f ca="1">_xll.BDP($B$59,$C$59,CONCATENATE("PX391=", $AH$115), CONCATENATE("PX392=",$AH$116), CONCATENATE("DS004=",$B$108), "Fill=B")</f>
        <v>#NAME?</v>
      </c>
      <c r="AI160" t="e">
        <f ca="1">_xll.BDP($B$59,$C$59,CONCATENATE("PX391=", $AI$115), CONCATENATE("PX392=",$AI$116), CONCATENATE("DS004=",$B$108), "Fill=B")</f>
        <v>#NAME?</v>
      </c>
      <c r="AJ160" t="e">
        <f ca="1">_xll.BDP($B$59,$C$59,CONCATENATE("PX391=", $AJ$115), CONCATENATE("PX392=",$AJ$116), CONCATENATE("DS004=",$B$108), "Fill=B")</f>
        <v>#NAME?</v>
      </c>
      <c r="AK160" t="e">
        <f ca="1">_xll.BDP($B$59,$C$59,CONCATENATE("PX391=", $AK$115), CONCATENATE("PX392=",$AK$116), CONCATENATE("DS004=",$B$108), "Fill=B")</f>
        <v>#NAME?</v>
      </c>
      <c r="AL160" t="e">
        <f ca="1">_xll.BDP($B$59,$C$59,CONCATENATE("PX391=", $AL$115), CONCATENATE("PX392=",$AL$116), CONCATENATE("DS004=",$B$108), "Fill=B")</f>
        <v>#NAME?</v>
      </c>
      <c r="AM160" t="e">
        <f ca="1">_xll.BDP($B$59,$C$59,CONCATENATE("PX391=", $AM$115), CONCATENATE("PX392=",$AM$116), CONCATENATE("DS004=",$B$108), "Fill=B")</f>
        <v>#NAME?</v>
      </c>
      <c r="AN160" t="e">
        <f ca="1">_xll.BDP($B$59,$C$59,CONCATENATE("PX391=", $AN$115), CONCATENATE("PX392=",$AN$116), CONCATENATE("DS004=",$B$108), "Fill=B")</f>
        <v>#NAME?</v>
      </c>
      <c r="AO160" t="e">
        <f ca="1">_xll.BDP($B$59,$C$59,CONCATENATE("PX391=", $AO$115), CONCATENATE("PX392=",$AO$116), CONCATENATE("DS004=",$B$108), "Fill=B")</f>
        <v>#NAME?</v>
      </c>
      <c r="AP160" t="e">
        <f ca="1">_xll.BDP($B$59,$C$59,CONCATENATE("PX391=", $AP$115), CONCATENATE("PX392=",$AP$116), CONCATENATE("DS004=",$B$108), "Fill=B")</f>
        <v>#NAME?</v>
      </c>
      <c r="AQ160" t="e">
        <f ca="1">_xll.BDP($B$59,$C$59,CONCATENATE("PX391=", $AQ$115), CONCATENATE("PX392=",$AQ$116), CONCATENATE("DS004=",$B$108), "Fill=B")</f>
        <v>#NAME?</v>
      </c>
      <c r="AR160" t="e">
        <f ca="1">_xll.BDP($B$59,$C$59,CONCATENATE("PX391=", $AR$115), CONCATENATE("PX392=",$AR$116), CONCATENATE("DS004=",$B$108), "Fill=B")</f>
        <v>#NAME?</v>
      </c>
      <c r="AS160" t="e">
        <f ca="1">_xll.BDP($B$59,$C$59,CONCATENATE("PX391=", $AS$115), CONCATENATE("PX392=",$AS$116), CONCATENATE("DS004=",$B$108), "Fill=B")</f>
        <v>#NAME?</v>
      </c>
      <c r="AT160" t="str">
        <f>""</f>
        <v/>
      </c>
      <c r="AU160" t="str">
        <f>""</f>
        <v/>
      </c>
      <c r="AV160" t="str">
        <f>""</f>
        <v/>
      </c>
      <c r="AW160" t="str">
        <f>""</f>
        <v/>
      </c>
      <c r="AX160" t="str">
        <f>""</f>
        <v/>
      </c>
      <c r="AY160" t="str">
        <f>""</f>
        <v/>
      </c>
      <c r="AZ160" t="str">
        <f>""</f>
        <v/>
      </c>
      <c r="BA160" t="str">
        <f>""</f>
        <v/>
      </c>
      <c r="BB160" t="str">
        <f>""</f>
        <v/>
      </c>
      <c r="BC160" t="str">
        <f>""</f>
        <v/>
      </c>
      <c r="BD160" t="str">
        <f>""</f>
        <v/>
      </c>
      <c r="BE160" t="str">
        <f>""</f>
        <v/>
      </c>
      <c r="BF160" t="str">
        <f>""</f>
        <v/>
      </c>
      <c r="BG160" t="str">
        <f>""</f>
        <v/>
      </c>
      <c r="BH160" t="str">
        <f>""</f>
        <v/>
      </c>
      <c r="BI160" t="str">
        <f>""</f>
        <v/>
      </c>
      <c r="BJ160" t="str">
        <f>""</f>
        <v/>
      </c>
      <c r="BK160" t="str">
        <f>""</f>
        <v/>
      </c>
      <c r="BL160" t="str">
        <f>""</f>
        <v/>
      </c>
      <c r="BM160" t="str">
        <f>""</f>
        <v/>
      </c>
      <c r="BN160" t="str">
        <f>""</f>
        <v/>
      </c>
      <c r="BO160" t="str">
        <f>""</f>
        <v/>
      </c>
      <c r="BP160" t="str">
        <f>""</f>
        <v/>
      </c>
      <c r="BQ160" t="str">
        <f>""</f>
        <v/>
      </c>
      <c r="BR160" t="str">
        <f>""</f>
        <v/>
      </c>
      <c r="BS160" t="str">
        <f>""</f>
        <v/>
      </c>
      <c r="BT160" t="str">
        <f>""</f>
        <v/>
      </c>
      <c r="BU160" t="str">
        <f>""</f>
        <v/>
      </c>
      <c r="BV160" t="str">
        <f>""</f>
        <v/>
      </c>
      <c r="BW160" t="str">
        <f>""</f>
        <v/>
      </c>
      <c r="BX160" t="str">
        <f>""</f>
        <v/>
      </c>
      <c r="BY160" t="str">
        <f>""</f>
        <v/>
      </c>
      <c r="BZ160" t="str">
        <f>""</f>
        <v/>
      </c>
      <c r="CA160" t="str">
        <f>""</f>
        <v/>
      </c>
      <c r="CB160" t="str">
        <f>""</f>
        <v/>
      </c>
      <c r="CC160" t="str">
        <f>""</f>
        <v/>
      </c>
      <c r="CD160" t="str">
        <f>""</f>
        <v/>
      </c>
      <c r="CE160" t="str">
        <f>""</f>
        <v/>
      </c>
      <c r="CF160" t="str">
        <f>""</f>
        <v/>
      </c>
      <c r="CG160" t="str">
        <f>""</f>
        <v/>
      </c>
    </row>
    <row r="161" spans="1:85" x14ac:dyDescent="0.2">
      <c r="A161" t="str">
        <f>$A$60</f>
        <v xml:space="preserve">        Railways</v>
      </c>
      <c r="B161" t="str">
        <f>$B$60</f>
        <v>RTBARANU Index</v>
      </c>
      <c r="C161" t="str">
        <f>$C$60</f>
        <v>PX385</v>
      </c>
      <c r="D161" t="str">
        <f>$D$60</f>
        <v>INTERVAL_SUM</v>
      </c>
      <c r="E161" t="str">
        <f>$E$60</f>
        <v>Dynamic</v>
      </c>
      <c r="F161" t="e">
        <f ca="1">_xll.BDP($B$60,$C$60,CONCATENATE("PX391=", $F$115), CONCATENATE("PX392=",$F$116), CONCATENATE("DS004=",$B$108), "Fill=B")</f>
        <v>#NAME?</v>
      </c>
      <c r="G161" t="e">
        <f ca="1">_xll.BDP($B$60,$C$60,CONCATENATE("PX391=", $G$115), CONCATENATE("PX392=",$G$116), CONCATENATE("DS004=",$B$108), "Fill=B")</f>
        <v>#NAME?</v>
      </c>
      <c r="H161" t="e">
        <f ca="1">_xll.BDP($B$60,$C$60,CONCATENATE("PX391=", $H$115), CONCATENATE("PX392=",$H$116), CONCATENATE("DS004=",$B$108), "Fill=B")</f>
        <v>#NAME?</v>
      </c>
      <c r="I161" t="e">
        <f ca="1">_xll.BDP($B$60,$C$60,CONCATENATE("PX391=", $I$115), CONCATENATE("PX392=",$I$116), CONCATENATE("DS004=",$B$108), "Fill=B")</f>
        <v>#NAME?</v>
      </c>
      <c r="J161" t="e">
        <f ca="1">_xll.BDP($B$60,$C$60,CONCATENATE("PX391=", $J$115), CONCATENATE("PX392=",$J$116), CONCATENATE("DS004=",$B$108), "Fill=B")</f>
        <v>#NAME?</v>
      </c>
      <c r="K161" t="e">
        <f ca="1">_xll.BDP($B$60,$C$60,CONCATENATE("PX391=", $K$115), CONCATENATE("PX392=",$K$116), CONCATENATE("DS004=",$B$108), "Fill=B")</f>
        <v>#NAME?</v>
      </c>
      <c r="L161" t="e">
        <f ca="1">_xll.BDP($B$60,$C$60,CONCATENATE("PX391=", $L$115), CONCATENATE("PX392=",$L$116), CONCATENATE("DS004=",$B$108), "Fill=B")</f>
        <v>#NAME?</v>
      </c>
      <c r="M161" t="e">
        <f ca="1">_xll.BDP($B$60,$C$60,CONCATENATE("PX391=", $M$115), CONCATENATE("PX392=",$M$116), CONCATENATE("DS004=",$B$108), "Fill=B")</f>
        <v>#NAME?</v>
      </c>
      <c r="N161" t="e">
        <f ca="1">_xll.BDP($B$60,$C$60,CONCATENATE("PX391=", $N$115), CONCATENATE("PX392=",$N$116), CONCATENATE("DS004=",$B$108), "Fill=B")</f>
        <v>#NAME?</v>
      </c>
      <c r="O161" t="e">
        <f ca="1">_xll.BDP($B$60,$C$60,CONCATENATE("PX391=", $O$115), CONCATENATE("PX392=",$O$116), CONCATENATE("DS004=",$B$108), "Fill=B")</f>
        <v>#NAME?</v>
      </c>
      <c r="P161" t="e">
        <f ca="1">_xll.BDP($B$60,$C$60,CONCATENATE("PX391=", $P$115), CONCATENATE("PX392=",$P$116), CONCATENATE("DS004=",$B$108), "Fill=B")</f>
        <v>#NAME?</v>
      </c>
      <c r="Q161" t="e">
        <f ca="1">_xll.BDP($B$60,$C$60,CONCATENATE("PX391=", $Q$115), CONCATENATE("PX392=",$Q$116), CONCATENATE("DS004=",$B$108), "Fill=B")</f>
        <v>#NAME?</v>
      </c>
      <c r="R161" t="e">
        <f ca="1">_xll.BDP($B$60,$C$60,CONCATENATE("PX391=", $R$115), CONCATENATE("PX392=",$R$116), CONCATENATE("DS004=",$B$108), "Fill=B")</f>
        <v>#NAME?</v>
      </c>
      <c r="S161" t="e">
        <f ca="1">_xll.BDP($B$60,$C$60,CONCATENATE("PX391=", $S$115), CONCATENATE("PX392=",$S$116), CONCATENATE("DS004=",$B$108), "Fill=B")</f>
        <v>#NAME?</v>
      </c>
      <c r="T161" t="e">
        <f ca="1">_xll.BDP($B$60,$C$60,CONCATENATE("PX391=", $T$115), CONCATENATE("PX392=",$T$116), CONCATENATE("DS004=",$B$108), "Fill=B")</f>
        <v>#NAME?</v>
      </c>
      <c r="U161" t="e">
        <f ca="1">_xll.BDP($B$60,$C$60,CONCATENATE("PX391=", $U$115), CONCATENATE("PX392=",$U$116), CONCATENATE("DS004=",$B$108), "Fill=B")</f>
        <v>#NAME?</v>
      </c>
      <c r="V161" t="e">
        <f ca="1">_xll.BDP($B$60,$C$60,CONCATENATE("PX391=", $V$115), CONCATENATE("PX392=",$V$116), CONCATENATE("DS004=",$B$108), "Fill=B")</f>
        <v>#NAME?</v>
      </c>
      <c r="W161" t="e">
        <f ca="1">_xll.BDP($B$60,$C$60,CONCATENATE("PX391=", $W$115), CONCATENATE("PX392=",$W$116), CONCATENATE("DS004=",$B$108), "Fill=B")</f>
        <v>#NAME?</v>
      </c>
      <c r="X161" t="e">
        <f ca="1">_xll.BDP($B$60,$C$60,CONCATENATE("PX391=", $X$115), CONCATENATE("PX392=",$X$116), CONCATENATE("DS004=",$B$108), "Fill=B")</f>
        <v>#NAME?</v>
      </c>
      <c r="Y161" t="e">
        <f ca="1">_xll.BDP($B$60,$C$60,CONCATENATE("PX391=", $Y$115), CONCATENATE("PX392=",$Y$116), CONCATENATE("DS004=",$B$108), "Fill=B")</f>
        <v>#NAME?</v>
      </c>
      <c r="Z161" t="e">
        <f ca="1">_xll.BDP($B$60,$C$60,CONCATENATE("PX391=", $Z$115), CONCATENATE("PX392=",$Z$116), CONCATENATE("DS004=",$B$108), "Fill=B")</f>
        <v>#NAME?</v>
      </c>
      <c r="AA161" t="e">
        <f ca="1">_xll.BDP($B$60,$C$60,CONCATENATE("PX391=", $AA$115), CONCATENATE("PX392=",$AA$116), CONCATENATE("DS004=",$B$108), "Fill=B")</f>
        <v>#NAME?</v>
      </c>
      <c r="AB161" t="e">
        <f ca="1">_xll.BDP($B$60,$C$60,CONCATENATE("PX391=", $AB$115), CONCATENATE("PX392=",$AB$116), CONCATENATE("DS004=",$B$108), "Fill=B")</f>
        <v>#NAME?</v>
      </c>
      <c r="AC161" t="e">
        <f ca="1">_xll.BDP($B$60,$C$60,CONCATENATE("PX391=", $AC$115), CONCATENATE("PX392=",$AC$116), CONCATENATE("DS004=",$B$108), "Fill=B")</f>
        <v>#NAME?</v>
      </c>
      <c r="AD161" t="e">
        <f ca="1">_xll.BDP($B$60,$C$60,CONCATENATE("PX391=", $AD$115), CONCATENATE("PX392=",$AD$116), CONCATENATE("DS004=",$B$108), "Fill=B")</f>
        <v>#NAME?</v>
      </c>
      <c r="AE161" t="e">
        <f ca="1">_xll.BDP($B$60,$C$60,CONCATENATE("PX391=", $AE$115), CONCATENATE("PX392=",$AE$116), CONCATENATE("DS004=",$B$108), "Fill=B")</f>
        <v>#NAME?</v>
      </c>
      <c r="AF161" t="e">
        <f ca="1">_xll.BDP($B$60,$C$60,CONCATENATE("PX391=", $AF$115), CONCATENATE("PX392=",$AF$116), CONCATENATE("DS004=",$B$108), "Fill=B")</f>
        <v>#NAME?</v>
      </c>
      <c r="AG161" t="e">
        <f ca="1">_xll.BDP($B$60,$C$60,CONCATENATE("PX391=", $AG$115), CONCATENATE("PX392=",$AG$116), CONCATENATE("DS004=",$B$108), "Fill=B")</f>
        <v>#NAME?</v>
      </c>
      <c r="AH161" t="e">
        <f ca="1">_xll.BDP($B$60,$C$60,CONCATENATE("PX391=", $AH$115), CONCATENATE("PX392=",$AH$116), CONCATENATE("DS004=",$B$108), "Fill=B")</f>
        <v>#NAME?</v>
      </c>
      <c r="AI161" t="e">
        <f ca="1">_xll.BDP($B$60,$C$60,CONCATENATE("PX391=", $AI$115), CONCATENATE("PX392=",$AI$116), CONCATENATE("DS004=",$B$108), "Fill=B")</f>
        <v>#NAME?</v>
      </c>
      <c r="AJ161" t="e">
        <f ca="1">_xll.BDP($B$60,$C$60,CONCATENATE("PX391=", $AJ$115), CONCATENATE("PX392=",$AJ$116), CONCATENATE("DS004=",$B$108), "Fill=B")</f>
        <v>#NAME?</v>
      </c>
      <c r="AK161" t="e">
        <f ca="1">_xll.BDP($B$60,$C$60,CONCATENATE("PX391=", $AK$115), CONCATENATE("PX392=",$AK$116), CONCATENATE("DS004=",$B$108), "Fill=B")</f>
        <v>#NAME?</v>
      </c>
      <c r="AL161" t="e">
        <f ca="1">_xll.BDP($B$60,$C$60,CONCATENATE("PX391=", $AL$115), CONCATENATE("PX392=",$AL$116), CONCATENATE("DS004=",$B$108), "Fill=B")</f>
        <v>#NAME?</v>
      </c>
      <c r="AM161" t="e">
        <f ca="1">_xll.BDP($B$60,$C$60,CONCATENATE("PX391=", $AM$115), CONCATENATE("PX392=",$AM$116), CONCATENATE("DS004=",$B$108), "Fill=B")</f>
        <v>#NAME?</v>
      </c>
      <c r="AN161" t="e">
        <f ca="1">_xll.BDP($B$60,$C$60,CONCATENATE("PX391=", $AN$115), CONCATENATE("PX392=",$AN$116), CONCATENATE("DS004=",$B$108), "Fill=B")</f>
        <v>#NAME?</v>
      </c>
      <c r="AO161" t="e">
        <f ca="1">_xll.BDP($B$60,$C$60,CONCATENATE("PX391=", $AO$115), CONCATENATE("PX392=",$AO$116), CONCATENATE("DS004=",$B$108), "Fill=B")</f>
        <v>#NAME?</v>
      </c>
      <c r="AP161" t="e">
        <f ca="1">_xll.BDP($B$60,$C$60,CONCATENATE("PX391=", $AP$115), CONCATENATE("PX392=",$AP$116), CONCATENATE("DS004=",$B$108), "Fill=B")</f>
        <v>#NAME?</v>
      </c>
      <c r="AQ161" t="e">
        <f ca="1">_xll.BDP($B$60,$C$60,CONCATENATE("PX391=", $AQ$115), CONCATENATE("PX392=",$AQ$116), CONCATENATE("DS004=",$B$108), "Fill=B")</f>
        <v>#NAME?</v>
      </c>
      <c r="AR161" t="e">
        <f ca="1">_xll.BDP($B$60,$C$60,CONCATENATE("PX391=", $AR$115), CONCATENATE("PX392=",$AR$116), CONCATENATE("DS004=",$B$108), "Fill=B")</f>
        <v>#NAME?</v>
      </c>
      <c r="AS161" t="e">
        <f ca="1">_xll.BDP($B$60,$C$60,CONCATENATE("PX391=", $AS$115), CONCATENATE("PX392=",$AS$116), CONCATENATE("DS004=",$B$108), "Fill=B")</f>
        <v>#NAME?</v>
      </c>
      <c r="AT161" t="str">
        <f>""</f>
        <v/>
      </c>
      <c r="AU161" t="str">
        <f>""</f>
        <v/>
      </c>
      <c r="AV161" t="str">
        <f>""</f>
        <v/>
      </c>
      <c r="AW161" t="str">
        <f>""</f>
        <v/>
      </c>
      <c r="AX161" t="str">
        <f>""</f>
        <v/>
      </c>
      <c r="AY161" t="str">
        <f>""</f>
        <v/>
      </c>
      <c r="AZ161" t="str">
        <f>""</f>
        <v/>
      </c>
      <c r="BA161" t="str">
        <f>""</f>
        <v/>
      </c>
      <c r="BB161" t="str">
        <f>""</f>
        <v/>
      </c>
      <c r="BC161" t="str">
        <f>""</f>
        <v/>
      </c>
      <c r="BD161" t="str">
        <f>""</f>
        <v/>
      </c>
      <c r="BE161" t="str">
        <f>""</f>
        <v/>
      </c>
      <c r="BF161" t="str">
        <f>""</f>
        <v/>
      </c>
      <c r="BG161" t="str">
        <f>""</f>
        <v/>
      </c>
      <c r="BH161" t="str">
        <f>""</f>
        <v/>
      </c>
      <c r="BI161" t="str">
        <f>""</f>
        <v/>
      </c>
      <c r="BJ161" t="str">
        <f>""</f>
        <v/>
      </c>
      <c r="BK161" t="str">
        <f>""</f>
        <v/>
      </c>
      <c r="BL161" t="str">
        <f>""</f>
        <v/>
      </c>
      <c r="BM161" t="str">
        <f>""</f>
        <v/>
      </c>
      <c r="BN161" t="str">
        <f>""</f>
        <v/>
      </c>
      <c r="BO161" t="str">
        <f>""</f>
        <v/>
      </c>
      <c r="BP161" t="str">
        <f>""</f>
        <v/>
      </c>
      <c r="BQ161" t="str">
        <f>""</f>
        <v/>
      </c>
      <c r="BR161" t="str">
        <f>""</f>
        <v/>
      </c>
      <c r="BS161" t="str">
        <f>""</f>
        <v/>
      </c>
      <c r="BT161" t="str">
        <f>""</f>
        <v/>
      </c>
      <c r="BU161" t="str">
        <f>""</f>
        <v/>
      </c>
      <c r="BV161" t="str">
        <f>""</f>
        <v/>
      </c>
      <c r="BW161" t="str">
        <f>""</f>
        <v/>
      </c>
      <c r="BX161" t="str">
        <f>""</f>
        <v/>
      </c>
      <c r="BY161" t="str">
        <f>""</f>
        <v/>
      </c>
      <c r="BZ161" t="str">
        <f>""</f>
        <v/>
      </c>
      <c r="CA161" t="str">
        <f>""</f>
        <v/>
      </c>
      <c r="CB161" t="str">
        <f>""</f>
        <v/>
      </c>
      <c r="CC161" t="str">
        <f>""</f>
        <v/>
      </c>
      <c r="CD161" t="str">
        <f>""</f>
        <v/>
      </c>
      <c r="CE161" t="str">
        <f>""</f>
        <v/>
      </c>
      <c r="CF161" t="str">
        <f>""</f>
        <v/>
      </c>
      <c r="CG161" t="str">
        <f>""</f>
        <v/>
      </c>
    </row>
    <row r="162" spans="1:85" x14ac:dyDescent="0.2">
      <c r="A162" t="str">
        <f>$A$66</f>
        <v xml:space="preserve">        U.S. Housing Starts ('000 Units)</v>
      </c>
      <c r="B162" t="str">
        <f>$B$66</f>
        <v>NHSPSTOT Index</v>
      </c>
      <c r="C162" t="str">
        <f>$C$66</f>
        <v>PR005</v>
      </c>
      <c r="D162" t="str">
        <f>$D$66</f>
        <v>PX_LAST</v>
      </c>
      <c r="E162" t="str">
        <f>$E$66</f>
        <v>Dynamic</v>
      </c>
      <c r="F162" t="e">
        <f ca="1">_xll.BDH($B$66,$C$66,$B$111,$B$112,CONCATENATE("Per=",$B$109),"Dts=H","Dir=H",CONCATENATE("Points=",$B$110),"Sort=R","Days=A","Fill=B",CONCATENATE("FX=", $B$108),"cols=40;rows=1")</f>
        <v>#NAME?</v>
      </c>
      <c r="G162">
        <v>1357</v>
      </c>
      <c r="H162">
        <v>1787</v>
      </c>
      <c r="I162">
        <v>1663</v>
      </c>
      <c r="J162">
        <v>1551</v>
      </c>
      <c r="K162">
        <v>1095</v>
      </c>
      <c r="L162">
        <v>1177</v>
      </c>
      <c r="M162">
        <v>1252</v>
      </c>
      <c r="N162">
        <v>1146</v>
      </c>
      <c r="O162">
        <v>1073</v>
      </c>
      <c r="P162">
        <v>1002</v>
      </c>
      <c r="Q162">
        <v>976</v>
      </c>
      <c r="R162">
        <v>694</v>
      </c>
      <c r="S162">
        <v>539</v>
      </c>
      <c r="T162">
        <v>581</v>
      </c>
      <c r="U162">
        <v>560</v>
      </c>
      <c r="V162">
        <v>1037</v>
      </c>
      <c r="W162">
        <v>1649</v>
      </c>
      <c r="X162">
        <v>1994</v>
      </c>
      <c r="Y162">
        <v>2042</v>
      </c>
      <c r="Z162">
        <v>2057</v>
      </c>
      <c r="AA162">
        <v>1788</v>
      </c>
      <c r="AB162">
        <v>1568</v>
      </c>
      <c r="AC162">
        <v>1532</v>
      </c>
      <c r="AD162">
        <v>1708</v>
      </c>
      <c r="AE162">
        <v>1792</v>
      </c>
      <c r="AF162">
        <v>1566</v>
      </c>
      <c r="AG162">
        <v>1370</v>
      </c>
      <c r="AH162">
        <v>1431</v>
      </c>
      <c r="AI162">
        <v>1455</v>
      </c>
      <c r="AJ162">
        <v>1533</v>
      </c>
      <c r="AK162">
        <v>1227</v>
      </c>
      <c r="AL162">
        <v>1079</v>
      </c>
      <c r="AM162">
        <v>969</v>
      </c>
      <c r="AN162">
        <v>1251</v>
      </c>
      <c r="AO162">
        <v>1563</v>
      </c>
      <c r="AP162">
        <v>1400</v>
      </c>
      <c r="AQ162">
        <v>1833</v>
      </c>
      <c r="AR162">
        <v>1942</v>
      </c>
      <c r="AS162">
        <v>1612</v>
      </c>
      <c r="AT162" t="str">
        <f>""</f>
        <v/>
      </c>
      <c r="AU162" t="str">
        <f>""</f>
        <v/>
      </c>
      <c r="AV162" t="str">
        <f>""</f>
        <v/>
      </c>
      <c r="AW162" t="str">
        <f>""</f>
        <v/>
      </c>
      <c r="AX162" t="str">
        <f>""</f>
        <v/>
      </c>
      <c r="AY162" t="str">
        <f>""</f>
        <v/>
      </c>
      <c r="AZ162" t="str">
        <f>""</f>
        <v/>
      </c>
      <c r="BA162" t="str">
        <f>""</f>
        <v/>
      </c>
      <c r="BB162" t="str">
        <f>""</f>
        <v/>
      </c>
      <c r="BC162" t="str">
        <f>""</f>
        <v/>
      </c>
      <c r="BD162" t="str">
        <f>""</f>
        <v/>
      </c>
      <c r="BE162" t="str">
        <f>""</f>
        <v/>
      </c>
      <c r="BF162" t="str">
        <f>""</f>
        <v/>
      </c>
      <c r="BG162" t="str">
        <f>""</f>
        <v/>
      </c>
      <c r="BH162" t="str">
        <f>""</f>
        <v/>
      </c>
      <c r="BI162" t="str">
        <f>""</f>
        <v/>
      </c>
      <c r="BJ162" t="str">
        <f>""</f>
        <v/>
      </c>
      <c r="BK162" t="str">
        <f>""</f>
        <v/>
      </c>
      <c r="BL162" t="str">
        <f>""</f>
        <v/>
      </c>
      <c r="BM162" t="str">
        <f>""</f>
        <v/>
      </c>
      <c r="BN162" t="str">
        <f>""</f>
        <v/>
      </c>
      <c r="BO162" t="str">
        <f>""</f>
        <v/>
      </c>
      <c r="BP162" t="str">
        <f>""</f>
        <v/>
      </c>
      <c r="BQ162" t="str">
        <f>""</f>
        <v/>
      </c>
      <c r="BR162" t="str">
        <f>""</f>
        <v/>
      </c>
      <c r="BS162" t="str">
        <f>""</f>
        <v/>
      </c>
      <c r="BT162" t="str">
        <f>""</f>
        <v/>
      </c>
      <c r="BU162" t="str">
        <f>""</f>
        <v/>
      </c>
      <c r="BV162" t="str">
        <f>""</f>
        <v/>
      </c>
      <c r="BW162" t="str">
        <f>""</f>
        <v/>
      </c>
      <c r="BX162" t="str">
        <f>""</f>
        <v/>
      </c>
      <c r="BY162" t="str">
        <f>""</f>
        <v/>
      </c>
      <c r="BZ162" t="str">
        <f>""</f>
        <v/>
      </c>
      <c r="CA162" t="str">
        <f>""</f>
        <v/>
      </c>
      <c r="CB162" t="str">
        <f>""</f>
        <v/>
      </c>
      <c r="CC162" t="str">
        <f>""</f>
        <v/>
      </c>
      <c r="CD162" t="str">
        <f>""</f>
        <v/>
      </c>
      <c r="CE162" t="str">
        <f>""</f>
        <v/>
      </c>
      <c r="CF162" t="str">
        <f>""</f>
        <v/>
      </c>
      <c r="CG162" t="str">
        <f>""</f>
        <v/>
      </c>
    </row>
    <row r="163" spans="1:85" x14ac:dyDescent="0.2">
      <c r="A163" t="str">
        <f>$A$67</f>
        <v xml:space="preserve">        U.S. Residential Building Permits (SAAR) ('000 Units)</v>
      </c>
      <c r="B163" t="str">
        <f>$B$67</f>
        <v>NHSPATOT Index</v>
      </c>
      <c r="C163" t="str">
        <f>$C$67</f>
        <v>PR005</v>
      </c>
      <c r="D163" t="str">
        <f>$D$67</f>
        <v>PX_LAST</v>
      </c>
      <c r="E163" t="str">
        <f>$E$67</f>
        <v>Dynamic</v>
      </c>
      <c r="F163" t="e">
        <f ca="1">_xll.BDH($B$67,$C$67,$B$111,$B$112,CONCATENATE("Per=",$B$109),"Dts=H","Dir=H",CONCATENATE("Points=",$B$110),"Sort=R","Days=A","Fill=B",CONCATENATE("FX=", $B$108),"cols=40;rows=1")</f>
        <v>#NAME?</v>
      </c>
      <c r="G163">
        <v>1409</v>
      </c>
      <c r="H163">
        <v>1948</v>
      </c>
      <c r="I163">
        <v>1760</v>
      </c>
      <c r="J163">
        <v>1461</v>
      </c>
      <c r="K163">
        <v>1320</v>
      </c>
      <c r="L163">
        <v>1312</v>
      </c>
      <c r="M163">
        <v>1248</v>
      </c>
      <c r="N163">
        <v>1211</v>
      </c>
      <c r="O163">
        <v>1072</v>
      </c>
      <c r="P163">
        <v>1005</v>
      </c>
      <c r="Q163">
        <v>941</v>
      </c>
      <c r="R163">
        <v>697</v>
      </c>
      <c r="S163">
        <v>632</v>
      </c>
      <c r="T163">
        <v>664</v>
      </c>
      <c r="U163">
        <v>554</v>
      </c>
      <c r="V163">
        <v>1149</v>
      </c>
      <c r="W163">
        <v>1638</v>
      </c>
      <c r="X163">
        <v>2120</v>
      </c>
      <c r="Y163">
        <v>2082</v>
      </c>
      <c r="Z163">
        <v>1987</v>
      </c>
      <c r="AA163">
        <v>1896</v>
      </c>
      <c r="AB163">
        <v>1680</v>
      </c>
      <c r="AC163">
        <v>1543</v>
      </c>
      <c r="AD163">
        <v>1683</v>
      </c>
      <c r="AE163">
        <v>1742</v>
      </c>
      <c r="AF163">
        <v>1456</v>
      </c>
      <c r="AG163">
        <v>1411</v>
      </c>
      <c r="AH163">
        <v>1442</v>
      </c>
      <c r="AI163">
        <v>1396</v>
      </c>
      <c r="AJ163">
        <v>1461</v>
      </c>
      <c r="AK163">
        <v>1176</v>
      </c>
      <c r="AL163">
        <v>1061</v>
      </c>
      <c r="AM163">
        <v>861</v>
      </c>
      <c r="AN163">
        <v>1422</v>
      </c>
      <c r="AO163">
        <v>1501</v>
      </c>
      <c r="AP163">
        <v>1345</v>
      </c>
      <c r="AQ163">
        <v>1903</v>
      </c>
      <c r="AR163">
        <v>1794</v>
      </c>
      <c r="AS163">
        <v>1626</v>
      </c>
      <c r="AT163" t="str">
        <f>""</f>
        <v/>
      </c>
      <c r="AU163" t="str">
        <f>""</f>
        <v/>
      </c>
      <c r="AV163" t="str">
        <f>""</f>
        <v/>
      </c>
      <c r="AW163" t="str">
        <f>""</f>
        <v/>
      </c>
      <c r="AX163" t="str">
        <f>""</f>
        <v/>
      </c>
      <c r="AY163" t="str">
        <f>""</f>
        <v/>
      </c>
      <c r="AZ163" t="str">
        <f>""</f>
        <v/>
      </c>
      <c r="BA163" t="str">
        <f>""</f>
        <v/>
      </c>
      <c r="BB163" t="str">
        <f>""</f>
        <v/>
      </c>
      <c r="BC163" t="str">
        <f>""</f>
        <v/>
      </c>
      <c r="BD163" t="str">
        <f>""</f>
        <v/>
      </c>
      <c r="BE163" t="str">
        <f>""</f>
        <v/>
      </c>
      <c r="BF163" t="str">
        <f>""</f>
        <v/>
      </c>
      <c r="BG163" t="str">
        <f>""</f>
        <v/>
      </c>
      <c r="BH163" t="str">
        <f>""</f>
        <v/>
      </c>
      <c r="BI163" t="str">
        <f>""</f>
        <v/>
      </c>
      <c r="BJ163" t="str">
        <f>""</f>
        <v/>
      </c>
      <c r="BK163" t="str">
        <f>""</f>
        <v/>
      </c>
      <c r="BL163" t="str">
        <f>""</f>
        <v/>
      </c>
      <c r="BM163" t="str">
        <f>""</f>
        <v/>
      </c>
      <c r="BN163" t="str">
        <f>""</f>
        <v/>
      </c>
      <c r="BO163" t="str">
        <f>""</f>
        <v/>
      </c>
      <c r="BP163" t="str">
        <f>""</f>
        <v/>
      </c>
      <c r="BQ163" t="str">
        <f>""</f>
        <v/>
      </c>
      <c r="BR163" t="str">
        <f>""</f>
        <v/>
      </c>
      <c r="BS163" t="str">
        <f>""</f>
        <v/>
      </c>
      <c r="BT163" t="str">
        <f>""</f>
        <v/>
      </c>
      <c r="BU163" t="str">
        <f>""</f>
        <v/>
      </c>
      <c r="BV163" t="str">
        <f>""</f>
        <v/>
      </c>
      <c r="BW163" t="str">
        <f>""</f>
        <v/>
      </c>
      <c r="BX163" t="str">
        <f>""</f>
        <v/>
      </c>
      <c r="BY163" t="str">
        <f>""</f>
        <v/>
      </c>
      <c r="BZ163" t="str">
        <f>""</f>
        <v/>
      </c>
      <c r="CA163" t="str">
        <f>""</f>
        <v/>
      </c>
      <c r="CB163" t="str">
        <f>""</f>
        <v/>
      </c>
      <c r="CC163" t="str">
        <f>""</f>
        <v/>
      </c>
      <c r="CD163" t="str">
        <f>""</f>
        <v/>
      </c>
      <c r="CE163" t="str">
        <f>""</f>
        <v/>
      </c>
      <c r="CF163" t="str">
        <f>""</f>
        <v/>
      </c>
      <c r="CG163" t="str">
        <f>""</f>
        <v/>
      </c>
    </row>
    <row r="164" spans="1:85" x14ac:dyDescent="0.2">
      <c r="A164" t="str">
        <f>$A$68</f>
        <v xml:space="preserve">        U.S. New Home Sales ('000 Units)</v>
      </c>
      <c r="B164" t="str">
        <f>$B$68</f>
        <v>NHSLTOT Index</v>
      </c>
      <c r="C164" t="str">
        <f>$C$68</f>
        <v>PR005</v>
      </c>
      <c r="D164" t="str">
        <f>$D$68</f>
        <v>PX_LAST</v>
      </c>
      <c r="E164" t="str">
        <f>$E$68</f>
        <v>Dynamic</v>
      </c>
      <c r="F164" t="e">
        <f ca="1">_xll.BDH($B$68,$C$68,$B$111,$B$112,CONCATENATE("Per=",$B$109),"Dts=H","Dir=H",CONCATENATE("Points=",$B$110),"Sort=R","Days=A","Fill=B",CONCATENATE("FX=", $B$108),"cols=40;rows=1")</f>
        <v>#NAME?</v>
      </c>
      <c r="G164">
        <v>636</v>
      </c>
      <c r="H164">
        <v>830</v>
      </c>
      <c r="I164">
        <v>873</v>
      </c>
      <c r="J164">
        <v>693</v>
      </c>
      <c r="K164">
        <v>546</v>
      </c>
      <c r="L164">
        <v>630</v>
      </c>
      <c r="M164">
        <v>561</v>
      </c>
      <c r="N164">
        <v>546</v>
      </c>
      <c r="O164">
        <v>497</v>
      </c>
      <c r="P164">
        <v>433</v>
      </c>
      <c r="Q164">
        <v>399</v>
      </c>
      <c r="R164">
        <v>341</v>
      </c>
      <c r="S164">
        <v>326</v>
      </c>
      <c r="T164">
        <v>352</v>
      </c>
      <c r="U164">
        <v>377</v>
      </c>
      <c r="V164">
        <v>619</v>
      </c>
      <c r="W164">
        <v>998</v>
      </c>
      <c r="X164">
        <v>1239</v>
      </c>
      <c r="Y164">
        <v>1242</v>
      </c>
      <c r="Z164">
        <v>1129</v>
      </c>
      <c r="AA164">
        <v>1048</v>
      </c>
      <c r="AB164">
        <v>979</v>
      </c>
      <c r="AC164">
        <v>983</v>
      </c>
      <c r="AD164">
        <v>873</v>
      </c>
      <c r="AE164">
        <v>949</v>
      </c>
      <c r="AF164">
        <v>793</v>
      </c>
      <c r="AG164">
        <v>805</v>
      </c>
      <c r="AH164">
        <v>709</v>
      </c>
      <c r="AI164">
        <v>629</v>
      </c>
      <c r="AJ164">
        <v>812</v>
      </c>
      <c r="AK164">
        <v>650</v>
      </c>
      <c r="AL164">
        <v>558</v>
      </c>
      <c r="AM164">
        <v>464</v>
      </c>
      <c r="AN164">
        <v>630</v>
      </c>
      <c r="AO164">
        <v>658</v>
      </c>
      <c r="AP164">
        <v>595</v>
      </c>
      <c r="AQ164">
        <v>784</v>
      </c>
      <c r="AR164">
        <v>721</v>
      </c>
      <c r="AS164">
        <v>597</v>
      </c>
      <c r="AT164" t="str">
        <f>""</f>
        <v/>
      </c>
      <c r="AU164" t="str">
        <f>""</f>
        <v/>
      </c>
      <c r="AV164" t="str">
        <f>""</f>
        <v/>
      </c>
      <c r="AW164" t="str">
        <f>""</f>
        <v/>
      </c>
      <c r="AX164" t="str">
        <f>""</f>
        <v/>
      </c>
      <c r="AY164" t="str">
        <f>""</f>
        <v/>
      </c>
      <c r="AZ164" t="str">
        <f>""</f>
        <v/>
      </c>
      <c r="BA164" t="str">
        <f>""</f>
        <v/>
      </c>
      <c r="BB164" t="str">
        <f>""</f>
        <v/>
      </c>
      <c r="BC164" t="str">
        <f>""</f>
        <v/>
      </c>
      <c r="BD164" t="str">
        <f>""</f>
        <v/>
      </c>
      <c r="BE164" t="str">
        <f>""</f>
        <v/>
      </c>
      <c r="BF164" t="str">
        <f>""</f>
        <v/>
      </c>
      <c r="BG164" t="str">
        <f>""</f>
        <v/>
      </c>
      <c r="BH164" t="str">
        <f>""</f>
        <v/>
      </c>
      <c r="BI164" t="str">
        <f>""</f>
        <v/>
      </c>
      <c r="BJ164" t="str">
        <f>""</f>
        <v/>
      </c>
      <c r="BK164" t="str">
        <f>""</f>
        <v/>
      </c>
      <c r="BL164" t="str">
        <f>""</f>
        <v/>
      </c>
      <c r="BM164" t="str">
        <f>""</f>
        <v/>
      </c>
      <c r="BN164" t="str">
        <f>""</f>
        <v/>
      </c>
      <c r="BO164" t="str">
        <f>""</f>
        <v/>
      </c>
      <c r="BP164" t="str">
        <f>""</f>
        <v/>
      </c>
      <c r="BQ164" t="str">
        <f>""</f>
        <v/>
      </c>
      <c r="BR164" t="str">
        <f>""</f>
        <v/>
      </c>
      <c r="BS164" t="str">
        <f>""</f>
        <v/>
      </c>
      <c r="BT164" t="str">
        <f>""</f>
        <v/>
      </c>
      <c r="BU164" t="str">
        <f>""</f>
        <v/>
      </c>
      <c r="BV164" t="str">
        <f>""</f>
        <v/>
      </c>
      <c r="BW164" t="str">
        <f>""</f>
        <v/>
      </c>
      <c r="BX164" t="str">
        <f>""</f>
        <v/>
      </c>
      <c r="BY164" t="str">
        <f>""</f>
        <v/>
      </c>
      <c r="BZ164" t="str">
        <f>""</f>
        <v/>
      </c>
      <c r="CA164" t="str">
        <f>""</f>
        <v/>
      </c>
      <c r="CB164" t="str">
        <f>""</f>
        <v/>
      </c>
      <c r="CC164" t="str">
        <f>""</f>
        <v/>
      </c>
      <c r="CD164" t="str">
        <f>""</f>
        <v/>
      </c>
      <c r="CE164" t="str">
        <f>""</f>
        <v/>
      </c>
      <c r="CF164" t="str">
        <f>""</f>
        <v/>
      </c>
      <c r="CG164" t="str">
        <f>""</f>
        <v/>
      </c>
    </row>
    <row r="165" spans="1:85" x14ac:dyDescent="0.2">
      <c r="A165" t="str">
        <f>$A$69</f>
        <v xml:space="preserve">        U.S. New Home Months Supply</v>
      </c>
      <c r="B165" t="str">
        <f>$B$69</f>
        <v>NHSLSUPP Index</v>
      </c>
      <c r="C165" t="str">
        <f>$C$69</f>
        <v>PR005</v>
      </c>
      <c r="D165" t="str">
        <f>$D$69</f>
        <v>PX_LAST</v>
      </c>
      <c r="E165" t="str">
        <f>$E$69</f>
        <v>Dynamic</v>
      </c>
      <c r="F165" t="e">
        <f ca="1">_xll.BDH($B$69,$C$69,$B$111,$B$112,CONCATENATE("Per=",$B$109),"Dts=H","Dir=H",CONCATENATE("Points=",$B$110),"Sort=R","Days=A","Fill=B",CONCATENATE("FX=", $B$108),"cols=40;rows=1")</f>
        <v>#NAME?</v>
      </c>
      <c r="G165">
        <v>8.5</v>
      </c>
      <c r="H165">
        <v>5.6</v>
      </c>
      <c r="I165">
        <v>4.0999999999999996</v>
      </c>
      <c r="J165">
        <v>5.6</v>
      </c>
      <c r="K165">
        <v>7.6</v>
      </c>
      <c r="L165">
        <v>5.6</v>
      </c>
      <c r="M165">
        <v>5.4</v>
      </c>
      <c r="N165">
        <v>5.0999999999999996</v>
      </c>
      <c r="O165">
        <v>5.0999999999999996</v>
      </c>
      <c r="P165">
        <v>5.2</v>
      </c>
      <c r="Q165">
        <v>4.5</v>
      </c>
      <c r="R165">
        <v>5.3</v>
      </c>
      <c r="S165">
        <v>7</v>
      </c>
      <c r="T165">
        <v>8</v>
      </c>
      <c r="U165">
        <v>11.2</v>
      </c>
      <c r="V165">
        <v>9.6</v>
      </c>
      <c r="W165">
        <v>6.5</v>
      </c>
      <c r="X165">
        <v>4.9000000000000004</v>
      </c>
      <c r="Y165">
        <v>4.0999999999999996</v>
      </c>
      <c r="Z165">
        <v>4</v>
      </c>
      <c r="AA165">
        <v>4</v>
      </c>
      <c r="AB165">
        <v>3.8</v>
      </c>
      <c r="AC165">
        <v>3.6</v>
      </c>
      <c r="AD165">
        <v>4.3</v>
      </c>
      <c r="AE165">
        <v>3.8</v>
      </c>
      <c r="AF165">
        <v>4.4000000000000004</v>
      </c>
      <c r="AG165">
        <v>5</v>
      </c>
      <c r="AH165">
        <v>6.4</v>
      </c>
      <c r="AI165">
        <v>6.6</v>
      </c>
      <c r="AJ165">
        <v>4.5</v>
      </c>
      <c r="AK165">
        <v>5</v>
      </c>
      <c r="AL165">
        <v>6.2</v>
      </c>
      <c r="AM165">
        <v>8.5</v>
      </c>
      <c r="AN165">
        <v>7</v>
      </c>
      <c r="AO165">
        <v>6.8</v>
      </c>
      <c r="AP165">
        <v>7.6</v>
      </c>
      <c r="AQ165">
        <v>5.5</v>
      </c>
      <c r="AR165">
        <v>5.8</v>
      </c>
      <c r="AS165">
        <v>7.3</v>
      </c>
      <c r="AT165" t="str">
        <f>""</f>
        <v/>
      </c>
      <c r="AU165" t="str">
        <f>""</f>
        <v/>
      </c>
      <c r="AV165" t="str">
        <f>""</f>
        <v/>
      </c>
      <c r="AW165" t="str">
        <f>""</f>
        <v/>
      </c>
      <c r="AX165" t="str">
        <f>""</f>
        <v/>
      </c>
      <c r="AY165" t="str">
        <f>""</f>
        <v/>
      </c>
      <c r="AZ165" t="str">
        <f>""</f>
        <v/>
      </c>
      <c r="BA165" t="str">
        <f>""</f>
        <v/>
      </c>
      <c r="BB165" t="str">
        <f>""</f>
        <v/>
      </c>
      <c r="BC165" t="str">
        <f>""</f>
        <v/>
      </c>
      <c r="BD165" t="str">
        <f>""</f>
        <v/>
      </c>
      <c r="BE165" t="str">
        <f>""</f>
        <v/>
      </c>
      <c r="BF165" t="str">
        <f>""</f>
        <v/>
      </c>
      <c r="BG165" t="str">
        <f>""</f>
        <v/>
      </c>
      <c r="BH165" t="str">
        <f>""</f>
        <v/>
      </c>
      <c r="BI165" t="str">
        <f>""</f>
        <v/>
      </c>
      <c r="BJ165" t="str">
        <f>""</f>
        <v/>
      </c>
      <c r="BK165" t="str">
        <f>""</f>
        <v/>
      </c>
      <c r="BL165" t="str">
        <f>""</f>
        <v/>
      </c>
      <c r="BM165" t="str">
        <f>""</f>
        <v/>
      </c>
      <c r="BN165" t="str">
        <f>""</f>
        <v/>
      </c>
      <c r="BO165" t="str">
        <f>""</f>
        <v/>
      </c>
      <c r="BP165" t="str">
        <f>""</f>
        <v/>
      </c>
      <c r="BQ165" t="str">
        <f>""</f>
        <v/>
      </c>
      <c r="BR165" t="str">
        <f>""</f>
        <v/>
      </c>
      <c r="BS165" t="str">
        <f>""</f>
        <v/>
      </c>
      <c r="BT165" t="str">
        <f>""</f>
        <v/>
      </c>
      <c r="BU165" t="str">
        <f>""</f>
        <v/>
      </c>
      <c r="BV165" t="str">
        <f>""</f>
        <v/>
      </c>
      <c r="BW165" t="str">
        <f>""</f>
        <v/>
      </c>
      <c r="BX165" t="str">
        <f>""</f>
        <v/>
      </c>
      <c r="BY165" t="str">
        <f>""</f>
        <v/>
      </c>
      <c r="BZ165" t="str">
        <f>""</f>
        <v/>
      </c>
      <c r="CA165" t="str">
        <f>""</f>
        <v/>
      </c>
      <c r="CB165" t="str">
        <f>""</f>
        <v/>
      </c>
      <c r="CC165" t="str">
        <f>""</f>
        <v/>
      </c>
      <c r="CD165" t="str">
        <f>""</f>
        <v/>
      </c>
      <c r="CE165" t="str">
        <f>""</f>
        <v/>
      </c>
      <c r="CF165" t="str">
        <f>""</f>
        <v/>
      </c>
      <c r="CG165" t="str">
        <f>""</f>
        <v/>
      </c>
    </row>
    <row r="166" spans="1:85" x14ac:dyDescent="0.2">
      <c r="A166" t="str">
        <f>$A$71</f>
        <v xml:space="preserve">        U.S. Existing Home Sales (M Units)</v>
      </c>
      <c r="B166" t="str">
        <f>$B$71</f>
        <v>ETSLTOTL Index</v>
      </c>
      <c r="C166" t="str">
        <f>$C$71</f>
        <v>PR005</v>
      </c>
      <c r="D166" t="str">
        <f>$D$71</f>
        <v>PX_LAST</v>
      </c>
      <c r="E166" t="str">
        <f>$E$71</f>
        <v>Dynamic</v>
      </c>
      <c r="F166" t="e">
        <f ca="1">_xll.BDH($B$71,$C$71,$B$111,$B$112,CONCATENATE("Per=",$B$109),"Dts=H","Dir=H",CONCATENATE("Points=",$B$110),"Sort=R","Days=A","Fill=B",CONCATENATE("FX=", $B$108),"cols=40;rows=1")</f>
        <v>#NAME?</v>
      </c>
      <c r="G166">
        <v>4.03</v>
      </c>
      <c r="H166">
        <v>6.11</v>
      </c>
      <c r="I166">
        <v>6.51</v>
      </c>
      <c r="J166">
        <v>5.45</v>
      </c>
      <c r="K166">
        <v>5.01</v>
      </c>
      <c r="L166">
        <v>5.57</v>
      </c>
      <c r="M166">
        <v>5.52</v>
      </c>
      <c r="N166">
        <v>5.44</v>
      </c>
      <c r="O166">
        <v>5.09</v>
      </c>
      <c r="P166">
        <v>4.8600000000000003</v>
      </c>
      <c r="Q166">
        <v>4.8899999999999997</v>
      </c>
      <c r="R166">
        <v>4.3499999999999996</v>
      </c>
      <c r="S166">
        <v>4.2699999999999996</v>
      </c>
      <c r="T166">
        <v>4.4000000000000004</v>
      </c>
      <c r="U166">
        <v>4.01</v>
      </c>
      <c r="V166">
        <v>4.41</v>
      </c>
      <c r="W166">
        <v>6.4</v>
      </c>
      <c r="X166">
        <v>6.84</v>
      </c>
      <c r="Y166">
        <v>6.89</v>
      </c>
      <c r="Z166">
        <v>6.49</v>
      </c>
      <c r="AA166">
        <v>5.97</v>
      </c>
      <c r="AB166">
        <v>5.49</v>
      </c>
      <c r="AC166">
        <v>5.0999999999999996</v>
      </c>
      <c r="AD166">
        <v>5.08</v>
      </c>
      <c r="AT166" t="str">
        <f>""</f>
        <v/>
      </c>
      <c r="AU166" t="str">
        <f>""</f>
        <v/>
      </c>
      <c r="AV166" t="str">
        <f>""</f>
        <v/>
      </c>
      <c r="AW166" t="str">
        <f>""</f>
        <v/>
      </c>
      <c r="AX166" t="str">
        <f>""</f>
        <v/>
      </c>
      <c r="AY166" t="str">
        <f>""</f>
        <v/>
      </c>
      <c r="AZ166" t="str">
        <f>""</f>
        <v/>
      </c>
      <c r="BA166" t="str">
        <f>""</f>
        <v/>
      </c>
      <c r="BB166" t="str">
        <f>""</f>
        <v/>
      </c>
      <c r="BC166" t="str">
        <f>""</f>
        <v/>
      </c>
      <c r="BD166" t="str">
        <f>""</f>
        <v/>
      </c>
      <c r="BE166" t="str">
        <f>""</f>
        <v/>
      </c>
      <c r="BF166" t="str">
        <f>""</f>
        <v/>
      </c>
      <c r="BG166" t="str">
        <f>""</f>
        <v/>
      </c>
      <c r="BH166" t="str">
        <f>""</f>
        <v/>
      </c>
      <c r="BI166" t="str">
        <f>""</f>
        <v/>
      </c>
      <c r="BJ166" t="str">
        <f>""</f>
        <v/>
      </c>
      <c r="BK166" t="str">
        <f>""</f>
        <v/>
      </c>
      <c r="BL166" t="str">
        <f>""</f>
        <v/>
      </c>
      <c r="BM166" t="str">
        <f>""</f>
        <v/>
      </c>
      <c r="BN166" t="str">
        <f>""</f>
        <v/>
      </c>
      <c r="BO166" t="str">
        <f>""</f>
        <v/>
      </c>
      <c r="BP166" t="str">
        <f>""</f>
        <v/>
      </c>
      <c r="BQ166" t="str">
        <f>""</f>
        <v/>
      </c>
      <c r="BR166" t="str">
        <f>""</f>
        <v/>
      </c>
      <c r="BS166" t="str">
        <f>""</f>
        <v/>
      </c>
      <c r="BT166" t="str">
        <f>""</f>
        <v/>
      </c>
      <c r="BU166" t="str">
        <f>""</f>
        <v/>
      </c>
      <c r="BV166" t="str">
        <f>""</f>
        <v/>
      </c>
      <c r="BW166" t="str">
        <f>""</f>
        <v/>
      </c>
      <c r="BX166" t="str">
        <f>""</f>
        <v/>
      </c>
      <c r="BY166" t="str">
        <f>""</f>
        <v/>
      </c>
      <c r="BZ166" t="str">
        <f>""</f>
        <v/>
      </c>
      <c r="CA166" t="str">
        <f>""</f>
        <v/>
      </c>
      <c r="CB166" t="str">
        <f>""</f>
        <v/>
      </c>
      <c r="CC166" t="str">
        <f>""</f>
        <v/>
      </c>
      <c r="CD166" t="str">
        <f>""</f>
        <v/>
      </c>
      <c r="CE166" t="str">
        <f>""</f>
        <v/>
      </c>
      <c r="CF166" t="str">
        <f>""</f>
        <v/>
      </c>
      <c r="CG166" t="str">
        <f>""</f>
        <v/>
      </c>
    </row>
    <row r="167" spans="1:85" x14ac:dyDescent="0.2">
      <c r="A167" t="str">
        <f>$A$72</f>
        <v xml:space="preserve">        U.S. Existing Home Sales Months Supply</v>
      </c>
      <c r="B167" t="str">
        <f>$B$72</f>
        <v>ETSLMSUP Index</v>
      </c>
      <c r="C167" t="str">
        <f>$C$72</f>
        <v>PR005</v>
      </c>
      <c r="D167" t="str">
        <f>$D$72</f>
        <v>PX_LAST</v>
      </c>
      <c r="E167" t="str">
        <f>$E$72</f>
        <v>Dynamic</v>
      </c>
      <c r="F167" t="e">
        <f ca="1">_xll.BDH($B$72,$C$72,$B$111,$B$112,CONCATENATE("Per=",$B$109),"Dts=H","Dir=H",CONCATENATE("Points=",$B$110),"Sort=R","Days=A","Fill=B",CONCATENATE("FX=", $B$108),"cols=40;rows=1")</f>
        <v>#NAME?</v>
      </c>
      <c r="G167">
        <v>2.9</v>
      </c>
      <c r="H167">
        <v>1.7</v>
      </c>
      <c r="I167">
        <v>2</v>
      </c>
      <c r="J167">
        <v>3.1</v>
      </c>
      <c r="K167">
        <v>3.7</v>
      </c>
      <c r="L167">
        <v>3.1</v>
      </c>
      <c r="M167">
        <v>3.6</v>
      </c>
      <c r="N167">
        <v>3.9</v>
      </c>
      <c r="O167">
        <v>4.4000000000000004</v>
      </c>
      <c r="P167">
        <v>4.5999999999999996</v>
      </c>
      <c r="Q167">
        <v>4.5</v>
      </c>
      <c r="R167">
        <v>6.4</v>
      </c>
      <c r="S167">
        <v>8.5</v>
      </c>
      <c r="T167">
        <v>7.5</v>
      </c>
      <c r="U167">
        <v>9.4</v>
      </c>
      <c r="V167">
        <v>9.6</v>
      </c>
      <c r="W167">
        <v>6.5</v>
      </c>
      <c r="X167">
        <v>5</v>
      </c>
      <c r="Y167">
        <v>3.9</v>
      </c>
      <c r="Z167">
        <v>4.2</v>
      </c>
      <c r="AA167">
        <v>4.3</v>
      </c>
      <c r="AB167">
        <v>4.0999999999999996</v>
      </c>
      <c r="AC167">
        <v>4.4000000000000004</v>
      </c>
      <c r="AD167">
        <v>4</v>
      </c>
      <c r="AT167" t="str">
        <f>""</f>
        <v/>
      </c>
      <c r="AU167" t="str">
        <f>""</f>
        <v/>
      </c>
      <c r="AV167" t="str">
        <f>""</f>
        <v/>
      </c>
      <c r="AW167" t="str">
        <f>""</f>
        <v/>
      </c>
      <c r="AX167" t="str">
        <f>""</f>
        <v/>
      </c>
      <c r="AY167" t="str">
        <f>""</f>
        <v/>
      </c>
      <c r="AZ167" t="str">
        <f>""</f>
        <v/>
      </c>
      <c r="BA167" t="str">
        <f>""</f>
        <v/>
      </c>
      <c r="BB167" t="str">
        <f>""</f>
        <v/>
      </c>
      <c r="BC167" t="str">
        <f>""</f>
        <v/>
      </c>
      <c r="BD167" t="str">
        <f>""</f>
        <v/>
      </c>
      <c r="BE167" t="str">
        <f>""</f>
        <v/>
      </c>
      <c r="BF167" t="str">
        <f>""</f>
        <v/>
      </c>
      <c r="BG167" t="str">
        <f>""</f>
        <v/>
      </c>
      <c r="BH167" t="str">
        <f>""</f>
        <v/>
      </c>
      <c r="BI167" t="str">
        <f>""</f>
        <v/>
      </c>
      <c r="BJ167" t="str">
        <f>""</f>
        <v/>
      </c>
      <c r="BK167" t="str">
        <f>""</f>
        <v/>
      </c>
      <c r="BL167" t="str">
        <f>""</f>
        <v/>
      </c>
      <c r="BM167" t="str">
        <f>""</f>
        <v/>
      </c>
      <c r="BN167" t="str">
        <f>""</f>
        <v/>
      </c>
      <c r="BO167" t="str">
        <f>""</f>
        <v/>
      </c>
      <c r="BP167" t="str">
        <f>""</f>
        <v/>
      </c>
      <c r="BQ167" t="str">
        <f>""</f>
        <v/>
      </c>
      <c r="BR167" t="str">
        <f>""</f>
        <v/>
      </c>
      <c r="BS167" t="str">
        <f>""</f>
        <v/>
      </c>
      <c r="BT167" t="str">
        <f>""</f>
        <v/>
      </c>
      <c r="BU167" t="str">
        <f>""</f>
        <v/>
      </c>
      <c r="BV167" t="str">
        <f>""</f>
        <v/>
      </c>
      <c r="BW167" t="str">
        <f>""</f>
        <v/>
      </c>
      <c r="BX167" t="str">
        <f>""</f>
        <v/>
      </c>
      <c r="BY167" t="str">
        <f>""</f>
        <v/>
      </c>
      <c r="BZ167" t="str">
        <f>""</f>
        <v/>
      </c>
      <c r="CA167" t="str">
        <f>""</f>
        <v/>
      </c>
      <c r="CB167" t="str">
        <f>""</f>
        <v/>
      </c>
      <c r="CC167" t="str">
        <f>""</f>
        <v/>
      </c>
      <c r="CD167" t="str">
        <f>""</f>
        <v/>
      </c>
      <c r="CE167" t="str">
        <f>""</f>
        <v/>
      </c>
      <c r="CF167" t="str">
        <f>""</f>
        <v/>
      </c>
      <c r="CG167" t="str">
        <f>""</f>
        <v/>
      </c>
    </row>
    <row r="168" spans="1:85" x14ac:dyDescent="0.2">
      <c r="A168" t="str">
        <f>$A$74</f>
        <v xml:space="preserve">        NAHB Market Index</v>
      </c>
      <c r="B168" t="str">
        <f>$B$74</f>
        <v>USHBMIDX Index</v>
      </c>
      <c r="C168" t="str">
        <f>$C$74</f>
        <v>PR005</v>
      </c>
      <c r="D168" t="str">
        <f>$D$74</f>
        <v>PX_LAST</v>
      </c>
      <c r="E168" t="str">
        <f>$E$74</f>
        <v>Dynamic</v>
      </c>
      <c r="F168" t="e">
        <f ca="1">_xll.BDH($B$74,$C$74,$B$111,$B$112,CONCATENATE("Per=",$B$109),"Dts=H","Dir=H",CONCATENATE("Points=",$B$110),"Sort=R","Days=A","Fill=B",CONCATENATE("FX=", $B$108),"cols=40;rows=1")</f>
        <v>#NAME?</v>
      </c>
      <c r="G168">
        <v>31</v>
      </c>
      <c r="H168">
        <v>84</v>
      </c>
      <c r="I168">
        <v>86</v>
      </c>
      <c r="J168">
        <v>76</v>
      </c>
      <c r="K168">
        <v>56</v>
      </c>
      <c r="L168">
        <v>74</v>
      </c>
      <c r="M168">
        <v>69</v>
      </c>
      <c r="N168">
        <v>60</v>
      </c>
      <c r="O168">
        <v>58</v>
      </c>
      <c r="P168">
        <v>57</v>
      </c>
      <c r="Q168">
        <v>47</v>
      </c>
      <c r="R168">
        <v>21</v>
      </c>
      <c r="S168">
        <v>16</v>
      </c>
      <c r="T168">
        <v>16</v>
      </c>
      <c r="U168">
        <v>9</v>
      </c>
      <c r="V168">
        <v>18</v>
      </c>
      <c r="W168">
        <v>33</v>
      </c>
      <c r="X168">
        <v>57</v>
      </c>
      <c r="Y168">
        <v>71</v>
      </c>
      <c r="Z168">
        <v>69</v>
      </c>
      <c r="AA168">
        <v>63</v>
      </c>
      <c r="AB168">
        <v>55</v>
      </c>
      <c r="AC168">
        <v>57</v>
      </c>
      <c r="AD168">
        <v>70</v>
      </c>
      <c r="AE168">
        <v>78</v>
      </c>
      <c r="AF168">
        <v>60</v>
      </c>
      <c r="AG168">
        <v>55</v>
      </c>
      <c r="AH168">
        <v>53</v>
      </c>
      <c r="AI168">
        <v>43</v>
      </c>
      <c r="AJ168">
        <v>71</v>
      </c>
      <c r="AK168">
        <v>56</v>
      </c>
      <c r="AL168">
        <v>35</v>
      </c>
      <c r="AM168">
        <v>22</v>
      </c>
      <c r="AN168">
        <v>43</v>
      </c>
      <c r="AO168">
        <v>60</v>
      </c>
      <c r="AP168">
        <v>51</v>
      </c>
      <c r="AQ168">
        <v>64</v>
      </c>
      <c r="AR168">
        <v>57</v>
      </c>
      <c r="AT168" t="str">
        <f>""</f>
        <v/>
      </c>
      <c r="AU168" t="str">
        <f>""</f>
        <v/>
      </c>
      <c r="AV168" t="str">
        <f>""</f>
        <v/>
      </c>
      <c r="AW168" t="str">
        <f>""</f>
        <v/>
      </c>
      <c r="AX168" t="str">
        <f>""</f>
        <v/>
      </c>
      <c r="AY168" t="str">
        <f>""</f>
        <v/>
      </c>
      <c r="AZ168" t="str">
        <f>""</f>
        <v/>
      </c>
      <c r="BA168" t="str">
        <f>""</f>
        <v/>
      </c>
      <c r="BB168" t="str">
        <f>""</f>
        <v/>
      </c>
      <c r="BC168" t="str">
        <f>""</f>
        <v/>
      </c>
      <c r="BD168" t="str">
        <f>""</f>
        <v/>
      </c>
      <c r="BE168" t="str">
        <f>""</f>
        <v/>
      </c>
      <c r="BF168" t="str">
        <f>""</f>
        <v/>
      </c>
      <c r="BG168" t="str">
        <f>""</f>
        <v/>
      </c>
      <c r="BH168" t="str">
        <f>""</f>
        <v/>
      </c>
      <c r="BI168" t="str">
        <f>""</f>
        <v/>
      </c>
      <c r="BJ168" t="str">
        <f>""</f>
        <v/>
      </c>
      <c r="BK168" t="str">
        <f>""</f>
        <v/>
      </c>
      <c r="BL168" t="str">
        <f>""</f>
        <v/>
      </c>
      <c r="BM168" t="str">
        <f>""</f>
        <v/>
      </c>
      <c r="BN168" t="str">
        <f>""</f>
        <v/>
      </c>
      <c r="BO168" t="str">
        <f>""</f>
        <v/>
      </c>
      <c r="BP168" t="str">
        <f>""</f>
        <v/>
      </c>
      <c r="BQ168" t="str">
        <f>""</f>
        <v/>
      </c>
      <c r="BR168" t="str">
        <f>""</f>
        <v/>
      </c>
      <c r="BS168" t="str">
        <f>""</f>
        <v/>
      </c>
      <c r="BT168" t="str">
        <f>""</f>
        <v/>
      </c>
      <c r="BU168" t="str">
        <f>""</f>
        <v/>
      </c>
      <c r="BV168" t="str">
        <f>""</f>
        <v/>
      </c>
      <c r="BW168" t="str">
        <f>""</f>
        <v/>
      </c>
      <c r="BX168" t="str">
        <f>""</f>
        <v/>
      </c>
      <c r="BY168" t="str">
        <f>""</f>
        <v/>
      </c>
      <c r="BZ168" t="str">
        <f>""</f>
        <v/>
      </c>
      <c r="CA168" t="str">
        <f>""</f>
        <v/>
      </c>
      <c r="CB168" t="str">
        <f>""</f>
        <v/>
      </c>
      <c r="CC168" t="str">
        <f>""</f>
        <v/>
      </c>
      <c r="CD168" t="str">
        <f>""</f>
        <v/>
      </c>
      <c r="CE168" t="str">
        <f>""</f>
        <v/>
      </c>
      <c r="CF168" t="str">
        <f>""</f>
        <v/>
      </c>
      <c r="CG168" t="str">
        <f>""</f>
        <v/>
      </c>
    </row>
    <row r="169" spans="1:85" x14ac:dyDescent="0.2">
      <c r="A169" t="str">
        <f>$A$77</f>
        <v xml:space="preserve">        U.S. Constant Quality House Price Index (2005=100)</v>
      </c>
      <c r="B169" t="str">
        <f>$B$77</f>
        <v>CQHPINDX Index</v>
      </c>
      <c r="C169" t="str">
        <f>$C$77</f>
        <v>PR005</v>
      </c>
      <c r="D169" t="str">
        <f>$D$77</f>
        <v>PX_LAST</v>
      </c>
      <c r="E169" t="str">
        <f>$E$77</f>
        <v>Dynamic</v>
      </c>
      <c r="F169" t="e">
        <f ca="1">_xll.BDH($B$77,$C$77,$B$111,$B$112,CONCATENATE("Per=",$B$109),"Dts=H","Dir=H",CONCATENATE("Points=",$B$110),"Sort=R","Days=A","Fill=B",CONCATENATE("FX=", $B$108),"cols=40;rows=1")</f>
        <v>#NAME?</v>
      </c>
      <c r="G169">
        <v>195.8</v>
      </c>
      <c r="H169">
        <v>175.8</v>
      </c>
      <c r="I169">
        <v>144.6</v>
      </c>
      <c r="J169">
        <v>137.1</v>
      </c>
      <c r="K169">
        <v>135.1</v>
      </c>
      <c r="L169">
        <v>127.8</v>
      </c>
      <c r="M169">
        <v>123.7</v>
      </c>
      <c r="N169">
        <v>116.9</v>
      </c>
      <c r="O169">
        <v>114.4</v>
      </c>
      <c r="P169">
        <v>105.8</v>
      </c>
      <c r="Q169">
        <v>100</v>
      </c>
      <c r="R169">
        <v>94</v>
      </c>
      <c r="S169">
        <v>96.3</v>
      </c>
      <c r="T169">
        <v>96.2</v>
      </c>
      <c r="U169">
        <v>95.7</v>
      </c>
      <c r="V169">
        <v>102.1</v>
      </c>
      <c r="W169">
        <v>103.8</v>
      </c>
      <c r="X169">
        <v>103.9</v>
      </c>
      <c r="Y169">
        <v>95</v>
      </c>
      <c r="Z169">
        <v>88.5</v>
      </c>
      <c r="AA169">
        <v>83.8</v>
      </c>
      <c r="AB169">
        <v>79.099999999999994</v>
      </c>
      <c r="AC169">
        <v>76.2</v>
      </c>
      <c r="AD169">
        <v>73</v>
      </c>
      <c r="AE169">
        <v>70.099999999999994</v>
      </c>
      <c r="AF169">
        <v>67.099999999999994</v>
      </c>
      <c r="AG169">
        <v>65.599999999999994</v>
      </c>
      <c r="AH169">
        <v>63.6</v>
      </c>
      <c r="AI169">
        <v>63.4</v>
      </c>
      <c r="AJ169">
        <v>59.6</v>
      </c>
      <c r="AK169">
        <v>58.2</v>
      </c>
      <c r="AL169">
        <v>56.2</v>
      </c>
      <c r="AM169">
        <v>55.7</v>
      </c>
      <c r="AN169">
        <v>54.9</v>
      </c>
      <c r="AO169">
        <v>53.1</v>
      </c>
      <c r="AP169">
        <v>51.7</v>
      </c>
      <c r="AQ169">
        <v>48.7</v>
      </c>
      <c r="AR169">
        <v>46.9</v>
      </c>
      <c r="AS169">
        <v>46.8</v>
      </c>
      <c r="AT169" t="str">
        <f>""</f>
        <v/>
      </c>
      <c r="AU169" t="str">
        <f>""</f>
        <v/>
      </c>
      <c r="AV169" t="str">
        <f>""</f>
        <v/>
      </c>
      <c r="AW169" t="str">
        <f>""</f>
        <v/>
      </c>
      <c r="AX169" t="str">
        <f>""</f>
        <v/>
      </c>
      <c r="AY169" t="str">
        <f>""</f>
        <v/>
      </c>
      <c r="AZ169" t="str">
        <f>""</f>
        <v/>
      </c>
      <c r="BA169" t="str">
        <f>""</f>
        <v/>
      </c>
      <c r="BB169" t="str">
        <f>""</f>
        <v/>
      </c>
      <c r="BC169" t="str">
        <f>""</f>
        <v/>
      </c>
      <c r="BD169" t="str">
        <f>""</f>
        <v/>
      </c>
      <c r="BE169" t="str">
        <f>""</f>
        <v/>
      </c>
      <c r="BF169" t="str">
        <f>""</f>
        <v/>
      </c>
      <c r="BG169" t="str">
        <f>""</f>
        <v/>
      </c>
      <c r="BH169" t="str">
        <f>""</f>
        <v/>
      </c>
      <c r="BI169" t="str">
        <f>""</f>
        <v/>
      </c>
      <c r="BJ169" t="str">
        <f>""</f>
        <v/>
      </c>
      <c r="BK169" t="str">
        <f>""</f>
        <v/>
      </c>
      <c r="BL169" t="str">
        <f>""</f>
        <v/>
      </c>
      <c r="BM169" t="str">
        <f>""</f>
        <v/>
      </c>
      <c r="BN169" t="str">
        <f>""</f>
        <v/>
      </c>
      <c r="BO169" t="str">
        <f>""</f>
        <v/>
      </c>
      <c r="BP169" t="str">
        <f>""</f>
        <v/>
      </c>
      <c r="BQ169" t="str">
        <f>""</f>
        <v/>
      </c>
      <c r="BR169" t="str">
        <f>""</f>
        <v/>
      </c>
      <c r="BS169" t="str">
        <f>""</f>
        <v/>
      </c>
      <c r="BT169" t="str">
        <f>""</f>
        <v/>
      </c>
      <c r="BU169" t="str">
        <f>""</f>
        <v/>
      </c>
      <c r="BV169" t="str">
        <f>""</f>
        <v/>
      </c>
      <c r="BW169" t="str">
        <f>""</f>
        <v/>
      </c>
      <c r="BX169" t="str">
        <f>""</f>
        <v/>
      </c>
      <c r="BY169" t="str">
        <f>""</f>
        <v/>
      </c>
      <c r="BZ169" t="str">
        <f>""</f>
        <v/>
      </c>
      <c r="CA169" t="str">
        <f>""</f>
        <v/>
      </c>
      <c r="CB169" t="str">
        <f>""</f>
        <v/>
      </c>
      <c r="CC169" t="str">
        <f>""</f>
        <v/>
      </c>
      <c r="CD169" t="str">
        <f>""</f>
        <v/>
      </c>
      <c r="CE169" t="str">
        <f>""</f>
        <v/>
      </c>
      <c r="CF169" t="str">
        <f>""</f>
        <v/>
      </c>
      <c r="CG169" t="str">
        <f>""</f>
        <v/>
      </c>
    </row>
    <row r="170" spans="1:85" x14ac:dyDescent="0.2">
      <c r="A170" t="str">
        <f>$A$78</f>
        <v xml:space="preserve">            YoY %</v>
      </c>
      <c r="B170" t="str">
        <f>$B$78</f>
        <v>CQHPYOY Index</v>
      </c>
      <c r="C170" t="str">
        <f>$C$78</f>
        <v>PR005</v>
      </c>
      <c r="D170" t="str">
        <f>$D$78</f>
        <v>PX_LAST</v>
      </c>
      <c r="E170" t="str">
        <f>$E$78</f>
        <v>Dynamic</v>
      </c>
      <c r="F170" t="e">
        <f ca="1">_xll.BDH($B$78,$C$78,$B$111,$B$112,CONCATENATE("Per=",$B$109),"Dts=H","Dir=H",CONCATENATE("Points=",$B$110),"Sort=R","Days=A","Fill=B",CONCATENATE("FX=", $B$108),"cols=40;rows=1")</f>
        <v>#NAME?</v>
      </c>
      <c r="G170">
        <v>11.4</v>
      </c>
      <c r="H170">
        <v>21.6</v>
      </c>
      <c r="I170">
        <v>5.5</v>
      </c>
      <c r="J170">
        <v>1.5</v>
      </c>
      <c r="K170">
        <v>5.7</v>
      </c>
      <c r="L170">
        <v>3.3</v>
      </c>
      <c r="M170">
        <v>5.8</v>
      </c>
      <c r="N170">
        <v>2.2000000000000002</v>
      </c>
      <c r="O170">
        <v>8.1</v>
      </c>
      <c r="P170">
        <v>5.8</v>
      </c>
      <c r="Q170">
        <v>6.4</v>
      </c>
      <c r="R170">
        <v>-2.4</v>
      </c>
      <c r="S170">
        <v>0.1</v>
      </c>
      <c r="T170">
        <v>0.5</v>
      </c>
      <c r="U170">
        <v>-6.3</v>
      </c>
      <c r="V170">
        <v>-1.6</v>
      </c>
      <c r="W170">
        <v>-0.1</v>
      </c>
      <c r="X170">
        <v>9.4</v>
      </c>
      <c r="Y170">
        <v>7.3</v>
      </c>
      <c r="Z170">
        <v>5.6</v>
      </c>
      <c r="AA170">
        <v>5.9</v>
      </c>
      <c r="AB170">
        <v>3.8</v>
      </c>
      <c r="AC170">
        <v>4.4000000000000004</v>
      </c>
      <c r="AD170">
        <v>4.0999999999999996</v>
      </c>
      <c r="AE170">
        <v>4.5</v>
      </c>
      <c r="AF170">
        <v>2.2999999999999998</v>
      </c>
      <c r="AG170">
        <v>3.1</v>
      </c>
      <c r="AH170">
        <v>0.3</v>
      </c>
      <c r="AI170">
        <v>6.4</v>
      </c>
      <c r="AJ170">
        <v>2.4</v>
      </c>
      <c r="AK170">
        <v>3.6</v>
      </c>
      <c r="AL170">
        <v>0.8</v>
      </c>
      <c r="AM170">
        <v>1.4</v>
      </c>
      <c r="AN170">
        <v>3.4</v>
      </c>
      <c r="AO170">
        <v>2.8</v>
      </c>
      <c r="AP170">
        <v>6.2</v>
      </c>
      <c r="AQ170">
        <v>3.8</v>
      </c>
      <c r="AR170">
        <v>0.3</v>
      </c>
      <c r="AS170">
        <v>5.0999999999999996</v>
      </c>
      <c r="AT170" t="str">
        <f>""</f>
        <v/>
      </c>
      <c r="AU170" t="str">
        <f>""</f>
        <v/>
      </c>
      <c r="AV170" t="str">
        <f>""</f>
        <v/>
      </c>
      <c r="AW170" t="str">
        <f>""</f>
        <v/>
      </c>
      <c r="AX170" t="str">
        <f>""</f>
        <v/>
      </c>
      <c r="AY170" t="str">
        <f>""</f>
        <v/>
      </c>
      <c r="AZ170" t="str">
        <f>""</f>
        <v/>
      </c>
      <c r="BA170" t="str">
        <f>""</f>
        <v/>
      </c>
      <c r="BB170" t="str">
        <f>""</f>
        <v/>
      </c>
      <c r="BC170" t="str">
        <f>""</f>
        <v/>
      </c>
      <c r="BD170" t="str">
        <f>""</f>
        <v/>
      </c>
      <c r="BE170" t="str">
        <f>""</f>
        <v/>
      </c>
      <c r="BF170" t="str">
        <f>""</f>
        <v/>
      </c>
      <c r="BG170" t="str">
        <f>""</f>
        <v/>
      </c>
      <c r="BH170" t="str">
        <f>""</f>
        <v/>
      </c>
      <c r="BI170" t="str">
        <f>""</f>
        <v/>
      </c>
      <c r="BJ170" t="str">
        <f>""</f>
        <v/>
      </c>
      <c r="BK170" t="str">
        <f>""</f>
        <v/>
      </c>
      <c r="BL170" t="str">
        <f>""</f>
        <v/>
      </c>
      <c r="BM170" t="str">
        <f>""</f>
        <v/>
      </c>
      <c r="BN170" t="str">
        <f>""</f>
        <v/>
      </c>
      <c r="BO170" t="str">
        <f>""</f>
        <v/>
      </c>
      <c r="BP170" t="str">
        <f>""</f>
        <v/>
      </c>
      <c r="BQ170" t="str">
        <f>""</f>
        <v/>
      </c>
      <c r="BR170" t="str">
        <f>""</f>
        <v/>
      </c>
      <c r="BS170" t="str">
        <f>""</f>
        <v/>
      </c>
      <c r="BT170" t="str">
        <f>""</f>
        <v/>
      </c>
      <c r="BU170" t="str">
        <f>""</f>
        <v/>
      </c>
      <c r="BV170" t="str">
        <f>""</f>
        <v/>
      </c>
      <c r="BW170" t="str">
        <f>""</f>
        <v/>
      </c>
      <c r="BX170" t="str">
        <f>""</f>
        <v/>
      </c>
      <c r="BY170" t="str">
        <f>""</f>
        <v/>
      </c>
      <c r="BZ170" t="str">
        <f>""</f>
        <v/>
      </c>
      <c r="CA170" t="str">
        <f>""</f>
        <v/>
      </c>
      <c r="CB170" t="str">
        <f>""</f>
        <v/>
      </c>
      <c r="CC170" t="str">
        <f>""</f>
        <v/>
      </c>
      <c r="CD170" t="str">
        <f>""</f>
        <v/>
      </c>
      <c r="CE170" t="str">
        <f>""</f>
        <v/>
      </c>
      <c r="CF170" t="str">
        <f>""</f>
        <v/>
      </c>
      <c r="CG170" t="str">
        <f>""</f>
        <v/>
      </c>
    </row>
    <row r="171" spans="1:85" x14ac:dyDescent="0.2">
      <c r="A171" t="str">
        <f>$A$85</f>
        <v xml:space="preserve">        Canada Total Permits (Mn CAD)</v>
      </c>
      <c r="B171" t="str">
        <f>$B$85</f>
        <v>CAHOPTOT Index</v>
      </c>
      <c r="C171" t="str">
        <f>$C$85</f>
        <v>PX385</v>
      </c>
      <c r="D171" t="str">
        <f>$D$85</f>
        <v>INTERVAL_SUM</v>
      </c>
      <c r="E171" t="str">
        <f>$E$85</f>
        <v>Dynamic</v>
      </c>
      <c r="F171" t="e">
        <f ca="1">_xll.BDP($B$85,$C$85,CONCATENATE("PX391=", $F$115), CONCATENATE("PX392=",$F$116), CONCATENATE("DS004=",$B$108), "Fill=B")</f>
        <v>#NAME?</v>
      </c>
      <c r="G171" t="e">
        <f ca="1">_xll.BDP($B$85,$C$85,CONCATENATE("PX391=", $G$115), CONCATENATE("PX392=",$G$116), CONCATENATE("DS004=",$B$108), "Fill=B")</f>
        <v>#NAME?</v>
      </c>
      <c r="H171" t="e">
        <f ca="1">_xll.BDP($B$85,$C$85,CONCATENATE("PX391=", $H$115), CONCATENATE("PX392=",$H$116), CONCATENATE("DS004=",$B$108), "Fill=B")</f>
        <v>#NAME?</v>
      </c>
      <c r="I171" t="e">
        <f ca="1">_xll.BDP($B$85,$C$85,CONCATENATE("PX391=", $I$115), CONCATENATE("PX392=",$I$116), CONCATENATE("DS004=",$B$108), "Fill=B")</f>
        <v>#NAME?</v>
      </c>
      <c r="J171" t="e">
        <f ca="1">_xll.BDP($B$85,$C$85,CONCATENATE("PX391=", $J$115), CONCATENATE("PX392=",$J$116), CONCATENATE("DS004=",$B$108), "Fill=B")</f>
        <v>#NAME?</v>
      </c>
      <c r="K171" t="e">
        <f ca="1">_xll.BDP($B$85,$C$85,CONCATENATE("PX391=", $K$115), CONCATENATE("PX392=",$K$116), CONCATENATE("DS004=",$B$108), "Fill=B")</f>
        <v>#NAME?</v>
      </c>
      <c r="L171" t="e">
        <f ca="1">_xll.BDP($B$85,$C$85,CONCATENATE("PX391=", $L$115), CONCATENATE("PX392=",$L$116), CONCATENATE("DS004=",$B$108), "Fill=B")</f>
        <v>#NAME?</v>
      </c>
      <c r="M171" t="e">
        <f ca="1">_xll.BDP($B$85,$C$85,CONCATENATE("PX391=", $M$115), CONCATENATE("PX392=",$M$116), CONCATENATE("DS004=",$B$108), "Fill=B")</f>
        <v>#NAME?</v>
      </c>
      <c r="N171" t="e">
        <f ca="1">_xll.BDP($B$85,$C$85,CONCATENATE("PX391=", $N$115), CONCATENATE("PX392=",$N$116), CONCATENATE("DS004=",$B$108), "Fill=B")</f>
        <v>#NAME?</v>
      </c>
      <c r="O171" t="e">
        <f ca="1">_xll.BDP($B$85,$C$85,CONCATENATE("PX391=", $O$115), CONCATENATE("PX392=",$O$116), CONCATENATE("DS004=",$B$108), "Fill=B")</f>
        <v>#NAME?</v>
      </c>
      <c r="P171" t="e">
        <f ca="1">_xll.BDP($B$85,$C$85,CONCATENATE("PX391=", $P$115), CONCATENATE("PX392=",$P$116), CONCATENATE("DS004=",$B$108), "Fill=B")</f>
        <v>#NAME?</v>
      </c>
      <c r="Q171" t="e">
        <f ca="1">_xll.BDP($B$85,$C$85,CONCATENATE("PX391=", $Q$115), CONCATENATE("PX392=",$Q$116), CONCATENATE("DS004=",$B$108), "Fill=B")</f>
        <v>#NAME?</v>
      </c>
      <c r="R171" t="e">
        <f ca="1">_xll.BDP($B$85,$C$85,CONCATENATE("PX391=", $R$115), CONCATENATE("PX392=",$R$116), CONCATENATE("DS004=",$B$108), "Fill=B")</f>
        <v>#NAME?</v>
      </c>
      <c r="S171" t="e">
        <f ca="1">_xll.BDP($B$85,$C$85,CONCATENATE("PX391=", $S$115), CONCATENATE("PX392=",$S$116), CONCATENATE("DS004=",$B$108), "Fill=B")</f>
        <v>#NAME?</v>
      </c>
      <c r="T171" t="e">
        <f ca="1">_xll.BDP($B$85,$C$85,CONCATENATE("PX391=", $T$115), CONCATENATE("PX392=",$T$116), CONCATENATE("DS004=",$B$108), "Fill=B")</f>
        <v>#NAME?</v>
      </c>
      <c r="U171" t="e">
        <f ca="1">_xll.BDP($B$85,$C$85,CONCATENATE("PX391=", $U$115), CONCATENATE("PX392=",$U$116), CONCATENATE("DS004=",$B$108), "Fill=B")</f>
        <v>#NAME?</v>
      </c>
      <c r="V171" t="e">
        <f ca="1">_xll.BDP($B$85,$C$85,CONCATENATE("PX391=", $V$115), CONCATENATE("PX392=",$V$116), CONCATENATE("DS004=",$B$108), "Fill=B")</f>
        <v>#NAME?</v>
      </c>
      <c r="W171" t="e">
        <f ca="1">_xll.BDP($B$85,$C$85,CONCATENATE("PX391=", $W$115), CONCATENATE("PX392=",$W$116), CONCATENATE("DS004=",$B$108), "Fill=B")</f>
        <v>#NAME?</v>
      </c>
      <c r="X171" t="e">
        <f ca="1">_xll.BDP($B$85,$C$85,CONCATENATE("PX391=", $X$115), CONCATENATE("PX392=",$X$116), CONCATENATE("DS004=",$B$108), "Fill=B")</f>
        <v>#NAME?</v>
      </c>
      <c r="Y171" t="e">
        <f ca="1">_xll.BDP($B$85,$C$85,CONCATENATE("PX391=", $Y$115), CONCATENATE("PX392=",$Y$116), CONCATENATE("DS004=",$B$108), "Fill=B")</f>
        <v>#NAME?</v>
      </c>
      <c r="Z171" t="e">
        <f ca="1">_xll.BDP($B$85,$C$85,CONCATENATE("PX391=", $Z$115), CONCATENATE("PX392=",$Z$116), CONCATENATE("DS004=",$B$108), "Fill=B")</f>
        <v>#NAME?</v>
      </c>
      <c r="AA171" t="e">
        <f ca="1">_xll.BDP($B$85,$C$85,CONCATENATE("PX391=", $AA$115), CONCATENATE("PX392=",$AA$116), CONCATENATE("DS004=",$B$108), "Fill=B")</f>
        <v>#NAME?</v>
      </c>
      <c r="AB171" t="e">
        <f ca="1">_xll.BDP($B$85,$C$85,CONCATENATE("PX391=", $AB$115), CONCATENATE("PX392=",$AB$116), CONCATENATE("DS004=",$B$108), "Fill=B")</f>
        <v>#NAME?</v>
      </c>
      <c r="AC171" t="e">
        <f ca="1">_xll.BDP($B$85,$C$85,CONCATENATE("PX391=", $AC$115), CONCATENATE("PX392=",$AC$116), CONCATENATE("DS004=",$B$108), "Fill=B")</f>
        <v>#NAME?</v>
      </c>
      <c r="AD171" t="e">
        <f ca="1">_xll.BDP($B$85,$C$85,CONCATENATE("PX391=", $AD$115), CONCATENATE("PX392=",$AD$116), CONCATENATE("DS004=",$B$108), "Fill=B")</f>
        <v>#NAME?</v>
      </c>
      <c r="AE171" t="e">
        <f ca="1">_xll.BDP($B$85,$C$85,CONCATENATE("PX391=", $AE$115), CONCATENATE("PX392=",$AE$116), CONCATENATE("DS004=",$B$108), "Fill=B")</f>
        <v>#NAME?</v>
      </c>
      <c r="AF171" t="e">
        <f ca="1">_xll.BDP($B$85,$C$85,CONCATENATE("PX391=", $AF$115), CONCATENATE("PX392=",$AF$116), CONCATENATE("DS004=",$B$108), "Fill=B")</f>
        <v>#NAME?</v>
      </c>
      <c r="AG171" t="e">
        <f ca="1">_xll.BDP($B$85,$C$85,CONCATENATE("PX391=", $AG$115), CONCATENATE("PX392=",$AG$116), CONCATENATE("DS004=",$B$108), "Fill=B")</f>
        <v>#NAME?</v>
      </c>
      <c r="AH171" t="e">
        <f ca="1">_xll.BDP($B$85,$C$85,CONCATENATE("PX391=", $AH$115), CONCATENATE("PX392=",$AH$116), CONCATENATE("DS004=",$B$108), "Fill=B")</f>
        <v>#NAME?</v>
      </c>
      <c r="AI171" t="e">
        <f ca="1">_xll.BDP($B$85,$C$85,CONCATENATE("PX391=", $AI$115), CONCATENATE("PX392=",$AI$116), CONCATENATE("DS004=",$B$108), "Fill=B")</f>
        <v>#NAME?</v>
      </c>
      <c r="AJ171" t="e">
        <f ca="1">_xll.BDP($B$85,$C$85,CONCATENATE("PX391=", $AJ$115), CONCATENATE("PX392=",$AJ$116), CONCATENATE("DS004=",$B$108), "Fill=B")</f>
        <v>#NAME?</v>
      </c>
      <c r="AK171" t="e">
        <f ca="1">_xll.BDP($B$85,$C$85,CONCATENATE("PX391=", $AK$115), CONCATENATE("PX392=",$AK$116), CONCATENATE("DS004=",$B$108), "Fill=B")</f>
        <v>#NAME?</v>
      </c>
      <c r="AL171" t="e">
        <f ca="1">_xll.BDP($B$85,$C$85,CONCATENATE("PX391=", $AL$115), CONCATENATE("PX392=",$AL$116), CONCATENATE("DS004=",$B$108), "Fill=B")</f>
        <v>#NAME?</v>
      </c>
      <c r="AM171" t="e">
        <f ca="1">_xll.BDP($B$85,$C$85,CONCATENATE("PX391=", $AM$115), CONCATENATE("PX392=",$AM$116), CONCATENATE("DS004=",$B$108), "Fill=B")</f>
        <v>#NAME?</v>
      </c>
      <c r="AN171" t="e">
        <f ca="1">_xll.BDP($B$85,$C$85,CONCATENATE("PX391=", $AN$115), CONCATENATE("PX392=",$AN$116), CONCATENATE("DS004=",$B$108), "Fill=B")</f>
        <v>#NAME?</v>
      </c>
      <c r="AO171" t="e">
        <f ca="1">_xll.BDP($B$85,$C$85,CONCATENATE("PX391=", $AO$115), CONCATENATE("PX392=",$AO$116), CONCATENATE("DS004=",$B$108), "Fill=B")</f>
        <v>#NAME?</v>
      </c>
      <c r="AP171" t="e">
        <f ca="1">_xll.BDP($B$85,$C$85,CONCATENATE("PX391=", $AP$115), CONCATENATE("PX392=",$AP$116), CONCATENATE("DS004=",$B$108), "Fill=B")</f>
        <v>#NAME?</v>
      </c>
      <c r="AQ171" t="e">
        <f ca="1">_xll.BDP($B$85,$C$85,CONCATENATE("PX391=", $AQ$115), CONCATENATE("PX392=",$AQ$116), CONCATENATE("DS004=",$B$108), "Fill=B")</f>
        <v>#NAME?</v>
      </c>
      <c r="AR171" t="e">
        <f ca="1">_xll.BDP($B$85,$C$85,CONCATENATE("PX391=", $AR$115), CONCATENATE("PX392=",$AR$116), CONCATENATE("DS004=",$B$108), "Fill=B")</f>
        <v>#NAME?</v>
      </c>
      <c r="AS171" t="e">
        <f ca="1">_xll.BDP($B$85,$C$85,CONCATENATE("PX391=", $AS$115), CONCATENATE("PX392=",$AS$116), CONCATENATE("DS004=",$B$108), "Fill=B")</f>
        <v>#NAME?</v>
      </c>
      <c r="AT171" t="str">
        <f>""</f>
        <v/>
      </c>
      <c r="AU171" t="str">
        <f>""</f>
        <v/>
      </c>
      <c r="AV171" t="str">
        <f>""</f>
        <v/>
      </c>
      <c r="AW171" t="str">
        <f>""</f>
        <v/>
      </c>
      <c r="AX171" t="str">
        <f>""</f>
        <v/>
      </c>
      <c r="AY171" t="str">
        <f>""</f>
        <v/>
      </c>
      <c r="AZ171" t="str">
        <f>""</f>
        <v/>
      </c>
      <c r="BA171" t="str">
        <f>""</f>
        <v/>
      </c>
      <c r="BB171" t="str">
        <f>""</f>
        <v/>
      </c>
      <c r="BC171" t="str">
        <f>""</f>
        <v/>
      </c>
      <c r="BD171" t="str">
        <f>""</f>
        <v/>
      </c>
      <c r="BE171" t="str">
        <f>""</f>
        <v/>
      </c>
      <c r="BF171" t="str">
        <f>""</f>
        <v/>
      </c>
      <c r="BG171" t="str">
        <f>""</f>
        <v/>
      </c>
      <c r="BH171" t="str">
        <f>""</f>
        <v/>
      </c>
      <c r="BI171" t="str">
        <f>""</f>
        <v/>
      </c>
      <c r="BJ171" t="str">
        <f>""</f>
        <v/>
      </c>
      <c r="BK171" t="str">
        <f>""</f>
        <v/>
      </c>
      <c r="BL171" t="str">
        <f>""</f>
        <v/>
      </c>
      <c r="BM171" t="str">
        <f>""</f>
        <v/>
      </c>
      <c r="BN171" t="str">
        <f>""</f>
        <v/>
      </c>
      <c r="BO171" t="str">
        <f>""</f>
        <v/>
      </c>
      <c r="BP171" t="str">
        <f>""</f>
        <v/>
      </c>
      <c r="BQ171" t="str">
        <f>""</f>
        <v/>
      </c>
      <c r="BR171" t="str">
        <f>""</f>
        <v/>
      </c>
      <c r="BS171" t="str">
        <f>""</f>
        <v/>
      </c>
      <c r="BT171" t="str">
        <f>""</f>
        <v/>
      </c>
      <c r="BU171" t="str">
        <f>""</f>
        <v/>
      </c>
      <c r="BV171" t="str">
        <f>""</f>
        <v/>
      </c>
      <c r="BW171" t="str">
        <f>""</f>
        <v/>
      </c>
      <c r="BX171" t="str">
        <f>""</f>
        <v/>
      </c>
      <c r="BY171" t="str">
        <f>""</f>
        <v/>
      </c>
      <c r="BZ171" t="str">
        <f>""</f>
        <v/>
      </c>
      <c r="CA171" t="str">
        <f>""</f>
        <v/>
      </c>
      <c r="CB171" t="str">
        <f>""</f>
        <v/>
      </c>
      <c r="CC171" t="str">
        <f>""</f>
        <v/>
      </c>
      <c r="CD171" t="str">
        <f>""</f>
        <v/>
      </c>
      <c r="CE171" t="str">
        <f>""</f>
        <v/>
      </c>
      <c r="CF171" t="str">
        <f>""</f>
        <v/>
      </c>
      <c r="CG171" t="str">
        <f>""</f>
        <v/>
      </c>
    </row>
    <row r="172" spans="1:85" x14ac:dyDescent="0.2">
      <c r="A172" t="str">
        <f>$A$86</f>
        <v xml:space="preserve">        Residential Permits (Mn CAD)</v>
      </c>
      <c r="B172" t="str">
        <f>$B$86</f>
        <v>CAHOPRES Index</v>
      </c>
      <c r="C172" t="str">
        <f>$C$86</f>
        <v>PX385</v>
      </c>
      <c r="D172" t="str">
        <f>$D$86</f>
        <v>INTERVAL_SUM</v>
      </c>
      <c r="E172" t="str">
        <f>$E$86</f>
        <v>Dynamic</v>
      </c>
      <c r="F172" t="e">
        <f ca="1">_xll.BDP($B$86,$C$86,CONCATENATE("PX391=", $F$115), CONCATENATE("PX392=",$F$116), CONCATENATE("DS004=",$B$108), "Fill=B")</f>
        <v>#NAME?</v>
      </c>
      <c r="G172" t="e">
        <f ca="1">_xll.BDP($B$86,$C$86,CONCATENATE("PX391=", $G$115), CONCATENATE("PX392=",$G$116), CONCATENATE("DS004=",$B$108), "Fill=B")</f>
        <v>#NAME?</v>
      </c>
      <c r="H172" t="e">
        <f ca="1">_xll.BDP($B$86,$C$86,CONCATENATE("PX391=", $H$115), CONCATENATE("PX392=",$H$116), CONCATENATE("DS004=",$B$108), "Fill=B")</f>
        <v>#NAME?</v>
      </c>
      <c r="I172" t="e">
        <f ca="1">_xll.BDP($B$86,$C$86,CONCATENATE("PX391=", $I$115), CONCATENATE("PX392=",$I$116), CONCATENATE("DS004=",$B$108), "Fill=B")</f>
        <v>#NAME?</v>
      </c>
      <c r="J172" t="e">
        <f ca="1">_xll.BDP($B$86,$C$86,CONCATENATE("PX391=", $J$115), CONCATENATE("PX392=",$J$116), CONCATENATE("DS004=",$B$108), "Fill=B")</f>
        <v>#NAME?</v>
      </c>
      <c r="K172" t="e">
        <f ca="1">_xll.BDP($B$86,$C$86,CONCATENATE("PX391=", $K$115), CONCATENATE("PX392=",$K$116), CONCATENATE("DS004=",$B$108), "Fill=B")</f>
        <v>#NAME?</v>
      </c>
      <c r="L172" t="e">
        <f ca="1">_xll.BDP($B$86,$C$86,CONCATENATE("PX391=", $L$115), CONCATENATE("PX392=",$L$116), CONCATENATE("DS004=",$B$108), "Fill=B")</f>
        <v>#NAME?</v>
      </c>
      <c r="M172" t="e">
        <f ca="1">_xll.BDP($B$86,$C$86,CONCATENATE("PX391=", $M$115), CONCATENATE("PX392=",$M$116), CONCATENATE("DS004=",$B$108), "Fill=B")</f>
        <v>#NAME?</v>
      </c>
      <c r="N172" t="e">
        <f ca="1">_xll.BDP($B$86,$C$86,CONCATENATE("PX391=", $N$115), CONCATENATE("PX392=",$N$116), CONCATENATE("DS004=",$B$108), "Fill=B")</f>
        <v>#NAME?</v>
      </c>
      <c r="O172" t="e">
        <f ca="1">_xll.BDP($B$86,$C$86,CONCATENATE("PX391=", $O$115), CONCATENATE("PX392=",$O$116), CONCATENATE("DS004=",$B$108), "Fill=B")</f>
        <v>#NAME?</v>
      </c>
      <c r="P172" t="e">
        <f ca="1">_xll.BDP($B$86,$C$86,CONCATENATE("PX391=", $P$115), CONCATENATE("PX392=",$P$116), CONCATENATE("DS004=",$B$108), "Fill=B")</f>
        <v>#NAME?</v>
      </c>
      <c r="Q172" t="e">
        <f ca="1">_xll.BDP($B$86,$C$86,CONCATENATE("PX391=", $Q$115), CONCATENATE("PX392=",$Q$116), CONCATENATE("DS004=",$B$108), "Fill=B")</f>
        <v>#NAME?</v>
      </c>
      <c r="R172" t="e">
        <f ca="1">_xll.BDP($B$86,$C$86,CONCATENATE("PX391=", $R$115), CONCATENATE("PX392=",$R$116), CONCATENATE("DS004=",$B$108), "Fill=B")</f>
        <v>#NAME?</v>
      </c>
      <c r="S172" t="e">
        <f ca="1">_xll.BDP($B$86,$C$86,CONCATENATE("PX391=", $S$115), CONCATENATE("PX392=",$S$116), CONCATENATE("DS004=",$B$108), "Fill=B")</f>
        <v>#NAME?</v>
      </c>
      <c r="T172" t="e">
        <f ca="1">_xll.BDP($B$86,$C$86,CONCATENATE("PX391=", $T$115), CONCATENATE("PX392=",$T$116), CONCATENATE("DS004=",$B$108), "Fill=B")</f>
        <v>#NAME?</v>
      </c>
      <c r="U172" t="e">
        <f ca="1">_xll.BDP($B$86,$C$86,CONCATENATE("PX391=", $U$115), CONCATENATE("PX392=",$U$116), CONCATENATE("DS004=",$B$108), "Fill=B")</f>
        <v>#NAME?</v>
      </c>
      <c r="V172" t="e">
        <f ca="1">_xll.BDP($B$86,$C$86,CONCATENATE("PX391=", $V$115), CONCATENATE("PX392=",$V$116), CONCATENATE("DS004=",$B$108), "Fill=B")</f>
        <v>#NAME?</v>
      </c>
      <c r="W172" t="e">
        <f ca="1">_xll.BDP($B$86,$C$86,CONCATENATE("PX391=", $W$115), CONCATENATE("PX392=",$W$116), CONCATENATE("DS004=",$B$108), "Fill=B")</f>
        <v>#NAME?</v>
      </c>
      <c r="X172" t="e">
        <f ca="1">_xll.BDP($B$86,$C$86,CONCATENATE("PX391=", $X$115), CONCATENATE("PX392=",$X$116), CONCATENATE("DS004=",$B$108), "Fill=B")</f>
        <v>#NAME?</v>
      </c>
      <c r="Y172" t="e">
        <f ca="1">_xll.BDP($B$86,$C$86,CONCATENATE("PX391=", $Y$115), CONCATENATE("PX392=",$Y$116), CONCATENATE("DS004=",$B$108), "Fill=B")</f>
        <v>#NAME?</v>
      </c>
      <c r="Z172" t="e">
        <f ca="1">_xll.BDP($B$86,$C$86,CONCATENATE("PX391=", $Z$115), CONCATENATE("PX392=",$Z$116), CONCATENATE("DS004=",$B$108), "Fill=B")</f>
        <v>#NAME?</v>
      </c>
      <c r="AA172" t="e">
        <f ca="1">_xll.BDP($B$86,$C$86,CONCATENATE("PX391=", $AA$115), CONCATENATE("PX392=",$AA$116), CONCATENATE("DS004=",$B$108), "Fill=B")</f>
        <v>#NAME?</v>
      </c>
      <c r="AB172" t="e">
        <f ca="1">_xll.BDP($B$86,$C$86,CONCATENATE("PX391=", $AB$115), CONCATENATE("PX392=",$AB$116), CONCATENATE("DS004=",$B$108), "Fill=B")</f>
        <v>#NAME?</v>
      </c>
      <c r="AC172" t="e">
        <f ca="1">_xll.BDP($B$86,$C$86,CONCATENATE("PX391=", $AC$115), CONCATENATE("PX392=",$AC$116), CONCATENATE("DS004=",$B$108), "Fill=B")</f>
        <v>#NAME?</v>
      </c>
      <c r="AD172" t="e">
        <f ca="1">_xll.BDP($B$86,$C$86,CONCATENATE("PX391=", $AD$115), CONCATENATE("PX392=",$AD$116), CONCATENATE("DS004=",$B$108), "Fill=B")</f>
        <v>#NAME?</v>
      </c>
      <c r="AE172" t="e">
        <f ca="1">_xll.BDP($B$86,$C$86,CONCATENATE("PX391=", $AE$115), CONCATENATE("PX392=",$AE$116), CONCATENATE("DS004=",$B$108), "Fill=B")</f>
        <v>#NAME?</v>
      </c>
      <c r="AF172" t="e">
        <f ca="1">_xll.BDP($B$86,$C$86,CONCATENATE("PX391=", $AF$115), CONCATENATE("PX392=",$AF$116), CONCATENATE("DS004=",$B$108), "Fill=B")</f>
        <v>#NAME?</v>
      </c>
      <c r="AG172" t="e">
        <f ca="1">_xll.BDP($B$86,$C$86,CONCATENATE("PX391=", $AG$115), CONCATENATE("PX392=",$AG$116), CONCATENATE("DS004=",$B$108), "Fill=B")</f>
        <v>#NAME?</v>
      </c>
      <c r="AH172" t="e">
        <f ca="1">_xll.BDP($B$86,$C$86,CONCATENATE("PX391=", $AH$115), CONCATENATE("PX392=",$AH$116), CONCATENATE("DS004=",$B$108), "Fill=B")</f>
        <v>#NAME?</v>
      </c>
      <c r="AI172" t="e">
        <f ca="1">_xll.BDP($B$86,$C$86,CONCATENATE("PX391=", $AI$115), CONCATENATE("PX392=",$AI$116), CONCATENATE("DS004=",$B$108), "Fill=B")</f>
        <v>#NAME?</v>
      </c>
      <c r="AJ172" t="e">
        <f ca="1">_xll.BDP($B$86,$C$86,CONCATENATE("PX391=", $AJ$115), CONCATENATE("PX392=",$AJ$116), CONCATENATE("DS004=",$B$108), "Fill=B")</f>
        <v>#NAME?</v>
      </c>
      <c r="AK172" t="e">
        <f ca="1">_xll.BDP($B$86,$C$86,CONCATENATE("PX391=", $AK$115), CONCATENATE("PX392=",$AK$116), CONCATENATE("DS004=",$B$108), "Fill=B")</f>
        <v>#NAME?</v>
      </c>
      <c r="AL172" t="e">
        <f ca="1">_xll.BDP($B$86,$C$86,CONCATENATE("PX391=", $AL$115), CONCATENATE("PX392=",$AL$116), CONCATENATE("DS004=",$B$108), "Fill=B")</f>
        <v>#NAME?</v>
      </c>
      <c r="AM172" t="e">
        <f ca="1">_xll.BDP($B$86,$C$86,CONCATENATE("PX391=", $AM$115), CONCATENATE("PX392=",$AM$116), CONCATENATE("DS004=",$B$108), "Fill=B")</f>
        <v>#NAME?</v>
      </c>
      <c r="AN172" t="e">
        <f ca="1">_xll.BDP($B$86,$C$86,CONCATENATE("PX391=", $AN$115), CONCATENATE("PX392=",$AN$116), CONCATENATE("DS004=",$B$108), "Fill=B")</f>
        <v>#NAME?</v>
      </c>
      <c r="AO172" t="e">
        <f ca="1">_xll.BDP($B$86,$C$86,CONCATENATE("PX391=", $AO$115), CONCATENATE("PX392=",$AO$116), CONCATENATE("DS004=",$B$108), "Fill=B")</f>
        <v>#NAME?</v>
      </c>
      <c r="AP172" t="e">
        <f ca="1">_xll.BDP($B$86,$C$86,CONCATENATE("PX391=", $AP$115), CONCATENATE("PX392=",$AP$116), CONCATENATE("DS004=",$B$108), "Fill=B")</f>
        <v>#NAME?</v>
      </c>
      <c r="AQ172" t="e">
        <f ca="1">_xll.BDP($B$86,$C$86,CONCATENATE("PX391=", $AQ$115), CONCATENATE("PX392=",$AQ$116), CONCATENATE("DS004=",$B$108), "Fill=B")</f>
        <v>#NAME?</v>
      </c>
      <c r="AR172" t="e">
        <f ca="1">_xll.BDP($B$86,$C$86,CONCATENATE("PX391=", $AR$115), CONCATENATE("PX392=",$AR$116), CONCATENATE("DS004=",$B$108), "Fill=B")</f>
        <v>#NAME?</v>
      </c>
      <c r="AS172" t="e">
        <f ca="1">_xll.BDP($B$86,$C$86,CONCATENATE("PX391=", $AS$115), CONCATENATE("PX392=",$AS$116), CONCATENATE("DS004=",$B$108), "Fill=B")</f>
        <v>#NAME?</v>
      </c>
      <c r="AT172" t="str">
        <f>""</f>
        <v/>
      </c>
      <c r="AU172" t="str">
        <f>""</f>
        <v/>
      </c>
      <c r="AV172" t="str">
        <f>""</f>
        <v/>
      </c>
      <c r="AW172" t="str">
        <f>""</f>
        <v/>
      </c>
      <c r="AX172" t="str">
        <f>""</f>
        <v/>
      </c>
      <c r="AY172" t="str">
        <f>""</f>
        <v/>
      </c>
      <c r="AZ172" t="str">
        <f>""</f>
        <v/>
      </c>
      <c r="BA172" t="str">
        <f>""</f>
        <v/>
      </c>
      <c r="BB172" t="str">
        <f>""</f>
        <v/>
      </c>
      <c r="BC172" t="str">
        <f>""</f>
        <v/>
      </c>
      <c r="BD172" t="str">
        <f>""</f>
        <v/>
      </c>
      <c r="BE172" t="str">
        <f>""</f>
        <v/>
      </c>
      <c r="BF172" t="str">
        <f>""</f>
        <v/>
      </c>
      <c r="BG172" t="str">
        <f>""</f>
        <v/>
      </c>
      <c r="BH172" t="str">
        <f>""</f>
        <v/>
      </c>
      <c r="BI172" t="str">
        <f>""</f>
        <v/>
      </c>
      <c r="BJ172" t="str">
        <f>""</f>
        <v/>
      </c>
      <c r="BK172" t="str">
        <f>""</f>
        <v/>
      </c>
      <c r="BL172" t="str">
        <f>""</f>
        <v/>
      </c>
      <c r="BM172" t="str">
        <f>""</f>
        <v/>
      </c>
      <c r="BN172" t="str">
        <f>""</f>
        <v/>
      </c>
      <c r="BO172" t="str">
        <f>""</f>
        <v/>
      </c>
      <c r="BP172" t="str">
        <f>""</f>
        <v/>
      </c>
      <c r="BQ172" t="str">
        <f>""</f>
        <v/>
      </c>
      <c r="BR172" t="str">
        <f>""</f>
        <v/>
      </c>
      <c r="BS172" t="str">
        <f>""</f>
        <v/>
      </c>
      <c r="BT172" t="str">
        <f>""</f>
        <v/>
      </c>
      <c r="BU172" t="str">
        <f>""</f>
        <v/>
      </c>
      <c r="BV172" t="str">
        <f>""</f>
        <v/>
      </c>
      <c r="BW172" t="str">
        <f>""</f>
        <v/>
      </c>
      <c r="BX172" t="str">
        <f>""</f>
        <v/>
      </c>
      <c r="BY172" t="str">
        <f>""</f>
        <v/>
      </c>
      <c r="BZ172" t="str">
        <f>""</f>
        <v/>
      </c>
      <c r="CA172" t="str">
        <f>""</f>
        <v/>
      </c>
      <c r="CB172" t="str">
        <f>""</f>
        <v/>
      </c>
      <c r="CC172" t="str">
        <f>""</f>
        <v/>
      </c>
      <c r="CD172" t="str">
        <f>""</f>
        <v/>
      </c>
      <c r="CE172" t="str">
        <f>""</f>
        <v/>
      </c>
      <c r="CF172" t="str">
        <f>""</f>
        <v/>
      </c>
      <c r="CG172" t="str">
        <f>""</f>
        <v/>
      </c>
    </row>
    <row r="173" spans="1:85" x14ac:dyDescent="0.2">
      <c r="A173" t="str">
        <f>$A$87</f>
        <v xml:space="preserve">        Non-Residential Permits (Mn CAD)</v>
      </c>
      <c r="B173" t="str">
        <f>$B$87</f>
        <v>CAHONRES Index</v>
      </c>
      <c r="C173" t="str">
        <f>$C$87</f>
        <v>PX385</v>
      </c>
      <c r="D173" t="str">
        <f>$D$87</f>
        <v>INTERVAL_SUM</v>
      </c>
      <c r="E173" t="str">
        <f>$E$87</f>
        <v>Dynamic</v>
      </c>
      <c r="F173" t="e">
        <f ca="1">_xll.BDP($B$87,$C$87,CONCATENATE("PX391=", $F$115), CONCATENATE("PX392=",$F$116), CONCATENATE("DS004=",$B$108), "Fill=B")</f>
        <v>#NAME?</v>
      </c>
      <c r="G173" t="e">
        <f ca="1">_xll.BDP($B$87,$C$87,CONCATENATE("PX391=", $G$115), CONCATENATE("PX392=",$G$116), CONCATENATE("DS004=",$B$108), "Fill=B")</f>
        <v>#NAME?</v>
      </c>
      <c r="H173" t="e">
        <f ca="1">_xll.BDP($B$87,$C$87,CONCATENATE("PX391=", $H$115), CONCATENATE("PX392=",$H$116), CONCATENATE("DS004=",$B$108), "Fill=B")</f>
        <v>#NAME?</v>
      </c>
      <c r="I173" t="e">
        <f ca="1">_xll.BDP($B$87,$C$87,CONCATENATE("PX391=", $I$115), CONCATENATE("PX392=",$I$116), CONCATENATE("DS004=",$B$108), "Fill=B")</f>
        <v>#NAME?</v>
      </c>
      <c r="J173" t="e">
        <f ca="1">_xll.BDP($B$87,$C$87,CONCATENATE("PX391=", $J$115), CONCATENATE("PX392=",$J$116), CONCATENATE("DS004=",$B$108), "Fill=B")</f>
        <v>#NAME?</v>
      </c>
      <c r="K173" t="e">
        <f ca="1">_xll.BDP($B$87,$C$87,CONCATENATE("PX391=", $K$115), CONCATENATE("PX392=",$K$116), CONCATENATE("DS004=",$B$108), "Fill=B")</f>
        <v>#NAME?</v>
      </c>
      <c r="L173" t="e">
        <f ca="1">_xll.BDP($B$87,$C$87,CONCATENATE("PX391=", $L$115), CONCATENATE("PX392=",$L$116), CONCATENATE("DS004=",$B$108), "Fill=B")</f>
        <v>#NAME?</v>
      </c>
      <c r="M173" t="e">
        <f ca="1">_xll.BDP($B$87,$C$87,CONCATENATE("PX391=", $M$115), CONCATENATE("PX392=",$M$116), CONCATENATE("DS004=",$B$108), "Fill=B")</f>
        <v>#NAME?</v>
      </c>
      <c r="N173" t="e">
        <f ca="1">_xll.BDP($B$87,$C$87,CONCATENATE("PX391=", $N$115), CONCATENATE("PX392=",$N$116), CONCATENATE("DS004=",$B$108), "Fill=B")</f>
        <v>#NAME?</v>
      </c>
      <c r="O173" t="e">
        <f ca="1">_xll.BDP($B$87,$C$87,CONCATENATE("PX391=", $O$115), CONCATENATE("PX392=",$O$116), CONCATENATE("DS004=",$B$108), "Fill=B")</f>
        <v>#NAME?</v>
      </c>
      <c r="P173" t="e">
        <f ca="1">_xll.BDP($B$87,$C$87,CONCATENATE("PX391=", $P$115), CONCATENATE("PX392=",$P$116), CONCATENATE("DS004=",$B$108), "Fill=B")</f>
        <v>#NAME?</v>
      </c>
      <c r="Q173" t="e">
        <f ca="1">_xll.BDP($B$87,$C$87,CONCATENATE("PX391=", $Q$115), CONCATENATE("PX392=",$Q$116), CONCATENATE("DS004=",$B$108), "Fill=B")</f>
        <v>#NAME?</v>
      </c>
      <c r="R173" t="e">
        <f ca="1">_xll.BDP($B$87,$C$87,CONCATENATE("PX391=", $R$115), CONCATENATE("PX392=",$R$116), CONCATENATE("DS004=",$B$108), "Fill=B")</f>
        <v>#NAME?</v>
      </c>
      <c r="S173" t="e">
        <f ca="1">_xll.BDP($B$87,$C$87,CONCATENATE("PX391=", $S$115), CONCATENATE("PX392=",$S$116), CONCATENATE("DS004=",$B$108), "Fill=B")</f>
        <v>#NAME?</v>
      </c>
      <c r="T173" t="e">
        <f ca="1">_xll.BDP($B$87,$C$87,CONCATENATE("PX391=", $T$115), CONCATENATE("PX392=",$T$116), CONCATENATE("DS004=",$B$108), "Fill=B")</f>
        <v>#NAME?</v>
      </c>
      <c r="U173" t="e">
        <f ca="1">_xll.BDP($B$87,$C$87,CONCATENATE("PX391=", $U$115), CONCATENATE("PX392=",$U$116), CONCATENATE("DS004=",$B$108), "Fill=B")</f>
        <v>#NAME?</v>
      </c>
      <c r="V173" t="e">
        <f ca="1">_xll.BDP($B$87,$C$87,CONCATENATE("PX391=", $V$115), CONCATENATE("PX392=",$V$116), CONCATENATE("DS004=",$B$108), "Fill=B")</f>
        <v>#NAME?</v>
      </c>
      <c r="W173" t="e">
        <f ca="1">_xll.BDP($B$87,$C$87,CONCATENATE("PX391=", $W$115), CONCATENATE("PX392=",$W$116), CONCATENATE("DS004=",$B$108), "Fill=B")</f>
        <v>#NAME?</v>
      </c>
      <c r="X173" t="e">
        <f ca="1">_xll.BDP($B$87,$C$87,CONCATENATE("PX391=", $X$115), CONCATENATE("PX392=",$X$116), CONCATENATE("DS004=",$B$108), "Fill=B")</f>
        <v>#NAME?</v>
      </c>
      <c r="Y173" t="e">
        <f ca="1">_xll.BDP($B$87,$C$87,CONCATENATE("PX391=", $Y$115), CONCATENATE("PX392=",$Y$116), CONCATENATE("DS004=",$B$108), "Fill=B")</f>
        <v>#NAME?</v>
      </c>
      <c r="Z173" t="e">
        <f ca="1">_xll.BDP($B$87,$C$87,CONCATENATE("PX391=", $Z$115), CONCATENATE("PX392=",$Z$116), CONCATENATE("DS004=",$B$108), "Fill=B")</f>
        <v>#NAME?</v>
      </c>
      <c r="AA173" t="e">
        <f ca="1">_xll.BDP($B$87,$C$87,CONCATENATE("PX391=", $AA$115), CONCATENATE("PX392=",$AA$116), CONCATENATE("DS004=",$B$108), "Fill=B")</f>
        <v>#NAME?</v>
      </c>
      <c r="AB173" t="e">
        <f ca="1">_xll.BDP($B$87,$C$87,CONCATENATE("PX391=", $AB$115), CONCATENATE("PX392=",$AB$116), CONCATENATE("DS004=",$B$108), "Fill=B")</f>
        <v>#NAME?</v>
      </c>
      <c r="AC173" t="e">
        <f ca="1">_xll.BDP($B$87,$C$87,CONCATENATE("PX391=", $AC$115), CONCATENATE("PX392=",$AC$116), CONCATENATE("DS004=",$B$108), "Fill=B")</f>
        <v>#NAME?</v>
      </c>
      <c r="AD173" t="e">
        <f ca="1">_xll.BDP($B$87,$C$87,CONCATENATE("PX391=", $AD$115), CONCATENATE("PX392=",$AD$116), CONCATENATE("DS004=",$B$108), "Fill=B")</f>
        <v>#NAME?</v>
      </c>
      <c r="AE173" t="e">
        <f ca="1">_xll.BDP($B$87,$C$87,CONCATENATE("PX391=", $AE$115), CONCATENATE("PX392=",$AE$116), CONCATENATE("DS004=",$B$108), "Fill=B")</f>
        <v>#NAME?</v>
      </c>
      <c r="AF173" t="e">
        <f ca="1">_xll.BDP($B$87,$C$87,CONCATENATE("PX391=", $AF$115), CONCATENATE("PX392=",$AF$116), CONCATENATE("DS004=",$B$108), "Fill=B")</f>
        <v>#NAME?</v>
      </c>
      <c r="AG173" t="e">
        <f ca="1">_xll.BDP($B$87,$C$87,CONCATENATE("PX391=", $AG$115), CONCATENATE("PX392=",$AG$116), CONCATENATE("DS004=",$B$108), "Fill=B")</f>
        <v>#NAME?</v>
      </c>
      <c r="AH173" t="e">
        <f ca="1">_xll.BDP($B$87,$C$87,CONCATENATE("PX391=", $AH$115), CONCATENATE("PX392=",$AH$116), CONCATENATE("DS004=",$B$108), "Fill=B")</f>
        <v>#NAME?</v>
      </c>
      <c r="AI173" t="e">
        <f ca="1">_xll.BDP($B$87,$C$87,CONCATENATE("PX391=", $AI$115), CONCATENATE("PX392=",$AI$116), CONCATENATE("DS004=",$B$108), "Fill=B")</f>
        <v>#NAME?</v>
      </c>
      <c r="AJ173" t="e">
        <f ca="1">_xll.BDP($B$87,$C$87,CONCATENATE("PX391=", $AJ$115), CONCATENATE("PX392=",$AJ$116), CONCATENATE("DS004=",$B$108), "Fill=B")</f>
        <v>#NAME?</v>
      </c>
      <c r="AK173" t="e">
        <f ca="1">_xll.BDP($B$87,$C$87,CONCATENATE("PX391=", $AK$115), CONCATENATE("PX392=",$AK$116), CONCATENATE("DS004=",$B$108), "Fill=B")</f>
        <v>#NAME?</v>
      </c>
      <c r="AL173" t="e">
        <f ca="1">_xll.BDP($B$87,$C$87,CONCATENATE("PX391=", $AL$115), CONCATENATE("PX392=",$AL$116), CONCATENATE("DS004=",$B$108), "Fill=B")</f>
        <v>#NAME?</v>
      </c>
      <c r="AM173" t="e">
        <f ca="1">_xll.BDP($B$87,$C$87,CONCATENATE("PX391=", $AM$115), CONCATENATE("PX392=",$AM$116), CONCATENATE("DS004=",$B$108), "Fill=B")</f>
        <v>#NAME?</v>
      </c>
      <c r="AN173" t="e">
        <f ca="1">_xll.BDP($B$87,$C$87,CONCATENATE("PX391=", $AN$115), CONCATENATE("PX392=",$AN$116), CONCATENATE("DS004=",$B$108), "Fill=B")</f>
        <v>#NAME?</v>
      </c>
      <c r="AO173" t="e">
        <f ca="1">_xll.BDP($B$87,$C$87,CONCATENATE("PX391=", $AO$115), CONCATENATE("PX392=",$AO$116), CONCATENATE("DS004=",$B$108), "Fill=B")</f>
        <v>#NAME?</v>
      </c>
      <c r="AP173" t="e">
        <f ca="1">_xll.BDP($B$87,$C$87,CONCATENATE("PX391=", $AP$115), CONCATENATE("PX392=",$AP$116), CONCATENATE("DS004=",$B$108), "Fill=B")</f>
        <v>#NAME?</v>
      </c>
      <c r="AQ173" t="e">
        <f ca="1">_xll.BDP($B$87,$C$87,CONCATENATE("PX391=", $AQ$115), CONCATENATE("PX392=",$AQ$116), CONCATENATE("DS004=",$B$108), "Fill=B")</f>
        <v>#NAME?</v>
      </c>
      <c r="AR173" t="e">
        <f ca="1">_xll.BDP($B$87,$C$87,CONCATENATE("PX391=", $AR$115), CONCATENATE("PX392=",$AR$116), CONCATENATE("DS004=",$B$108), "Fill=B")</f>
        <v>#NAME?</v>
      </c>
      <c r="AS173" t="e">
        <f ca="1">_xll.BDP($B$87,$C$87,CONCATENATE("PX391=", $AS$115), CONCATENATE("PX392=",$AS$116), CONCATENATE("DS004=",$B$108), "Fill=B")</f>
        <v>#NAME?</v>
      </c>
      <c r="AT173" t="str">
        <f>""</f>
        <v/>
      </c>
      <c r="AU173" t="str">
        <f>""</f>
        <v/>
      </c>
      <c r="AV173" t="str">
        <f>""</f>
        <v/>
      </c>
      <c r="AW173" t="str">
        <f>""</f>
        <v/>
      </c>
      <c r="AX173" t="str">
        <f>""</f>
        <v/>
      </c>
      <c r="AY173" t="str">
        <f>""</f>
        <v/>
      </c>
      <c r="AZ173" t="str">
        <f>""</f>
        <v/>
      </c>
      <c r="BA173" t="str">
        <f>""</f>
        <v/>
      </c>
      <c r="BB173" t="str">
        <f>""</f>
        <v/>
      </c>
      <c r="BC173" t="str">
        <f>""</f>
        <v/>
      </c>
      <c r="BD173" t="str">
        <f>""</f>
        <v/>
      </c>
      <c r="BE173" t="str">
        <f>""</f>
        <v/>
      </c>
      <c r="BF173" t="str">
        <f>""</f>
        <v/>
      </c>
      <c r="BG173" t="str">
        <f>""</f>
        <v/>
      </c>
      <c r="BH173" t="str">
        <f>""</f>
        <v/>
      </c>
      <c r="BI173" t="str">
        <f>""</f>
        <v/>
      </c>
      <c r="BJ173" t="str">
        <f>""</f>
        <v/>
      </c>
      <c r="BK173" t="str">
        <f>""</f>
        <v/>
      </c>
      <c r="BL173" t="str">
        <f>""</f>
        <v/>
      </c>
      <c r="BM173" t="str">
        <f>""</f>
        <v/>
      </c>
      <c r="BN173" t="str">
        <f>""</f>
        <v/>
      </c>
      <c r="BO173" t="str">
        <f>""</f>
        <v/>
      </c>
      <c r="BP173" t="str">
        <f>""</f>
        <v/>
      </c>
      <c r="BQ173" t="str">
        <f>""</f>
        <v/>
      </c>
      <c r="BR173" t="str">
        <f>""</f>
        <v/>
      </c>
      <c r="BS173" t="str">
        <f>""</f>
        <v/>
      </c>
      <c r="BT173" t="str">
        <f>""</f>
        <v/>
      </c>
      <c r="BU173" t="str">
        <f>""</f>
        <v/>
      </c>
      <c r="BV173" t="str">
        <f>""</f>
        <v/>
      </c>
      <c r="BW173" t="str">
        <f>""</f>
        <v/>
      </c>
      <c r="BX173" t="str">
        <f>""</f>
        <v/>
      </c>
      <c r="BY173" t="str">
        <f>""</f>
        <v/>
      </c>
      <c r="BZ173" t="str">
        <f>""</f>
        <v/>
      </c>
      <c r="CA173" t="str">
        <f>""</f>
        <v/>
      </c>
      <c r="CB173" t="str">
        <f>""</f>
        <v/>
      </c>
      <c r="CC173" t="str">
        <f>""</f>
        <v/>
      </c>
      <c r="CD173" t="str">
        <f>""</f>
        <v/>
      </c>
      <c r="CE173" t="str">
        <f>""</f>
        <v/>
      </c>
      <c r="CF173" t="str">
        <f>""</f>
        <v/>
      </c>
      <c r="CG173" t="str">
        <f>""</f>
        <v/>
      </c>
    </row>
    <row r="174" spans="1:85" x14ac:dyDescent="0.2">
      <c r="A174" t="str">
        <f>$A$90</f>
        <v xml:space="preserve">        Canada Total Housing New Starts SAAR (000's)</v>
      </c>
      <c r="B174" t="str">
        <f>$B$90</f>
        <v>CAHSTOTL Index</v>
      </c>
      <c r="C174" t="str">
        <f>$C$90</f>
        <v>PR005</v>
      </c>
      <c r="D174" t="str">
        <f>$D$90</f>
        <v>PX_LAST</v>
      </c>
      <c r="E174" t="str">
        <f>$E$90</f>
        <v>Dynamic</v>
      </c>
      <c r="F174" t="e">
        <f ca="1">_xll.BDH($B$90,$C$90,$B$111,$B$112,CONCATENATE("Per=",$B$109),"Dts=H","Dir=H",CONCATENATE("Points=",$B$110),"Sort=R","Days=A","Fill=B",CONCATENATE("FX=", $B$108),"cols=40;rows=1")</f>
        <v>#NAME?</v>
      </c>
      <c r="G174">
        <v>248.648</v>
      </c>
      <c r="H174">
        <v>245.20500000000001</v>
      </c>
      <c r="I174">
        <v>240.42099999999999</v>
      </c>
      <c r="J174">
        <v>199.55500000000001</v>
      </c>
      <c r="K174">
        <v>214.99</v>
      </c>
      <c r="L174">
        <v>214.309</v>
      </c>
      <c r="M174">
        <v>202.69300000000001</v>
      </c>
      <c r="N174">
        <v>171.24799999999999</v>
      </c>
      <c r="O174">
        <v>177.29599999999999</v>
      </c>
      <c r="P174">
        <v>185.52099999999999</v>
      </c>
      <c r="Q174">
        <v>200.005</v>
      </c>
      <c r="R174">
        <v>200.18899999999999</v>
      </c>
      <c r="S174">
        <v>166.82300000000001</v>
      </c>
      <c r="T174">
        <v>173.15199999999999</v>
      </c>
      <c r="U174">
        <v>150.30500000000001</v>
      </c>
      <c r="V174">
        <v>175.36799999999999</v>
      </c>
      <c r="W174">
        <v>210.977</v>
      </c>
      <c r="X174">
        <v>233.376</v>
      </c>
      <c r="Y174">
        <v>229.102</v>
      </c>
      <c r="Z174">
        <v>216.33799999999999</v>
      </c>
      <c r="AA174">
        <v>197.56399999999999</v>
      </c>
      <c r="AB174">
        <v>177.44399999999999</v>
      </c>
      <c r="AC174">
        <v>144.483</v>
      </c>
      <c r="AD174">
        <v>161.52600000000001</v>
      </c>
      <c r="AE174">
        <v>141.95699999999999</v>
      </c>
      <c r="AF174">
        <v>148.47900000000001</v>
      </c>
      <c r="AG174">
        <v>137.32499999999999</v>
      </c>
      <c r="AH174">
        <v>119.395</v>
      </c>
      <c r="AI174">
        <v>125.041</v>
      </c>
      <c r="AJ174">
        <v>161.59700000000001</v>
      </c>
      <c r="AK174">
        <v>168.173</v>
      </c>
      <c r="AL174">
        <v>165.67699999999999</v>
      </c>
      <c r="AM174">
        <v>142.41</v>
      </c>
      <c r="AN174">
        <v>221.1</v>
      </c>
      <c r="AO174">
        <v>225</v>
      </c>
      <c r="AP174">
        <v>220.3</v>
      </c>
      <c r="AQ174">
        <v>214.5</v>
      </c>
      <c r="AR174">
        <v>190.6</v>
      </c>
      <c r="AS174">
        <v>129.9</v>
      </c>
      <c r="AT174" t="str">
        <f>""</f>
        <v/>
      </c>
      <c r="AU174" t="str">
        <f>""</f>
        <v/>
      </c>
      <c r="AV174" t="str">
        <f>""</f>
        <v/>
      </c>
      <c r="AW174" t="str">
        <f>""</f>
        <v/>
      </c>
      <c r="AX174" t="str">
        <f>""</f>
        <v/>
      </c>
      <c r="AY174" t="str">
        <f>""</f>
        <v/>
      </c>
      <c r="AZ174" t="str">
        <f>""</f>
        <v/>
      </c>
      <c r="BA174" t="str">
        <f>""</f>
        <v/>
      </c>
      <c r="BB174" t="str">
        <f>""</f>
        <v/>
      </c>
      <c r="BC174" t="str">
        <f>""</f>
        <v/>
      </c>
      <c r="BD174" t="str">
        <f>""</f>
        <v/>
      </c>
      <c r="BE174" t="str">
        <f>""</f>
        <v/>
      </c>
      <c r="BF174" t="str">
        <f>""</f>
        <v/>
      </c>
      <c r="BG174" t="str">
        <f>""</f>
        <v/>
      </c>
      <c r="BH174" t="str">
        <f>""</f>
        <v/>
      </c>
      <c r="BI174" t="str">
        <f>""</f>
        <v/>
      </c>
      <c r="BJ174" t="str">
        <f>""</f>
        <v/>
      </c>
      <c r="BK174" t="str">
        <f>""</f>
        <v/>
      </c>
      <c r="BL174" t="str">
        <f>""</f>
        <v/>
      </c>
      <c r="BM174" t="str">
        <f>""</f>
        <v/>
      </c>
      <c r="BN174" t="str">
        <f>""</f>
        <v/>
      </c>
      <c r="BO174" t="str">
        <f>""</f>
        <v/>
      </c>
      <c r="BP174" t="str">
        <f>""</f>
        <v/>
      </c>
      <c r="BQ174" t="str">
        <f>""</f>
        <v/>
      </c>
      <c r="BR174" t="str">
        <f>""</f>
        <v/>
      </c>
      <c r="BS174" t="str">
        <f>""</f>
        <v/>
      </c>
      <c r="BT174" t="str">
        <f>""</f>
        <v/>
      </c>
      <c r="BU174" t="str">
        <f>""</f>
        <v/>
      </c>
      <c r="BV174" t="str">
        <f>""</f>
        <v/>
      </c>
      <c r="BW174" t="str">
        <f>""</f>
        <v/>
      </c>
      <c r="BX174" t="str">
        <f>""</f>
        <v/>
      </c>
      <c r="BY174" t="str">
        <f>""</f>
        <v/>
      </c>
      <c r="BZ174" t="str">
        <f>""</f>
        <v/>
      </c>
      <c r="CA174" t="str">
        <f>""</f>
        <v/>
      </c>
      <c r="CB174" t="str">
        <f>""</f>
        <v/>
      </c>
      <c r="CC174" t="str">
        <f>""</f>
        <v/>
      </c>
      <c r="CD174" t="str">
        <f>""</f>
        <v/>
      </c>
      <c r="CE174" t="str">
        <f>""</f>
        <v/>
      </c>
      <c r="CF174" t="str">
        <f>""</f>
        <v/>
      </c>
      <c r="CG174" t="str">
        <f>""</f>
        <v/>
      </c>
    </row>
    <row r="175" spans="1:85" x14ac:dyDescent="0.2">
      <c r="A175" t="str">
        <f>$A$91</f>
        <v xml:space="preserve">        New Starts - Urban Area SAAR (000's)</v>
      </c>
      <c r="B175" t="str">
        <f>$B$91</f>
        <v>CAHSURBA Index</v>
      </c>
      <c r="C175" t="str">
        <f>$C$91</f>
        <v>PR005</v>
      </c>
      <c r="D175" t="str">
        <f>$D$91</f>
        <v>PX_LAST</v>
      </c>
      <c r="E175" t="str">
        <f>$E$91</f>
        <v>Dynamic</v>
      </c>
      <c r="F175" t="e">
        <f ca="1">_xll.BDH($B$91,$C$91,$B$111,$B$112,CONCATENATE("Per=",$B$109),"Dts=H","Dir=H",CONCATENATE("Points=",$B$110),"Sort=R","Days=A","Fill=B",CONCATENATE("FX=", $B$108),"cols=40;rows=1")</f>
        <v>#NAME?</v>
      </c>
      <c r="Z175">
        <v>224.69900000000001</v>
      </c>
      <c r="AA175">
        <v>189.6</v>
      </c>
      <c r="AT175" t="str">
        <f>""</f>
        <v/>
      </c>
      <c r="AU175" t="str">
        <f>""</f>
        <v/>
      </c>
      <c r="AV175" t="str">
        <f>""</f>
        <v/>
      </c>
      <c r="AW175" t="str">
        <f>""</f>
        <v/>
      </c>
      <c r="AX175" t="str">
        <f>""</f>
        <v/>
      </c>
      <c r="AY175" t="str">
        <f>""</f>
        <v/>
      </c>
      <c r="AZ175" t="str">
        <f>""</f>
        <v/>
      </c>
      <c r="BA175" t="str">
        <f>""</f>
        <v/>
      </c>
      <c r="BB175" t="str">
        <f>""</f>
        <v/>
      </c>
      <c r="BC175" t="str">
        <f>""</f>
        <v/>
      </c>
      <c r="BD175" t="str">
        <f>""</f>
        <v/>
      </c>
      <c r="BE175" t="str">
        <f>""</f>
        <v/>
      </c>
      <c r="BF175" t="str">
        <f>""</f>
        <v/>
      </c>
      <c r="BG175" t="str">
        <f>""</f>
        <v/>
      </c>
      <c r="BH175" t="str">
        <f>""</f>
        <v/>
      </c>
      <c r="BI175" t="str">
        <f>""</f>
        <v/>
      </c>
      <c r="BJ175" t="str">
        <f>""</f>
        <v/>
      </c>
      <c r="BK175" t="str">
        <f>""</f>
        <v/>
      </c>
      <c r="BL175" t="str">
        <f>""</f>
        <v/>
      </c>
      <c r="BM175" t="str">
        <f>""</f>
        <v/>
      </c>
      <c r="BN175" t="str">
        <f>""</f>
        <v/>
      </c>
      <c r="BO175" t="str">
        <f>""</f>
        <v/>
      </c>
      <c r="BP175" t="str">
        <f>""</f>
        <v/>
      </c>
      <c r="BQ175" t="str">
        <f>""</f>
        <v/>
      </c>
      <c r="BR175" t="str">
        <f>""</f>
        <v/>
      </c>
      <c r="BS175" t="str">
        <f>""</f>
        <v/>
      </c>
      <c r="BT175" t="str">
        <f>""</f>
        <v/>
      </c>
      <c r="BU175" t="str">
        <f>""</f>
        <v/>
      </c>
      <c r="BV175" t="str">
        <f>""</f>
        <v/>
      </c>
      <c r="BW175" t="str">
        <f>""</f>
        <v/>
      </c>
      <c r="BX175" t="str">
        <f>""</f>
        <v/>
      </c>
      <c r="BY175" t="str">
        <f>""</f>
        <v/>
      </c>
      <c r="BZ175" t="str">
        <f>""</f>
        <v/>
      </c>
      <c r="CA175" t="str">
        <f>""</f>
        <v/>
      </c>
      <c r="CB175" t="str">
        <f>""</f>
        <v/>
      </c>
      <c r="CC175" t="str">
        <f>""</f>
        <v/>
      </c>
      <c r="CD175" t="str">
        <f>""</f>
        <v/>
      </c>
      <c r="CE175" t="str">
        <f>""</f>
        <v/>
      </c>
      <c r="CF175" t="str">
        <f>""</f>
        <v/>
      </c>
      <c r="CG175" t="str">
        <f>""</f>
        <v/>
      </c>
    </row>
    <row r="176" spans="1:85" x14ac:dyDescent="0.2">
      <c r="A176" t="str">
        <f>$A$93</f>
        <v xml:space="preserve">    Canada New Housing Price Index</v>
      </c>
      <c r="B176" t="str">
        <f>$B$93</f>
        <v>CAHUPI Index</v>
      </c>
      <c r="C176" t="str">
        <f>$C$93</f>
        <v>PR005</v>
      </c>
      <c r="D176" t="str">
        <f>$D$93</f>
        <v>PX_LAST</v>
      </c>
      <c r="E176" t="str">
        <f>$E$93</f>
        <v>Dynamic</v>
      </c>
      <c r="F176" t="e">
        <f ca="1">_xll.BDH($B$93,$C$93,$B$111,$B$112,CONCATENATE("Per=",$B$109),"Dts=H","Dir=H",CONCATENATE("Points=",$B$110),"Sort=R","Days=A","Fill=B",CONCATENATE("FX=", $B$108),"cols=40;rows=1")</f>
        <v>#NAME?</v>
      </c>
      <c r="G176">
        <v>125.5</v>
      </c>
      <c r="H176">
        <v>120.8</v>
      </c>
      <c r="I176">
        <v>108.2</v>
      </c>
      <c r="J176">
        <v>103.4</v>
      </c>
      <c r="K176">
        <v>103.3</v>
      </c>
      <c r="L176">
        <v>103.3</v>
      </c>
      <c r="M176">
        <v>100</v>
      </c>
      <c r="N176">
        <v>97</v>
      </c>
      <c r="O176">
        <v>95.5</v>
      </c>
      <c r="P176">
        <v>93.9</v>
      </c>
      <c r="Q176">
        <v>92.7</v>
      </c>
      <c r="R176">
        <v>90.7</v>
      </c>
      <c r="S176">
        <v>88.4</v>
      </c>
      <c r="T176">
        <v>86.7</v>
      </c>
      <c r="U176">
        <v>87.5</v>
      </c>
      <c r="V176">
        <v>87.1</v>
      </c>
      <c r="W176">
        <v>82</v>
      </c>
      <c r="X176">
        <v>74.099999999999994</v>
      </c>
      <c r="Y176">
        <v>69.900000000000006</v>
      </c>
      <c r="Z176">
        <v>66.5</v>
      </c>
      <c r="AA176">
        <v>63.3</v>
      </c>
      <c r="AB176">
        <v>60.2</v>
      </c>
      <c r="AC176">
        <v>58.6</v>
      </c>
      <c r="AD176">
        <v>57.2</v>
      </c>
      <c r="AE176">
        <v>56.3</v>
      </c>
      <c r="AF176">
        <v>55.9</v>
      </c>
      <c r="AG176">
        <v>55.2</v>
      </c>
      <c r="AH176">
        <v>55.7</v>
      </c>
      <c r="AI176">
        <v>56.8</v>
      </c>
      <c r="AJ176">
        <v>56.9</v>
      </c>
      <c r="AK176">
        <v>56.3</v>
      </c>
      <c r="AL176">
        <v>55.9</v>
      </c>
      <c r="AM176">
        <v>57.8</v>
      </c>
      <c r="AN176">
        <v>61.1</v>
      </c>
      <c r="AO176">
        <v>55.8</v>
      </c>
      <c r="AP176">
        <v>49.1</v>
      </c>
      <c r="AQ176">
        <v>44</v>
      </c>
      <c r="AR176">
        <v>39.299999999999997</v>
      </c>
      <c r="AS176">
        <v>37.9</v>
      </c>
      <c r="AT176" t="str">
        <f>""</f>
        <v/>
      </c>
      <c r="AU176" t="str">
        <f>""</f>
        <v/>
      </c>
      <c r="AV176" t="str">
        <f>""</f>
        <v/>
      </c>
      <c r="AW176" t="str">
        <f>""</f>
        <v/>
      </c>
      <c r="AX176" t="str">
        <f>""</f>
        <v/>
      </c>
      <c r="AY176" t="str">
        <f>""</f>
        <v/>
      </c>
      <c r="AZ176" t="str">
        <f>""</f>
        <v/>
      </c>
      <c r="BA176" t="str">
        <f>""</f>
        <v/>
      </c>
      <c r="BB176" t="str">
        <f>""</f>
        <v/>
      </c>
      <c r="BC176" t="str">
        <f>""</f>
        <v/>
      </c>
      <c r="BD176" t="str">
        <f>""</f>
        <v/>
      </c>
      <c r="BE176" t="str">
        <f>""</f>
        <v/>
      </c>
      <c r="BF176" t="str">
        <f>""</f>
        <v/>
      </c>
      <c r="BG176" t="str">
        <f>""</f>
        <v/>
      </c>
      <c r="BH176" t="str">
        <f>""</f>
        <v/>
      </c>
      <c r="BI176" t="str">
        <f>""</f>
        <v/>
      </c>
      <c r="BJ176" t="str">
        <f>""</f>
        <v/>
      </c>
      <c r="BK176" t="str">
        <f>""</f>
        <v/>
      </c>
      <c r="BL176" t="str">
        <f>""</f>
        <v/>
      </c>
      <c r="BM176" t="str">
        <f>""</f>
        <v/>
      </c>
      <c r="BN176" t="str">
        <f>""</f>
        <v/>
      </c>
      <c r="BO176" t="str">
        <f>""</f>
        <v/>
      </c>
      <c r="BP176" t="str">
        <f>""</f>
        <v/>
      </c>
      <c r="BQ176" t="str">
        <f>""</f>
        <v/>
      </c>
      <c r="BR176" t="str">
        <f>""</f>
        <v/>
      </c>
      <c r="BS176" t="str">
        <f>""</f>
        <v/>
      </c>
      <c r="BT176" t="str">
        <f>""</f>
        <v/>
      </c>
      <c r="BU176" t="str">
        <f>""</f>
        <v/>
      </c>
      <c r="BV176" t="str">
        <f>""</f>
        <v/>
      </c>
      <c r="BW176" t="str">
        <f>""</f>
        <v/>
      </c>
      <c r="BX176" t="str">
        <f>""</f>
        <v/>
      </c>
      <c r="BY176" t="str">
        <f>""</f>
        <v/>
      </c>
      <c r="BZ176" t="str">
        <f>""</f>
        <v/>
      </c>
      <c r="CA176" t="str">
        <f>""</f>
        <v/>
      </c>
      <c r="CB176" t="str">
        <f>""</f>
        <v/>
      </c>
      <c r="CC176" t="str">
        <f>""</f>
        <v/>
      </c>
      <c r="CD176" t="str">
        <f>""</f>
        <v/>
      </c>
      <c r="CE176" t="str">
        <f>""</f>
        <v/>
      </c>
      <c r="CF176" t="str">
        <f>""</f>
        <v/>
      </c>
      <c r="CG176" t="str">
        <f>""</f>
        <v/>
      </c>
    </row>
    <row r="177" spans="1:85" x14ac:dyDescent="0.2">
      <c r="A177" t="str">
        <f>$A$94</f>
        <v xml:space="preserve">    Canada Affordability Two Storey Houses</v>
      </c>
      <c r="B177" t="str">
        <f>$B$94</f>
        <v>CANH2S Index</v>
      </c>
      <c r="C177" t="str">
        <f>$C$94</f>
        <v>PR005</v>
      </c>
      <c r="D177" t="str">
        <f>$D$94</f>
        <v>PX_LAST</v>
      </c>
      <c r="E177" t="str">
        <f>$E$94</f>
        <v>Dynamic</v>
      </c>
      <c r="F177" t="e">
        <f ca="1">_xll.BDH($B$94,$C$94,$B$111,$B$112,CONCATENATE("Per=",$B$109),"Dts=H","Dir=H",CONCATENATE("Points=",$B$110),"Sort=R","Days=A","Fill=B",CONCATENATE("FX=", $B$108),"cols=40;rows=1")</f>
        <v>#NAME?</v>
      </c>
      <c r="G177">
        <v>69.400000000000006</v>
      </c>
      <c r="H177">
        <v>54.6</v>
      </c>
      <c r="I177">
        <v>54.7</v>
      </c>
      <c r="J177">
        <v>54.9</v>
      </c>
      <c r="K177">
        <v>57.1</v>
      </c>
      <c r="L177">
        <v>53.3</v>
      </c>
      <c r="M177">
        <v>49.2</v>
      </c>
      <c r="N177">
        <v>51.3</v>
      </c>
      <c r="O177">
        <v>48.1</v>
      </c>
      <c r="P177">
        <v>48.7</v>
      </c>
      <c r="Q177">
        <v>47.9</v>
      </c>
      <c r="R177">
        <v>47.9</v>
      </c>
      <c r="S177">
        <v>47.2</v>
      </c>
      <c r="T177">
        <v>47.2</v>
      </c>
      <c r="U177">
        <v>50.4</v>
      </c>
      <c r="V177">
        <v>51.8</v>
      </c>
      <c r="W177">
        <v>46.6</v>
      </c>
      <c r="X177">
        <v>43</v>
      </c>
      <c r="Y177">
        <v>41.9</v>
      </c>
      <c r="Z177">
        <v>41</v>
      </c>
      <c r="AA177">
        <v>39.5</v>
      </c>
      <c r="AB177">
        <v>37.700000000000003</v>
      </c>
      <c r="AC177">
        <v>40.1</v>
      </c>
      <c r="AD177">
        <v>39.299999999999997</v>
      </c>
      <c r="AE177">
        <v>36.700000000000003</v>
      </c>
      <c r="AF177">
        <v>37.299999999999997</v>
      </c>
      <c r="AG177">
        <v>37.1</v>
      </c>
      <c r="AH177">
        <v>40.700000000000003</v>
      </c>
      <c r="AI177">
        <v>45.7</v>
      </c>
      <c r="AJ177">
        <v>40.299999999999997</v>
      </c>
      <c r="AK177">
        <v>42.9</v>
      </c>
      <c r="AL177">
        <v>44.3</v>
      </c>
      <c r="AM177">
        <v>50.8</v>
      </c>
      <c r="AN177">
        <v>47.5</v>
      </c>
      <c r="AO177">
        <v>46.6</v>
      </c>
      <c r="AP177">
        <v>43.5</v>
      </c>
      <c r="AQ177">
        <v>39.6</v>
      </c>
      <c r="AR177">
        <v>39.5</v>
      </c>
      <c r="AT177" t="str">
        <f>""</f>
        <v/>
      </c>
      <c r="AU177" t="str">
        <f>""</f>
        <v/>
      </c>
      <c r="AV177" t="str">
        <f>""</f>
        <v/>
      </c>
      <c r="AW177" t="str">
        <f>""</f>
        <v/>
      </c>
      <c r="AX177" t="str">
        <f>""</f>
        <v/>
      </c>
      <c r="AY177" t="str">
        <f>""</f>
        <v/>
      </c>
      <c r="AZ177" t="str">
        <f>""</f>
        <v/>
      </c>
      <c r="BA177" t="str">
        <f>""</f>
        <v/>
      </c>
      <c r="BB177" t="str">
        <f>""</f>
        <v/>
      </c>
      <c r="BC177" t="str">
        <f>""</f>
        <v/>
      </c>
      <c r="BD177" t="str">
        <f>""</f>
        <v/>
      </c>
      <c r="BE177" t="str">
        <f>""</f>
        <v/>
      </c>
      <c r="BF177" t="str">
        <f>""</f>
        <v/>
      </c>
      <c r="BG177" t="str">
        <f>""</f>
        <v/>
      </c>
      <c r="BH177" t="str">
        <f>""</f>
        <v/>
      </c>
      <c r="BI177" t="str">
        <f>""</f>
        <v/>
      </c>
      <c r="BJ177" t="str">
        <f>""</f>
        <v/>
      </c>
      <c r="BK177" t="str">
        <f>""</f>
        <v/>
      </c>
      <c r="BL177" t="str">
        <f>""</f>
        <v/>
      </c>
      <c r="BM177" t="str">
        <f>""</f>
        <v/>
      </c>
      <c r="BN177" t="str">
        <f>""</f>
        <v/>
      </c>
      <c r="BO177" t="str">
        <f>""</f>
        <v/>
      </c>
      <c r="BP177" t="str">
        <f>""</f>
        <v/>
      </c>
      <c r="BQ177" t="str">
        <f>""</f>
        <v/>
      </c>
      <c r="BR177" t="str">
        <f>""</f>
        <v/>
      </c>
      <c r="BS177" t="str">
        <f>""</f>
        <v/>
      </c>
      <c r="BT177" t="str">
        <f>""</f>
        <v/>
      </c>
      <c r="BU177" t="str">
        <f>""</f>
        <v/>
      </c>
      <c r="BV177" t="str">
        <f>""</f>
        <v/>
      </c>
      <c r="BW177" t="str">
        <f>""</f>
        <v/>
      </c>
      <c r="BX177" t="str">
        <f>""</f>
        <v/>
      </c>
      <c r="BY177" t="str">
        <f>""</f>
        <v/>
      </c>
      <c r="BZ177" t="str">
        <f>""</f>
        <v/>
      </c>
      <c r="CA177" t="str">
        <f>""</f>
        <v/>
      </c>
      <c r="CB177" t="str">
        <f>""</f>
        <v/>
      </c>
      <c r="CC177" t="str">
        <f>""</f>
        <v/>
      </c>
      <c r="CD177" t="str">
        <f>""</f>
        <v/>
      </c>
      <c r="CE177" t="str">
        <f>""</f>
        <v/>
      </c>
      <c r="CF177" t="str">
        <f>""</f>
        <v/>
      </c>
      <c r="CG177" t="str">
        <f>""</f>
        <v/>
      </c>
    </row>
    <row r="178" spans="1:85" x14ac:dyDescent="0.2">
      <c r="A178" t="str">
        <f>""</f>
        <v/>
      </c>
      <c r="B178" t="str">
        <f>""</f>
        <v/>
      </c>
      <c r="C178" t="str">
        <f>""</f>
        <v/>
      </c>
      <c r="D178" t="str">
        <f>""</f>
        <v/>
      </c>
      <c r="E178" t="str">
        <f>""</f>
        <v/>
      </c>
      <c r="AT178" t="str">
        <f>""</f>
        <v/>
      </c>
      <c r="AU178" t="str">
        <f>""</f>
        <v/>
      </c>
      <c r="AV178" t="str">
        <f>""</f>
        <v/>
      </c>
      <c r="AW178" t="str">
        <f>""</f>
        <v/>
      </c>
      <c r="AX178" t="str">
        <f>""</f>
        <v/>
      </c>
      <c r="AY178" t="str">
        <f>""</f>
        <v/>
      </c>
      <c r="AZ178" t="str">
        <f>""</f>
        <v/>
      </c>
      <c r="BA178" t="str">
        <f>""</f>
        <v/>
      </c>
      <c r="BB178" t="str">
        <f>""</f>
        <v/>
      </c>
      <c r="BC178" t="str">
        <f>""</f>
        <v/>
      </c>
      <c r="BD178" t="str">
        <f>""</f>
        <v/>
      </c>
      <c r="BE178" t="str">
        <f>""</f>
        <v/>
      </c>
      <c r="BF178" t="str">
        <f>""</f>
        <v/>
      </c>
      <c r="BG178" t="str">
        <f>""</f>
        <v/>
      </c>
      <c r="BH178" t="str">
        <f>""</f>
        <v/>
      </c>
      <c r="BI178" t="str">
        <f>""</f>
        <v/>
      </c>
      <c r="BJ178" t="str">
        <f>""</f>
        <v/>
      </c>
      <c r="BK178" t="str">
        <f>""</f>
        <v/>
      </c>
      <c r="BL178" t="str">
        <f>""</f>
        <v/>
      </c>
      <c r="BM178" t="str">
        <f>""</f>
        <v/>
      </c>
      <c r="BN178" t="str">
        <f>""</f>
        <v/>
      </c>
      <c r="BO178" t="str">
        <f>""</f>
        <v/>
      </c>
      <c r="BP178" t="str">
        <f>""</f>
        <v/>
      </c>
      <c r="BQ178" t="str">
        <f>""</f>
        <v/>
      </c>
      <c r="BR178" t="str">
        <f>""</f>
        <v/>
      </c>
      <c r="BS178" t="str">
        <f>""</f>
        <v/>
      </c>
      <c r="BT178" t="str">
        <f>""</f>
        <v/>
      </c>
      <c r="BU178" t="str">
        <f>""</f>
        <v/>
      </c>
      <c r="BV178" t="str">
        <f>""</f>
        <v/>
      </c>
      <c r="BW178" t="str">
        <f>""</f>
        <v/>
      </c>
      <c r="BX178" t="str">
        <f>""</f>
        <v/>
      </c>
      <c r="BY178" t="str">
        <f>""</f>
        <v/>
      </c>
      <c r="BZ178" t="str">
        <f>""</f>
        <v/>
      </c>
      <c r="CA178" t="str">
        <f>""</f>
        <v/>
      </c>
      <c r="CB178" t="str">
        <f>""</f>
        <v/>
      </c>
      <c r="CC178" t="str">
        <f>""</f>
        <v/>
      </c>
      <c r="CD178" t="str">
        <f>""</f>
        <v/>
      </c>
      <c r="CE178" t="str">
        <f>""</f>
        <v/>
      </c>
      <c r="CF178" t="str">
        <f>""</f>
        <v/>
      </c>
      <c r="CG178" t="str">
        <f>""</f>
        <v/>
      </c>
    </row>
    <row r="179" spans="1:85" x14ac:dyDescent="0.2">
      <c r="A179" t="str">
        <f>""</f>
        <v/>
      </c>
      <c r="B179" t="str">
        <f>""</f>
        <v/>
      </c>
      <c r="C179" t="str">
        <f>""</f>
        <v/>
      </c>
      <c r="D179" t="str">
        <f>""</f>
        <v/>
      </c>
      <c r="E179" t="str">
        <f>""</f>
        <v/>
      </c>
      <c r="AT179" t="str">
        <f>""</f>
        <v/>
      </c>
      <c r="AU179" t="str">
        <f>""</f>
        <v/>
      </c>
      <c r="AV179" t="str">
        <f>""</f>
        <v/>
      </c>
      <c r="AW179" t="str">
        <f>""</f>
        <v/>
      </c>
      <c r="AX179" t="str">
        <f>""</f>
        <v/>
      </c>
      <c r="AY179" t="str">
        <f>""</f>
        <v/>
      </c>
      <c r="AZ179" t="str">
        <f>""</f>
        <v/>
      </c>
      <c r="BA179" t="str">
        <f>""</f>
        <v/>
      </c>
      <c r="BB179" t="str">
        <f>""</f>
        <v/>
      </c>
      <c r="BC179" t="str">
        <f>""</f>
        <v/>
      </c>
      <c r="BD179" t="str">
        <f>""</f>
        <v/>
      </c>
      <c r="BE179" t="str">
        <f>""</f>
        <v/>
      </c>
      <c r="BF179" t="str">
        <f>""</f>
        <v/>
      </c>
      <c r="BG179" t="str">
        <f>""</f>
        <v/>
      </c>
      <c r="BH179" t="str">
        <f>""</f>
        <v/>
      </c>
      <c r="BI179" t="str">
        <f>""</f>
        <v/>
      </c>
      <c r="BJ179" t="str">
        <f>""</f>
        <v/>
      </c>
      <c r="BK179" t="str">
        <f>""</f>
        <v/>
      </c>
      <c r="BL179" t="str">
        <f>""</f>
        <v/>
      </c>
      <c r="BM179" t="str">
        <f>""</f>
        <v/>
      </c>
      <c r="BN179" t="str">
        <f>""</f>
        <v/>
      </c>
      <c r="BO179" t="str">
        <f>""</f>
        <v/>
      </c>
      <c r="BP179" t="str">
        <f>""</f>
        <v/>
      </c>
      <c r="BQ179" t="str">
        <f>""</f>
        <v/>
      </c>
      <c r="BR179" t="str">
        <f>""</f>
        <v/>
      </c>
      <c r="BS179" t="str">
        <f>""</f>
        <v/>
      </c>
      <c r="BT179" t="str">
        <f>""</f>
        <v/>
      </c>
      <c r="BU179" t="str">
        <f>""</f>
        <v/>
      </c>
      <c r="BV179" t="str">
        <f>""</f>
        <v/>
      </c>
      <c r="BW179" t="str">
        <f>""</f>
        <v/>
      </c>
      <c r="BX179" t="str">
        <f>""</f>
        <v/>
      </c>
      <c r="BY179" t="str">
        <f>""</f>
        <v/>
      </c>
      <c r="BZ179" t="str">
        <f>""</f>
        <v/>
      </c>
      <c r="CA179" t="str">
        <f>""</f>
        <v/>
      </c>
      <c r="CB179" t="str">
        <f>""</f>
        <v/>
      </c>
      <c r="CC179" t="str">
        <f>""</f>
        <v/>
      </c>
      <c r="CD179" t="str">
        <f>""</f>
        <v/>
      </c>
      <c r="CE179" t="str">
        <f>""</f>
        <v/>
      </c>
      <c r="CF179" t="str">
        <f>""</f>
        <v/>
      </c>
      <c r="CG179" t="str">
        <f>""</f>
        <v/>
      </c>
    </row>
    <row r="180" spans="1:85" x14ac:dyDescent="0.2">
      <c r="A180" t="str">
        <f>""</f>
        <v/>
      </c>
      <c r="B180" t="str">
        <f>""</f>
        <v/>
      </c>
      <c r="C180" t="str">
        <f>""</f>
        <v/>
      </c>
      <c r="D180" t="str">
        <f>""</f>
        <v/>
      </c>
      <c r="E180" t="str">
        <f>""</f>
        <v/>
      </c>
      <c r="AT180" t="str">
        <f>""</f>
        <v/>
      </c>
      <c r="AU180" t="str">
        <f>""</f>
        <v/>
      </c>
      <c r="AV180" t="str">
        <f>""</f>
        <v/>
      </c>
      <c r="AW180" t="str">
        <f>""</f>
        <v/>
      </c>
      <c r="AX180" t="str">
        <f>""</f>
        <v/>
      </c>
      <c r="AY180" t="str">
        <f>""</f>
        <v/>
      </c>
      <c r="AZ180" t="str">
        <f>""</f>
        <v/>
      </c>
      <c r="BA180" t="str">
        <f>""</f>
        <v/>
      </c>
      <c r="BB180" t="str">
        <f>""</f>
        <v/>
      </c>
      <c r="BC180" t="str">
        <f>""</f>
        <v/>
      </c>
      <c r="BD180" t="str">
        <f>""</f>
        <v/>
      </c>
      <c r="BE180" t="str">
        <f>""</f>
        <v/>
      </c>
      <c r="BF180" t="str">
        <f>""</f>
        <v/>
      </c>
      <c r="BG180" t="str">
        <f>""</f>
        <v/>
      </c>
      <c r="BH180" t="str">
        <f>""</f>
        <v/>
      </c>
      <c r="BI180" t="str">
        <f>""</f>
        <v/>
      </c>
      <c r="BJ180" t="str">
        <f>""</f>
        <v/>
      </c>
      <c r="BK180" t="str">
        <f>""</f>
        <v/>
      </c>
      <c r="BL180" t="str">
        <f>""</f>
        <v/>
      </c>
      <c r="BM180" t="str">
        <f>""</f>
        <v/>
      </c>
      <c r="BN180" t="str">
        <f>""</f>
        <v/>
      </c>
      <c r="BO180" t="str">
        <f>""</f>
        <v/>
      </c>
      <c r="BP180" t="str">
        <f>""</f>
        <v/>
      </c>
      <c r="BQ180" t="str">
        <f>""</f>
        <v/>
      </c>
      <c r="BR180" t="str">
        <f>""</f>
        <v/>
      </c>
      <c r="BS180" t="str">
        <f>""</f>
        <v/>
      </c>
      <c r="BT180" t="str">
        <f>""</f>
        <v/>
      </c>
      <c r="BU180" t="str">
        <f>""</f>
        <v/>
      </c>
      <c r="BV180" t="str">
        <f>""</f>
        <v/>
      </c>
      <c r="BW180" t="str">
        <f>""</f>
        <v/>
      </c>
      <c r="BX180" t="str">
        <f>""</f>
        <v/>
      </c>
      <c r="BY180" t="str">
        <f>""</f>
        <v/>
      </c>
      <c r="BZ180" t="str">
        <f>""</f>
        <v/>
      </c>
      <c r="CA180" t="str">
        <f>""</f>
        <v/>
      </c>
      <c r="CB180" t="str">
        <f>""</f>
        <v/>
      </c>
      <c r="CC180" t="str">
        <f>""</f>
        <v/>
      </c>
      <c r="CD180" t="str">
        <f>""</f>
        <v/>
      </c>
      <c r="CE180" t="str">
        <f>""</f>
        <v/>
      </c>
      <c r="CF180" t="str">
        <f>""</f>
        <v/>
      </c>
      <c r="CG180" t="str">
        <f>""</f>
        <v/>
      </c>
    </row>
    <row r="181" spans="1:85" x14ac:dyDescent="0.2">
      <c r="A181" t="str">
        <f>""</f>
        <v/>
      </c>
      <c r="B181" t="str">
        <f>""</f>
        <v/>
      </c>
      <c r="C181" t="str">
        <f>""</f>
        <v/>
      </c>
      <c r="D181" t="str">
        <f>""</f>
        <v/>
      </c>
      <c r="E181" t="str">
        <f>""</f>
        <v/>
      </c>
      <c r="AT181" t="str">
        <f>""</f>
        <v/>
      </c>
      <c r="AU181" t="str">
        <f>""</f>
        <v/>
      </c>
      <c r="AV181" t="str">
        <f>""</f>
        <v/>
      </c>
      <c r="AW181" t="str">
        <f>""</f>
        <v/>
      </c>
      <c r="AX181" t="str">
        <f>""</f>
        <v/>
      </c>
      <c r="AY181" t="str">
        <f>""</f>
        <v/>
      </c>
      <c r="AZ181" t="str">
        <f>""</f>
        <v/>
      </c>
      <c r="BA181" t="str">
        <f>""</f>
        <v/>
      </c>
      <c r="BB181" t="str">
        <f>""</f>
        <v/>
      </c>
      <c r="BC181" t="str">
        <f>""</f>
        <v/>
      </c>
      <c r="BD181" t="str">
        <f>""</f>
        <v/>
      </c>
      <c r="BE181" t="str">
        <f>""</f>
        <v/>
      </c>
      <c r="BF181" t="str">
        <f>""</f>
        <v/>
      </c>
      <c r="BG181" t="str">
        <f>""</f>
        <v/>
      </c>
      <c r="BH181" t="str">
        <f>""</f>
        <v/>
      </c>
      <c r="BI181" t="str">
        <f>""</f>
        <v/>
      </c>
      <c r="BJ181" t="str">
        <f>""</f>
        <v/>
      </c>
      <c r="BK181" t="str">
        <f>""</f>
        <v/>
      </c>
      <c r="BL181" t="str">
        <f>""</f>
        <v/>
      </c>
      <c r="BM181" t="str">
        <f>""</f>
        <v/>
      </c>
      <c r="BN181" t="str">
        <f>""</f>
        <v/>
      </c>
      <c r="BO181" t="str">
        <f>""</f>
        <v/>
      </c>
      <c r="BP181" t="str">
        <f>""</f>
        <v/>
      </c>
      <c r="BQ181" t="str">
        <f>""</f>
        <v/>
      </c>
      <c r="BR181" t="str">
        <f>""</f>
        <v/>
      </c>
      <c r="BS181" t="str">
        <f>""</f>
        <v/>
      </c>
      <c r="BT181" t="str">
        <f>""</f>
        <v/>
      </c>
      <c r="BU181" t="str">
        <f>""</f>
        <v/>
      </c>
      <c r="BV181" t="str">
        <f>""</f>
        <v/>
      </c>
      <c r="BW181" t="str">
        <f>""</f>
        <v/>
      </c>
      <c r="BX181" t="str">
        <f>""</f>
        <v/>
      </c>
      <c r="BY181" t="str">
        <f>""</f>
        <v/>
      </c>
      <c r="BZ181" t="str">
        <f>""</f>
        <v/>
      </c>
      <c r="CA181" t="str">
        <f>""</f>
        <v/>
      </c>
      <c r="CB181" t="str">
        <f>""</f>
        <v/>
      </c>
      <c r="CC181" t="str">
        <f>""</f>
        <v/>
      </c>
      <c r="CD181" t="str">
        <f>""</f>
        <v/>
      </c>
      <c r="CE181" t="str">
        <f>""</f>
        <v/>
      </c>
      <c r="CF181" t="str">
        <f>""</f>
        <v/>
      </c>
      <c r="CG181" t="str">
        <f>""</f>
        <v/>
      </c>
    </row>
    <row r="182" spans="1:85" x14ac:dyDescent="0.2">
      <c r="A182" t="str">
        <f>""</f>
        <v/>
      </c>
      <c r="B182" t="str">
        <f>""</f>
        <v/>
      </c>
      <c r="C182" t="str">
        <f>""</f>
        <v/>
      </c>
      <c r="D182" t="str">
        <f>""</f>
        <v/>
      </c>
      <c r="E182" t="str">
        <f>""</f>
        <v/>
      </c>
      <c r="AT182" t="str">
        <f>""</f>
        <v/>
      </c>
      <c r="AU182" t="str">
        <f>""</f>
        <v/>
      </c>
      <c r="AV182" t="str">
        <f>""</f>
        <v/>
      </c>
      <c r="AW182" t="str">
        <f>""</f>
        <v/>
      </c>
      <c r="AX182" t="str">
        <f>""</f>
        <v/>
      </c>
      <c r="AY182" t="str">
        <f>""</f>
        <v/>
      </c>
      <c r="AZ182" t="str">
        <f>""</f>
        <v/>
      </c>
      <c r="BA182" t="str">
        <f>""</f>
        <v/>
      </c>
      <c r="BB182" t="str">
        <f>""</f>
        <v/>
      </c>
      <c r="BC182" t="str">
        <f>""</f>
        <v/>
      </c>
      <c r="BD182" t="str">
        <f>""</f>
        <v/>
      </c>
      <c r="BE182" t="str">
        <f>""</f>
        <v/>
      </c>
      <c r="BF182" t="str">
        <f>""</f>
        <v/>
      </c>
      <c r="BG182" t="str">
        <f>""</f>
        <v/>
      </c>
      <c r="BH182" t="str">
        <f>""</f>
        <v/>
      </c>
      <c r="BI182" t="str">
        <f>""</f>
        <v/>
      </c>
      <c r="BJ182" t="str">
        <f>""</f>
        <v/>
      </c>
      <c r="BK182" t="str">
        <f>""</f>
        <v/>
      </c>
      <c r="BL182" t="str">
        <f>""</f>
        <v/>
      </c>
      <c r="BM182" t="str">
        <f>""</f>
        <v/>
      </c>
      <c r="BN182" t="str">
        <f>""</f>
        <v/>
      </c>
      <c r="BO182" t="str">
        <f>""</f>
        <v/>
      </c>
      <c r="BP182" t="str">
        <f>""</f>
        <v/>
      </c>
      <c r="BQ182" t="str">
        <f>""</f>
        <v/>
      </c>
      <c r="BR182" t="str">
        <f>""</f>
        <v/>
      </c>
      <c r="BS182" t="str">
        <f>""</f>
        <v/>
      </c>
      <c r="BT182" t="str">
        <f>""</f>
        <v/>
      </c>
      <c r="BU182" t="str">
        <f>""</f>
        <v/>
      </c>
      <c r="BV182" t="str">
        <f>""</f>
        <v/>
      </c>
      <c r="BW182" t="str">
        <f>""</f>
        <v/>
      </c>
      <c r="BX182" t="str">
        <f>""</f>
        <v/>
      </c>
      <c r="BY182" t="str">
        <f>""</f>
        <v/>
      </c>
      <c r="BZ182" t="str">
        <f>""</f>
        <v/>
      </c>
      <c r="CA182" t="str">
        <f>""</f>
        <v/>
      </c>
      <c r="CB182" t="str">
        <f>""</f>
        <v/>
      </c>
      <c r="CC182" t="str">
        <f>""</f>
        <v/>
      </c>
      <c r="CD182" t="str">
        <f>""</f>
        <v/>
      </c>
      <c r="CE182" t="str">
        <f>""</f>
        <v/>
      </c>
      <c r="CF182" t="str">
        <f>""</f>
        <v/>
      </c>
      <c r="CG182" t="str">
        <f>""</f>
        <v/>
      </c>
    </row>
    <row r="183" spans="1:85" x14ac:dyDescent="0.2">
      <c r="A183" t="str">
        <f>"~~~~~~~~~~~~~~~~~~~~~"</f>
        <v>~~~~~~~~~~~~~~~~~~~~~</v>
      </c>
      <c r="B183" t="str">
        <f>"~~~~~~~~~~~~~~~~~~~~~"</f>
        <v>~~~~~~~~~~~~~~~~~~~~~</v>
      </c>
      <c r="C183" t="str">
        <f>"~~~~~~~~~~~~~~~~~~~~~"</f>
        <v>~~~~~~~~~~~~~~~~~~~~~</v>
      </c>
      <c r="D183" t="str">
        <f>"~~~~~~~~~~~~~~~~~~~~~"</f>
        <v>~~~~~~~~~~~~~~~~~~~~~</v>
      </c>
      <c r="E183" t="str">
        <f>"~~~~~~~~~~~~~~~~~~~~~"</f>
        <v>~~~~~~~~~~~~~~~~~~~~~</v>
      </c>
      <c r="AT183" t="str">
        <f>""</f>
        <v/>
      </c>
      <c r="AU183" t="str">
        <f>""</f>
        <v/>
      </c>
      <c r="AV183" t="str">
        <f>""</f>
        <v/>
      </c>
      <c r="AW183" t="str">
        <f>""</f>
        <v/>
      </c>
      <c r="AX183" t="str">
        <f>""</f>
        <v/>
      </c>
      <c r="AY183" t="str">
        <f>""</f>
        <v/>
      </c>
      <c r="AZ183" t="str">
        <f>""</f>
        <v/>
      </c>
      <c r="BA183" t="str">
        <f>""</f>
        <v/>
      </c>
      <c r="BB183" t="str">
        <f>""</f>
        <v/>
      </c>
      <c r="BC183" t="str">
        <f>""</f>
        <v/>
      </c>
      <c r="BD183" t="str">
        <f>""</f>
        <v/>
      </c>
      <c r="BE183" t="str">
        <f>""</f>
        <v/>
      </c>
      <c r="BF183" t="str">
        <f>""</f>
        <v/>
      </c>
      <c r="BG183" t="str">
        <f>""</f>
        <v/>
      </c>
      <c r="BH183" t="str">
        <f>""</f>
        <v/>
      </c>
      <c r="BI183" t="str">
        <f>""</f>
        <v/>
      </c>
      <c r="BJ183" t="str">
        <f>""</f>
        <v/>
      </c>
      <c r="BK183" t="str">
        <f>""</f>
        <v/>
      </c>
      <c r="BL183" t="str">
        <f>""</f>
        <v/>
      </c>
      <c r="BM183" t="str">
        <f>""</f>
        <v/>
      </c>
      <c r="BN183" t="str">
        <f>""</f>
        <v/>
      </c>
      <c r="BO183" t="str">
        <f>""</f>
        <v/>
      </c>
      <c r="BP183" t="str">
        <f>""</f>
        <v/>
      </c>
      <c r="BQ183" t="str">
        <f>""</f>
        <v/>
      </c>
      <c r="BR183" t="str">
        <f>""</f>
        <v/>
      </c>
      <c r="BS183" t="str">
        <f>""</f>
        <v/>
      </c>
      <c r="BT183" t="str">
        <f>""</f>
        <v/>
      </c>
      <c r="BU183" t="str">
        <f>""</f>
        <v/>
      </c>
      <c r="BV183" t="str">
        <f>""</f>
        <v/>
      </c>
      <c r="BW183" t="str">
        <f>""</f>
        <v/>
      </c>
      <c r="BX183" t="str">
        <f>""</f>
        <v/>
      </c>
      <c r="BY183" t="str">
        <f>""</f>
        <v/>
      </c>
      <c r="BZ183" t="str">
        <f>""</f>
        <v/>
      </c>
      <c r="CA183" t="str">
        <f>""</f>
        <v/>
      </c>
      <c r="CB183" t="str">
        <f>""</f>
        <v/>
      </c>
      <c r="CC183" t="str">
        <f>""</f>
        <v/>
      </c>
      <c r="CD183" t="str">
        <f>""</f>
        <v/>
      </c>
      <c r="CE183" t="str">
        <f>""</f>
        <v/>
      </c>
      <c r="CF183" t="str">
        <f>""</f>
        <v/>
      </c>
      <c r="CG183" t="str">
        <f>""</f>
        <v/>
      </c>
    </row>
    <row r="184" spans="1:85" x14ac:dyDescent="0.2">
      <c r="A184" t="str">
        <f>"Rows below for column date calculation"</f>
        <v>Rows below for column date calculation</v>
      </c>
      <c r="AT184" t="str">
        <f>""</f>
        <v/>
      </c>
      <c r="AU184" t="str">
        <f>""</f>
        <v/>
      </c>
      <c r="AV184" t="str">
        <f>""</f>
        <v/>
      </c>
      <c r="AW184" t="str">
        <f>""</f>
        <v/>
      </c>
      <c r="AX184" t="str">
        <f>""</f>
        <v/>
      </c>
      <c r="AY184" t="str">
        <f>""</f>
        <v/>
      </c>
      <c r="AZ184" t="str">
        <f>""</f>
        <v/>
      </c>
      <c r="BA184" t="str">
        <f>""</f>
        <v/>
      </c>
      <c r="BB184" t="str">
        <f>""</f>
        <v/>
      </c>
      <c r="BC184" t="str">
        <f>""</f>
        <v/>
      </c>
      <c r="BD184" t="str">
        <f>""</f>
        <v/>
      </c>
      <c r="BE184" t="str">
        <f>""</f>
        <v/>
      </c>
      <c r="BF184" t="str">
        <f>""</f>
        <v/>
      </c>
      <c r="BG184" t="str">
        <f>""</f>
        <v/>
      </c>
      <c r="BH184" t="str">
        <f>""</f>
        <v/>
      </c>
      <c r="BI184" t="str">
        <f>""</f>
        <v/>
      </c>
      <c r="BJ184" t="str">
        <f>""</f>
        <v/>
      </c>
      <c r="BK184" t="str">
        <f>""</f>
        <v/>
      </c>
      <c r="BL184" t="str">
        <f>""</f>
        <v/>
      </c>
      <c r="BM184" t="str">
        <f>""</f>
        <v/>
      </c>
      <c r="BN184" t="str">
        <f>""</f>
        <v/>
      </c>
      <c r="BO184" t="str">
        <f>""</f>
        <v/>
      </c>
      <c r="BP184" t="str">
        <f>""</f>
        <v/>
      </c>
      <c r="BQ184" t="str">
        <f>""</f>
        <v/>
      </c>
      <c r="BR184" t="str">
        <f>""</f>
        <v/>
      </c>
      <c r="BS184" t="str">
        <f>""</f>
        <v/>
      </c>
      <c r="BT184" t="str">
        <f>""</f>
        <v/>
      </c>
      <c r="BU184" t="str">
        <f>""</f>
        <v/>
      </c>
      <c r="BV184" t="str">
        <f>""</f>
        <v/>
      </c>
      <c r="BW184" t="str">
        <f>""</f>
        <v/>
      </c>
      <c r="BX184" t="str">
        <f>""</f>
        <v/>
      </c>
      <c r="BY184" t="str">
        <f>""</f>
        <v/>
      </c>
      <c r="BZ184" t="str">
        <f>""</f>
        <v/>
      </c>
      <c r="CA184" t="str">
        <f>""</f>
        <v/>
      </c>
      <c r="CB184" t="str">
        <f>""</f>
        <v/>
      </c>
      <c r="CC184" t="str">
        <f>""</f>
        <v/>
      </c>
      <c r="CD184" t="str">
        <f>""</f>
        <v/>
      </c>
      <c r="CE184" t="str">
        <f>""</f>
        <v/>
      </c>
      <c r="CF184" t="str">
        <f>""</f>
        <v/>
      </c>
      <c r="CG184" t="str">
        <f>""</f>
        <v/>
      </c>
    </row>
    <row r="185" spans="1:85" x14ac:dyDescent="0.2">
      <c r="A185" t="str">
        <f>"Downloaded at"</f>
        <v>Downloaded at</v>
      </c>
      <c r="B185">
        <f>DATE(2023, 11,29)</f>
        <v>45259</v>
      </c>
      <c r="C185" t="str">
        <f>""</f>
        <v/>
      </c>
      <c r="D185" t="str">
        <f>""</f>
        <v/>
      </c>
      <c r="E185" t="str">
        <f>""</f>
        <v/>
      </c>
      <c r="AT185" t="str">
        <f>""</f>
        <v/>
      </c>
      <c r="AU185" t="str">
        <f>""</f>
        <v/>
      </c>
      <c r="AV185" t="str">
        <f>""</f>
        <v/>
      </c>
      <c r="AW185" t="str">
        <f>""</f>
        <v/>
      </c>
      <c r="AX185" t="str">
        <f>""</f>
        <v/>
      </c>
      <c r="AY185" t="str">
        <f>""</f>
        <v/>
      </c>
      <c r="AZ185" t="str">
        <f>""</f>
        <v/>
      </c>
      <c r="BA185" t="str">
        <f>""</f>
        <v/>
      </c>
      <c r="BB185" t="str">
        <f>""</f>
        <v/>
      </c>
      <c r="BC185" t="str">
        <f>""</f>
        <v/>
      </c>
      <c r="BD185" t="str">
        <f>""</f>
        <v/>
      </c>
      <c r="BE185" t="str">
        <f>""</f>
        <v/>
      </c>
      <c r="BF185" t="str">
        <f>""</f>
        <v/>
      </c>
      <c r="BG185" t="str">
        <f>""</f>
        <v/>
      </c>
      <c r="BH185" t="str">
        <f>""</f>
        <v/>
      </c>
      <c r="BI185" t="str">
        <f>""</f>
        <v/>
      </c>
      <c r="BJ185" t="str">
        <f>""</f>
        <v/>
      </c>
      <c r="BK185" t="str">
        <f>""</f>
        <v/>
      </c>
      <c r="BL185" t="str">
        <f>""</f>
        <v/>
      </c>
      <c r="BM185" t="str">
        <f>""</f>
        <v/>
      </c>
      <c r="BN185" t="str">
        <f>""</f>
        <v/>
      </c>
      <c r="BO185" t="str">
        <f>""</f>
        <v/>
      </c>
      <c r="BP185" t="str">
        <f>""</f>
        <v/>
      </c>
      <c r="BQ185" t="str">
        <f>""</f>
        <v/>
      </c>
      <c r="BR185" t="str">
        <f>""</f>
        <v/>
      </c>
      <c r="BS185" t="str">
        <f>""</f>
        <v/>
      </c>
      <c r="BT185" t="str">
        <f>""</f>
        <v/>
      </c>
      <c r="BU185" t="str">
        <f>""</f>
        <v/>
      </c>
      <c r="BV185" t="str">
        <f>""</f>
        <v/>
      </c>
      <c r="BW185" t="str">
        <f>""</f>
        <v/>
      </c>
      <c r="BX185" t="str">
        <f>""</f>
        <v/>
      </c>
      <c r="BY185" t="str">
        <f>""</f>
        <v/>
      </c>
      <c r="BZ185" t="str">
        <f>""</f>
        <v/>
      </c>
      <c r="CA185" t="str">
        <f>""</f>
        <v/>
      </c>
      <c r="CB185" t="str">
        <f>""</f>
        <v/>
      </c>
      <c r="CC185" t="str">
        <f>""</f>
        <v/>
      </c>
      <c r="CD185" t="str">
        <f>""</f>
        <v/>
      </c>
      <c r="CE185" t="str">
        <f>""</f>
        <v/>
      </c>
      <c r="CF185" t="str">
        <f>""</f>
        <v/>
      </c>
      <c r="CG185" t="str">
        <f>""</f>
        <v/>
      </c>
    </row>
    <row r="186" spans="1:85" x14ac:dyDescent="0.2">
      <c r="A186" t="str">
        <f>"This is End Date"</f>
        <v>This is End Date</v>
      </c>
      <c r="B186">
        <f ca="1">$B$112</f>
        <v>45291</v>
      </c>
      <c r="C186" t="str">
        <f>""</f>
        <v/>
      </c>
      <c r="D186" t="str">
        <f>""</f>
        <v/>
      </c>
      <c r="E186" t="str">
        <f>""</f>
        <v/>
      </c>
      <c r="AT186" t="str">
        <f>""</f>
        <v/>
      </c>
      <c r="AU186" t="str">
        <f>""</f>
        <v/>
      </c>
      <c r="AV186" t="str">
        <f>""</f>
        <v/>
      </c>
      <c r="AW186" t="str">
        <f>""</f>
        <v/>
      </c>
      <c r="AX186" t="str">
        <f>""</f>
        <v/>
      </c>
      <c r="AY186" t="str">
        <f>""</f>
        <v/>
      </c>
      <c r="AZ186" t="str">
        <f>""</f>
        <v/>
      </c>
      <c r="BA186" t="str">
        <f>""</f>
        <v/>
      </c>
      <c r="BB186" t="str">
        <f>""</f>
        <v/>
      </c>
      <c r="BC186" t="str">
        <f>""</f>
        <v/>
      </c>
      <c r="BD186" t="str">
        <f>""</f>
        <v/>
      </c>
      <c r="BE186" t="str">
        <f>""</f>
        <v/>
      </c>
      <c r="BF186" t="str">
        <f>""</f>
        <v/>
      </c>
      <c r="BG186" t="str">
        <f>""</f>
        <v/>
      </c>
      <c r="BH186" t="str">
        <f>""</f>
        <v/>
      </c>
      <c r="BI186" t="str">
        <f>""</f>
        <v/>
      </c>
      <c r="BJ186" t="str">
        <f>""</f>
        <v/>
      </c>
      <c r="BK186" t="str">
        <f>""</f>
        <v/>
      </c>
      <c r="BL186" t="str">
        <f>""</f>
        <v/>
      </c>
      <c r="BM186" t="str">
        <f>""</f>
        <v/>
      </c>
      <c r="BN186" t="str">
        <f>""</f>
        <v/>
      </c>
      <c r="BO186" t="str">
        <f>""</f>
        <v/>
      </c>
      <c r="BP186" t="str">
        <f>""</f>
        <v/>
      </c>
      <c r="BQ186" t="str">
        <f>""</f>
        <v/>
      </c>
      <c r="BR186" t="str">
        <f>""</f>
        <v/>
      </c>
      <c r="BS186" t="str">
        <f>""</f>
        <v/>
      </c>
      <c r="BT186" t="str">
        <f>""</f>
        <v/>
      </c>
      <c r="BU186" t="str">
        <f>""</f>
        <v/>
      </c>
      <c r="BV186" t="str">
        <f>""</f>
        <v/>
      </c>
      <c r="BW186" t="str">
        <f>""</f>
        <v/>
      </c>
      <c r="BX186" t="str">
        <f>""</f>
        <v/>
      </c>
      <c r="BY186" t="str">
        <f>""</f>
        <v/>
      </c>
      <c r="BZ186" t="str">
        <f>""</f>
        <v/>
      </c>
      <c r="CA186" t="str">
        <f>""</f>
        <v/>
      </c>
      <c r="CB186" t="str">
        <f>""</f>
        <v/>
      </c>
      <c r="CC186" t="str">
        <f>""</f>
        <v/>
      </c>
      <c r="CD186" t="str">
        <f>""</f>
        <v/>
      </c>
      <c r="CE186" t="str">
        <f>""</f>
        <v/>
      </c>
      <c r="CF186" t="str">
        <f>""</f>
        <v/>
      </c>
      <c r="CG186" t="str">
        <f>""</f>
        <v/>
      </c>
    </row>
    <row r="187" spans="1:85" x14ac:dyDescent="0.2">
      <c r="A187" t="str">
        <f>"Description"</f>
        <v>Description</v>
      </c>
      <c r="B187" t="str">
        <f>"Ticker"</f>
        <v>Ticker</v>
      </c>
      <c r="C187" t="str">
        <f>"Field ID"</f>
        <v>Field ID</v>
      </c>
      <c r="D187" t="str">
        <f>"Field Mnemonic"</f>
        <v>Field Mnemonic</v>
      </c>
      <c r="E187" t="str">
        <f>"Data State"</f>
        <v>Data State</v>
      </c>
      <c r="AT187" t="str">
        <f>""</f>
        <v/>
      </c>
      <c r="AU187" t="str">
        <f>""</f>
        <v/>
      </c>
      <c r="AV187" t="str">
        <f>""</f>
        <v/>
      </c>
      <c r="AW187" t="str">
        <f>""</f>
        <v/>
      </c>
      <c r="AX187" t="str">
        <f>""</f>
        <v/>
      </c>
      <c r="AY187" t="str">
        <f>""</f>
        <v/>
      </c>
      <c r="AZ187" t="str">
        <f>""</f>
        <v/>
      </c>
      <c r="BA187" t="str">
        <f>""</f>
        <v/>
      </c>
      <c r="BB187" t="str">
        <f>""</f>
        <v/>
      </c>
      <c r="BC187" t="str">
        <f>""</f>
        <v/>
      </c>
      <c r="BD187" t="str">
        <f>""</f>
        <v/>
      </c>
      <c r="BE187" t="str">
        <f>""</f>
        <v/>
      </c>
      <c r="BF187" t="str">
        <f>""</f>
        <v/>
      </c>
      <c r="BG187" t="str">
        <f>""</f>
        <v/>
      </c>
      <c r="BH187" t="str">
        <f>""</f>
        <v/>
      </c>
      <c r="BI187" t="str">
        <f>""</f>
        <v/>
      </c>
      <c r="BJ187" t="str">
        <f>""</f>
        <v/>
      </c>
      <c r="BK187" t="str">
        <f>""</f>
        <v/>
      </c>
      <c r="BL187" t="str">
        <f>""</f>
        <v/>
      </c>
      <c r="BM187" t="str">
        <f>""</f>
        <v/>
      </c>
      <c r="BN187" t="str">
        <f>""</f>
        <v/>
      </c>
      <c r="BO187" t="str">
        <f>""</f>
        <v/>
      </c>
      <c r="BP187" t="str">
        <f>""</f>
        <v/>
      </c>
      <c r="BQ187" t="str">
        <f>""</f>
        <v/>
      </c>
      <c r="BR187" t="str">
        <f>""</f>
        <v/>
      </c>
      <c r="BS187" t="str">
        <f>""</f>
        <v/>
      </c>
      <c r="BT187" t="str">
        <f>""</f>
        <v/>
      </c>
      <c r="BU187" t="str">
        <f>""</f>
        <v/>
      </c>
      <c r="BV187" t="str">
        <f>""</f>
        <v/>
      </c>
      <c r="BW187" t="str">
        <f>""</f>
        <v/>
      </c>
      <c r="BX187" t="str">
        <f>""</f>
        <v/>
      </c>
      <c r="BY187" t="str">
        <f>""</f>
        <v/>
      </c>
      <c r="BZ187" t="str">
        <f>""</f>
        <v/>
      </c>
      <c r="CA187" t="str">
        <f>""</f>
        <v/>
      </c>
      <c r="CB187" t="str">
        <f>""</f>
        <v/>
      </c>
      <c r="CC187" t="str">
        <f>""</f>
        <v/>
      </c>
      <c r="CD187" t="str">
        <f>""</f>
        <v/>
      </c>
      <c r="CE187" t="str">
        <f>""</f>
        <v/>
      </c>
      <c r="CF187" t="str">
        <f>""</f>
        <v/>
      </c>
      <c r="CG187" t="str">
        <f>""</f>
        <v/>
      </c>
    </row>
    <row r="188" spans="1:85" x14ac:dyDescent="0.2">
      <c r="A188" t="str">
        <f>"Snapshot Date"</f>
        <v>Snapshot Date</v>
      </c>
      <c r="B188">
        <f>DATE(2023, 12,31)</f>
        <v>45291</v>
      </c>
      <c r="C188" t="str">
        <f>""</f>
        <v/>
      </c>
      <c r="D188" t="str">
        <f>""</f>
        <v/>
      </c>
      <c r="E188" t="str">
        <f>""</f>
        <v/>
      </c>
      <c r="AT188" t="str">
        <f>""</f>
        <v/>
      </c>
      <c r="AU188" t="str">
        <f>""</f>
        <v/>
      </c>
      <c r="AV188" t="str">
        <f>""</f>
        <v/>
      </c>
      <c r="AW188" t="str">
        <f>""</f>
        <v/>
      </c>
      <c r="AX188" t="str">
        <f>""</f>
        <v/>
      </c>
      <c r="AY188" t="str">
        <f>""</f>
        <v/>
      </c>
      <c r="AZ188" t="str">
        <f>""</f>
        <v/>
      </c>
      <c r="BA188" t="str">
        <f>""</f>
        <v/>
      </c>
      <c r="BB188" t="str">
        <f>""</f>
        <v/>
      </c>
      <c r="BC188" t="str">
        <f>""</f>
        <v/>
      </c>
      <c r="BD188" t="str">
        <f>""</f>
        <v/>
      </c>
      <c r="BE188" t="str">
        <f>""</f>
        <v/>
      </c>
      <c r="BF188" t="str">
        <f>""</f>
        <v/>
      </c>
      <c r="BG188" t="str">
        <f>""</f>
        <v/>
      </c>
      <c r="BH188" t="str">
        <f>""</f>
        <v/>
      </c>
      <c r="BI188" t="str">
        <f>""</f>
        <v/>
      </c>
      <c r="BJ188" t="str">
        <f>""</f>
        <v/>
      </c>
      <c r="BK188" t="str">
        <f>""</f>
        <v/>
      </c>
      <c r="BL188" t="str">
        <f>""</f>
        <v/>
      </c>
      <c r="BM188" t="str">
        <f>""</f>
        <v/>
      </c>
      <c r="BN188" t="str">
        <f>""</f>
        <v/>
      </c>
      <c r="BO188" t="str">
        <f>""</f>
        <v/>
      </c>
      <c r="BP188" t="str">
        <f>""</f>
        <v/>
      </c>
      <c r="BQ188" t="str">
        <f>""</f>
        <v/>
      </c>
      <c r="BR188" t="str">
        <f>""</f>
        <v/>
      </c>
      <c r="BS188" t="str">
        <f>""</f>
        <v/>
      </c>
      <c r="BT188" t="str">
        <f>""</f>
        <v/>
      </c>
      <c r="BU188" t="str">
        <f>""</f>
        <v/>
      </c>
      <c r="BV188" t="str">
        <f>""</f>
        <v/>
      </c>
      <c r="BW188" t="str">
        <f>""</f>
        <v/>
      </c>
      <c r="BX188" t="str">
        <f>""</f>
        <v/>
      </c>
      <c r="BY188" t="str">
        <f>""</f>
        <v/>
      </c>
      <c r="BZ188" t="str">
        <f>""</f>
        <v/>
      </c>
      <c r="CA188" t="str">
        <f>""</f>
        <v/>
      </c>
      <c r="CB188" t="str">
        <f>""</f>
        <v/>
      </c>
      <c r="CC188" t="str">
        <f>""</f>
        <v/>
      </c>
      <c r="CD188" t="str">
        <f>""</f>
        <v/>
      </c>
      <c r="CE188" t="str">
        <f>""</f>
        <v/>
      </c>
      <c r="CF188" t="str">
        <f>""</f>
        <v/>
      </c>
      <c r="CG188" t="str">
        <f>""</f>
        <v/>
      </c>
    </row>
    <row r="189" spans="1:85" x14ac:dyDescent="0.2">
      <c r="A189" t="str">
        <f>"Snapshot header"</f>
        <v>Snapshot header</v>
      </c>
      <c r="B189">
        <f>2</f>
        <v>2</v>
      </c>
      <c r="C189" t="str">
        <f>"2023"</f>
        <v>2023</v>
      </c>
      <c r="D189" t="str">
        <f>"2022"</f>
        <v>2022</v>
      </c>
      <c r="E189" t="str">
        <f>"2021"</f>
        <v>2021</v>
      </c>
      <c r="F189" t="str">
        <f>"2020"</f>
        <v>2020</v>
      </c>
      <c r="G189" t="str">
        <f>"2019"</f>
        <v>2019</v>
      </c>
      <c r="H189" t="str">
        <f>"2018"</f>
        <v>2018</v>
      </c>
      <c r="I189" t="str">
        <f>"2017"</f>
        <v>2017</v>
      </c>
      <c r="J189" t="str">
        <f>"2016"</f>
        <v>2016</v>
      </c>
      <c r="K189" t="str">
        <f>"2015"</f>
        <v>2015</v>
      </c>
      <c r="L189" t="str">
        <f>"2014"</f>
        <v>2014</v>
      </c>
      <c r="M189" t="str">
        <f>"2013"</f>
        <v>2013</v>
      </c>
      <c r="N189" t="str">
        <f>"2012"</f>
        <v>2012</v>
      </c>
      <c r="O189" t="str">
        <f>"2011"</f>
        <v>2011</v>
      </c>
      <c r="P189" t="str">
        <f>"2010"</f>
        <v>2010</v>
      </c>
      <c r="Q189" t="str">
        <f>"2009"</f>
        <v>2009</v>
      </c>
      <c r="R189" t="str">
        <f>"2008"</f>
        <v>2008</v>
      </c>
      <c r="S189" t="str">
        <f>"2007"</f>
        <v>2007</v>
      </c>
      <c r="T189" t="str">
        <f>"2006"</f>
        <v>2006</v>
      </c>
      <c r="U189" t="str">
        <f>"2005"</f>
        <v>2005</v>
      </c>
      <c r="V189" t="str">
        <f>"2004"</f>
        <v>2004</v>
      </c>
      <c r="W189" t="str">
        <f>"2003"</f>
        <v>2003</v>
      </c>
      <c r="X189" t="str">
        <f>"2002"</f>
        <v>2002</v>
      </c>
      <c r="Y189" t="str">
        <f>"2001"</f>
        <v>2001</v>
      </c>
      <c r="Z189" t="str">
        <f>"2000"</f>
        <v>2000</v>
      </c>
      <c r="AA189" t="str">
        <f>"1999"</f>
        <v>1999</v>
      </c>
      <c r="AB189" t="str">
        <f>"1998"</f>
        <v>1998</v>
      </c>
      <c r="AC189" t="str">
        <f>"1997"</f>
        <v>1997</v>
      </c>
      <c r="AD189" t="str">
        <f>"1996"</f>
        <v>1996</v>
      </c>
      <c r="AE189" t="str">
        <f>"1995"</f>
        <v>1995</v>
      </c>
      <c r="AF189" t="str">
        <f>"1994"</f>
        <v>1994</v>
      </c>
      <c r="AG189" t="str">
        <f>"1993"</f>
        <v>1993</v>
      </c>
      <c r="AH189" t="str">
        <f>"1992"</f>
        <v>1992</v>
      </c>
      <c r="AI189" t="str">
        <f>"1991"</f>
        <v>1991</v>
      </c>
      <c r="AJ189" t="str">
        <f>"1990"</f>
        <v>1990</v>
      </c>
      <c r="AK189" t="str">
        <f>"1989"</f>
        <v>1989</v>
      </c>
      <c r="AL189" t="str">
        <f>"1988"</f>
        <v>1988</v>
      </c>
      <c r="AM189" t="str">
        <f>"1987"</f>
        <v>1987</v>
      </c>
      <c r="AN189" t="str">
        <f>"1986"</f>
        <v>1986</v>
      </c>
      <c r="AO189" t="str">
        <f>"1985"</f>
        <v>1985</v>
      </c>
      <c r="AP189" t="str">
        <f>"1984"</f>
        <v>1984</v>
      </c>
      <c r="AT189" t="str">
        <f>""</f>
        <v/>
      </c>
      <c r="AU189" t="str">
        <f>""</f>
        <v/>
      </c>
      <c r="AV189" t="str">
        <f>""</f>
        <v/>
      </c>
      <c r="AW189" t="str">
        <f>""</f>
        <v/>
      </c>
      <c r="AX189" t="str">
        <f>""</f>
        <v/>
      </c>
      <c r="AY189" t="str">
        <f>""</f>
        <v/>
      </c>
      <c r="AZ189" t="str">
        <f>""</f>
        <v/>
      </c>
      <c r="BA189" t="str">
        <f>""</f>
        <v/>
      </c>
      <c r="BB189" t="str">
        <f>""</f>
        <v/>
      </c>
      <c r="BC189" t="str">
        <f>""</f>
        <v/>
      </c>
      <c r="BD189" t="str">
        <f>""</f>
        <v/>
      </c>
      <c r="BE189" t="str">
        <f>""</f>
        <v/>
      </c>
      <c r="BF189" t="str">
        <f>""</f>
        <v/>
      </c>
      <c r="BG189" t="str">
        <f>""</f>
        <v/>
      </c>
      <c r="BH189" t="str">
        <f>""</f>
        <v/>
      </c>
      <c r="BI189" t="str">
        <f>""</f>
        <v/>
      </c>
      <c r="BJ189" t="str">
        <f>""</f>
        <v/>
      </c>
      <c r="BK189" t="str">
        <f>""</f>
        <v/>
      </c>
      <c r="BL189" t="str">
        <f>""</f>
        <v/>
      </c>
      <c r="BM189" t="str">
        <f>""</f>
        <v/>
      </c>
      <c r="BN189" t="str">
        <f>""</f>
        <v/>
      </c>
      <c r="BO189" t="str">
        <f>""</f>
        <v/>
      </c>
      <c r="BP189" t="str">
        <f>""</f>
        <v/>
      </c>
      <c r="BQ189" t="str">
        <f>""</f>
        <v/>
      </c>
      <c r="BR189" t="str">
        <f>""</f>
        <v/>
      </c>
      <c r="BS189" t="str">
        <f>""</f>
        <v/>
      </c>
      <c r="BT189" t="str">
        <f>""</f>
        <v/>
      </c>
      <c r="BU189" t="str">
        <f>""</f>
        <v/>
      </c>
      <c r="BV189" t="str">
        <f>""</f>
        <v/>
      </c>
      <c r="BW189" t="str">
        <f>""</f>
        <v/>
      </c>
      <c r="BX189" t="str">
        <f>""</f>
        <v/>
      </c>
      <c r="BY189" t="str">
        <f>""</f>
        <v/>
      </c>
      <c r="BZ189" t="str">
        <f>""</f>
        <v/>
      </c>
      <c r="CA189" t="str">
        <f>""</f>
        <v/>
      </c>
      <c r="CB189" t="str">
        <f>""</f>
        <v/>
      </c>
      <c r="CC189" t="str">
        <f>""</f>
        <v/>
      </c>
      <c r="CD189" t="str">
        <f>""</f>
        <v/>
      </c>
      <c r="CE189" t="str">
        <f>""</f>
        <v/>
      </c>
      <c r="CF189" t="str">
        <f>""</f>
        <v/>
      </c>
      <c r="CG189" t="str">
        <f>""</f>
        <v/>
      </c>
    </row>
    <row r="190" spans="1:85" x14ac:dyDescent="0.2">
      <c r="A190" t="str">
        <f>"BDH snapshot header0"</f>
        <v>BDH snapshot header0</v>
      </c>
      <c r="B190">
        <f ca="1">IF(OR(ISERROR($C$190),ISBLANK($C$190),ISNUMBER(SEARCH("N/A",$C$190) ),ISERROR($C$191),ISBLANK($C$191)),0,1)</f>
        <v>0</v>
      </c>
      <c r="C190" t="e">
        <f ca="1">_xll.BDH($B$117,$C$117,$B$111,$B$188,"PER=CY","Dts=S","DtFmt=FI", "rows=2","Dir=H","Points=40","Sort=R","Days=A","Fill=B", )</f>
        <v>#NAME?</v>
      </c>
      <c r="AT190" t="str">
        <f>""</f>
        <v/>
      </c>
      <c r="AU190" t="str">
        <f>""</f>
        <v/>
      </c>
      <c r="AV190" t="str">
        <f>""</f>
        <v/>
      </c>
      <c r="AW190" t="str">
        <f>""</f>
        <v/>
      </c>
      <c r="AX190" t="str">
        <f>""</f>
        <v/>
      </c>
      <c r="AY190" t="str">
        <f>""</f>
        <v/>
      </c>
      <c r="AZ190" t="str">
        <f>""</f>
        <v/>
      </c>
      <c r="BA190" t="str">
        <f>""</f>
        <v/>
      </c>
      <c r="BB190" t="str">
        <f>""</f>
        <v/>
      </c>
      <c r="BC190" t="str">
        <f>""</f>
        <v/>
      </c>
      <c r="BD190" t="str">
        <f>""</f>
        <v/>
      </c>
      <c r="BE190" t="str">
        <f>""</f>
        <v/>
      </c>
      <c r="BF190" t="str">
        <f>""</f>
        <v/>
      </c>
      <c r="BG190" t="str">
        <f>""</f>
        <v/>
      </c>
      <c r="BH190" t="str">
        <f>""</f>
        <v/>
      </c>
      <c r="BI190" t="str">
        <f>""</f>
        <v/>
      </c>
      <c r="BJ190" t="str">
        <f>""</f>
        <v/>
      </c>
      <c r="BK190" t="str">
        <f>""</f>
        <v/>
      </c>
      <c r="BL190" t="str">
        <f>""</f>
        <v/>
      </c>
      <c r="BM190" t="str">
        <f>""</f>
        <v/>
      </c>
      <c r="BN190" t="str">
        <f>""</f>
        <v/>
      </c>
      <c r="BO190" t="str">
        <f>""</f>
        <v/>
      </c>
      <c r="BP190" t="str">
        <f>""</f>
        <v/>
      </c>
      <c r="BQ190" t="str">
        <f>""</f>
        <v/>
      </c>
      <c r="BR190" t="str">
        <f>""</f>
        <v/>
      </c>
      <c r="BS190" t="str">
        <f>""</f>
        <v/>
      </c>
      <c r="BT190" t="str">
        <f>""</f>
        <v/>
      </c>
      <c r="BU190" t="str">
        <f>""</f>
        <v/>
      </c>
      <c r="BV190" t="str">
        <f>""</f>
        <v/>
      </c>
      <c r="BW190" t="str">
        <f>""</f>
        <v/>
      </c>
      <c r="BX190" t="str">
        <f>""</f>
        <v/>
      </c>
      <c r="BY190" t="str">
        <f>""</f>
        <v/>
      </c>
      <c r="BZ190" t="str">
        <f>""</f>
        <v/>
      </c>
      <c r="CA190" t="str">
        <f>""</f>
        <v/>
      </c>
      <c r="CB190" t="str">
        <f>""</f>
        <v/>
      </c>
      <c r="CC190" t="str">
        <f>""</f>
        <v/>
      </c>
      <c r="CD190" t="str">
        <f>""</f>
        <v/>
      </c>
      <c r="CE190" t="str">
        <f>""</f>
        <v/>
      </c>
      <c r="CF190" t="str">
        <f>""</f>
        <v/>
      </c>
      <c r="CG190" t="str">
        <f>""</f>
        <v/>
      </c>
    </row>
    <row r="191" spans="1:85" x14ac:dyDescent="0.2">
      <c r="A191" t="str">
        <f>"BDH snapshot result0"</f>
        <v>BDH snapshot result0</v>
      </c>
      <c r="AT191" t="str">
        <f>""</f>
        <v/>
      </c>
      <c r="AU191" t="str">
        <f>""</f>
        <v/>
      </c>
      <c r="AV191" t="str">
        <f>""</f>
        <v/>
      </c>
      <c r="AW191" t="str">
        <f>""</f>
        <v/>
      </c>
      <c r="AX191" t="str">
        <f>""</f>
        <v/>
      </c>
      <c r="AY191" t="str">
        <f>""</f>
        <v/>
      </c>
      <c r="AZ191" t="str">
        <f>""</f>
        <v/>
      </c>
      <c r="BA191" t="str">
        <f>""</f>
        <v/>
      </c>
      <c r="BB191" t="str">
        <f>""</f>
        <v/>
      </c>
      <c r="BC191" t="str">
        <f>""</f>
        <v/>
      </c>
      <c r="BD191" t="str">
        <f>""</f>
        <v/>
      </c>
      <c r="BE191" t="str">
        <f>""</f>
        <v/>
      </c>
      <c r="BF191" t="str">
        <f>""</f>
        <v/>
      </c>
      <c r="BG191" t="str">
        <f>""</f>
        <v/>
      </c>
      <c r="BH191" t="str">
        <f>""</f>
        <v/>
      </c>
      <c r="BI191" t="str">
        <f>""</f>
        <v/>
      </c>
      <c r="BJ191" t="str">
        <f>""</f>
        <v/>
      </c>
      <c r="BK191" t="str">
        <f>""</f>
        <v/>
      </c>
      <c r="BL191" t="str">
        <f>""</f>
        <v/>
      </c>
      <c r="BM191" t="str">
        <f>""</f>
        <v/>
      </c>
      <c r="BN191" t="str">
        <f>""</f>
        <v/>
      </c>
      <c r="BO191" t="str">
        <f>""</f>
        <v/>
      </c>
      <c r="BP191" t="str">
        <f>""</f>
        <v/>
      </c>
      <c r="BQ191" t="str">
        <f>""</f>
        <v/>
      </c>
      <c r="BR191" t="str">
        <f>""</f>
        <v/>
      </c>
      <c r="BS191" t="str">
        <f>""</f>
        <v/>
      </c>
      <c r="BT191" t="str">
        <f>""</f>
        <v/>
      </c>
      <c r="BU191" t="str">
        <f>""</f>
        <v/>
      </c>
      <c r="BV191" t="str">
        <f>""</f>
        <v/>
      </c>
      <c r="BW191" t="str">
        <f>""</f>
        <v/>
      </c>
      <c r="BX191" t="str">
        <f>""</f>
        <v/>
      </c>
      <c r="BY191" t="str">
        <f>""</f>
        <v/>
      </c>
      <c r="BZ191" t="str">
        <f>""</f>
        <v/>
      </c>
      <c r="CA191" t="str">
        <f>""</f>
        <v/>
      </c>
      <c r="CB191" t="str">
        <f>""</f>
        <v/>
      </c>
      <c r="CC191" t="str">
        <f>""</f>
        <v/>
      </c>
      <c r="CD191" t="str">
        <f>""</f>
        <v/>
      </c>
      <c r="CE191" t="str">
        <f>""</f>
        <v/>
      </c>
      <c r="CF191" t="str">
        <f>""</f>
        <v/>
      </c>
      <c r="CG191" t="str">
        <f>""</f>
        <v/>
      </c>
    </row>
    <row r="192" spans="1:85" x14ac:dyDescent="0.2">
      <c r="A192" t="str">
        <f>"BDH snapshot header1"</f>
        <v>BDH snapshot header1</v>
      </c>
      <c r="B192">
        <f ca="1">IF(OR(ISERROR($C$192),ISBLANK($C$192),ISNUMBER(SEARCH("N/A",$C$192) ),ISERROR($C$193),ISBLANK($C$193)),0,1)</f>
        <v>0</v>
      </c>
      <c r="C192" t="e">
        <f ca="1">_xll.BDH($B$118,$C$118,$B$111,$B$188,"PER=CY","Dts=S","DtFmt=FI", "rows=2","Dir=H","Points=40","Sort=R","Days=A","Fill=B", )</f>
        <v>#NAME?</v>
      </c>
      <c r="AT192" t="str">
        <f>""</f>
        <v/>
      </c>
      <c r="AU192" t="str">
        <f>""</f>
        <v/>
      </c>
      <c r="AV192" t="str">
        <f>""</f>
        <v/>
      </c>
      <c r="AW192" t="str">
        <f>""</f>
        <v/>
      </c>
      <c r="AX192" t="str">
        <f>""</f>
        <v/>
      </c>
      <c r="AY192" t="str">
        <f>""</f>
        <v/>
      </c>
      <c r="AZ192" t="str">
        <f>""</f>
        <v/>
      </c>
      <c r="BA192" t="str">
        <f>""</f>
        <v/>
      </c>
      <c r="BB192" t="str">
        <f>""</f>
        <v/>
      </c>
      <c r="BC192" t="str">
        <f>""</f>
        <v/>
      </c>
      <c r="BD192" t="str">
        <f>""</f>
        <v/>
      </c>
      <c r="BE192" t="str">
        <f>""</f>
        <v/>
      </c>
      <c r="BF192" t="str">
        <f>""</f>
        <v/>
      </c>
      <c r="BG192" t="str">
        <f>""</f>
        <v/>
      </c>
      <c r="BH192" t="str">
        <f>""</f>
        <v/>
      </c>
      <c r="BI192" t="str">
        <f>""</f>
        <v/>
      </c>
      <c r="BJ192" t="str">
        <f>""</f>
        <v/>
      </c>
      <c r="BK192" t="str">
        <f>""</f>
        <v/>
      </c>
      <c r="BL192" t="str">
        <f>""</f>
        <v/>
      </c>
      <c r="BM192" t="str">
        <f>""</f>
        <v/>
      </c>
      <c r="BN192" t="str">
        <f>""</f>
        <v/>
      </c>
      <c r="BO192" t="str">
        <f>""</f>
        <v/>
      </c>
      <c r="BP192" t="str">
        <f>""</f>
        <v/>
      </c>
      <c r="BQ192" t="str">
        <f>""</f>
        <v/>
      </c>
      <c r="BR192" t="str">
        <f>""</f>
        <v/>
      </c>
      <c r="BS192" t="str">
        <f>""</f>
        <v/>
      </c>
      <c r="BT192" t="str">
        <f>""</f>
        <v/>
      </c>
      <c r="BU192" t="str">
        <f>""</f>
        <v/>
      </c>
      <c r="BV192" t="str">
        <f>""</f>
        <v/>
      </c>
      <c r="BW192" t="str">
        <f>""</f>
        <v/>
      </c>
      <c r="BX192" t="str">
        <f>""</f>
        <v/>
      </c>
      <c r="BY192" t="str">
        <f>""</f>
        <v/>
      </c>
      <c r="BZ192" t="str">
        <f>""</f>
        <v/>
      </c>
      <c r="CA192" t="str">
        <f>""</f>
        <v/>
      </c>
      <c r="CB192" t="str">
        <f>""</f>
        <v/>
      </c>
      <c r="CC192" t="str">
        <f>""</f>
        <v/>
      </c>
      <c r="CD192" t="str">
        <f>""</f>
        <v/>
      </c>
      <c r="CE192" t="str">
        <f>""</f>
        <v/>
      </c>
      <c r="CF192" t="str">
        <f>""</f>
        <v/>
      </c>
      <c r="CG192" t="str">
        <f>""</f>
        <v/>
      </c>
    </row>
    <row r="193" spans="1:85" x14ac:dyDescent="0.2">
      <c r="A193" t="str">
        <f>"BDH snapshot result1"</f>
        <v>BDH snapshot result1</v>
      </c>
      <c r="AT193" t="str">
        <f>""</f>
        <v/>
      </c>
      <c r="AU193" t="str">
        <f>""</f>
        <v/>
      </c>
      <c r="AV193" t="str">
        <f>""</f>
        <v/>
      </c>
      <c r="AW193" t="str">
        <f>""</f>
        <v/>
      </c>
      <c r="AX193" t="str">
        <f>""</f>
        <v/>
      </c>
      <c r="AY193" t="str">
        <f>""</f>
        <v/>
      </c>
      <c r="AZ193" t="str">
        <f>""</f>
        <v/>
      </c>
      <c r="BA193" t="str">
        <f>""</f>
        <v/>
      </c>
      <c r="BB193" t="str">
        <f>""</f>
        <v/>
      </c>
      <c r="BC193" t="str">
        <f>""</f>
        <v/>
      </c>
      <c r="BD193" t="str">
        <f>""</f>
        <v/>
      </c>
      <c r="BE193" t="str">
        <f>""</f>
        <v/>
      </c>
      <c r="BF193" t="str">
        <f>""</f>
        <v/>
      </c>
      <c r="BG193" t="str">
        <f>""</f>
        <v/>
      </c>
      <c r="BH193" t="str">
        <f>""</f>
        <v/>
      </c>
      <c r="BI193" t="str">
        <f>""</f>
        <v/>
      </c>
      <c r="BJ193" t="str">
        <f>""</f>
        <v/>
      </c>
      <c r="BK193" t="str">
        <f>""</f>
        <v/>
      </c>
      <c r="BL193" t="str">
        <f>""</f>
        <v/>
      </c>
      <c r="BM193" t="str">
        <f>""</f>
        <v/>
      </c>
      <c r="BN193" t="str">
        <f>""</f>
        <v/>
      </c>
      <c r="BO193" t="str">
        <f>""</f>
        <v/>
      </c>
      <c r="BP193" t="str">
        <f>""</f>
        <v/>
      </c>
      <c r="BQ193" t="str">
        <f>""</f>
        <v/>
      </c>
      <c r="BR193" t="str">
        <f>""</f>
        <v/>
      </c>
      <c r="BS193" t="str">
        <f>""</f>
        <v/>
      </c>
      <c r="BT193" t="str">
        <f>""</f>
        <v/>
      </c>
      <c r="BU193" t="str">
        <f>""</f>
        <v/>
      </c>
      <c r="BV193" t="str">
        <f>""</f>
        <v/>
      </c>
      <c r="BW193" t="str">
        <f>""</f>
        <v/>
      </c>
      <c r="BX193" t="str">
        <f>""</f>
        <v/>
      </c>
      <c r="BY193" t="str">
        <f>""</f>
        <v/>
      </c>
      <c r="BZ193" t="str">
        <f>""</f>
        <v/>
      </c>
      <c r="CA193" t="str">
        <f>""</f>
        <v/>
      </c>
      <c r="CB193" t="str">
        <f>""</f>
        <v/>
      </c>
      <c r="CC193" t="str">
        <f>""</f>
        <v/>
      </c>
      <c r="CD193" t="str">
        <f>""</f>
        <v/>
      </c>
      <c r="CE193" t="str">
        <f>""</f>
        <v/>
      </c>
      <c r="CF193" t="str">
        <f>""</f>
        <v/>
      </c>
      <c r="CG193" t="str">
        <f>""</f>
        <v/>
      </c>
    </row>
    <row r="194" spans="1:85" x14ac:dyDescent="0.2">
      <c r="A194" t="str">
        <f>"BDH snapshot header2"</f>
        <v>BDH snapshot header2</v>
      </c>
      <c r="B194">
        <f ca="1">IF(OR(ISERROR($C$194),ISBLANK($C$194),ISNUMBER(SEARCH("N/A",$C$194) ),ISERROR($C$195),ISBLANK($C$195)),0,1)</f>
        <v>0</v>
      </c>
      <c r="C194" t="e">
        <f ca="1">_xll.BDH($B$7,$C$7,$B$111,$B$188,"PER=CY","Dts=S","DtFmt=FI", "rows=2","Dir=H","Points=40","Sort=R","Days=A","Fill=B", )</f>
        <v>#NAME?</v>
      </c>
      <c r="AT194" t="str">
        <f>""</f>
        <v/>
      </c>
      <c r="AU194" t="str">
        <f>""</f>
        <v/>
      </c>
      <c r="AV194" t="str">
        <f>""</f>
        <v/>
      </c>
      <c r="AW194" t="str">
        <f>""</f>
        <v/>
      </c>
      <c r="AX194" t="str">
        <f>""</f>
        <v/>
      </c>
      <c r="AY194" t="str">
        <f>""</f>
        <v/>
      </c>
      <c r="AZ194" t="str">
        <f>""</f>
        <v/>
      </c>
      <c r="BA194" t="str">
        <f>""</f>
        <v/>
      </c>
      <c r="BB194" t="str">
        <f>""</f>
        <v/>
      </c>
      <c r="BC194" t="str">
        <f>""</f>
        <v/>
      </c>
      <c r="BD194" t="str">
        <f>""</f>
        <v/>
      </c>
      <c r="BE194" t="str">
        <f>""</f>
        <v/>
      </c>
      <c r="BF194" t="str">
        <f>""</f>
        <v/>
      </c>
      <c r="BG194" t="str">
        <f>""</f>
        <v/>
      </c>
      <c r="BH194" t="str">
        <f>""</f>
        <v/>
      </c>
      <c r="BI194" t="str">
        <f>""</f>
        <v/>
      </c>
      <c r="BJ194" t="str">
        <f>""</f>
        <v/>
      </c>
      <c r="BK194" t="str">
        <f>""</f>
        <v/>
      </c>
      <c r="BL194" t="str">
        <f>""</f>
        <v/>
      </c>
      <c r="BM194" t="str">
        <f>""</f>
        <v/>
      </c>
      <c r="BN194" t="str">
        <f>""</f>
        <v/>
      </c>
      <c r="BO194" t="str">
        <f>""</f>
        <v/>
      </c>
      <c r="BP194" t="str">
        <f>""</f>
        <v/>
      </c>
      <c r="BQ194" t="str">
        <f>""</f>
        <v/>
      </c>
      <c r="BR194" t="str">
        <f>""</f>
        <v/>
      </c>
      <c r="BS194" t="str">
        <f>""</f>
        <v/>
      </c>
      <c r="BT194" t="str">
        <f>""</f>
        <v/>
      </c>
      <c r="BU194" t="str">
        <f>""</f>
        <v/>
      </c>
      <c r="BV194" t="str">
        <f>""</f>
        <v/>
      </c>
      <c r="BW194" t="str">
        <f>""</f>
        <v/>
      </c>
      <c r="BX194" t="str">
        <f>""</f>
        <v/>
      </c>
      <c r="BY194" t="str">
        <f>""</f>
        <v/>
      </c>
      <c r="BZ194" t="str">
        <f>""</f>
        <v/>
      </c>
      <c r="CA194" t="str">
        <f>""</f>
        <v/>
      </c>
      <c r="CB194" t="str">
        <f>""</f>
        <v/>
      </c>
      <c r="CC194" t="str">
        <f>""</f>
        <v/>
      </c>
      <c r="CD194" t="str">
        <f>""</f>
        <v/>
      </c>
      <c r="CE194" t="str">
        <f>""</f>
        <v/>
      </c>
      <c r="CF194" t="str">
        <f>""</f>
        <v/>
      </c>
      <c r="CG194" t="str">
        <f>""</f>
        <v/>
      </c>
    </row>
    <row r="195" spans="1:85" x14ac:dyDescent="0.2">
      <c r="A195" t="str">
        <f>"BDH snapshot result2"</f>
        <v>BDH snapshot result2</v>
      </c>
      <c r="AT195" t="str">
        <f>""</f>
        <v/>
      </c>
      <c r="AU195" t="str">
        <f>""</f>
        <v/>
      </c>
      <c r="AV195" t="str">
        <f>""</f>
        <v/>
      </c>
      <c r="AW195" t="str">
        <f>""</f>
        <v/>
      </c>
      <c r="AX195" t="str">
        <f>""</f>
        <v/>
      </c>
      <c r="AY195" t="str">
        <f>""</f>
        <v/>
      </c>
      <c r="AZ195" t="str">
        <f>""</f>
        <v/>
      </c>
      <c r="BA195" t="str">
        <f>""</f>
        <v/>
      </c>
      <c r="BB195" t="str">
        <f>""</f>
        <v/>
      </c>
      <c r="BC195" t="str">
        <f>""</f>
        <v/>
      </c>
      <c r="BD195" t="str">
        <f>""</f>
        <v/>
      </c>
      <c r="BE195" t="str">
        <f>""</f>
        <v/>
      </c>
      <c r="BF195" t="str">
        <f>""</f>
        <v/>
      </c>
      <c r="BG195" t="str">
        <f>""</f>
        <v/>
      </c>
      <c r="BH195" t="str">
        <f>""</f>
        <v/>
      </c>
      <c r="BI195" t="str">
        <f>""</f>
        <v/>
      </c>
      <c r="BJ195" t="str">
        <f>""</f>
        <v/>
      </c>
      <c r="BK195" t="str">
        <f>""</f>
        <v/>
      </c>
      <c r="BL195" t="str">
        <f>""</f>
        <v/>
      </c>
      <c r="BM195" t="str">
        <f>""</f>
        <v/>
      </c>
      <c r="BN195" t="str">
        <f>""</f>
        <v/>
      </c>
      <c r="BO195" t="str">
        <f>""</f>
        <v/>
      </c>
      <c r="BP195" t="str">
        <f>""</f>
        <v/>
      </c>
      <c r="BQ195" t="str">
        <f>""</f>
        <v/>
      </c>
      <c r="BR195" t="str">
        <f>""</f>
        <v/>
      </c>
      <c r="BS195" t="str">
        <f>""</f>
        <v/>
      </c>
      <c r="BT195" t="str">
        <f>""</f>
        <v/>
      </c>
      <c r="BU195" t="str">
        <f>""</f>
        <v/>
      </c>
      <c r="BV195" t="str">
        <f>""</f>
        <v/>
      </c>
      <c r="BW195" t="str">
        <f>""</f>
        <v/>
      </c>
      <c r="BX195" t="str">
        <f>""</f>
        <v/>
      </c>
      <c r="BY195" t="str">
        <f>""</f>
        <v/>
      </c>
      <c r="BZ195" t="str">
        <f>""</f>
        <v/>
      </c>
      <c r="CA195" t="str">
        <f>""</f>
        <v/>
      </c>
      <c r="CB195" t="str">
        <f>""</f>
        <v/>
      </c>
      <c r="CC195" t="str">
        <f>""</f>
        <v/>
      </c>
      <c r="CD195" t="str">
        <f>""</f>
        <v/>
      </c>
      <c r="CE195" t="str">
        <f>""</f>
        <v/>
      </c>
      <c r="CF195" t="str">
        <f>""</f>
        <v/>
      </c>
      <c r="CG195" t="str">
        <f>""</f>
        <v/>
      </c>
    </row>
    <row r="196" spans="1:85" x14ac:dyDescent="0.2">
      <c r="A196" t="str">
        <f>"BDH snapshot"</f>
        <v>BDH snapshot</v>
      </c>
      <c r="B196">
        <f ca="1">IF($B$190&gt;=1,$B$190,IF($B$192&gt;=1,$B$192,IF($B$194&gt;=1,$B$194,$B$189)))</f>
        <v>2</v>
      </c>
      <c r="C196" t="str">
        <f ca="1">IF($B$190&gt;=1,$C$190,IF($B$192&gt;=1,$C$192,IF($B$194&gt;=1,$C$194,$C$189)))</f>
        <v>2023</v>
      </c>
      <c r="D196" t="str">
        <f ca="1">IF($B$190&gt;=1,$D$190,IF($B$192&gt;=1,$D$192,IF($B$194&gt;=1,$D$194,$D$189)))</f>
        <v>2022</v>
      </c>
      <c r="E196" t="str">
        <f ca="1">IF($B$190&gt;=1,$E$190,IF($B$192&gt;=1,$E$192,IF($B$194&gt;=1,$E$194,$E$189)))</f>
        <v>2021</v>
      </c>
      <c r="F196" t="str">
        <f ca="1">IF($B$190&gt;=1,$F$190,IF($B$192&gt;=1,$F$192,IF($B$194&gt;=1,$F$194,$F$189)))</f>
        <v>2020</v>
      </c>
      <c r="G196" t="str">
        <f ca="1">IF($B$190&gt;=1,$G$190,IF($B$192&gt;=1,$G$192,IF($B$194&gt;=1,$G$194,$G$189)))</f>
        <v>2019</v>
      </c>
      <c r="H196" t="str">
        <f ca="1">IF($B$190&gt;=1,$H$190,IF($B$192&gt;=1,$H$192,IF($B$194&gt;=1,$H$194,$H$189)))</f>
        <v>2018</v>
      </c>
      <c r="I196" t="str">
        <f ca="1">IF($B$190&gt;=1,$I$190,IF($B$192&gt;=1,$I$192,IF($B$194&gt;=1,$I$194,$I$189)))</f>
        <v>2017</v>
      </c>
      <c r="J196" t="str">
        <f ca="1">IF($B$190&gt;=1,$J$190,IF($B$192&gt;=1,$J$192,IF($B$194&gt;=1,$J$194,$J$189)))</f>
        <v>2016</v>
      </c>
      <c r="K196" t="str">
        <f ca="1">IF($B$190&gt;=1,$K$190,IF($B$192&gt;=1,$K$192,IF($B$194&gt;=1,$K$194,$K$189)))</f>
        <v>2015</v>
      </c>
      <c r="L196" t="str">
        <f ca="1">IF($B$190&gt;=1,$L$190,IF($B$192&gt;=1,$L$192,IF($B$194&gt;=1,$L$194,$L$189)))</f>
        <v>2014</v>
      </c>
      <c r="M196" t="str">
        <f ca="1">IF($B$190&gt;=1,$M$190,IF($B$192&gt;=1,$M$192,IF($B$194&gt;=1,$M$194,$M$189)))</f>
        <v>2013</v>
      </c>
      <c r="N196" t="str">
        <f ca="1">IF($B$190&gt;=1,$N$190,IF($B$192&gt;=1,$N$192,IF($B$194&gt;=1,$N$194,$N$189)))</f>
        <v>2012</v>
      </c>
      <c r="O196" t="str">
        <f ca="1">IF($B$190&gt;=1,$O$190,IF($B$192&gt;=1,$O$192,IF($B$194&gt;=1,$O$194,$O$189)))</f>
        <v>2011</v>
      </c>
      <c r="P196" t="str">
        <f ca="1">IF($B$190&gt;=1,$P$190,IF($B$192&gt;=1,$P$192,IF($B$194&gt;=1,$P$194,$P$189)))</f>
        <v>2010</v>
      </c>
      <c r="Q196" t="str">
        <f ca="1">IF($B$190&gt;=1,$Q$190,IF($B$192&gt;=1,$Q$192,IF($B$194&gt;=1,$Q$194,$Q$189)))</f>
        <v>2009</v>
      </c>
      <c r="R196" t="str">
        <f ca="1">IF($B$190&gt;=1,$R$190,IF($B$192&gt;=1,$R$192,IF($B$194&gt;=1,$R$194,$R$189)))</f>
        <v>2008</v>
      </c>
      <c r="S196" t="str">
        <f ca="1">IF($B$190&gt;=1,$S$190,IF($B$192&gt;=1,$S$192,IF($B$194&gt;=1,$S$194,$S$189)))</f>
        <v>2007</v>
      </c>
      <c r="T196" t="str">
        <f ca="1">IF($B$190&gt;=1,$T$190,IF($B$192&gt;=1,$T$192,IF($B$194&gt;=1,$T$194,$T$189)))</f>
        <v>2006</v>
      </c>
      <c r="U196" t="str">
        <f ca="1">IF($B$190&gt;=1,$U$190,IF($B$192&gt;=1,$U$192,IF($B$194&gt;=1,$U$194,$U$189)))</f>
        <v>2005</v>
      </c>
      <c r="V196" t="str">
        <f ca="1">IF($B$190&gt;=1,$V$190,IF($B$192&gt;=1,$V$192,IF($B$194&gt;=1,$V$194,$V$189)))</f>
        <v>2004</v>
      </c>
      <c r="W196" t="str">
        <f ca="1">IF($B$190&gt;=1,$W$190,IF($B$192&gt;=1,$W$192,IF($B$194&gt;=1,$W$194,$W$189)))</f>
        <v>2003</v>
      </c>
      <c r="X196" t="str">
        <f ca="1">IF($B$190&gt;=1,$X$190,IF($B$192&gt;=1,$X$192,IF($B$194&gt;=1,$X$194,$X$189)))</f>
        <v>2002</v>
      </c>
      <c r="Y196" t="str">
        <f ca="1">IF($B$190&gt;=1,$Y$190,IF($B$192&gt;=1,$Y$192,IF($B$194&gt;=1,$Y$194,$Y$189)))</f>
        <v>2001</v>
      </c>
      <c r="Z196" t="str">
        <f ca="1">IF($B$190&gt;=1,$Z$190,IF($B$192&gt;=1,$Z$192,IF($B$194&gt;=1,$Z$194,$Z$189)))</f>
        <v>2000</v>
      </c>
      <c r="AA196" t="str">
        <f ca="1">IF($B$190&gt;=1,$AA$190,IF($B$192&gt;=1,$AA$192,IF($B$194&gt;=1,$AA$194,$AA$189)))</f>
        <v>1999</v>
      </c>
      <c r="AB196" t="str">
        <f ca="1">IF($B$190&gt;=1,$AB$190,IF($B$192&gt;=1,$AB$192,IF($B$194&gt;=1,$AB$194,$AB$189)))</f>
        <v>1998</v>
      </c>
      <c r="AC196" t="str">
        <f ca="1">IF($B$190&gt;=1,$AC$190,IF($B$192&gt;=1,$AC$192,IF($B$194&gt;=1,$AC$194,$AC$189)))</f>
        <v>1997</v>
      </c>
      <c r="AD196" t="str">
        <f ca="1">IF($B$190&gt;=1,$AD$190,IF($B$192&gt;=1,$AD$192,IF($B$194&gt;=1,$AD$194,$AD$189)))</f>
        <v>1996</v>
      </c>
      <c r="AE196" t="str">
        <f ca="1">IF($B$190&gt;=1,$AE$190,IF($B$192&gt;=1,$AE$192,IF($B$194&gt;=1,$AE$194,$AE$189)))</f>
        <v>1995</v>
      </c>
      <c r="AF196" t="str">
        <f ca="1">IF($B$190&gt;=1,$AF$190,IF($B$192&gt;=1,$AF$192,IF($B$194&gt;=1,$AF$194,$AF$189)))</f>
        <v>1994</v>
      </c>
      <c r="AG196" t="str">
        <f ca="1">IF($B$190&gt;=1,$AG$190,IF($B$192&gt;=1,$AG$192,IF($B$194&gt;=1,$AG$194,$AG$189)))</f>
        <v>1993</v>
      </c>
      <c r="AH196" t="str">
        <f ca="1">IF($B$190&gt;=1,$AH$190,IF($B$192&gt;=1,$AH$192,IF($B$194&gt;=1,$AH$194,$AH$189)))</f>
        <v>1992</v>
      </c>
      <c r="AI196" t="str">
        <f ca="1">IF($B$190&gt;=1,$AI$190,IF($B$192&gt;=1,$AI$192,IF($B$194&gt;=1,$AI$194,$AI$189)))</f>
        <v>1991</v>
      </c>
      <c r="AJ196" t="str">
        <f ca="1">IF($B$190&gt;=1,$AJ$190,IF($B$192&gt;=1,$AJ$192,IF($B$194&gt;=1,$AJ$194,$AJ$189)))</f>
        <v>1990</v>
      </c>
      <c r="AK196" t="str">
        <f ca="1">IF($B$190&gt;=1,$AK$190,IF($B$192&gt;=1,$AK$192,IF($B$194&gt;=1,$AK$194,$AK$189)))</f>
        <v>1989</v>
      </c>
      <c r="AL196" t="str">
        <f ca="1">IF($B$190&gt;=1,$AL$190,IF($B$192&gt;=1,$AL$192,IF($B$194&gt;=1,$AL$194,$AL$189)))</f>
        <v>1988</v>
      </c>
      <c r="AM196" t="str">
        <f ca="1">IF($B$190&gt;=1,$AM$190,IF($B$192&gt;=1,$AM$192,IF($B$194&gt;=1,$AM$194,$AM$189)))</f>
        <v>1987</v>
      </c>
      <c r="AN196" t="str">
        <f ca="1">IF($B$190&gt;=1,$AN$190,IF($B$192&gt;=1,$AN$192,IF($B$194&gt;=1,$AN$194,$AN$189)))</f>
        <v>1986</v>
      </c>
      <c r="AO196" t="str">
        <f ca="1">IF($B$190&gt;=1,$AO$190,IF($B$192&gt;=1,$AO$192,IF($B$194&gt;=1,$AO$194,$AO$189)))</f>
        <v>1985</v>
      </c>
      <c r="AP196" t="str">
        <f ca="1">IF($B$190&gt;=1,$AP$190,IF($B$192&gt;=1,$AP$192,IF($B$194&gt;=1,$AP$194,$AP$189)))</f>
        <v>1984</v>
      </c>
      <c r="AT196" t="str">
        <f>""</f>
        <v/>
      </c>
      <c r="AU196" t="str">
        <f>""</f>
        <v/>
      </c>
      <c r="AV196" t="str">
        <f>""</f>
        <v/>
      </c>
      <c r="AW196" t="str">
        <f>""</f>
        <v/>
      </c>
      <c r="AX196" t="str">
        <f>""</f>
        <v/>
      </c>
      <c r="AY196" t="str">
        <f>""</f>
        <v/>
      </c>
      <c r="AZ196" t="str">
        <f>""</f>
        <v/>
      </c>
      <c r="BA196" t="str">
        <f>""</f>
        <v/>
      </c>
      <c r="BB196" t="str">
        <f>""</f>
        <v/>
      </c>
      <c r="BC196" t="str">
        <f>""</f>
        <v/>
      </c>
      <c r="BD196" t="str">
        <f>""</f>
        <v/>
      </c>
      <c r="BE196" t="str">
        <f>""</f>
        <v/>
      </c>
      <c r="BF196" t="str">
        <f>""</f>
        <v/>
      </c>
      <c r="BG196" t="str">
        <f>""</f>
        <v/>
      </c>
      <c r="BH196" t="str">
        <f>""</f>
        <v/>
      </c>
      <c r="BI196" t="str">
        <f>""</f>
        <v/>
      </c>
      <c r="BJ196" t="str">
        <f>""</f>
        <v/>
      </c>
      <c r="BK196" t="str">
        <f>""</f>
        <v/>
      </c>
      <c r="BL196" t="str">
        <f>""</f>
        <v/>
      </c>
      <c r="BM196" t="str">
        <f>""</f>
        <v/>
      </c>
      <c r="BN196" t="str">
        <f>""</f>
        <v/>
      </c>
      <c r="BO196" t="str">
        <f>""</f>
        <v/>
      </c>
      <c r="BP196" t="str">
        <f>""</f>
        <v/>
      </c>
      <c r="BQ196" t="str">
        <f>""</f>
        <v/>
      </c>
      <c r="BR196" t="str">
        <f>""</f>
        <v/>
      </c>
      <c r="BS196" t="str">
        <f>""</f>
        <v/>
      </c>
      <c r="BT196" t="str">
        <f>""</f>
        <v/>
      </c>
      <c r="BU196" t="str">
        <f>""</f>
        <v/>
      </c>
      <c r="BV196" t="str">
        <f>""</f>
        <v/>
      </c>
      <c r="BW196" t="str">
        <f>""</f>
        <v/>
      </c>
      <c r="BX196" t="str">
        <f>""</f>
        <v/>
      </c>
      <c r="BY196" t="str">
        <f>""</f>
        <v/>
      </c>
      <c r="BZ196" t="str">
        <f>""</f>
        <v/>
      </c>
      <c r="CA196" t="str">
        <f>""</f>
        <v/>
      </c>
      <c r="CB196" t="str">
        <f>""</f>
        <v/>
      </c>
      <c r="CC196" t="str">
        <f>""</f>
        <v/>
      </c>
      <c r="CD196" t="str">
        <f>""</f>
        <v/>
      </c>
      <c r="CE196" t="str">
        <f>""</f>
        <v/>
      </c>
      <c r="CF196" t="str">
        <f>""</f>
        <v/>
      </c>
      <c r="CG196" t="str">
        <f>""</f>
        <v/>
      </c>
    </row>
    <row r="197" spans="1:85" x14ac:dyDescent="0.2">
      <c r="A197" t="str">
        <f>"BDH snapshot title"</f>
        <v>BDH snapshot title</v>
      </c>
      <c r="B197">
        <f ca="1">$B$196</f>
        <v>2</v>
      </c>
      <c r="C197" t="str">
        <f ca="1">SUBSTITUTE(SUBSTITUTE($C$196,"CY1 ",""),"C","")</f>
        <v>2023</v>
      </c>
      <c r="D197" t="str">
        <f ca="1">SUBSTITUTE(SUBSTITUTE($D$196,"CY1 ",""),"C","")</f>
        <v>2022</v>
      </c>
      <c r="E197" t="str">
        <f ca="1">SUBSTITUTE(SUBSTITUTE($E$196,"CY1 ",""),"C","")</f>
        <v>2021</v>
      </c>
      <c r="F197" t="str">
        <f ca="1">SUBSTITUTE(SUBSTITUTE($F$196,"CY1 ",""),"C","")</f>
        <v>2020</v>
      </c>
      <c r="G197" t="str">
        <f ca="1">SUBSTITUTE(SUBSTITUTE($G$196,"CY1 ",""),"C","")</f>
        <v>2019</v>
      </c>
      <c r="H197" t="str">
        <f ca="1">SUBSTITUTE(SUBSTITUTE($H$196,"CY1 ",""),"C","")</f>
        <v>2018</v>
      </c>
      <c r="I197" t="str">
        <f ca="1">SUBSTITUTE(SUBSTITUTE($I$196,"CY1 ",""),"C","")</f>
        <v>2017</v>
      </c>
      <c r="J197" t="str">
        <f ca="1">SUBSTITUTE(SUBSTITUTE($J$196,"CY1 ",""),"C","")</f>
        <v>2016</v>
      </c>
      <c r="K197" t="str">
        <f ca="1">SUBSTITUTE(SUBSTITUTE($K$196,"CY1 ",""),"C","")</f>
        <v>2015</v>
      </c>
      <c r="L197" t="str">
        <f ca="1">SUBSTITUTE(SUBSTITUTE($L$196,"CY1 ",""),"C","")</f>
        <v>2014</v>
      </c>
      <c r="M197" t="str">
        <f ca="1">SUBSTITUTE(SUBSTITUTE($M$196,"CY1 ",""),"C","")</f>
        <v>2013</v>
      </c>
      <c r="N197" t="str">
        <f ca="1">SUBSTITUTE(SUBSTITUTE($N$196,"CY1 ",""),"C","")</f>
        <v>2012</v>
      </c>
      <c r="O197" t="str">
        <f ca="1">SUBSTITUTE(SUBSTITUTE($O$196,"CY1 ",""),"C","")</f>
        <v>2011</v>
      </c>
      <c r="P197" t="str">
        <f ca="1">SUBSTITUTE(SUBSTITUTE($P$196,"CY1 ",""),"C","")</f>
        <v>2010</v>
      </c>
      <c r="Q197" t="str">
        <f ca="1">SUBSTITUTE(SUBSTITUTE($Q$196,"CY1 ",""),"C","")</f>
        <v>2009</v>
      </c>
      <c r="R197" t="str">
        <f ca="1">SUBSTITUTE(SUBSTITUTE($R$196,"CY1 ",""),"C","")</f>
        <v>2008</v>
      </c>
      <c r="S197" t="str">
        <f ca="1">SUBSTITUTE(SUBSTITUTE($S$196,"CY1 ",""),"C","")</f>
        <v>2007</v>
      </c>
      <c r="T197" t="str">
        <f ca="1">SUBSTITUTE(SUBSTITUTE($T$196,"CY1 ",""),"C","")</f>
        <v>2006</v>
      </c>
      <c r="U197" t="str">
        <f ca="1">SUBSTITUTE(SUBSTITUTE($U$196,"CY1 ",""),"C","")</f>
        <v>2005</v>
      </c>
      <c r="V197" t="str">
        <f ca="1">SUBSTITUTE(SUBSTITUTE($V$196,"CY1 ",""),"C","")</f>
        <v>2004</v>
      </c>
      <c r="W197" t="str">
        <f ca="1">SUBSTITUTE(SUBSTITUTE($W$196,"CY1 ",""),"C","")</f>
        <v>2003</v>
      </c>
      <c r="X197" t="str">
        <f ca="1">SUBSTITUTE(SUBSTITUTE($X$196,"CY1 ",""),"C","")</f>
        <v>2002</v>
      </c>
      <c r="Y197" t="str">
        <f ca="1">SUBSTITUTE(SUBSTITUTE($Y$196,"CY1 ",""),"C","")</f>
        <v>2001</v>
      </c>
      <c r="Z197" t="str">
        <f ca="1">SUBSTITUTE(SUBSTITUTE($Z$196,"CY1 ",""),"C","")</f>
        <v>2000</v>
      </c>
      <c r="AA197" t="str">
        <f ca="1">SUBSTITUTE(SUBSTITUTE($AA$196,"CY1 ",""),"C","")</f>
        <v>1999</v>
      </c>
      <c r="AB197" t="str">
        <f ca="1">SUBSTITUTE(SUBSTITUTE($AB$196,"CY1 ",""),"C","")</f>
        <v>1998</v>
      </c>
      <c r="AC197" t="str">
        <f ca="1">SUBSTITUTE(SUBSTITUTE($AC$196,"CY1 ",""),"C","")</f>
        <v>1997</v>
      </c>
      <c r="AD197" t="str">
        <f ca="1">SUBSTITUTE(SUBSTITUTE($AD$196,"CY1 ",""),"C","")</f>
        <v>1996</v>
      </c>
      <c r="AE197" t="str">
        <f ca="1">SUBSTITUTE(SUBSTITUTE($AE$196,"CY1 ",""),"C","")</f>
        <v>1995</v>
      </c>
      <c r="AF197" t="str">
        <f ca="1">SUBSTITUTE(SUBSTITUTE($AF$196,"CY1 ",""),"C","")</f>
        <v>1994</v>
      </c>
      <c r="AG197" t="str">
        <f ca="1">SUBSTITUTE(SUBSTITUTE($AG$196,"CY1 ",""),"C","")</f>
        <v>1993</v>
      </c>
      <c r="AH197" t="str">
        <f ca="1">SUBSTITUTE(SUBSTITUTE($AH$196,"CY1 ",""),"C","")</f>
        <v>1992</v>
      </c>
      <c r="AI197" t="str">
        <f ca="1">SUBSTITUTE(SUBSTITUTE($AI$196,"CY1 ",""),"C","")</f>
        <v>1991</v>
      </c>
      <c r="AJ197" t="str">
        <f ca="1">SUBSTITUTE(SUBSTITUTE($AJ$196,"CY1 ",""),"C","")</f>
        <v>1990</v>
      </c>
      <c r="AK197" t="str">
        <f ca="1">SUBSTITUTE(SUBSTITUTE($AK$196,"CY1 ",""),"C","")</f>
        <v>1989</v>
      </c>
      <c r="AL197" t="str">
        <f ca="1">SUBSTITUTE(SUBSTITUTE($AL$196,"CY1 ",""),"C","")</f>
        <v>1988</v>
      </c>
      <c r="AM197" t="str">
        <f ca="1">SUBSTITUTE(SUBSTITUTE($AM$196,"CY1 ",""),"C","")</f>
        <v>1987</v>
      </c>
      <c r="AN197" t="str">
        <f ca="1">SUBSTITUTE(SUBSTITUTE($AN$196,"CY1 ",""),"C","")</f>
        <v>1986</v>
      </c>
      <c r="AO197" t="str">
        <f ca="1">SUBSTITUTE(SUBSTITUTE($AO$196,"CY1 ",""),"C","")</f>
        <v>1985</v>
      </c>
      <c r="AP197" t="str">
        <f ca="1">SUBSTITUTE(SUBSTITUTE($AP$196,"CY1 ",""),"C","")</f>
        <v>1984</v>
      </c>
      <c r="AT197" t="str">
        <f>""</f>
        <v/>
      </c>
      <c r="AU197" t="str">
        <f>""</f>
        <v/>
      </c>
      <c r="AV197" t="str">
        <f>""</f>
        <v/>
      </c>
      <c r="AW197" t="str">
        <f>""</f>
        <v/>
      </c>
      <c r="AX197" t="str">
        <f>""</f>
        <v/>
      </c>
      <c r="AY197" t="str">
        <f>""</f>
        <v/>
      </c>
      <c r="AZ197" t="str">
        <f>""</f>
        <v/>
      </c>
      <c r="BA197" t="str">
        <f>""</f>
        <v/>
      </c>
      <c r="BB197" t="str">
        <f>""</f>
        <v/>
      </c>
      <c r="BC197" t="str">
        <f>""</f>
        <v/>
      </c>
      <c r="BD197" t="str">
        <f>""</f>
        <v/>
      </c>
      <c r="BE197" t="str">
        <f>""</f>
        <v/>
      </c>
      <c r="BF197" t="str">
        <f>""</f>
        <v/>
      </c>
      <c r="BG197" t="str">
        <f>""</f>
        <v/>
      </c>
      <c r="BH197" t="str">
        <f>""</f>
        <v/>
      </c>
      <c r="BI197" t="str">
        <f>""</f>
        <v/>
      </c>
      <c r="BJ197" t="str">
        <f>""</f>
        <v/>
      </c>
      <c r="BK197" t="str">
        <f>""</f>
        <v/>
      </c>
      <c r="BL197" t="str">
        <f>""</f>
        <v/>
      </c>
      <c r="BM197" t="str">
        <f>""</f>
        <v/>
      </c>
      <c r="BN197" t="str">
        <f>""</f>
        <v/>
      </c>
      <c r="BO197" t="str">
        <f>""</f>
        <v/>
      </c>
      <c r="BP197" t="str">
        <f>""</f>
        <v/>
      </c>
      <c r="BQ197" t="str">
        <f>""</f>
        <v/>
      </c>
      <c r="BR197" t="str">
        <f>""</f>
        <v/>
      </c>
      <c r="BS197" t="str">
        <f>""</f>
        <v/>
      </c>
      <c r="BT197" t="str">
        <f>""</f>
        <v/>
      </c>
      <c r="BU197" t="str">
        <f>""</f>
        <v/>
      </c>
      <c r="BV197" t="str">
        <f>""</f>
        <v/>
      </c>
      <c r="BW197" t="str">
        <f>""</f>
        <v/>
      </c>
      <c r="BX197" t="str">
        <f>""</f>
        <v/>
      </c>
      <c r="BY197" t="str">
        <f>""</f>
        <v/>
      </c>
      <c r="BZ197" t="str">
        <f>""</f>
        <v/>
      </c>
      <c r="CA197" t="str">
        <f>""</f>
        <v/>
      </c>
      <c r="CB197" t="str">
        <f>""</f>
        <v/>
      </c>
      <c r="CC197" t="str">
        <f>""</f>
        <v/>
      </c>
      <c r="CD197" t="str">
        <f>""</f>
        <v/>
      </c>
      <c r="CE197" t="str">
        <f>""</f>
        <v/>
      </c>
      <c r="CF197" t="str">
        <f>""</f>
        <v/>
      </c>
      <c r="CG197" t="str">
        <f>""</f>
        <v/>
      </c>
    </row>
    <row r="198" spans="1:85" x14ac:dyDescent="0.2">
      <c r="A198" t="str">
        <f>"BDH dynamic header0"</f>
        <v>BDH dynamic header0</v>
      </c>
      <c r="B198">
        <f ca="1">IF(OR(ISERROR($C$198),ISBLANK($C$198),ISNUMBER(SEARCH("N/A",$C$198) ),ISERROR($C$199),ISBLANK($C$199)),0,1)</f>
        <v>0</v>
      </c>
      <c r="C198" t="e">
        <f ca="1">_xll.BDH($B$117,$C$117,$B$111,$B$112,"PER=CY","Dts=S","DtFmt=FI", "rows=2","Dir=H","Points=40","Sort=R","Days=A","Fill=B", )</f>
        <v>#NAME?</v>
      </c>
      <c r="AT198" t="str">
        <f>""</f>
        <v/>
      </c>
      <c r="AU198" t="str">
        <f>""</f>
        <v/>
      </c>
      <c r="AV198" t="str">
        <f>""</f>
        <v/>
      </c>
      <c r="AW198" t="str">
        <f>""</f>
        <v/>
      </c>
      <c r="AX198" t="str">
        <f>""</f>
        <v/>
      </c>
      <c r="AY198" t="str">
        <f>""</f>
        <v/>
      </c>
      <c r="AZ198" t="str">
        <f>""</f>
        <v/>
      </c>
      <c r="BA198" t="str">
        <f>""</f>
        <v/>
      </c>
      <c r="BB198" t="str">
        <f>""</f>
        <v/>
      </c>
      <c r="BC198" t="str">
        <f>""</f>
        <v/>
      </c>
      <c r="BD198" t="str">
        <f>""</f>
        <v/>
      </c>
      <c r="BE198" t="str">
        <f>""</f>
        <v/>
      </c>
      <c r="BF198" t="str">
        <f>""</f>
        <v/>
      </c>
      <c r="BG198" t="str">
        <f>""</f>
        <v/>
      </c>
      <c r="BH198" t="str">
        <f>""</f>
        <v/>
      </c>
      <c r="BI198" t="str">
        <f>""</f>
        <v/>
      </c>
      <c r="BJ198" t="str">
        <f>""</f>
        <v/>
      </c>
      <c r="BK198" t="str">
        <f>""</f>
        <v/>
      </c>
      <c r="BL198" t="str">
        <f>""</f>
        <v/>
      </c>
      <c r="BM198" t="str">
        <f>""</f>
        <v/>
      </c>
      <c r="BN198" t="str">
        <f>""</f>
        <v/>
      </c>
      <c r="BO198" t="str">
        <f>""</f>
        <v/>
      </c>
      <c r="BP198" t="str">
        <f>""</f>
        <v/>
      </c>
      <c r="BQ198" t="str">
        <f>""</f>
        <v/>
      </c>
      <c r="BR198" t="str">
        <f>""</f>
        <v/>
      </c>
      <c r="BS198" t="str">
        <f>""</f>
        <v/>
      </c>
      <c r="BT198" t="str">
        <f>""</f>
        <v/>
      </c>
      <c r="BU198" t="str">
        <f>""</f>
        <v/>
      </c>
      <c r="BV198" t="str">
        <f>""</f>
        <v/>
      </c>
      <c r="BW198" t="str">
        <f>""</f>
        <v/>
      </c>
      <c r="BX198" t="str">
        <f>""</f>
        <v/>
      </c>
      <c r="BY198" t="str">
        <f>""</f>
        <v/>
      </c>
      <c r="BZ198" t="str">
        <f>""</f>
        <v/>
      </c>
      <c r="CA198" t="str">
        <f>""</f>
        <v/>
      </c>
      <c r="CB198" t="str">
        <f>""</f>
        <v/>
      </c>
      <c r="CC198" t="str">
        <f>""</f>
        <v/>
      </c>
      <c r="CD198" t="str">
        <f>""</f>
        <v/>
      </c>
      <c r="CE198" t="str">
        <f>""</f>
        <v/>
      </c>
      <c r="CF198" t="str">
        <f>""</f>
        <v/>
      </c>
      <c r="CG198" t="str">
        <f>""</f>
        <v/>
      </c>
    </row>
    <row r="199" spans="1:85" x14ac:dyDescent="0.2">
      <c r="A199" t="str">
        <f>"BDH dynamic result0"</f>
        <v>BDH dynamic result0</v>
      </c>
      <c r="AT199" t="str">
        <f>""</f>
        <v/>
      </c>
      <c r="AU199" t="str">
        <f>""</f>
        <v/>
      </c>
      <c r="AV199" t="str">
        <f>""</f>
        <v/>
      </c>
      <c r="AW199" t="str">
        <f>""</f>
        <v/>
      </c>
      <c r="AX199" t="str">
        <f>""</f>
        <v/>
      </c>
      <c r="AY199" t="str">
        <f>""</f>
        <v/>
      </c>
      <c r="AZ199" t="str">
        <f>""</f>
        <v/>
      </c>
      <c r="BA199" t="str">
        <f>""</f>
        <v/>
      </c>
      <c r="BB199" t="str">
        <f>""</f>
        <v/>
      </c>
      <c r="BC199" t="str">
        <f>""</f>
        <v/>
      </c>
      <c r="BD199" t="str">
        <f>""</f>
        <v/>
      </c>
      <c r="BE199" t="str">
        <f>""</f>
        <v/>
      </c>
      <c r="BF199" t="str">
        <f>""</f>
        <v/>
      </c>
      <c r="BG199" t="str">
        <f>""</f>
        <v/>
      </c>
      <c r="BH199" t="str">
        <f>""</f>
        <v/>
      </c>
      <c r="BI199" t="str">
        <f>""</f>
        <v/>
      </c>
      <c r="BJ199" t="str">
        <f>""</f>
        <v/>
      </c>
      <c r="BK199" t="str">
        <f>""</f>
        <v/>
      </c>
      <c r="BL199" t="str">
        <f>""</f>
        <v/>
      </c>
      <c r="BM199" t="str">
        <f>""</f>
        <v/>
      </c>
      <c r="BN199" t="str">
        <f>""</f>
        <v/>
      </c>
      <c r="BO199" t="str">
        <f>""</f>
        <v/>
      </c>
      <c r="BP199" t="str">
        <f>""</f>
        <v/>
      </c>
      <c r="BQ199" t="str">
        <f>""</f>
        <v/>
      </c>
      <c r="BR199" t="str">
        <f>""</f>
        <v/>
      </c>
      <c r="BS199" t="str">
        <f>""</f>
        <v/>
      </c>
      <c r="BT199" t="str">
        <f>""</f>
        <v/>
      </c>
      <c r="BU199" t="str">
        <f>""</f>
        <v/>
      </c>
      <c r="BV199" t="str">
        <f>""</f>
        <v/>
      </c>
      <c r="BW199" t="str">
        <f>""</f>
        <v/>
      </c>
      <c r="BX199" t="str">
        <f>""</f>
        <v/>
      </c>
      <c r="BY199" t="str">
        <f>""</f>
        <v/>
      </c>
      <c r="BZ199" t="str">
        <f>""</f>
        <v/>
      </c>
      <c r="CA199" t="str">
        <f>""</f>
        <v/>
      </c>
      <c r="CB199" t="str">
        <f>""</f>
        <v/>
      </c>
      <c r="CC199" t="str">
        <f>""</f>
        <v/>
      </c>
      <c r="CD199" t="str">
        <f>""</f>
        <v/>
      </c>
      <c r="CE199" t="str">
        <f>""</f>
        <v/>
      </c>
      <c r="CF199" t="str">
        <f>""</f>
        <v/>
      </c>
      <c r="CG199" t="str">
        <f>""</f>
        <v/>
      </c>
    </row>
    <row r="200" spans="1:85" x14ac:dyDescent="0.2">
      <c r="A200" t="str">
        <f>"BDH dynamic header1"</f>
        <v>BDH dynamic header1</v>
      </c>
      <c r="B200">
        <f ca="1">IF(OR(ISERROR($C$200),ISBLANK($C$200),ISNUMBER(SEARCH("N/A",$C$200) ),ISERROR($C$201),ISBLANK($C$201)),0,1)</f>
        <v>0</v>
      </c>
      <c r="C200" t="e">
        <f ca="1">_xll.BDH($B$118,$C$118,$B$111,$B$112,"PER=CY","Dts=S","DtFmt=FI", "rows=2","Dir=H","Points=40","Sort=R","Days=A","Fill=B", )</f>
        <v>#NAME?</v>
      </c>
      <c r="AT200" t="str">
        <f>""</f>
        <v/>
      </c>
      <c r="AU200" t="str">
        <f>""</f>
        <v/>
      </c>
      <c r="AV200" t="str">
        <f>""</f>
        <v/>
      </c>
      <c r="AW200" t="str">
        <f>""</f>
        <v/>
      </c>
      <c r="AX200" t="str">
        <f>""</f>
        <v/>
      </c>
      <c r="AY200" t="str">
        <f>""</f>
        <v/>
      </c>
      <c r="AZ200" t="str">
        <f>""</f>
        <v/>
      </c>
      <c r="BA200" t="str">
        <f>""</f>
        <v/>
      </c>
      <c r="BB200" t="str">
        <f>""</f>
        <v/>
      </c>
      <c r="BC200" t="str">
        <f>""</f>
        <v/>
      </c>
      <c r="BD200" t="str">
        <f>""</f>
        <v/>
      </c>
      <c r="BE200" t="str">
        <f>""</f>
        <v/>
      </c>
      <c r="BF200" t="str">
        <f>""</f>
        <v/>
      </c>
      <c r="BG200" t="str">
        <f>""</f>
        <v/>
      </c>
      <c r="BH200" t="str">
        <f>""</f>
        <v/>
      </c>
      <c r="BI200" t="str">
        <f>""</f>
        <v/>
      </c>
      <c r="BJ200" t="str">
        <f>""</f>
        <v/>
      </c>
      <c r="BK200" t="str">
        <f>""</f>
        <v/>
      </c>
      <c r="BL200" t="str">
        <f>""</f>
        <v/>
      </c>
      <c r="BM200" t="str">
        <f>""</f>
        <v/>
      </c>
      <c r="BN200" t="str">
        <f>""</f>
        <v/>
      </c>
      <c r="BO200" t="str">
        <f>""</f>
        <v/>
      </c>
      <c r="BP200" t="str">
        <f>""</f>
        <v/>
      </c>
      <c r="BQ200" t="str">
        <f>""</f>
        <v/>
      </c>
      <c r="BR200" t="str">
        <f>""</f>
        <v/>
      </c>
      <c r="BS200" t="str">
        <f>""</f>
        <v/>
      </c>
      <c r="BT200" t="str">
        <f>""</f>
        <v/>
      </c>
      <c r="BU200" t="str">
        <f>""</f>
        <v/>
      </c>
      <c r="BV200" t="str">
        <f>""</f>
        <v/>
      </c>
      <c r="BW200" t="str">
        <f>""</f>
        <v/>
      </c>
      <c r="BX200" t="str">
        <f>""</f>
        <v/>
      </c>
      <c r="BY200" t="str">
        <f>""</f>
        <v/>
      </c>
      <c r="BZ200" t="str">
        <f>""</f>
        <v/>
      </c>
      <c r="CA200" t="str">
        <f>""</f>
        <v/>
      </c>
      <c r="CB200" t="str">
        <f>""</f>
        <v/>
      </c>
      <c r="CC200" t="str">
        <f>""</f>
        <v/>
      </c>
      <c r="CD200" t="str">
        <f>""</f>
        <v/>
      </c>
      <c r="CE200" t="str">
        <f>""</f>
        <v/>
      </c>
      <c r="CF200" t="str">
        <f>""</f>
        <v/>
      </c>
      <c r="CG200" t="str">
        <f>""</f>
        <v/>
      </c>
    </row>
    <row r="201" spans="1:85" x14ac:dyDescent="0.2">
      <c r="A201" t="str">
        <f>"BDH dynamic result1"</f>
        <v>BDH dynamic result1</v>
      </c>
      <c r="AT201" t="str">
        <f>""</f>
        <v/>
      </c>
      <c r="AU201" t="str">
        <f>""</f>
        <v/>
      </c>
      <c r="AV201" t="str">
        <f>""</f>
        <v/>
      </c>
      <c r="AW201" t="str">
        <f>""</f>
        <v/>
      </c>
      <c r="AX201" t="str">
        <f>""</f>
        <v/>
      </c>
      <c r="AY201" t="str">
        <f>""</f>
        <v/>
      </c>
      <c r="AZ201" t="str">
        <f>""</f>
        <v/>
      </c>
      <c r="BA201" t="str">
        <f>""</f>
        <v/>
      </c>
      <c r="BB201" t="str">
        <f>""</f>
        <v/>
      </c>
      <c r="BC201" t="str">
        <f>""</f>
        <v/>
      </c>
      <c r="BD201" t="str">
        <f>""</f>
        <v/>
      </c>
      <c r="BE201" t="str">
        <f>""</f>
        <v/>
      </c>
      <c r="BF201" t="str">
        <f>""</f>
        <v/>
      </c>
      <c r="BG201" t="str">
        <f>""</f>
        <v/>
      </c>
      <c r="BH201" t="str">
        <f>""</f>
        <v/>
      </c>
      <c r="BI201" t="str">
        <f>""</f>
        <v/>
      </c>
      <c r="BJ201" t="str">
        <f>""</f>
        <v/>
      </c>
      <c r="BK201" t="str">
        <f>""</f>
        <v/>
      </c>
      <c r="BL201" t="str">
        <f>""</f>
        <v/>
      </c>
      <c r="BM201" t="str">
        <f>""</f>
        <v/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  <c r="BT201" t="str">
        <f>""</f>
        <v/>
      </c>
      <c r="BU201" t="str">
        <f>""</f>
        <v/>
      </c>
      <c r="BV201" t="str">
        <f>""</f>
        <v/>
      </c>
      <c r="BW201" t="str">
        <f>""</f>
        <v/>
      </c>
      <c r="BX201" t="str">
        <f>""</f>
        <v/>
      </c>
      <c r="BY201" t="str">
        <f>""</f>
        <v/>
      </c>
      <c r="BZ201" t="str">
        <f>""</f>
        <v/>
      </c>
      <c r="CA201" t="str">
        <f>""</f>
        <v/>
      </c>
      <c r="CB201" t="str">
        <f>""</f>
        <v/>
      </c>
      <c r="CC201" t="str">
        <f>""</f>
        <v/>
      </c>
      <c r="CD201" t="str">
        <f>""</f>
        <v/>
      </c>
      <c r="CE201" t="str">
        <f>""</f>
        <v/>
      </c>
      <c r="CF201" t="str">
        <f>""</f>
        <v/>
      </c>
      <c r="CG201" t="str">
        <f>""</f>
        <v/>
      </c>
    </row>
    <row r="202" spans="1:85" x14ac:dyDescent="0.2">
      <c r="A202" t="str">
        <f>"BDH dynamic header2"</f>
        <v>BDH dynamic header2</v>
      </c>
      <c r="B202">
        <f ca="1">IF(OR(ISERROR($C$202),ISBLANK($C$202),ISNUMBER(SEARCH("N/A",$C$202) ),ISERROR($C$203),ISBLANK($C$203)),0,1)</f>
        <v>0</v>
      </c>
      <c r="C202" t="e">
        <f ca="1">_xll.BDH($B$7,$C$7,$B$111,$B$112,"PER=CY","Dts=S","DtFmt=FI", "rows=2","Dir=H","Points=40","Sort=R","Days=A","Fill=B", )</f>
        <v>#NAME?</v>
      </c>
      <c r="AT202" t="str">
        <f>""</f>
        <v/>
      </c>
      <c r="AU202" t="str">
        <f>""</f>
        <v/>
      </c>
      <c r="AV202" t="str">
        <f>""</f>
        <v/>
      </c>
      <c r="AW202" t="str">
        <f>""</f>
        <v/>
      </c>
      <c r="AX202" t="str">
        <f>""</f>
        <v/>
      </c>
      <c r="AY202" t="str">
        <f>""</f>
        <v/>
      </c>
      <c r="AZ202" t="str">
        <f>""</f>
        <v/>
      </c>
      <c r="BA202" t="str">
        <f>""</f>
        <v/>
      </c>
      <c r="BB202" t="str">
        <f>""</f>
        <v/>
      </c>
      <c r="BC202" t="str">
        <f>""</f>
        <v/>
      </c>
      <c r="BD202" t="str">
        <f>""</f>
        <v/>
      </c>
      <c r="BE202" t="str">
        <f>""</f>
        <v/>
      </c>
      <c r="BF202" t="str">
        <f>""</f>
        <v/>
      </c>
      <c r="BG202" t="str">
        <f>""</f>
        <v/>
      </c>
      <c r="BH202" t="str">
        <f>""</f>
        <v/>
      </c>
      <c r="BI202" t="str">
        <f>""</f>
        <v/>
      </c>
      <c r="BJ202" t="str">
        <f>""</f>
        <v/>
      </c>
      <c r="BK202" t="str">
        <f>""</f>
        <v/>
      </c>
      <c r="BL202" t="str">
        <f>""</f>
        <v/>
      </c>
      <c r="BM202" t="str">
        <f>""</f>
        <v/>
      </c>
      <c r="BN202" t="str">
        <f>""</f>
        <v/>
      </c>
      <c r="BO202" t="str">
        <f>""</f>
        <v/>
      </c>
      <c r="BP202" t="str">
        <f>""</f>
        <v/>
      </c>
      <c r="BQ202" t="str">
        <f>""</f>
        <v/>
      </c>
      <c r="BR202" t="str">
        <f>""</f>
        <v/>
      </c>
      <c r="BS202" t="str">
        <f>""</f>
        <v/>
      </c>
      <c r="BT202" t="str">
        <f>""</f>
        <v/>
      </c>
      <c r="BU202" t="str">
        <f>""</f>
        <v/>
      </c>
      <c r="BV202" t="str">
        <f>""</f>
        <v/>
      </c>
      <c r="BW202" t="str">
        <f>""</f>
        <v/>
      </c>
      <c r="BX202" t="str">
        <f>""</f>
        <v/>
      </c>
      <c r="BY202" t="str">
        <f>""</f>
        <v/>
      </c>
      <c r="BZ202" t="str">
        <f>""</f>
        <v/>
      </c>
      <c r="CA202" t="str">
        <f>""</f>
        <v/>
      </c>
      <c r="CB202" t="str">
        <f>""</f>
        <v/>
      </c>
      <c r="CC202" t="str">
        <f>""</f>
        <v/>
      </c>
      <c r="CD202" t="str">
        <f>""</f>
        <v/>
      </c>
      <c r="CE202" t="str">
        <f>""</f>
        <v/>
      </c>
      <c r="CF202" t="str">
        <f>""</f>
        <v/>
      </c>
      <c r="CG202" t="str">
        <f>""</f>
        <v/>
      </c>
    </row>
    <row r="203" spans="1:85" x14ac:dyDescent="0.2">
      <c r="A203" t="str">
        <f>"BDH dynamic result2"</f>
        <v>BDH dynamic result2</v>
      </c>
      <c r="AT203" t="str">
        <f>""</f>
        <v/>
      </c>
      <c r="AU203" t="str">
        <f>""</f>
        <v/>
      </c>
      <c r="AV203" t="str">
        <f>""</f>
        <v/>
      </c>
      <c r="AW203" t="str">
        <f>""</f>
        <v/>
      </c>
      <c r="AX203" t="str">
        <f>""</f>
        <v/>
      </c>
      <c r="AY203" t="str">
        <f>""</f>
        <v/>
      </c>
      <c r="AZ203" t="str">
        <f>""</f>
        <v/>
      </c>
      <c r="BA203" t="str">
        <f>""</f>
        <v/>
      </c>
      <c r="BB203" t="str">
        <f>""</f>
        <v/>
      </c>
      <c r="BC203" t="str">
        <f>""</f>
        <v/>
      </c>
      <c r="BD203" t="str">
        <f>""</f>
        <v/>
      </c>
      <c r="BE203" t="str">
        <f>""</f>
        <v/>
      </c>
      <c r="BF203" t="str">
        <f>""</f>
        <v/>
      </c>
      <c r="BG203" t="str">
        <f>""</f>
        <v/>
      </c>
      <c r="BH203" t="str">
        <f>""</f>
        <v/>
      </c>
      <c r="BI203" t="str">
        <f>""</f>
        <v/>
      </c>
      <c r="BJ203" t="str">
        <f>""</f>
        <v/>
      </c>
      <c r="BK203" t="str">
        <f>""</f>
        <v/>
      </c>
      <c r="BL203" t="str">
        <f>""</f>
        <v/>
      </c>
      <c r="BM203" t="str">
        <f>""</f>
        <v/>
      </c>
      <c r="BN203" t="str">
        <f>""</f>
        <v/>
      </c>
      <c r="BO203" t="str">
        <f>""</f>
        <v/>
      </c>
      <c r="BP203" t="str">
        <f>""</f>
        <v/>
      </c>
      <c r="BQ203" t="str">
        <f>""</f>
        <v/>
      </c>
      <c r="BR203" t="str">
        <f>""</f>
        <v/>
      </c>
      <c r="BS203" t="str">
        <f>""</f>
        <v/>
      </c>
      <c r="BT203" t="str">
        <f>""</f>
        <v/>
      </c>
      <c r="BU203" t="str">
        <f>""</f>
        <v/>
      </c>
      <c r="BV203" t="str">
        <f>""</f>
        <v/>
      </c>
      <c r="BW203" t="str">
        <f>""</f>
        <v/>
      </c>
      <c r="BX203" t="str">
        <f>""</f>
        <v/>
      </c>
      <c r="BY203" t="str">
        <f>""</f>
        <v/>
      </c>
      <c r="BZ203" t="str">
        <f>""</f>
        <v/>
      </c>
      <c r="CA203" t="str">
        <f>""</f>
        <v/>
      </c>
      <c r="CB203" t="str">
        <f>""</f>
        <v/>
      </c>
      <c r="CC203" t="str">
        <f>""</f>
        <v/>
      </c>
      <c r="CD203" t="str">
        <f>""</f>
        <v/>
      </c>
      <c r="CE203" t="str">
        <f>""</f>
        <v/>
      </c>
      <c r="CF203" t="str">
        <f>""</f>
        <v/>
      </c>
      <c r="CG203" t="str">
        <f>""</f>
        <v/>
      </c>
    </row>
    <row r="204" spans="1:85" x14ac:dyDescent="0.2">
      <c r="A204" t="str">
        <f>"BDH dynamic"</f>
        <v>BDH dynamic</v>
      </c>
      <c r="B204">
        <f ca="1">IF($B$198&gt;=1,$B$198,IF($B$200&gt;=1,$B$200,IF($B$202&gt;=1,$B$202,$B$189)))</f>
        <v>2</v>
      </c>
      <c r="C204" t="str">
        <f ca="1">IF($B$198&gt;=1,$C$198,IF($B$200&gt;=1,$C$200,IF($B$202&gt;=1,$C$202,$C$189)))</f>
        <v>2023</v>
      </c>
      <c r="D204" t="str">
        <f ca="1">IF($B$198&gt;=1,$D$198,IF($B$200&gt;=1,$D$200,IF($B$202&gt;=1,$D$202,$D$189)))</f>
        <v>2022</v>
      </c>
      <c r="E204" t="str">
        <f ca="1">IF($B$198&gt;=1,$E$198,IF($B$200&gt;=1,$E$200,IF($B$202&gt;=1,$E$202,$E$189)))</f>
        <v>2021</v>
      </c>
      <c r="F204" t="str">
        <f ca="1">IF($B$198&gt;=1,$F$198,IF($B$200&gt;=1,$F$200,IF($B$202&gt;=1,$F$202,$F$189)))</f>
        <v>2020</v>
      </c>
      <c r="G204" t="str">
        <f ca="1">IF($B$198&gt;=1,$G$198,IF($B$200&gt;=1,$G$200,IF($B$202&gt;=1,$G$202,$G$189)))</f>
        <v>2019</v>
      </c>
      <c r="H204" t="str">
        <f ca="1">IF($B$198&gt;=1,$H$198,IF($B$200&gt;=1,$H$200,IF($B$202&gt;=1,$H$202,$H$189)))</f>
        <v>2018</v>
      </c>
      <c r="I204" t="str">
        <f ca="1">IF($B$198&gt;=1,$I$198,IF($B$200&gt;=1,$I$200,IF($B$202&gt;=1,$I$202,$I$189)))</f>
        <v>2017</v>
      </c>
      <c r="J204" t="str">
        <f ca="1">IF($B$198&gt;=1,$J$198,IF($B$200&gt;=1,$J$200,IF($B$202&gt;=1,$J$202,$J$189)))</f>
        <v>2016</v>
      </c>
      <c r="K204" t="str">
        <f ca="1">IF($B$198&gt;=1,$K$198,IF($B$200&gt;=1,$K$200,IF($B$202&gt;=1,$K$202,$K$189)))</f>
        <v>2015</v>
      </c>
      <c r="L204" t="str">
        <f ca="1">IF($B$198&gt;=1,$L$198,IF($B$200&gt;=1,$L$200,IF($B$202&gt;=1,$L$202,$L$189)))</f>
        <v>2014</v>
      </c>
      <c r="M204" t="str">
        <f ca="1">IF($B$198&gt;=1,$M$198,IF($B$200&gt;=1,$M$200,IF($B$202&gt;=1,$M$202,$M$189)))</f>
        <v>2013</v>
      </c>
      <c r="N204" t="str">
        <f ca="1">IF($B$198&gt;=1,$N$198,IF($B$200&gt;=1,$N$200,IF($B$202&gt;=1,$N$202,$N$189)))</f>
        <v>2012</v>
      </c>
      <c r="O204" t="str">
        <f ca="1">IF($B$198&gt;=1,$O$198,IF($B$200&gt;=1,$O$200,IF($B$202&gt;=1,$O$202,$O$189)))</f>
        <v>2011</v>
      </c>
      <c r="P204" t="str">
        <f ca="1">IF($B$198&gt;=1,$P$198,IF($B$200&gt;=1,$P$200,IF($B$202&gt;=1,$P$202,$P$189)))</f>
        <v>2010</v>
      </c>
      <c r="Q204" t="str">
        <f ca="1">IF($B$198&gt;=1,$Q$198,IF($B$200&gt;=1,$Q$200,IF($B$202&gt;=1,$Q$202,$Q$189)))</f>
        <v>2009</v>
      </c>
      <c r="R204" t="str">
        <f ca="1">IF($B$198&gt;=1,$R$198,IF($B$200&gt;=1,$R$200,IF($B$202&gt;=1,$R$202,$R$189)))</f>
        <v>2008</v>
      </c>
      <c r="S204" t="str">
        <f ca="1">IF($B$198&gt;=1,$S$198,IF($B$200&gt;=1,$S$200,IF($B$202&gt;=1,$S$202,$S$189)))</f>
        <v>2007</v>
      </c>
      <c r="T204" t="str">
        <f ca="1">IF($B$198&gt;=1,$T$198,IF($B$200&gt;=1,$T$200,IF($B$202&gt;=1,$T$202,$T$189)))</f>
        <v>2006</v>
      </c>
      <c r="U204" t="str">
        <f ca="1">IF($B$198&gt;=1,$U$198,IF($B$200&gt;=1,$U$200,IF($B$202&gt;=1,$U$202,$U$189)))</f>
        <v>2005</v>
      </c>
      <c r="V204" t="str">
        <f ca="1">IF($B$198&gt;=1,$V$198,IF($B$200&gt;=1,$V$200,IF($B$202&gt;=1,$V$202,$V$189)))</f>
        <v>2004</v>
      </c>
      <c r="W204" t="str">
        <f ca="1">IF($B$198&gt;=1,$W$198,IF($B$200&gt;=1,$W$200,IF($B$202&gt;=1,$W$202,$W$189)))</f>
        <v>2003</v>
      </c>
      <c r="X204" t="str">
        <f ca="1">IF($B$198&gt;=1,$X$198,IF($B$200&gt;=1,$X$200,IF($B$202&gt;=1,$X$202,$X$189)))</f>
        <v>2002</v>
      </c>
      <c r="Y204" t="str">
        <f ca="1">IF($B$198&gt;=1,$Y$198,IF($B$200&gt;=1,$Y$200,IF($B$202&gt;=1,$Y$202,$Y$189)))</f>
        <v>2001</v>
      </c>
      <c r="Z204" t="str">
        <f ca="1">IF($B$198&gt;=1,$Z$198,IF($B$200&gt;=1,$Z$200,IF($B$202&gt;=1,$Z$202,$Z$189)))</f>
        <v>2000</v>
      </c>
      <c r="AA204" t="str">
        <f ca="1">IF($B$198&gt;=1,$AA$198,IF($B$200&gt;=1,$AA$200,IF($B$202&gt;=1,$AA$202,$AA$189)))</f>
        <v>1999</v>
      </c>
      <c r="AB204" t="str">
        <f ca="1">IF($B$198&gt;=1,$AB$198,IF($B$200&gt;=1,$AB$200,IF($B$202&gt;=1,$AB$202,$AB$189)))</f>
        <v>1998</v>
      </c>
      <c r="AC204" t="str">
        <f ca="1">IF($B$198&gt;=1,$AC$198,IF($B$200&gt;=1,$AC$200,IF($B$202&gt;=1,$AC$202,$AC$189)))</f>
        <v>1997</v>
      </c>
      <c r="AD204" t="str">
        <f ca="1">IF($B$198&gt;=1,$AD$198,IF($B$200&gt;=1,$AD$200,IF($B$202&gt;=1,$AD$202,$AD$189)))</f>
        <v>1996</v>
      </c>
      <c r="AE204" t="str">
        <f ca="1">IF($B$198&gt;=1,$AE$198,IF($B$200&gt;=1,$AE$200,IF($B$202&gt;=1,$AE$202,$AE$189)))</f>
        <v>1995</v>
      </c>
      <c r="AF204" t="str">
        <f ca="1">IF($B$198&gt;=1,$AF$198,IF($B$200&gt;=1,$AF$200,IF($B$202&gt;=1,$AF$202,$AF$189)))</f>
        <v>1994</v>
      </c>
      <c r="AG204" t="str">
        <f ca="1">IF($B$198&gt;=1,$AG$198,IF($B$200&gt;=1,$AG$200,IF($B$202&gt;=1,$AG$202,$AG$189)))</f>
        <v>1993</v>
      </c>
      <c r="AH204" t="str">
        <f ca="1">IF($B$198&gt;=1,$AH$198,IF($B$200&gt;=1,$AH$200,IF($B$202&gt;=1,$AH$202,$AH$189)))</f>
        <v>1992</v>
      </c>
      <c r="AI204" t="str">
        <f ca="1">IF($B$198&gt;=1,$AI$198,IF($B$200&gt;=1,$AI$200,IF($B$202&gt;=1,$AI$202,$AI$189)))</f>
        <v>1991</v>
      </c>
      <c r="AJ204" t="str">
        <f ca="1">IF($B$198&gt;=1,$AJ$198,IF($B$200&gt;=1,$AJ$200,IF($B$202&gt;=1,$AJ$202,$AJ$189)))</f>
        <v>1990</v>
      </c>
      <c r="AK204" t="str">
        <f ca="1">IF($B$198&gt;=1,$AK$198,IF($B$200&gt;=1,$AK$200,IF($B$202&gt;=1,$AK$202,$AK$189)))</f>
        <v>1989</v>
      </c>
      <c r="AL204" t="str">
        <f ca="1">IF($B$198&gt;=1,$AL$198,IF($B$200&gt;=1,$AL$200,IF($B$202&gt;=1,$AL$202,$AL$189)))</f>
        <v>1988</v>
      </c>
      <c r="AM204" t="str">
        <f ca="1">IF($B$198&gt;=1,$AM$198,IF($B$200&gt;=1,$AM$200,IF($B$202&gt;=1,$AM$202,$AM$189)))</f>
        <v>1987</v>
      </c>
      <c r="AN204" t="str">
        <f ca="1">IF($B$198&gt;=1,$AN$198,IF($B$200&gt;=1,$AN$200,IF($B$202&gt;=1,$AN$202,$AN$189)))</f>
        <v>1986</v>
      </c>
      <c r="AO204" t="str">
        <f ca="1">IF($B$198&gt;=1,$AO$198,IF($B$200&gt;=1,$AO$200,IF($B$202&gt;=1,$AO$202,$AO$189)))</f>
        <v>1985</v>
      </c>
      <c r="AP204" t="str">
        <f ca="1">IF($B$198&gt;=1,$AP$198,IF($B$200&gt;=1,$AP$200,IF($B$202&gt;=1,$AP$202,$AP$189)))</f>
        <v>1984</v>
      </c>
      <c r="AT204" t="str">
        <f>""</f>
        <v/>
      </c>
      <c r="AU204" t="str">
        <f>""</f>
        <v/>
      </c>
      <c r="AV204" t="str">
        <f>""</f>
        <v/>
      </c>
      <c r="AW204" t="str">
        <f>""</f>
        <v/>
      </c>
      <c r="AX204" t="str">
        <f>""</f>
        <v/>
      </c>
      <c r="AY204" t="str">
        <f>""</f>
        <v/>
      </c>
      <c r="AZ204" t="str">
        <f>""</f>
        <v/>
      </c>
      <c r="BA204" t="str">
        <f>""</f>
        <v/>
      </c>
      <c r="BB204" t="str">
        <f>""</f>
        <v/>
      </c>
      <c r="BC204" t="str">
        <f>""</f>
        <v/>
      </c>
      <c r="BD204" t="str">
        <f>""</f>
        <v/>
      </c>
      <c r="BE204" t="str">
        <f>""</f>
        <v/>
      </c>
      <c r="BF204" t="str">
        <f>""</f>
        <v/>
      </c>
      <c r="BG204" t="str">
        <f>""</f>
        <v/>
      </c>
      <c r="BH204" t="str">
        <f>""</f>
        <v/>
      </c>
      <c r="BI204" t="str">
        <f>""</f>
        <v/>
      </c>
      <c r="BJ204" t="str">
        <f>""</f>
        <v/>
      </c>
      <c r="BK204" t="str">
        <f>""</f>
        <v/>
      </c>
      <c r="BL204" t="str">
        <f>""</f>
        <v/>
      </c>
      <c r="BM204" t="str">
        <f>""</f>
        <v/>
      </c>
      <c r="BN204" t="str">
        <f>""</f>
        <v/>
      </c>
      <c r="BO204" t="str">
        <f>""</f>
        <v/>
      </c>
      <c r="BP204" t="str">
        <f>""</f>
        <v/>
      </c>
      <c r="BQ204" t="str">
        <f>""</f>
        <v/>
      </c>
      <c r="BR204" t="str">
        <f>""</f>
        <v/>
      </c>
      <c r="BS204" t="str">
        <f>""</f>
        <v/>
      </c>
      <c r="BT204" t="str">
        <f>""</f>
        <v/>
      </c>
      <c r="BU204" t="str">
        <f>""</f>
        <v/>
      </c>
      <c r="BV204" t="str">
        <f>""</f>
        <v/>
      </c>
      <c r="BW204" t="str">
        <f>""</f>
        <v/>
      </c>
      <c r="BX204" t="str">
        <f>""</f>
        <v/>
      </c>
      <c r="BY204" t="str">
        <f>""</f>
        <v/>
      </c>
      <c r="BZ204" t="str">
        <f>""</f>
        <v/>
      </c>
      <c r="CA204" t="str">
        <f>""</f>
        <v/>
      </c>
      <c r="CB204" t="str">
        <f>""</f>
        <v/>
      </c>
      <c r="CC204" t="str">
        <f>""</f>
        <v/>
      </c>
      <c r="CD204" t="str">
        <f>""</f>
        <v/>
      </c>
      <c r="CE204" t="str">
        <f>""</f>
        <v/>
      </c>
      <c r="CF204" t="str">
        <f>""</f>
        <v/>
      </c>
      <c r="CG204" t="str">
        <f>""</f>
        <v/>
      </c>
    </row>
    <row r="205" spans="1:85" x14ac:dyDescent="0.2">
      <c r="A205" t="str">
        <f>"BDH dynamic title"</f>
        <v>BDH dynamic title</v>
      </c>
      <c r="B205">
        <f ca="1">$B$204</f>
        <v>2</v>
      </c>
      <c r="C205" t="str">
        <f ca="1">SUBSTITUTE(SUBSTITUTE($C$204,"CY1 ",""),"C","")</f>
        <v>2023</v>
      </c>
      <c r="D205" t="str">
        <f ca="1">SUBSTITUTE(SUBSTITUTE($D$204,"CY1 ",""),"C","")</f>
        <v>2022</v>
      </c>
      <c r="E205" t="str">
        <f ca="1">SUBSTITUTE(SUBSTITUTE($E$204,"CY1 ",""),"C","")</f>
        <v>2021</v>
      </c>
      <c r="F205" t="str">
        <f ca="1">SUBSTITUTE(SUBSTITUTE($F$204,"CY1 ",""),"C","")</f>
        <v>2020</v>
      </c>
      <c r="G205" t="str">
        <f ca="1">SUBSTITUTE(SUBSTITUTE($G$204,"CY1 ",""),"C","")</f>
        <v>2019</v>
      </c>
      <c r="H205" t="str">
        <f ca="1">SUBSTITUTE(SUBSTITUTE($H$204,"CY1 ",""),"C","")</f>
        <v>2018</v>
      </c>
      <c r="I205" t="str">
        <f ca="1">SUBSTITUTE(SUBSTITUTE($I$204,"CY1 ",""),"C","")</f>
        <v>2017</v>
      </c>
      <c r="J205" t="str">
        <f ca="1">SUBSTITUTE(SUBSTITUTE($J$204,"CY1 ",""),"C","")</f>
        <v>2016</v>
      </c>
      <c r="K205" t="str">
        <f ca="1">SUBSTITUTE(SUBSTITUTE($K$204,"CY1 ",""),"C","")</f>
        <v>2015</v>
      </c>
      <c r="L205" t="str">
        <f ca="1">SUBSTITUTE(SUBSTITUTE($L$204,"CY1 ",""),"C","")</f>
        <v>2014</v>
      </c>
      <c r="M205" t="str">
        <f ca="1">SUBSTITUTE(SUBSTITUTE($M$204,"CY1 ",""),"C","")</f>
        <v>2013</v>
      </c>
      <c r="N205" t="str">
        <f ca="1">SUBSTITUTE(SUBSTITUTE($N$204,"CY1 ",""),"C","")</f>
        <v>2012</v>
      </c>
      <c r="O205" t="str">
        <f ca="1">SUBSTITUTE(SUBSTITUTE($O$204,"CY1 ",""),"C","")</f>
        <v>2011</v>
      </c>
      <c r="P205" t="str">
        <f ca="1">SUBSTITUTE(SUBSTITUTE($P$204,"CY1 ",""),"C","")</f>
        <v>2010</v>
      </c>
      <c r="Q205" t="str">
        <f ca="1">SUBSTITUTE(SUBSTITUTE($Q$204,"CY1 ",""),"C","")</f>
        <v>2009</v>
      </c>
      <c r="R205" t="str">
        <f ca="1">SUBSTITUTE(SUBSTITUTE($R$204,"CY1 ",""),"C","")</f>
        <v>2008</v>
      </c>
      <c r="S205" t="str">
        <f ca="1">SUBSTITUTE(SUBSTITUTE($S$204,"CY1 ",""),"C","")</f>
        <v>2007</v>
      </c>
      <c r="T205" t="str">
        <f ca="1">SUBSTITUTE(SUBSTITUTE($T$204,"CY1 ",""),"C","")</f>
        <v>2006</v>
      </c>
      <c r="U205" t="str">
        <f ca="1">SUBSTITUTE(SUBSTITUTE($U$204,"CY1 ",""),"C","")</f>
        <v>2005</v>
      </c>
      <c r="V205" t="str">
        <f ca="1">SUBSTITUTE(SUBSTITUTE($V$204,"CY1 ",""),"C","")</f>
        <v>2004</v>
      </c>
      <c r="W205" t="str">
        <f ca="1">SUBSTITUTE(SUBSTITUTE($W$204,"CY1 ",""),"C","")</f>
        <v>2003</v>
      </c>
      <c r="X205" t="str">
        <f ca="1">SUBSTITUTE(SUBSTITUTE($X$204,"CY1 ",""),"C","")</f>
        <v>2002</v>
      </c>
      <c r="Y205" t="str">
        <f ca="1">SUBSTITUTE(SUBSTITUTE($Y$204,"CY1 ",""),"C","")</f>
        <v>2001</v>
      </c>
      <c r="Z205" t="str">
        <f ca="1">SUBSTITUTE(SUBSTITUTE($Z$204,"CY1 ",""),"C","")</f>
        <v>2000</v>
      </c>
      <c r="AA205" t="str">
        <f ca="1">SUBSTITUTE(SUBSTITUTE($AA$204,"CY1 ",""),"C","")</f>
        <v>1999</v>
      </c>
      <c r="AB205" t="str">
        <f ca="1">SUBSTITUTE(SUBSTITUTE($AB$204,"CY1 ",""),"C","")</f>
        <v>1998</v>
      </c>
      <c r="AC205" t="str">
        <f ca="1">SUBSTITUTE(SUBSTITUTE($AC$204,"CY1 ",""),"C","")</f>
        <v>1997</v>
      </c>
      <c r="AD205" t="str">
        <f ca="1">SUBSTITUTE(SUBSTITUTE($AD$204,"CY1 ",""),"C","")</f>
        <v>1996</v>
      </c>
      <c r="AE205" t="str">
        <f ca="1">SUBSTITUTE(SUBSTITUTE($AE$204,"CY1 ",""),"C","")</f>
        <v>1995</v>
      </c>
      <c r="AF205" t="str">
        <f ca="1">SUBSTITUTE(SUBSTITUTE($AF$204,"CY1 ",""),"C","")</f>
        <v>1994</v>
      </c>
      <c r="AG205" t="str">
        <f ca="1">SUBSTITUTE(SUBSTITUTE($AG$204,"CY1 ",""),"C","")</f>
        <v>1993</v>
      </c>
      <c r="AH205" t="str">
        <f ca="1">SUBSTITUTE(SUBSTITUTE($AH$204,"CY1 ",""),"C","")</f>
        <v>1992</v>
      </c>
      <c r="AI205" t="str">
        <f ca="1">SUBSTITUTE(SUBSTITUTE($AI$204,"CY1 ",""),"C","")</f>
        <v>1991</v>
      </c>
      <c r="AJ205" t="str">
        <f ca="1">SUBSTITUTE(SUBSTITUTE($AJ$204,"CY1 ",""),"C","")</f>
        <v>1990</v>
      </c>
      <c r="AK205" t="str">
        <f ca="1">SUBSTITUTE(SUBSTITUTE($AK$204,"CY1 ",""),"C","")</f>
        <v>1989</v>
      </c>
      <c r="AL205" t="str">
        <f ca="1">SUBSTITUTE(SUBSTITUTE($AL$204,"CY1 ",""),"C","")</f>
        <v>1988</v>
      </c>
      <c r="AM205" t="str">
        <f ca="1">SUBSTITUTE(SUBSTITUTE($AM$204,"CY1 ",""),"C","")</f>
        <v>1987</v>
      </c>
      <c r="AN205" t="str">
        <f ca="1">SUBSTITUTE(SUBSTITUTE($AN$204,"CY1 ",""),"C","")</f>
        <v>1986</v>
      </c>
      <c r="AO205" t="str">
        <f ca="1">SUBSTITUTE(SUBSTITUTE($AO$204,"CY1 ",""),"C","")</f>
        <v>1985</v>
      </c>
      <c r="AP205" t="str">
        <f ca="1">SUBSTITUTE(SUBSTITUTE($AP$204,"CY1 ",""),"C","")</f>
        <v>1984</v>
      </c>
      <c r="AT205" t="str">
        <f>""</f>
        <v/>
      </c>
      <c r="AU205" t="str">
        <f>""</f>
        <v/>
      </c>
      <c r="AV205" t="str">
        <f>""</f>
        <v/>
      </c>
      <c r="AW205" t="str">
        <f>""</f>
        <v/>
      </c>
      <c r="AX205" t="str">
        <f>""</f>
        <v/>
      </c>
      <c r="AY205" t="str">
        <f>""</f>
        <v/>
      </c>
      <c r="AZ205" t="str">
        <f>""</f>
        <v/>
      </c>
      <c r="BA205" t="str">
        <f>""</f>
        <v/>
      </c>
      <c r="BB205" t="str">
        <f>""</f>
        <v/>
      </c>
      <c r="BC205" t="str">
        <f>""</f>
        <v/>
      </c>
      <c r="BD205" t="str">
        <f>""</f>
        <v/>
      </c>
      <c r="BE205" t="str">
        <f>""</f>
        <v/>
      </c>
      <c r="BF205" t="str">
        <f>""</f>
        <v/>
      </c>
      <c r="BG205" t="str">
        <f>""</f>
        <v/>
      </c>
      <c r="BH205" t="str">
        <f>""</f>
        <v/>
      </c>
      <c r="BI205" t="str">
        <f>""</f>
        <v/>
      </c>
      <c r="BJ205" t="str">
        <f>""</f>
        <v/>
      </c>
      <c r="BK205" t="str">
        <f>""</f>
        <v/>
      </c>
      <c r="BL205" t="str">
        <f>""</f>
        <v/>
      </c>
      <c r="BM205" t="str">
        <f>""</f>
        <v/>
      </c>
      <c r="BN205" t="str">
        <f>""</f>
        <v/>
      </c>
      <c r="BO205" t="str">
        <f>""</f>
        <v/>
      </c>
      <c r="BP205" t="str">
        <f>""</f>
        <v/>
      </c>
      <c r="BQ205" t="str">
        <f>""</f>
        <v/>
      </c>
      <c r="BR205" t="str">
        <f>""</f>
        <v/>
      </c>
      <c r="BS205" t="str">
        <f>""</f>
        <v/>
      </c>
      <c r="BT205" t="str">
        <f>""</f>
        <v/>
      </c>
      <c r="BU205" t="str">
        <f>""</f>
        <v/>
      </c>
      <c r="BV205" t="str">
        <f>""</f>
        <v/>
      </c>
      <c r="BW205" t="str">
        <f>""</f>
        <v/>
      </c>
      <c r="BX205" t="str">
        <f>""</f>
        <v/>
      </c>
      <c r="BY205" t="str">
        <f>""</f>
        <v/>
      </c>
      <c r="BZ205" t="str">
        <f>""</f>
        <v/>
      </c>
      <c r="CA205" t="str">
        <f>""</f>
        <v/>
      </c>
      <c r="CB205" t="str">
        <f>""</f>
        <v/>
      </c>
      <c r="CC205" t="str">
        <f>""</f>
        <v/>
      </c>
      <c r="CD205" t="str">
        <f>""</f>
        <v/>
      </c>
      <c r="CE205" t="str">
        <f>""</f>
        <v/>
      </c>
      <c r="CF205" t="str">
        <f>""</f>
        <v/>
      </c>
      <c r="CG205" t="str">
        <f>""</f>
        <v/>
      </c>
    </row>
    <row r="206" spans="1:85" x14ac:dyDescent="0.2">
      <c r="A206" t="str">
        <f>"No error found"</f>
        <v>No error found</v>
      </c>
      <c r="B206" t="str">
        <f>""</f>
        <v/>
      </c>
      <c r="C206" t="str">
        <f>""</f>
        <v/>
      </c>
      <c r="D206" t="str">
        <f>""</f>
        <v/>
      </c>
      <c r="E206" t="str">
        <f>""</f>
        <v/>
      </c>
      <c r="AT206" t="str">
        <f>""</f>
        <v/>
      </c>
      <c r="AU206" t="str">
        <f>""</f>
        <v/>
      </c>
      <c r="AV206" t="str">
        <f>""</f>
        <v/>
      </c>
      <c r="AW206" t="str">
        <f>""</f>
        <v/>
      </c>
      <c r="AX206" t="str">
        <f>""</f>
        <v/>
      </c>
      <c r="AY206" t="str">
        <f>""</f>
        <v/>
      </c>
      <c r="AZ206" t="str">
        <f>""</f>
        <v/>
      </c>
      <c r="BA206" t="str">
        <f>""</f>
        <v/>
      </c>
      <c r="BB206" t="str">
        <f>""</f>
        <v/>
      </c>
      <c r="BC206" t="str">
        <f>""</f>
        <v/>
      </c>
      <c r="BD206" t="str">
        <f>""</f>
        <v/>
      </c>
      <c r="BE206" t="str">
        <f>""</f>
        <v/>
      </c>
      <c r="BF206" t="str">
        <f>""</f>
        <v/>
      </c>
      <c r="BG206" t="str">
        <f>""</f>
        <v/>
      </c>
      <c r="BH206" t="str">
        <f>""</f>
        <v/>
      </c>
      <c r="BI206" t="str">
        <f>""</f>
        <v/>
      </c>
      <c r="BJ206" t="str">
        <f>""</f>
        <v/>
      </c>
      <c r="BK206" t="str">
        <f>""</f>
        <v/>
      </c>
      <c r="BL206" t="str">
        <f>""</f>
        <v/>
      </c>
      <c r="BM206" t="str">
        <f>""</f>
        <v/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  <c r="BT206" t="str">
        <f>""</f>
        <v/>
      </c>
      <c r="BU206" t="str">
        <f>""</f>
        <v/>
      </c>
      <c r="BV206" t="str">
        <f>""</f>
        <v/>
      </c>
      <c r="BW206" t="str">
        <f>""</f>
        <v/>
      </c>
      <c r="BX206" t="str">
        <f>""</f>
        <v/>
      </c>
      <c r="BY206" t="str">
        <f>""</f>
        <v/>
      </c>
      <c r="BZ206" t="str">
        <f>""</f>
        <v/>
      </c>
      <c r="CA206" t="str">
        <f>""</f>
        <v/>
      </c>
      <c r="CB206" t="str">
        <f>""</f>
        <v/>
      </c>
      <c r="CC206" t="str">
        <f>""</f>
        <v/>
      </c>
      <c r="CD206" t="str">
        <f>""</f>
        <v/>
      </c>
      <c r="CE206" t="str">
        <f>""</f>
        <v/>
      </c>
      <c r="CF206" t="str">
        <f>""</f>
        <v/>
      </c>
      <c r="CG206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baseColWidth="10" defaultColWidth="8.83203125" defaultRowHeight="15" x14ac:dyDescent="0.2"/>
  <cols>
    <col min="1" max="1" width="9.1640625" bestFit="1" customWidth="1"/>
  </cols>
  <sheetData>
    <row r="1" spans="1:1" x14ac:dyDescent="0.2">
      <c r="A1" s="1"/>
    </row>
    <row r="2" spans="1:1" x14ac:dyDescent="0.2">
      <c r="A2" t="s">
        <v>0</v>
      </c>
    </row>
    <row r="3" spans="1:1" x14ac:dyDescent="0.2">
      <c r="A3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6" spans="1:1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20" spans="1:1" x14ac:dyDescent="0.2">
      <c r="A20" t="s">
        <v>15</v>
      </c>
    </row>
    <row r="21" spans="1:1" x14ac:dyDescent="0.2">
      <c r="A21" t="s">
        <v>16</v>
      </c>
    </row>
    <row r="22" spans="1:1" x14ac:dyDescent="0.2">
      <c r="A22" t="s">
        <v>17</v>
      </c>
    </row>
    <row r="23" spans="1:1" x14ac:dyDescent="0.2">
      <c r="A23" t="s">
        <v>18</v>
      </c>
    </row>
    <row r="24" spans="1:1" x14ac:dyDescent="0.2">
      <c r="A24" t="s">
        <v>19</v>
      </c>
    </row>
    <row r="25" spans="1:1" x14ac:dyDescent="0.2">
      <c r="A25" t="s">
        <v>20</v>
      </c>
    </row>
    <row r="26" spans="1:1" x14ac:dyDescent="0.2">
      <c r="A26" t="s">
        <v>21</v>
      </c>
    </row>
    <row r="27" spans="1:1" x14ac:dyDescent="0.2">
      <c r="A27" t="s">
        <v>22</v>
      </c>
    </row>
    <row r="28" spans="1:1" x14ac:dyDescent="0.2">
      <c r="A28" t="s">
        <v>23</v>
      </c>
    </row>
    <row r="29" spans="1:1" x14ac:dyDescent="0.2">
      <c r="A29" t="s">
        <v>24</v>
      </c>
    </row>
    <row r="30" spans="1:1" x14ac:dyDescent="0.2">
      <c r="A30" t="s">
        <v>25</v>
      </c>
    </row>
    <row r="31" spans="1:1" x14ac:dyDescent="0.2">
      <c r="A31" t="s">
        <v>2</v>
      </c>
    </row>
    <row r="32" spans="1:1" x14ac:dyDescent="0.2">
      <c r="A32" t="s">
        <v>26</v>
      </c>
    </row>
    <row r="33" spans="1:1" x14ac:dyDescent="0.2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Molina</cp:lastModifiedBy>
  <dcterms:created xsi:type="dcterms:W3CDTF">1900-01-01T06:00:00Z</dcterms:created>
  <dcterms:modified xsi:type="dcterms:W3CDTF">2023-11-29T20:21:12Z</dcterms:modified>
</cp:coreProperties>
</file>