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ick.CENTERLAR\Desktop\"/>
    </mc:Choice>
  </mc:AlternateContent>
  <xr:revisionPtr revIDLastSave="0" documentId="13_ncr:1_{424132D9-77AD-4DAE-BC6C-CB64FB64BCD5}" xr6:coauthVersionLast="47" xr6:coauthVersionMax="47" xr10:uidLastSave="{00000000-0000-0000-0000-000000000000}"/>
  <bookViews>
    <workbookView xWindow="-120" yWindow="-120" windowWidth="29040" windowHeight="15840" tabRatio="4" xr2:uid="{00000000-000D-0000-FFFF-FFFF00000000}"/>
  </bookViews>
  <sheets>
    <sheet name="Planilha1" sheetId="2" r:id="rId1"/>
    <sheet name="Planilha2" sheetId="3" r:id="rId2"/>
  </sheets>
  <definedNames>
    <definedName name="aporte_inicial">Planilha1!$D$13</definedName>
    <definedName name="aporte_mensal">Planilha1!$D$14</definedName>
    <definedName name="dividendos_mensais">Planilha1!$D$20</definedName>
    <definedName name="patrimonio">Planilha1!$D$17</definedName>
    <definedName name="qtd_anos">Planilha1!$D$15</definedName>
    <definedName name="rendimento_acumulado">Planilha1!$D$19</definedName>
    <definedName name="rendimento_carteira">Planilha1!$D$9</definedName>
    <definedName name="salario">Planilha1!$D$8</definedName>
    <definedName name="sugestao_invt">Planilha1!$D$10</definedName>
    <definedName name="taxa">Planilha1!$D$16</definedName>
    <definedName name="taxa_mensal">Planilha1!$D$16</definedName>
    <definedName name="total_aporte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3" i="3"/>
  <c r="I20" i="3"/>
  <c r="K20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D16" i="2"/>
  <c r="C38" i="2" s="1"/>
  <c r="D38" i="2" s="1"/>
  <c r="I3" i="3"/>
  <c r="K3" i="3" s="1"/>
  <c r="D17" i="2"/>
  <c r="A16" i="3"/>
  <c r="A17" i="3"/>
  <c r="A18" i="3"/>
  <c r="A19" i="3"/>
  <c r="A20" i="3"/>
  <c r="A15" i="3"/>
  <c r="A10" i="3"/>
  <c r="A11" i="3"/>
  <c r="A12" i="3"/>
  <c r="A13" i="3"/>
  <c r="A14" i="3"/>
  <c r="A9" i="3"/>
  <c r="A4" i="3"/>
  <c r="A5" i="3"/>
  <c r="A6" i="3"/>
  <c r="A7" i="3"/>
  <c r="A8" i="3"/>
  <c r="A3" i="3"/>
  <c r="D18" i="2"/>
  <c r="D10" i="2"/>
  <c r="C37" i="2"/>
  <c r="D37" i="2" s="1"/>
  <c r="C36" i="2"/>
  <c r="D36" i="2" s="1"/>
  <c r="C35" i="2"/>
  <c r="D35" i="2" s="1"/>
  <c r="C34" i="2"/>
  <c r="D34" i="2" s="1"/>
  <c r="C33" i="2"/>
  <c r="D33" i="2" s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C25" i="2"/>
  <c r="D25" i="2" s="1"/>
  <c r="C26" i="2"/>
  <c r="D26" i="2" s="1"/>
  <c r="C27" i="2"/>
  <c r="D27" i="2" s="1"/>
  <c r="C28" i="2"/>
  <c r="D28" i="2" s="1"/>
  <c r="C29" i="2"/>
  <c r="D29" i="2" s="1"/>
  <c r="C24" i="2"/>
  <c r="D24" i="2" s="1"/>
  <c r="D30" i="2"/>
  <c r="D20" i="2"/>
  <c r="D19" i="2"/>
</calcChain>
</file>

<file path=xl/sharedStrings.xml><?xml version="1.0" encoding="utf-8"?>
<sst xmlns="http://schemas.openxmlformats.org/spreadsheetml/2006/main" count="78" uniqueCount="43">
  <si>
    <t>INVESTIMENTO MENSAL</t>
  </si>
  <si>
    <t>PATRIMÔNIO TOTAL</t>
  </si>
  <si>
    <t>VALOR TOTAL DE APORTE</t>
  </si>
  <si>
    <t>APORTE MENSAL</t>
  </si>
  <si>
    <t>ANOS DE INVESTIEMTOS</t>
  </si>
  <si>
    <t>DIVIDENDOS MENSAIS</t>
  </si>
  <si>
    <t>TAXA DE RENDIMENTO MENSAL</t>
  </si>
  <si>
    <t>RENDIMENTO ACUMULADO</t>
  </si>
  <si>
    <t>CENÁRIOS</t>
  </si>
  <si>
    <t>Patrimônio Total em 2 Anos</t>
  </si>
  <si>
    <t>Patrimônio Total em 5 Anos</t>
  </si>
  <si>
    <t>Patrimônio Total em 10 Anos</t>
  </si>
  <si>
    <t>Patrimônio Total em 20 Anos</t>
  </si>
  <si>
    <t>Patrimônio Total em 30 Anos</t>
  </si>
  <si>
    <t>Dividendos</t>
  </si>
  <si>
    <t>Configurações</t>
  </si>
  <si>
    <t>APORTE INICIAL</t>
  </si>
  <si>
    <t>Conservador</t>
  </si>
  <si>
    <t>Moderado</t>
  </si>
  <si>
    <t>Agressivo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</si>
  <si>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</si>
  <si>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</si>
  <si>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</si>
  <si>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</si>
  <si>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</si>
  <si>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</si>
  <si>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</si>
  <si>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</si>
  <si>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</si>
  <si>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TIPO DE FIIS</t>
  </si>
  <si>
    <t>%</t>
  </si>
  <si>
    <t>chave</t>
  </si>
  <si>
    <t>TOTAL</t>
  </si>
  <si>
    <t>SELECIONE O PERFIL DE INVESTIMENTO</t>
  </si>
  <si>
    <t>TEMPO EM ANOS</t>
  </si>
  <si>
    <t>TOTAL JUROS</t>
  </si>
  <si>
    <t>ANO</t>
  </si>
  <si>
    <t>Patrimônio Total em 35 Anos</t>
  </si>
  <si>
    <t>VALOR APORTADO</t>
  </si>
  <si>
    <t>SALÁRIO</t>
  </si>
  <si>
    <t>RENDIMENTO DA CARTEIRA</t>
  </si>
  <si>
    <t>SUGESTÃO DE INVESTIMENTO(30%)</t>
  </si>
  <si>
    <t>TIPO DE FIIs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</si>
</sst>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24"/>
      <color theme="0"/>
      <name val="Segoe UI Black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2"/>
      <color theme="0"/>
      <name val="Segoe UI Black"/>
      <family val="2"/>
    </font>
    <font>
      <b/>
      <sz val="12"/>
      <color rgb="FF9C5700"/>
      <name val="Segoe UI Black"/>
      <family val="2"/>
    </font>
    <font>
      <sz val="11"/>
      <color rgb="FF9C57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4A03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4" fillId="4" borderId="3" xfId="0" applyFont="1" applyFill="1" applyBorder="1" applyAlignment="1">
      <alignment horizontal="left" indent="2"/>
    </xf>
    <xf numFmtId="0" fontId="4" fillId="4" borderId="5" xfId="0" applyFont="1" applyFill="1" applyBorder="1" applyAlignment="1">
      <alignment horizontal="left" indent="2"/>
    </xf>
    <xf numFmtId="164" fontId="5" fillId="4" borderId="4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64" fontId="5" fillId="4" borderId="6" xfId="1" applyNumberFormat="1" applyFont="1" applyFill="1" applyBorder="1" applyAlignment="1">
      <alignment horizontal="center" vertical="center"/>
    </xf>
    <xf numFmtId="8" fontId="6" fillId="4" borderId="4" xfId="0" applyNumberFormat="1" applyFont="1" applyFill="1" applyBorder="1" applyAlignment="1">
      <alignment horizontal="center"/>
    </xf>
    <xf numFmtId="8" fontId="6" fillId="4" borderId="6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64" fontId="6" fillId="4" borderId="6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0" xfId="2" applyFont="1" applyAlignment="1">
      <alignment horizontal="center"/>
    </xf>
    <xf numFmtId="9" fontId="0" fillId="0" borderId="7" xfId="2" applyFont="1" applyBorder="1" applyAlignment="1">
      <alignment horizontal="center"/>
    </xf>
    <xf numFmtId="8" fontId="6" fillId="4" borderId="9" xfId="0" applyNumberFormat="1" applyFont="1" applyFill="1" applyBorder="1" applyAlignment="1">
      <alignment horizontal="center"/>
    </xf>
    <xf numFmtId="8" fontId="6" fillId="4" borderId="10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8" fontId="0" fillId="6" borderId="0" xfId="0" applyNumberFormat="1" applyFill="1"/>
    <xf numFmtId="10" fontId="5" fillId="4" borderId="4" xfId="2" applyNumberFormat="1" applyFont="1" applyFill="1" applyBorder="1" applyAlignment="1" applyProtection="1">
      <alignment horizontal="center" vertical="center"/>
    </xf>
    <xf numFmtId="14" fontId="0" fillId="0" borderId="0" xfId="0" applyNumberFormat="1" applyAlignment="1">
      <alignment horizontal="center"/>
    </xf>
    <xf numFmtId="164" fontId="2" fillId="2" borderId="4" xfId="3" applyNumberFormat="1" applyBorder="1" applyAlignment="1" applyProtection="1">
      <alignment horizontal="center"/>
      <protection locked="0"/>
    </xf>
    <xf numFmtId="10" fontId="2" fillId="2" borderId="4" xfId="3" applyNumberFormat="1" applyBorder="1" applyAlignment="1" applyProtection="1">
      <alignment horizontal="center"/>
      <protection locked="0"/>
    </xf>
    <xf numFmtId="0" fontId="8" fillId="7" borderId="1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left" indent="2"/>
    </xf>
    <xf numFmtId="9" fontId="6" fillId="4" borderId="9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/>
    <xf numFmtId="0" fontId="8" fillId="7" borderId="5" xfId="0" applyFont="1" applyFill="1" applyBorder="1" applyAlignment="1">
      <alignment horizontal="center"/>
    </xf>
    <xf numFmtId="9" fontId="8" fillId="7" borderId="10" xfId="0" applyNumberFormat="1" applyFont="1" applyFill="1" applyBorder="1" applyAlignment="1">
      <alignment horizontal="center" vertical="center"/>
    </xf>
    <xf numFmtId="164" fontId="8" fillId="7" borderId="6" xfId="0" applyNumberFormat="1" applyFont="1" applyFill="1" applyBorder="1"/>
    <xf numFmtId="0" fontId="10" fillId="2" borderId="2" xfId="3" applyFont="1" applyBorder="1" applyAlignment="1" applyProtection="1">
      <alignment horizontal="center"/>
      <protection locked="0"/>
    </xf>
    <xf numFmtId="164" fontId="11" fillId="2" borderId="4" xfId="3" applyNumberFormat="1" applyFont="1" applyBorder="1" applyAlignment="1" applyProtection="1">
      <alignment horizontal="center" vertical="center"/>
      <protection locked="0"/>
    </xf>
    <xf numFmtId="0" fontId="11" fillId="2" borderId="4" xfId="3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8" fontId="6" fillId="0" borderId="0" xfId="0" applyNumberFormat="1" applyFont="1"/>
    <xf numFmtId="164" fontId="6" fillId="0" borderId="0" xfId="0" applyNumberFormat="1" applyFont="1"/>
    <xf numFmtId="0" fontId="5" fillId="4" borderId="5" xfId="0" applyFont="1" applyFill="1" applyBorder="1" applyAlignment="1">
      <alignment horizontal="left" indent="2"/>
    </xf>
    <xf numFmtId="0" fontId="5" fillId="4" borderId="10" xfId="0" applyFont="1" applyFill="1" applyBorder="1" applyAlignment="1">
      <alignment horizontal="left" indent="2"/>
    </xf>
    <xf numFmtId="0" fontId="9" fillId="3" borderId="11" xfId="3" applyFont="1" applyFill="1" applyBorder="1" applyAlignment="1">
      <alignment horizontal="center"/>
    </xf>
    <xf numFmtId="0" fontId="9" fillId="3" borderId="12" xfId="3" applyFont="1" applyFill="1" applyBorder="1" applyAlignment="1">
      <alignment horizontal="center"/>
    </xf>
    <xf numFmtId="0" fontId="4" fillId="4" borderId="3" xfId="0" applyFont="1" applyFill="1" applyBorder="1" applyAlignment="1">
      <alignment horizontal="left" indent="2"/>
    </xf>
    <xf numFmtId="0" fontId="4" fillId="4" borderId="9" xfId="0" applyFont="1" applyFill="1" applyBorder="1" applyAlignment="1">
      <alignment horizontal="left" indent="2"/>
    </xf>
    <xf numFmtId="0" fontId="4" fillId="4" borderId="5" xfId="0" applyFont="1" applyFill="1" applyBorder="1" applyAlignment="1">
      <alignment horizontal="left" indent="2"/>
    </xf>
    <xf numFmtId="0" fontId="4" fillId="4" borderId="10" xfId="0" applyFont="1" applyFill="1" applyBorder="1" applyAlignment="1">
      <alignment horizontal="left" indent="2"/>
    </xf>
    <xf numFmtId="0" fontId="5" fillId="4" borderId="3" xfId="0" applyFont="1" applyFill="1" applyBorder="1" applyAlignment="1">
      <alignment horizontal="left" indent="2"/>
    </xf>
    <xf numFmtId="0" fontId="5" fillId="4" borderId="9" xfId="0" applyFont="1" applyFill="1" applyBorder="1" applyAlignment="1">
      <alignment horizontal="left" indent="2"/>
    </xf>
    <xf numFmtId="0" fontId="6" fillId="4" borderId="3" xfId="0" applyFont="1" applyFill="1" applyBorder="1" applyAlignment="1">
      <alignment horizontal="left" vertical="center" indent="5"/>
    </xf>
    <xf numFmtId="0" fontId="6" fillId="4" borderId="9" xfId="0" applyFont="1" applyFill="1" applyBorder="1" applyAlignment="1">
      <alignment horizontal="left" vertical="center" indent="5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4A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Patrimonial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Planilha2!$I$2</c:f>
              <c:strCache>
                <c:ptCount val="1"/>
                <c:pt idx="0">
                  <c:v>PATRIMÔNIO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Planilha2!$H$3:$H$20</c:f>
              <c:numCache>
                <c:formatCode>yyyy</c:formatCode>
                <c:ptCount val="18"/>
                <c:pt idx="0">
                  <c:v>46523</c:v>
                </c:pt>
                <c:pt idx="1">
                  <c:v>47254</c:v>
                </c:pt>
                <c:pt idx="2">
                  <c:v>47984</c:v>
                </c:pt>
                <c:pt idx="3">
                  <c:v>48715</c:v>
                </c:pt>
                <c:pt idx="4">
                  <c:v>49445</c:v>
                </c:pt>
                <c:pt idx="5">
                  <c:v>50176</c:v>
                </c:pt>
                <c:pt idx="6">
                  <c:v>50906</c:v>
                </c:pt>
                <c:pt idx="7">
                  <c:v>51637</c:v>
                </c:pt>
                <c:pt idx="8">
                  <c:v>52367</c:v>
                </c:pt>
                <c:pt idx="9">
                  <c:v>53098</c:v>
                </c:pt>
                <c:pt idx="10">
                  <c:v>53828</c:v>
                </c:pt>
                <c:pt idx="11">
                  <c:v>54559</c:v>
                </c:pt>
                <c:pt idx="12">
                  <c:v>55289</c:v>
                </c:pt>
                <c:pt idx="13">
                  <c:v>56020</c:v>
                </c:pt>
                <c:pt idx="14">
                  <c:v>56750</c:v>
                </c:pt>
                <c:pt idx="15">
                  <c:v>57481</c:v>
                </c:pt>
                <c:pt idx="16">
                  <c:v>58211</c:v>
                </c:pt>
                <c:pt idx="17">
                  <c:v>58577</c:v>
                </c:pt>
              </c:numCache>
            </c:numRef>
          </c:cat>
          <c:val>
            <c:numRef>
              <c:f>Planilha2!$I$3:$I$20</c:f>
              <c:numCache>
                <c:formatCode>"R$"#,##0.00_);[Red]\("R$"#,##0.00\)</c:formatCode>
                <c:ptCount val="18"/>
                <c:pt idx="0">
                  <c:v>54775.951656297882</c:v>
                </c:pt>
                <c:pt idx="1">
                  <c:v>111629.52889528923</c:v>
                </c:pt>
                <c:pt idx="2">
                  <c:v>183818.485808622</c:v>
                </c:pt>
                <c:pt idx="3">
                  <c:v>275479.30564285815</c:v>
                </c:pt>
                <c:pt idx="4">
                  <c:v>391864.22449922923</c:v>
                </c:pt>
                <c:pt idx="5">
                  <c:v>539642.18853773875</c:v>
                </c:pt>
                <c:pt idx="6">
                  <c:v>727280.98976693768</c:v>
                </c:pt>
                <c:pt idx="7">
                  <c:v>965532.47709664446</c:v>
                </c:pt>
                <c:pt idx="8">
                  <c:v>1268048.645623436</c:v>
                </c:pt>
                <c:pt idx="9">
                  <c:v>1652163.9065430225</c:v>
                </c:pt>
                <c:pt idx="10">
                  <c:v>2139888.3623624989</c:v>
                </c:pt>
                <c:pt idx="11">
                  <c:v>2759169.0028528613</c:v>
                </c:pt>
                <c:pt idx="12">
                  <c:v>3545491.0892485105</c:v>
                </c:pt>
                <c:pt idx="13">
                  <c:v>4543911.4872509716</c:v>
                </c:pt>
                <c:pt idx="14">
                  <c:v>5811640.4603957199</c:v>
                </c:pt>
                <c:pt idx="15">
                  <c:v>7421319.8625453953</c:v>
                </c:pt>
                <c:pt idx="16">
                  <c:v>9465185.5724829771</c:v>
                </c:pt>
                <c:pt idx="17">
                  <c:v>10685392.722618403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8-43E4-9C83-4D31956E81C6}"/>
            </c:ext>
          </c:extLst>
        </c:ser>
        <c:ser>
          <c:idx val="1"/>
          <c:order val="1"/>
          <c:tx>
            <c:strRef>
              <c:f>Planilha2!$J$2</c:f>
              <c:strCache>
                <c:ptCount val="1"/>
                <c:pt idx="0">
                  <c:v>VALOR APORTADO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Planilha2!$H$3:$H$20</c:f>
              <c:numCache>
                <c:formatCode>yyyy</c:formatCode>
                <c:ptCount val="18"/>
                <c:pt idx="0">
                  <c:v>46523</c:v>
                </c:pt>
                <c:pt idx="1">
                  <c:v>47254</c:v>
                </c:pt>
                <c:pt idx="2">
                  <c:v>47984</c:v>
                </c:pt>
                <c:pt idx="3">
                  <c:v>48715</c:v>
                </c:pt>
                <c:pt idx="4">
                  <c:v>49445</c:v>
                </c:pt>
                <c:pt idx="5">
                  <c:v>50176</c:v>
                </c:pt>
                <c:pt idx="6">
                  <c:v>50906</c:v>
                </c:pt>
                <c:pt idx="7">
                  <c:v>51637</c:v>
                </c:pt>
                <c:pt idx="8">
                  <c:v>52367</c:v>
                </c:pt>
                <c:pt idx="9">
                  <c:v>53098</c:v>
                </c:pt>
                <c:pt idx="10">
                  <c:v>53828</c:v>
                </c:pt>
                <c:pt idx="11">
                  <c:v>54559</c:v>
                </c:pt>
                <c:pt idx="12">
                  <c:v>55289</c:v>
                </c:pt>
                <c:pt idx="13">
                  <c:v>56020</c:v>
                </c:pt>
                <c:pt idx="14">
                  <c:v>56750</c:v>
                </c:pt>
                <c:pt idx="15">
                  <c:v>57481</c:v>
                </c:pt>
                <c:pt idx="16">
                  <c:v>58211</c:v>
                </c:pt>
                <c:pt idx="17">
                  <c:v>58577</c:v>
                </c:pt>
              </c:numCache>
            </c:numRef>
          </c:cat>
          <c:val>
            <c:numRef>
              <c:f>Planilha2!$J$3:$J$20</c:f>
              <c:numCache>
                <c:formatCode>"R$"\ #,##0.00</c:formatCode>
                <c:ptCount val="18"/>
                <c:pt idx="0">
                  <c:v>47440</c:v>
                </c:pt>
                <c:pt idx="1">
                  <c:v>84880</c:v>
                </c:pt>
                <c:pt idx="2">
                  <c:v>122320</c:v>
                </c:pt>
                <c:pt idx="3">
                  <c:v>159760</c:v>
                </c:pt>
                <c:pt idx="4">
                  <c:v>197200</c:v>
                </c:pt>
                <c:pt idx="5">
                  <c:v>234640</c:v>
                </c:pt>
                <c:pt idx="6">
                  <c:v>272080</c:v>
                </c:pt>
                <c:pt idx="7">
                  <c:v>309520</c:v>
                </c:pt>
                <c:pt idx="8">
                  <c:v>346960</c:v>
                </c:pt>
                <c:pt idx="9">
                  <c:v>384400</c:v>
                </c:pt>
                <c:pt idx="10">
                  <c:v>421840</c:v>
                </c:pt>
                <c:pt idx="11">
                  <c:v>459280</c:v>
                </c:pt>
                <c:pt idx="12">
                  <c:v>496720</c:v>
                </c:pt>
                <c:pt idx="13">
                  <c:v>534160</c:v>
                </c:pt>
                <c:pt idx="14">
                  <c:v>571600</c:v>
                </c:pt>
                <c:pt idx="15">
                  <c:v>609040</c:v>
                </c:pt>
                <c:pt idx="16">
                  <c:v>646480</c:v>
                </c:pt>
                <c:pt idx="17">
                  <c:v>665200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8-43E4-9C83-4D31956E81C6}"/>
            </c:ext>
          </c:extLst>
        </c:ser>
        <c:ser>
          <c:idx val="2"/>
          <c:order val="2"/>
          <c:tx>
            <c:strRef>
              <c:f>Planilha2!$K$2</c:f>
              <c:strCache>
                <c:ptCount val="1"/>
                <c:pt idx="0">
                  <c:v>TOTAL JUROS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Planilha2!$H$3:$H$20</c:f>
              <c:numCache>
                <c:formatCode>yyyy</c:formatCode>
                <c:ptCount val="18"/>
                <c:pt idx="0">
                  <c:v>46523</c:v>
                </c:pt>
                <c:pt idx="1">
                  <c:v>47254</c:v>
                </c:pt>
                <c:pt idx="2">
                  <c:v>47984</c:v>
                </c:pt>
                <c:pt idx="3">
                  <c:v>48715</c:v>
                </c:pt>
                <c:pt idx="4">
                  <c:v>49445</c:v>
                </c:pt>
                <c:pt idx="5">
                  <c:v>50176</c:v>
                </c:pt>
                <c:pt idx="6">
                  <c:v>50906</c:v>
                </c:pt>
                <c:pt idx="7">
                  <c:v>51637</c:v>
                </c:pt>
                <c:pt idx="8">
                  <c:v>52367</c:v>
                </c:pt>
                <c:pt idx="9">
                  <c:v>53098</c:v>
                </c:pt>
                <c:pt idx="10">
                  <c:v>53828</c:v>
                </c:pt>
                <c:pt idx="11">
                  <c:v>54559</c:v>
                </c:pt>
                <c:pt idx="12">
                  <c:v>55289</c:v>
                </c:pt>
                <c:pt idx="13">
                  <c:v>56020</c:v>
                </c:pt>
                <c:pt idx="14">
                  <c:v>56750</c:v>
                </c:pt>
                <c:pt idx="15">
                  <c:v>57481</c:v>
                </c:pt>
                <c:pt idx="16">
                  <c:v>58211</c:v>
                </c:pt>
                <c:pt idx="17">
                  <c:v>58577</c:v>
                </c:pt>
              </c:numCache>
            </c:numRef>
          </c:cat>
          <c:val>
            <c:numRef>
              <c:f>Planilha2!$K$3:$K$20</c:f>
              <c:numCache>
                <c:formatCode>"R$"#,##0.00_);[Red]\("R$"#,##0.00\)</c:formatCode>
                <c:ptCount val="18"/>
                <c:pt idx="0">
                  <c:v>7335.9516562978824</c:v>
                </c:pt>
                <c:pt idx="1">
                  <c:v>26749.52889528923</c:v>
                </c:pt>
                <c:pt idx="2">
                  <c:v>61498.485808622005</c:v>
                </c:pt>
                <c:pt idx="3">
                  <c:v>115719.30564285815</c:v>
                </c:pt>
                <c:pt idx="4">
                  <c:v>194664.22449922923</c:v>
                </c:pt>
                <c:pt idx="5">
                  <c:v>305002.18853773875</c:v>
                </c:pt>
                <c:pt idx="6">
                  <c:v>455200.98976693768</c:v>
                </c:pt>
                <c:pt idx="7">
                  <c:v>656012.47709664446</c:v>
                </c:pt>
                <c:pt idx="8">
                  <c:v>921088.64562343596</c:v>
                </c:pt>
                <c:pt idx="9">
                  <c:v>1267763.9065430225</c:v>
                </c:pt>
                <c:pt idx="10">
                  <c:v>1718048.3623624989</c:v>
                </c:pt>
                <c:pt idx="11">
                  <c:v>2299889.0028528613</c:v>
                </c:pt>
                <c:pt idx="12">
                  <c:v>3048771.0892485105</c:v>
                </c:pt>
                <c:pt idx="13">
                  <c:v>4009751.4872509716</c:v>
                </c:pt>
                <c:pt idx="14">
                  <c:v>5240040.4603957199</c:v>
                </c:pt>
                <c:pt idx="15">
                  <c:v>6812279.8625453953</c:v>
                </c:pt>
                <c:pt idx="16">
                  <c:v>8818705.5724829771</c:v>
                </c:pt>
                <c:pt idx="17">
                  <c:v>10020192.722618403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8-43E4-9C83-4D31956E8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696367"/>
        <c:axId val="807671407"/>
      </c:lineChart>
      <c:dateAx>
        <c:axId val="807696367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671407"/>
        <c:crosses val="autoZero"/>
        <c:auto val="1"/>
        <c:lblOffset val="100"/>
        <c:baseTimeUnit val="years"/>
      </c:dateAx>
      <c:valAx>
        <c:axId val="807671407"/>
        <c:scaling>
          <c:logBase val="2"/>
          <c:orientation val="minMax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696367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Patrimonial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Planilha2!$I$2</c:f>
              <c:strCache>
                <c:ptCount val="1"/>
                <c:pt idx="0">
                  <c:v>PATRIMÔNIO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Planilha2!$H$3:$H$20</c:f>
              <c:numCache>
                <c:formatCode>yyyy</c:formatCode>
                <c:ptCount val="18"/>
                <c:pt idx="0">
                  <c:v>46523</c:v>
                </c:pt>
                <c:pt idx="1">
                  <c:v>47254</c:v>
                </c:pt>
                <c:pt idx="2">
                  <c:v>47984</c:v>
                </c:pt>
                <c:pt idx="3">
                  <c:v>48715</c:v>
                </c:pt>
                <c:pt idx="4">
                  <c:v>49445</c:v>
                </c:pt>
                <c:pt idx="5">
                  <c:v>50176</c:v>
                </c:pt>
                <c:pt idx="6">
                  <c:v>50906</c:v>
                </c:pt>
                <c:pt idx="7">
                  <c:v>51637</c:v>
                </c:pt>
                <c:pt idx="8">
                  <c:v>52367</c:v>
                </c:pt>
                <c:pt idx="9">
                  <c:v>53098</c:v>
                </c:pt>
                <c:pt idx="10">
                  <c:v>53828</c:v>
                </c:pt>
                <c:pt idx="11">
                  <c:v>54559</c:v>
                </c:pt>
                <c:pt idx="12">
                  <c:v>55289</c:v>
                </c:pt>
                <c:pt idx="13">
                  <c:v>56020</c:v>
                </c:pt>
                <c:pt idx="14">
                  <c:v>56750</c:v>
                </c:pt>
                <c:pt idx="15">
                  <c:v>57481</c:v>
                </c:pt>
                <c:pt idx="16">
                  <c:v>58211</c:v>
                </c:pt>
                <c:pt idx="17">
                  <c:v>58577</c:v>
                </c:pt>
              </c:numCache>
            </c:numRef>
          </c:cat>
          <c:val>
            <c:numRef>
              <c:f>Planilha2!$I$3:$I$20</c:f>
              <c:numCache>
                <c:formatCode>"R$"#,##0.00_);[Red]\("R$"#,##0.00\)</c:formatCode>
                <c:ptCount val="18"/>
                <c:pt idx="0">
                  <c:v>54775.951656297882</c:v>
                </c:pt>
                <c:pt idx="1">
                  <c:v>111629.52889528923</c:v>
                </c:pt>
                <c:pt idx="2">
                  <c:v>183818.485808622</c:v>
                </c:pt>
                <c:pt idx="3">
                  <c:v>275479.30564285815</c:v>
                </c:pt>
                <c:pt idx="4">
                  <c:v>391864.22449922923</c:v>
                </c:pt>
                <c:pt idx="5">
                  <c:v>539642.18853773875</c:v>
                </c:pt>
                <c:pt idx="6">
                  <c:v>727280.98976693768</c:v>
                </c:pt>
                <c:pt idx="7">
                  <c:v>965532.47709664446</c:v>
                </c:pt>
                <c:pt idx="8">
                  <c:v>1268048.645623436</c:v>
                </c:pt>
                <c:pt idx="9">
                  <c:v>1652163.9065430225</c:v>
                </c:pt>
                <c:pt idx="10">
                  <c:v>2139888.3623624989</c:v>
                </c:pt>
                <c:pt idx="11">
                  <c:v>2759169.0028528613</c:v>
                </c:pt>
                <c:pt idx="12">
                  <c:v>3545491.0892485105</c:v>
                </c:pt>
                <c:pt idx="13">
                  <c:v>4543911.4872509716</c:v>
                </c:pt>
                <c:pt idx="14">
                  <c:v>5811640.4603957199</c:v>
                </c:pt>
                <c:pt idx="15">
                  <c:v>7421319.8625453953</c:v>
                </c:pt>
                <c:pt idx="16">
                  <c:v>9465185.5724829771</c:v>
                </c:pt>
                <c:pt idx="17">
                  <c:v>10685392.722618403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5-4FFB-A736-C0C69F6B58EC}"/>
            </c:ext>
          </c:extLst>
        </c:ser>
        <c:ser>
          <c:idx val="1"/>
          <c:order val="1"/>
          <c:tx>
            <c:strRef>
              <c:f>Planilha2!$J$2</c:f>
              <c:strCache>
                <c:ptCount val="1"/>
                <c:pt idx="0">
                  <c:v>VALOR APORTADO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Planilha2!$H$3:$H$20</c:f>
              <c:numCache>
                <c:formatCode>yyyy</c:formatCode>
                <c:ptCount val="18"/>
                <c:pt idx="0">
                  <c:v>46523</c:v>
                </c:pt>
                <c:pt idx="1">
                  <c:v>47254</c:v>
                </c:pt>
                <c:pt idx="2">
                  <c:v>47984</c:v>
                </c:pt>
                <c:pt idx="3">
                  <c:v>48715</c:v>
                </c:pt>
                <c:pt idx="4">
                  <c:v>49445</c:v>
                </c:pt>
                <c:pt idx="5">
                  <c:v>50176</c:v>
                </c:pt>
                <c:pt idx="6">
                  <c:v>50906</c:v>
                </c:pt>
                <c:pt idx="7">
                  <c:v>51637</c:v>
                </c:pt>
                <c:pt idx="8">
                  <c:v>52367</c:v>
                </c:pt>
                <c:pt idx="9">
                  <c:v>53098</c:v>
                </c:pt>
                <c:pt idx="10">
                  <c:v>53828</c:v>
                </c:pt>
                <c:pt idx="11">
                  <c:v>54559</c:v>
                </c:pt>
                <c:pt idx="12">
                  <c:v>55289</c:v>
                </c:pt>
                <c:pt idx="13">
                  <c:v>56020</c:v>
                </c:pt>
                <c:pt idx="14">
                  <c:v>56750</c:v>
                </c:pt>
                <c:pt idx="15">
                  <c:v>57481</c:v>
                </c:pt>
                <c:pt idx="16">
                  <c:v>58211</c:v>
                </c:pt>
                <c:pt idx="17">
                  <c:v>58577</c:v>
                </c:pt>
              </c:numCache>
            </c:numRef>
          </c:cat>
          <c:val>
            <c:numRef>
              <c:f>Planilha2!$J$3:$J$20</c:f>
              <c:numCache>
                <c:formatCode>"R$"\ #,##0.00</c:formatCode>
                <c:ptCount val="18"/>
                <c:pt idx="0">
                  <c:v>47440</c:v>
                </c:pt>
                <c:pt idx="1">
                  <c:v>84880</c:v>
                </c:pt>
                <c:pt idx="2">
                  <c:v>122320</c:v>
                </c:pt>
                <c:pt idx="3">
                  <c:v>159760</c:v>
                </c:pt>
                <c:pt idx="4">
                  <c:v>197200</c:v>
                </c:pt>
                <c:pt idx="5">
                  <c:v>234640</c:v>
                </c:pt>
                <c:pt idx="6">
                  <c:v>272080</c:v>
                </c:pt>
                <c:pt idx="7">
                  <c:v>309520</c:v>
                </c:pt>
                <c:pt idx="8">
                  <c:v>346960</c:v>
                </c:pt>
                <c:pt idx="9">
                  <c:v>384400</c:v>
                </c:pt>
                <c:pt idx="10">
                  <c:v>421840</c:v>
                </c:pt>
                <c:pt idx="11">
                  <c:v>459280</c:v>
                </c:pt>
                <c:pt idx="12">
                  <c:v>496720</c:v>
                </c:pt>
                <c:pt idx="13">
                  <c:v>534160</c:v>
                </c:pt>
                <c:pt idx="14">
                  <c:v>571600</c:v>
                </c:pt>
                <c:pt idx="15">
                  <c:v>609040</c:v>
                </c:pt>
                <c:pt idx="16">
                  <c:v>646480</c:v>
                </c:pt>
                <c:pt idx="17">
                  <c:v>665200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5-4FFB-A736-C0C69F6B58EC}"/>
            </c:ext>
          </c:extLst>
        </c:ser>
        <c:ser>
          <c:idx val="2"/>
          <c:order val="2"/>
          <c:tx>
            <c:strRef>
              <c:f>Planilha2!$K$2</c:f>
              <c:strCache>
                <c:ptCount val="1"/>
                <c:pt idx="0">
                  <c:v>TOTAL JUROS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Planilha2!$H$3:$H$20</c:f>
              <c:numCache>
                <c:formatCode>yyyy</c:formatCode>
                <c:ptCount val="18"/>
                <c:pt idx="0">
                  <c:v>46523</c:v>
                </c:pt>
                <c:pt idx="1">
                  <c:v>47254</c:v>
                </c:pt>
                <c:pt idx="2">
                  <c:v>47984</c:v>
                </c:pt>
                <c:pt idx="3">
                  <c:v>48715</c:v>
                </c:pt>
                <c:pt idx="4">
                  <c:v>49445</c:v>
                </c:pt>
                <c:pt idx="5">
                  <c:v>50176</c:v>
                </c:pt>
                <c:pt idx="6">
                  <c:v>50906</c:v>
                </c:pt>
                <c:pt idx="7">
                  <c:v>51637</c:v>
                </c:pt>
                <c:pt idx="8">
                  <c:v>52367</c:v>
                </c:pt>
                <c:pt idx="9">
                  <c:v>53098</c:v>
                </c:pt>
                <c:pt idx="10">
                  <c:v>53828</c:v>
                </c:pt>
                <c:pt idx="11">
                  <c:v>54559</c:v>
                </c:pt>
                <c:pt idx="12">
                  <c:v>55289</c:v>
                </c:pt>
                <c:pt idx="13">
                  <c:v>56020</c:v>
                </c:pt>
                <c:pt idx="14">
                  <c:v>56750</c:v>
                </c:pt>
                <c:pt idx="15">
                  <c:v>57481</c:v>
                </c:pt>
                <c:pt idx="16">
                  <c:v>58211</c:v>
                </c:pt>
                <c:pt idx="17">
                  <c:v>58577</c:v>
                </c:pt>
              </c:numCache>
            </c:numRef>
          </c:cat>
          <c:val>
            <c:numRef>
              <c:f>Planilha2!$K$3:$K$20</c:f>
              <c:numCache>
                <c:formatCode>"R$"#,##0.00_);[Red]\("R$"#,##0.00\)</c:formatCode>
                <c:ptCount val="18"/>
                <c:pt idx="0">
                  <c:v>7335.9516562978824</c:v>
                </c:pt>
                <c:pt idx="1">
                  <c:v>26749.52889528923</c:v>
                </c:pt>
                <c:pt idx="2">
                  <c:v>61498.485808622005</c:v>
                </c:pt>
                <c:pt idx="3">
                  <c:v>115719.30564285815</c:v>
                </c:pt>
                <c:pt idx="4">
                  <c:v>194664.22449922923</c:v>
                </c:pt>
                <c:pt idx="5">
                  <c:v>305002.18853773875</c:v>
                </c:pt>
                <c:pt idx="6">
                  <c:v>455200.98976693768</c:v>
                </c:pt>
                <c:pt idx="7">
                  <c:v>656012.47709664446</c:v>
                </c:pt>
                <c:pt idx="8">
                  <c:v>921088.64562343596</c:v>
                </c:pt>
                <c:pt idx="9">
                  <c:v>1267763.9065430225</c:v>
                </c:pt>
                <c:pt idx="10">
                  <c:v>1718048.3623624989</c:v>
                </c:pt>
                <c:pt idx="11">
                  <c:v>2299889.0028528613</c:v>
                </c:pt>
                <c:pt idx="12">
                  <c:v>3048771.0892485105</c:v>
                </c:pt>
                <c:pt idx="13">
                  <c:v>4009751.4872509716</c:v>
                </c:pt>
                <c:pt idx="14">
                  <c:v>5240040.4603957199</c:v>
                </c:pt>
                <c:pt idx="15">
                  <c:v>6812279.8625453953</c:v>
                </c:pt>
                <c:pt idx="16">
                  <c:v>8818705.5724829771</c:v>
                </c:pt>
                <c:pt idx="17">
                  <c:v>10020192.722618403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5-4FFB-A736-C0C69F6B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696367"/>
        <c:axId val="807671407"/>
      </c:lineChart>
      <c:dateAx>
        <c:axId val="807696367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671407"/>
        <c:crosses val="autoZero"/>
        <c:auto val="1"/>
        <c:lblOffset val="100"/>
        <c:baseTimeUnit val="years"/>
      </c:dateAx>
      <c:valAx>
        <c:axId val="807671407"/>
        <c:scaling>
          <c:logBase val="2"/>
          <c:orientation val="minMax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696367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228601</xdr:colOff>
      <xdr:row>0</xdr:row>
      <xdr:rowOff>85725</xdr:rowOff>
    </xdr:from>
    <xdr:to>
      <xdr:col>5</xdr:col>
      <xdr:colOff>28575</xdr:colOff>
      <xdr:row>5</xdr:row>
      <xdr:rowOff>94098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BC7BEF-86E1-461A-AC8D-172DD2B6E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85725"/>
          <a:ext cx="6667499" cy="960873"/>
        </a:xfrm>
        <a:prstGeom prst="rect">
          <a:avLst/>
        </a:prstGeom>
      </xdr:spPr>
    </xdr:pic>
    <xdr:clientData/>
  </xdr:twoCellAnchor>
  <xdr:twoCellAnchor>
    <xdr:from>
      <xdr:col>0</xdr:col>
      <xdr:colOff>485774</xdr:colOff>
      <xdr:row>38</xdr:row>
      <xdr:rowOff>171450</xdr:rowOff>
    </xdr:from>
    <xdr:to>
      <xdr:col>3</xdr:col>
      <xdr:colOff>1343024</xdr:colOff>
      <xdr:row>57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4DB33DD-4290-4EBC-91CA-C0AFD0247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21</xdr:row>
      <xdr:rowOff>47624</xdr:rowOff>
    </xdr:from>
    <xdr:to>
      <xdr:col>11</xdr:col>
      <xdr:colOff>323850</xdr:colOff>
      <xdr:row>41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0DA258-7E53-ED2E-FB3C-085F7D46B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FB7E-B9AB-49EB-8E9F-1BF563786F24}">
  <sheetPr codeName="Planilha1"/>
  <dimension ref="A1:G65"/>
  <sheetViews>
    <sheetView showGridLines="0" showRowColHeaders="0" tabSelected="1" workbookViewId="0">
      <selection activeCell="F57" sqref="F57"/>
    </sheetView>
  </sheetViews>
  <sheetFormatPr defaultColWidth="0" defaultRowHeight="15" zeroHeight="1" x14ac:dyDescent="0.25"/>
  <cols>
    <col min="1" max="1" width="7.7109375" style="19" customWidth="1"/>
    <col min="2" max="2" width="41.140625" customWidth="1"/>
    <col min="3" max="3" width="31.28515625" bestFit="1" customWidth="1"/>
    <col min="4" max="4" width="20.140625" customWidth="1"/>
    <col min="5" max="5" width="2.7109375" style="19" customWidth="1"/>
    <col min="6" max="6" width="2.85546875" style="19" customWidth="1"/>
    <col min="7" max="7" width="2.28515625" style="19" customWidth="1"/>
    <col min="8" max="11" width="9.140625" hidden="1" customWidth="1"/>
    <col min="12" max="16384" width="9.140625" hidden="1"/>
  </cols>
  <sheetData>
    <row r="1" spans="2:4" s="19" customFormat="1" x14ac:dyDescent="0.25"/>
    <row r="2" spans="2:4" s="19" customFormat="1" x14ac:dyDescent="0.25"/>
    <row r="3" spans="2:4" s="19" customFormat="1" x14ac:dyDescent="0.25"/>
    <row r="4" spans="2:4" s="19" customFormat="1" x14ac:dyDescent="0.25"/>
    <row r="5" spans="2:4" s="19" customFormat="1" x14ac:dyDescent="0.25"/>
    <row r="6" spans="2:4" s="19" customFormat="1" ht="15.75" thickBot="1" x14ac:dyDescent="0.3"/>
    <row r="7" spans="2:4" ht="37.5" x14ac:dyDescent="0.25">
      <c r="B7" s="58" t="s">
        <v>15</v>
      </c>
      <c r="C7" s="59"/>
      <c r="D7" s="60"/>
    </row>
    <row r="8" spans="2:4" ht="17.25" x14ac:dyDescent="0.3">
      <c r="B8" s="48" t="s">
        <v>39</v>
      </c>
      <c r="C8" s="49"/>
      <c r="D8" s="24">
        <v>5200</v>
      </c>
    </row>
    <row r="9" spans="2:4" ht="17.25" x14ac:dyDescent="0.3">
      <c r="B9" s="48" t="s">
        <v>40</v>
      </c>
      <c r="C9" s="49"/>
      <c r="D9" s="25">
        <v>0.01</v>
      </c>
    </row>
    <row r="10" spans="2:4" ht="18" thickBot="1" x14ac:dyDescent="0.35">
      <c r="B10" s="50" t="s">
        <v>41</v>
      </c>
      <c r="C10" s="51"/>
      <c r="D10" s="10">
        <f>salario*30%</f>
        <v>1560</v>
      </c>
    </row>
    <row r="11" spans="2:4" s="19" customFormat="1" ht="15.75" thickBot="1" x14ac:dyDescent="0.3"/>
    <row r="12" spans="2:4" ht="38.25" customHeight="1" x14ac:dyDescent="0.25">
      <c r="B12" s="56" t="s">
        <v>0</v>
      </c>
      <c r="C12" s="57"/>
      <c r="D12" s="61"/>
    </row>
    <row r="13" spans="2:4" ht="17.25" x14ac:dyDescent="0.3">
      <c r="B13" s="48" t="s">
        <v>16</v>
      </c>
      <c r="C13" s="49"/>
      <c r="D13" s="36">
        <v>10000</v>
      </c>
    </row>
    <row r="14" spans="2:4" ht="17.25" x14ac:dyDescent="0.3">
      <c r="B14" s="48" t="s">
        <v>3</v>
      </c>
      <c r="C14" s="49"/>
      <c r="D14" s="36">
        <v>1560</v>
      </c>
    </row>
    <row r="15" spans="2:4" ht="17.25" x14ac:dyDescent="0.3">
      <c r="B15" s="48" t="s">
        <v>4</v>
      </c>
      <c r="C15" s="49"/>
      <c r="D15" s="37">
        <v>10</v>
      </c>
    </row>
    <row r="16" spans="2:4" ht="17.25" x14ac:dyDescent="0.3">
      <c r="B16" s="48" t="s">
        <v>6</v>
      </c>
      <c r="C16" s="49"/>
      <c r="D16" s="22">
        <f>rendimento_carteira</f>
        <v>0.01</v>
      </c>
    </row>
    <row r="17" spans="2:5" ht="17.25" x14ac:dyDescent="0.3">
      <c r="B17" s="52" t="s">
        <v>1</v>
      </c>
      <c r="C17" s="53"/>
      <c r="D17" s="4">
        <f>FV(taxa_mensal,qtd_anos*12,aporte_mensal*-1,aporte_inicial*-1)</f>
        <v>391864.22449922923</v>
      </c>
      <c r="E17" s="21"/>
    </row>
    <row r="18" spans="2:5" ht="16.5" x14ac:dyDescent="0.25">
      <c r="B18" s="54" t="s">
        <v>2</v>
      </c>
      <c r="C18" s="55"/>
      <c r="D18" s="5">
        <f>aporte_inicial+(aporte_mensal*(qtd_anos*12))</f>
        <v>197200</v>
      </c>
    </row>
    <row r="19" spans="2:5" ht="16.5" x14ac:dyDescent="0.25">
      <c r="B19" s="54" t="s">
        <v>7</v>
      </c>
      <c r="C19" s="55"/>
      <c r="D19" s="5">
        <f>patrimonio-total_aporte</f>
        <v>194664.22449922923</v>
      </c>
    </row>
    <row r="20" spans="2:5" ht="18" thickBot="1" x14ac:dyDescent="0.35">
      <c r="B20" s="44" t="s">
        <v>5</v>
      </c>
      <c r="C20" s="45"/>
      <c r="D20" s="6">
        <f>(patrimonio*rendimento_carteira)</f>
        <v>3918.6422449922925</v>
      </c>
    </row>
    <row r="21" spans="2:5" s="19" customFormat="1" ht="15.75" thickBot="1" x14ac:dyDescent="0.3">
      <c r="C21" s="20"/>
    </row>
    <row r="22" spans="2:5" ht="18" thickBot="1" x14ac:dyDescent="0.35">
      <c r="B22" s="46" t="s">
        <v>33</v>
      </c>
      <c r="C22" s="47"/>
      <c r="D22" s="35" t="s">
        <v>18</v>
      </c>
    </row>
    <row r="23" spans="2:5" s="19" customFormat="1" ht="16.5" x14ac:dyDescent="0.3">
      <c r="B23" s="26" t="s">
        <v>42</v>
      </c>
      <c r="C23" s="27" t="s">
        <v>20</v>
      </c>
      <c r="D23" s="28" t="s">
        <v>21</v>
      </c>
    </row>
    <row r="24" spans="2:5" ht="16.5" x14ac:dyDescent="0.3">
      <c r="B24" s="29" t="s">
        <v>22</v>
      </c>
      <c r="C24" s="30">
        <f>VLOOKUP($D$22&amp;"-"&amp;$B24,Planilha2!$A:$D,4,FALSE)</f>
        <v>0.32</v>
      </c>
      <c r="D24" s="31">
        <f t="shared" ref="D24:D29" si="0">C24*aporte_mensal</f>
        <v>499.2</v>
      </c>
    </row>
    <row r="25" spans="2:5" ht="16.5" x14ac:dyDescent="0.3">
      <c r="B25" s="29" t="s">
        <v>23</v>
      </c>
      <c r="C25" s="30">
        <f>VLOOKUP($D$22&amp;"-"&amp;$B25,Planilha2!$A:$D,4,FALSE)</f>
        <v>0.35</v>
      </c>
      <c r="D25" s="31">
        <f t="shared" si="0"/>
        <v>546</v>
      </c>
    </row>
    <row r="26" spans="2:5" ht="16.5" x14ac:dyDescent="0.3">
      <c r="B26" s="29" t="s">
        <v>24</v>
      </c>
      <c r="C26" s="30">
        <f>VLOOKUP($D$22&amp;"-"&amp;$B26,Planilha2!$A:$D,4,FALSE)</f>
        <v>0.08</v>
      </c>
      <c r="D26" s="31">
        <f t="shared" si="0"/>
        <v>124.8</v>
      </c>
    </row>
    <row r="27" spans="2:5" ht="16.5" x14ac:dyDescent="0.3">
      <c r="B27" s="29" t="s">
        <v>25</v>
      </c>
      <c r="C27" s="30">
        <f>VLOOKUP($D$22&amp;"-"&amp;$B27,Planilha2!$A:$D,4,FALSE)</f>
        <v>0.05</v>
      </c>
      <c r="D27" s="31">
        <f t="shared" si="0"/>
        <v>78</v>
      </c>
    </row>
    <row r="28" spans="2:5" ht="16.5" x14ac:dyDescent="0.3">
      <c r="B28" s="29" t="s">
        <v>26</v>
      </c>
      <c r="C28" s="30">
        <f>VLOOKUP($D$22&amp;"-"&amp;$B28,Planilha2!$A:$D,4,FALSE)</f>
        <v>0.1</v>
      </c>
      <c r="D28" s="31">
        <f t="shared" si="0"/>
        <v>156</v>
      </c>
    </row>
    <row r="29" spans="2:5" ht="16.5" x14ac:dyDescent="0.3">
      <c r="B29" s="29" t="s">
        <v>27</v>
      </c>
      <c r="C29" s="30">
        <f>VLOOKUP($D$22&amp;"-"&amp;$B29,Planilha2!$A:$D,4,FALSE)</f>
        <v>0.1</v>
      </c>
      <c r="D29" s="31">
        <f t="shared" si="0"/>
        <v>156</v>
      </c>
    </row>
    <row r="30" spans="2:5" ht="17.25" thickBot="1" x14ac:dyDescent="0.35">
      <c r="B30" s="32" t="s">
        <v>32</v>
      </c>
      <c r="C30" s="33"/>
      <c r="D30" s="34">
        <f>SUM(D24:D29)</f>
        <v>1560</v>
      </c>
    </row>
    <row r="31" spans="2:5" s="19" customFormat="1" ht="15.75" thickBot="1" x14ac:dyDescent="0.3"/>
    <row r="32" spans="2:5" ht="37.5" x14ac:dyDescent="0.3">
      <c r="B32" s="56" t="s">
        <v>8</v>
      </c>
      <c r="C32" s="57"/>
      <c r="D32" s="9" t="s">
        <v>14</v>
      </c>
    </row>
    <row r="33" spans="2:4" ht="17.25" x14ac:dyDescent="0.3">
      <c r="B33" s="2" t="s">
        <v>9</v>
      </c>
      <c r="C33" s="17">
        <f>FV(D16,24,D14*-1,D13*-1)</f>
        <v>54775.951656297882</v>
      </c>
      <c r="D33" s="7">
        <f t="shared" ref="D33:D38" si="1">$C33*rendimento_carteira</f>
        <v>547.75951656297889</v>
      </c>
    </row>
    <row r="34" spans="2:4" ht="17.25" x14ac:dyDescent="0.3">
      <c r="B34" s="2" t="s">
        <v>10</v>
      </c>
      <c r="C34" s="17">
        <f>FV(D16,60,D14*-1,D13*-1)</f>
        <v>145571.65196163915</v>
      </c>
      <c r="D34" s="7">
        <f t="shared" si="1"/>
        <v>1455.7165196163915</v>
      </c>
    </row>
    <row r="35" spans="2:4" ht="17.25" x14ac:dyDescent="0.3">
      <c r="B35" s="2" t="s">
        <v>11</v>
      </c>
      <c r="C35" s="17">
        <f>FV(D16,120,D14*-1,D13*-1)</f>
        <v>391864.22449922923</v>
      </c>
      <c r="D35" s="7">
        <f t="shared" si="1"/>
        <v>3918.6422449922925</v>
      </c>
    </row>
    <row r="36" spans="2:4" ht="17.25" x14ac:dyDescent="0.3">
      <c r="B36" s="2" t="s">
        <v>12</v>
      </c>
      <c r="C36" s="17">
        <f>FV(D16,240,D14*-1,D13*-1)</f>
        <v>1652163.9065430225</v>
      </c>
      <c r="D36" s="7">
        <f t="shared" si="1"/>
        <v>16521.639065430227</v>
      </c>
    </row>
    <row r="37" spans="2:4" ht="17.25" x14ac:dyDescent="0.3">
      <c r="B37" s="2" t="s">
        <v>13</v>
      </c>
      <c r="C37" s="17">
        <f>FV(D16,360,D14*-1,D13*-1)</f>
        <v>5811640.4603957199</v>
      </c>
      <c r="D37" s="7">
        <f t="shared" si="1"/>
        <v>58116.404603957199</v>
      </c>
    </row>
    <row r="38" spans="2:4" ht="18" thickBot="1" x14ac:dyDescent="0.35">
      <c r="B38" s="3" t="s">
        <v>37</v>
      </c>
      <c r="C38" s="18">
        <f>FV(D16,420,D14*-1,D13*-1)</f>
        <v>10685392.722618403</v>
      </c>
      <c r="D38" s="8">
        <f t="shared" si="1"/>
        <v>106853.92722618404</v>
      </c>
    </row>
    <row r="39" spans="2:4" s="19" customFormat="1" x14ac:dyDescent="0.25"/>
    <row r="40" spans="2:4" s="19" customFormat="1" x14ac:dyDescent="0.25"/>
    <row r="41" spans="2:4" s="19" customFormat="1" x14ac:dyDescent="0.25"/>
    <row r="42" spans="2:4" s="19" customFormat="1" x14ac:dyDescent="0.25"/>
    <row r="43" spans="2:4" s="19" customFormat="1" x14ac:dyDescent="0.25"/>
    <row r="44" spans="2:4" s="19" customFormat="1" x14ac:dyDescent="0.25"/>
    <row r="45" spans="2:4" s="19" customFormat="1" x14ac:dyDescent="0.25"/>
    <row r="46" spans="2:4" s="19" customFormat="1" x14ac:dyDescent="0.25"/>
    <row r="47" spans="2:4" s="19" customFormat="1" x14ac:dyDescent="0.25"/>
    <row r="48" spans="2:4" s="19" customFormat="1" x14ac:dyDescent="0.25"/>
    <row r="49" spans="2:4" s="19" customFormat="1" x14ac:dyDescent="0.25"/>
    <row r="50" spans="2:4" s="19" customFormat="1" x14ac:dyDescent="0.25"/>
    <row r="51" spans="2:4" s="19" customFormat="1" x14ac:dyDescent="0.25"/>
    <row r="52" spans="2:4" s="19" customFormat="1" x14ac:dyDescent="0.25"/>
    <row r="53" spans="2:4" s="19" customFormat="1" x14ac:dyDescent="0.25"/>
    <row r="54" spans="2:4" s="19" customFormat="1" x14ac:dyDescent="0.25"/>
    <row r="55" spans="2:4" s="19" customFormat="1" x14ac:dyDescent="0.25"/>
    <row r="56" spans="2:4" s="19" customFormat="1" x14ac:dyDescent="0.25"/>
    <row r="57" spans="2:4" s="19" customFormat="1" x14ac:dyDescent="0.25"/>
    <row r="58" spans="2:4" s="19" customFormat="1" x14ac:dyDescent="0.25"/>
    <row r="59" spans="2:4" s="19" customFormat="1" x14ac:dyDescent="0.25"/>
    <row r="60" spans="2:4" s="19" customFormat="1" x14ac:dyDescent="0.25"/>
    <row r="61" spans="2:4" s="19" customFormat="1" hidden="1" x14ac:dyDescent="0.25"/>
    <row r="62" spans="2:4" s="19" customFormat="1" hidden="1" x14ac:dyDescent="0.25"/>
    <row r="63" spans="2:4" s="19" customFormat="1" hidden="1" x14ac:dyDescent="0.25"/>
    <row r="64" spans="2:4" x14ac:dyDescent="0.25">
      <c r="B64" s="19"/>
      <c r="C64" s="19"/>
      <c r="D64" s="19"/>
    </row>
    <row r="65" spans="2:4" x14ac:dyDescent="0.25">
      <c r="B65" s="19"/>
      <c r="C65" s="19"/>
      <c r="D65" s="19"/>
    </row>
  </sheetData>
  <sheetProtection sheet="1" objects="1" scenarios="1"/>
  <mergeCells count="15">
    <mergeCell ref="B32:C32"/>
    <mergeCell ref="B7:D7"/>
    <mergeCell ref="B12:D12"/>
    <mergeCell ref="B20:C20"/>
    <mergeCell ref="B22:C22"/>
    <mergeCell ref="B8:C8"/>
    <mergeCell ref="B9:C9"/>
    <mergeCell ref="B10:C10"/>
    <mergeCell ref="B13:C13"/>
    <mergeCell ref="B14:C14"/>
    <mergeCell ref="B15:C15"/>
    <mergeCell ref="B16:C16"/>
    <mergeCell ref="B17:C17"/>
    <mergeCell ref="B18:C18"/>
    <mergeCell ref="B19:C19"/>
  </mergeCells>
  <dataValidations count="1">
    <dataValidation type="list" allowBlank="1" showInputMessage="1" showErrorMessage="1" sqref="D22" xr:uid="{811483A8-C3C1-4AA0-8853-CE7379758D7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B77E-A805-4457-9F79-20447F9E689C}">
  <sheetPr codeName="Planilha2"/>
  <dimension ref="A1:K20"/>
  <sheetViews>
    <sheetView workbookViewId="0">
      <selection activeCell="G2" sqref="G2:K20"/>
    </sheetView>
  </sheetViews>
  <sheetFormatPr defaultRowHeight="15" x14ac:dyDescent="0.25"/>
  <cols>
    <col min="1" max="1" width="31.28515625" bestFit="1" customWidth="1"/>
    <col min="2" max="2" width="13.85546875" customWidth="1"/>
    <col min="3" max="3" width="19.28515625" customWidth="1"/>
    <col min="4" max="4" width="7.42578125" style="1" customWidth="1"/>
    <col min="7" max="7" width="16.140625" style="1" customWidth="1"/>
    <col min="8" max="8" width="17.140625" style="1" customWidth="1"/>
    <col min="9" max="9" width="19.28515625" customWidth="1"/>
    <col min="10" max="10" width="17.42578125" customWidth="1"/>
    <col min="11" max="11" width="15.5703125" customWidth="1"/>
  </cols>
  <sheetData>
    <row r="1" spans="1:11" x14ac:dyDescent="0.25">
      <c r="H1" s="23">
        <f ca="1">TODAY()</f>
        <v>45793</v>
      </c>
    </row>
    <row r="2" spans="1:11" ht="16.5" x14ac:dyDescent="0.3">
      <c r="A2" t="s">
        <v>31</v>
      </c>
      <c r="B2" t="s">
        <v>28</v>
      </c>
      <c r="C2" t="s">
        <v>29</v>
      </c>
      <c r="D2" s="1" t="s">
        <v>30</v>
      </c>
      <c r="G2" s="38" t="s">
        <v>34</v>
      </c>
      <c r="H2" s="38" t="s">
        <v>36</v>
      </c>
      <c r="I2" s="39" t="s">
        <v>1</v>
      </c>
      <c r="J2" s="39" t="s">
        <v>38</v>
      </c>
      <c r="K2" s="39" t="s">
        <v>35</v>
      </c>
    </row>
    <row r="3" spans="1:11" ht="16.5" x14ac:dyDescent="0.3">
      <c r="A3" t="str">
        <f>B3&amp;"-"&amp;C3</f>
        <v>Conservador-PAPEL</v>
      </c>
      <c r="B3" t="s">
        <v>17</v>
      </c>
      <c r="C3" s="1" t="s">
        <v>22</v>
      </c>
      <c r="D3" s="11">
        <v>0.3</v>
      </c>
      <c r="G3" s="40">
        <v>2</v>
      </c>
      <c r="H3" s="41">
        <f t="shared" ref="H3:H20" ca="1" si="0">DATE(YEAR($H$1)+$G3,MONTH($H$1),DAY($H$1))</f>
        <v>46523</v>
      </c>
      <c r="I3" s="42">
        <f>FV(rendimento_carteira,Planilha2!$G3*12,aporte_mensal*-1,aporte_inicial*-1)</f>
        <v>54775.951656297882</v>
      </c>
      <c r="J3" s="43">
        <f t="shared" ref="J3:J20" si="1">aporte_inicial+(aporte_mensal*($G3*12))</f>
        <v>47440</v>
      </c>
      <c r="K3" s="42">
        <f>$I3-$J3</f>
        <v>7335.9516562978824</v>
      </c>
    </row>
    <row r="4" spans="1:11" ht="16.5" x14ac:dyDescent="0.3">
      <c r="A4" t="str">
        <f t="shared" ref="A4:A20" si="2">B4&amp;"-"&amp;C4</f>
        <v>Conservador-TIJOLO</v>
      </c>
      <c r="B4" t="s">
        <v>17</v>
      </c>
      <c r="C4" s="1" t="s">
        <v>23</v>
      </c>
      <c r="D4" s="11">
        <v>0.5</v>
      </c>
      <c r="G4" s="40">
        <v>4</v>
      </c>
      <c r="H4" s="41">
        <f t="shared" ca="1" si="0"/>
        <v>47254</v>
      </c>
      <c r="I4" s="42">
        <f>FV(rendimento_carteira,Planilha2!$G4*12,aporte_mensal*-1,aporte_inicial*-1)</f>
        <v>111629.52889528923</v>
      </c>
      <c r="J4" s="43">
        <f t="shared" si="1"/>
        <v>84880</v>
      </c>
      <c r="K4" s="42">
        <f t="shared" ref="K4:K20" si="3">$I4-$J4</f>
        <v>26749.52889528923</v>
      </c>
    </row>
    <row r="5" spans="1:11" ht="16.5" x14ac:dyDescent="0.3">
      <c r="A5" t="str">
        <f t="shared" si="2"/>
        <v>Conservador-HÍBRIDOS</v>
      </c>
      <c r="B5" t="s">
        <v>17</v>
      </c>
      <c r="C5" s="1" t="s">
        <v>24</v>
      </c>
      <c r="D5" s="11">
        <v>0.1</v>
      </c>
      <c r="G5" s="40">
        <v>6</v>
      </c>
      <c r="H5" s="41">
        <f t="shared" ca="1" si="0"/>
        <v>47984</v>
      </c>
      <c r="I5" s="42">
        <f>FV(rendimento_carteira,Planilha2!$G5*12,aporte_mensal*-1,aporte_inicial*-1)</f>
        <v>183818.485808622</v>
      </c>
      <c r="J5" s="43">
        <f t="shared" si="1"/>
        <v>122320</v>
      </c>
      <c r="K5" s="42">
        <f t="shared" si="3"/>
        <v>61498.485808622005</v>
      </c>
    </row>
    <row r="6" spans="1:11" ht="16.5" x14ac:dyDescent="0.3">
      <c r="A6" t="str">
        <f t="shared" si="2"/>
        <v>Conservador-FOFS</v>
      </c>
      <c r="B6" t="s">
        <v>17</v>
      </c>
      <c r="C6" s="1" t="s">
        <v>25</v>
      </c>
      <c r="D6" s="11">
        <v>0.1</v>
      </c>
      <c r="G6" s="40">
        <v>8</v>
      </c>
      <c r="H6" s="41">
        <f t="shared" ca="1" si="0"/>
        <v>48715</v>
      </c>
      <c r="I6" s="42">
        <f>FV(rendimento_carteira,Planilha2!$G6*12,aporte_mensal*-1,aporte_inicial*-1)</f>
        <v>275479.30564285815</v>
      </c>
      <c r="J6" s="43">
        <f t="shared" si="1"/>
        <v>159760</v>
      </c>
      <c r="K6" s="42">
        <f t="shared" si="3"/>
        <v>115719.30564285815</v>
      </c>
    </row>
    <row r="7" spans="1:11" ht="16.5" x14ac:dyDescent="0.3">
      <c r="A7" t="str">
        <f t="shared" si="2"/>
        <v>Conservador-DESENVOLVIMENTO</v>
      </c>
      <c r="B7" t="s">
        <v>17</v>
      </c>
      <c r="C7" s="1" t="s">
        <v>26</v>
      </c>
      <c r="D7" s="11">
        <v>0</v>
      </c>
      <c r="G7" s="40">
        <v>10</v>
      </c>
      <c r="H7" s="41">
        <f t="shared" ca="1" si="0"/>
        <v>49445</v>
      </c>
      <c r="I7" s="42">
        <f>FV(rendimento_carteira,Planilha2!$G7*12,aporte_mensal*-1,aporte_inicial*-1)</f>
        <v>391864.22449922923</v>
      </c>
      <c r="J7" s="43">
        <f t="shared" si="1"/>
        <v>197200</v>
      </c>
      <c r="K7" s="42">
        <f t="shared" si="3"/>
        <v>194664.22449922923</v>
      </c>
    </row>
    <row r="8" spans="1:11" ht="17.25" thickBot="1" x14ac:dyDescent="0.35">
      <c r="A8" s="12" t="str">
        <f t="shared" si="2"/>
        <v>Conservador-HOTELARIAS</v>
      </c>
      <c r="B8" s="12" t="s">
        <v>17</v>
      </c>
      <c r="C8" s="13" t="s">
        <v>27</v>
      </c>
      <c r="D8" s="14">
        <v>0</v>
      </c>
      <c r="G8" s="40">
        <v>12</v>
      </c>
      <c r="H8" s="41">
        <f t="shared" ca="1" si="0"/>
        <v>50176</v>
      </c>
      <c r="I8" s="42">
        <f>FV(rendimento_carteira,Planilha2!$G8*12,aporte_mensal*-1,aporte_inicial*-1)</f>
        <v>539642.18853773875</v>
      </c>
      <c r="J8" s="43">
        <f t="shared" si="1"/>
        <v>234640</v>
      </c>
      <c r="K8" s="42">
        <f t="shared" si="3"/>
        <v>305002.18853773875</v>
      </c>
    </row>
    <row r="9" spans="1:11" ht="16.5" x14ac:dyDescent="0.3">
      <c r="A9" t="str">
        <f t="shared" si="2"/>
        <v>Moderado-PAPEL</v>
      </c>
      <c r="B9" t="s">
        <v>18</v>
      </c>
      <c r="C9" s="1" t="s">
        <v>22</v>
      </c>
      <c r="D9" s="11">
        <v>0.32</v>
      </c>
      <c r="G9" s="40">
        <v>14</v>
      </c>
      <c r="H9" s="41">
        <f t="shared" ca="1" si="0"/>
        <v>50906</v>
      </c>
      <c r="I9" s="42">
        <f>FV(rendimento_carteira,Planilha2!$G9*12,aporte_mensal*-1,aporte_inicial*-1)</f>
        <v>727280.98976693768</v>
      </c>
      <c r="J9" s="43">
        <f t="shared" si="1"/>
        <v>272080</v>
      </c>
      <c r="K9" s="42">
        <f t="shared" si="3"/>
        <v>455200.98976693768</v>
      </c>
    </row>
    <row r="10" spans="1:11" ht="16.5" x14ac:dyDescent="0.3">
      <c r="A10" t="str">
        <f t="shared" si="2"/>
        <v>Moderado-TIJOLO</v>
      </c>
      <c r="B10" t="s">
        <v>18</v>
      </c>
      <c r="C10" s="1" t="s">
        <v>23</v>
      </c>
      <c r="D10" s="11">
        <v>0.35</v>
      </c>
      <c r="G10" s="40">
        <v>16</v>
      </c>
      <c r="H10" s="41">
        <f t="shared" ca="1" si="0"/>
        <v>51637</v>
      </c>
      <c r="I10" s="42">
        <f>FV(rendimento_carteira,Planilha2!$G10*12,aporte_mensal*-1,aporte_inicial*-1)</f>
        <v>965532.47709664446</v>
      </c>
      <c r="J10" s="43">
        <f t="shared" si="1"/>
        <v>309520</v>
      </c>
      <c r="K10" s="42">
        <f t="shared" si="3"/>
        <v>656012.47709664446</v>
      </c>
    </row>
    <row r="11" spans="1:11" ht="16.5" x14ac:dyDescent="0.3">
      <c r="A11" t="str">
        <f t="shared" si="2"/>
        <v>Moderado-HÍBRIDOS</v>
      </c>
      <c r="B11" t="s">
        <v>18</v>
      </c>
      <c r="C11" s="1" t="s">
        <v>24</v>
      </c>
      <c r="D11" s="11">
        <v>0.08</v>
      </c>
      <c r="G11" s="40">
        <v>18</v>
      </c>
      <c r="H11" s="41">
        <f t="shared" ca="1" si="0"/>
        <v>52367</v>
      </c>
      <c r="I11" s="42">
        <f>FV(rendimento_carteira,Planilha2!$G11*12,aporte_mensal*-1,aporte_inicial*-1)</f>
        <v>1268048.645623436</v>
      </c>
      <c r="J11" s="43">
        <f t="shared" si="1"/>
        <v>346960</v>
      </c>
      <c r="K11" s="42">
        <f t="shared" si="3"/>
        <v>921088.64562343596</v>
      </c>
    </row>
    <row r="12" spans="1:11" ht="16.5" x14ac:dyDescent="0.3">
      <c r="A12" t="str">
        <f t="shared" si="2"/>
        <v>Moderado-FOFS</v>
      </c>
      <c r="B12" t="s">
        <v>18</v>
      </c>
      <c r="C12" s="1" t="s">
        <v>25</v>
      </c>
      <c r="D12" s="11">
        <v>0.05</v>
      </c>
      <c r="G12" s="40">
        <v>20</v>
      </c>
      <c r="H12" s="41">
        <f t="shared" ca="1" si="0"/>
        <v>53098</v>
      </c>
      <c r="I12" s="42">
        <f>FV(rendimento_carteira,Planilha2!$G12*12,aporte_mensal*-1,aporte_inicial*-1)</f>
        <v>1652163.9065430225</v>
      </c>
      <c r="J12" s="43">
        <f t="shared" si="1"/>
        <v>384400</v>
      </c>
      <c r="K12" s="42">
        <f t="shared" si="3"/>
        <v>1267763.9065430225</v>
      </c>
    </row>
    <row r="13" spans="1:11" ht="16.5" x14ac:dyDescent="0.3">
      <c r="A13" t="str">
        <f t="shared" si="2"/>
        <v>Moderado-DESENVOLVIMENTO</v>
      </c>
      <c r="B13" t="s">
        <v>18</v>
      </c>
      <c r="C13" s="1" t="s">
        <v>26</v>
      </c>
      <c r="D13" s="11">
        <v>0.1</v>
      </c>
      <c r="G13" s="40">
        <v>22</v>
      </c>
      <c r="H13" s="41">
        <f t="shared" ca="1" si="0"/>
        <v>53828</v>
      </c>
      <c r="I13" s="42">
        <f>FV(rendimento_carteira,Planilha2!$G13*12,aporte_mensal*-1,aporte_inicial*-1)</f>
        <v>2139888.3623624989</v>
      </c>
      <c r="J13" s="43">
        <f t="shared" si="1"/>
        <v>421840</v>
      </c>
      <c r="K13" s="42">
        <f t="shared" si="3"/>
        <v>1718048.3623624989</v>
      </c>
    </row>
    <row r="14" spans="1:11" ht="17.25" thickBot="1" x14ac:dyDescent="0.35">
      <c r="A14" s="12" t="str">
        <f t="shared" si="2"/>
        <v>Moderado-HOTELARIAS</v>
      </c>
      <c r="B14" s="12" t="s">
        <v>18</v>
      </c>
      <c r="C14" s="13" t="s">
        <v>27</v>
      </c>
      <c r="D14" s="16">
        <v>0.1</v>
      </c>
      <c r="G14" s="40">
        <v>24</v>
      </c>
      <c r="H14" s="41">
        <f t="shared" ca="1" si="0"/>
        <v>54559</v>
      </c>
      <c r="I14" s="42">
        <f>FV(rendimento_carteira,Planilha2!$G14*12,aporte_mensal*-1,aporte_inicial*-1)</f>
        <v>2759169.0028528613</v>
      </c>
      <c r="J14" s="43">
        <f t="shared" si="1"/>
        <v>459280</v>
      </c>
      <c r="K14" s="42">
        <f t="shared" si="3"/>
        <v>2299889.0028528613</v>
      </c>
    </row>
    <row r="15" spans="1:11" ht="16.5" x14ac:dyDescent="0.3">
      <c r="A15" t="str">
        <f t="shared" si="2"/>
        <v>Agressivo-PAPEL</v>
      </c>
      <c r="B15" t="s">
        <v>19</v>
      </c>
      <c r="C15" s="1" t="s">
        <v>22</v>
      </c>
      <c r="D15" s="11">
        <v>0.5</v>
      </c>
      <c r="G15" s="40">
        <v>26</v>
      </c>
      <c r="H15" s="41">
        <f t="shared" ca="1" si="0"/>
        <v>55289</v>
      </c>
      <c r="I15" s="42">
        <f>FV(rendimento_carteira,Planilha2!$G15*12,aporte_mensal*-1,aporte_inicial*-1)</f>
        <v>3545491.0892485105</v>
      </c>
      <c r="J15" s="43">
        <f t="shared" si="1"/>
        <v>496720</v>
      </c>
      <c r="K15" s="42">
        <f t="shared" si="3"/>
        <v>3048771.0892485105</v>
      </c>
    </row>
    <row r="16" spans="1:11" ht="16.5" x14ac:dyDescent="0.3">
      <c r="A16" t="str">
        <f t="shared" si="2"/>
        <v>Agressivo-TIJOLO</v>
      </c>
      <c r="B16" t="s">
        <v>19</v>
      </c>
      <c r="C16" s="1" t="s">
        <v>23</v>
      </c>
      <c r="D16" s="11">
        <v>0.1</v>
      </c>
      <c r="G16" s="40">
        <v>28</v>
      </c>
      <c r="H16" s="41">
        <f t="shared" ca="1" si="0"/>
        <v>56020</v>
      </c>
      <c r="I16" s="42">
        <f>FV(rendimento_carteira,Planilha2!$G16*12,aporte_mensal*-1,aporte_inicial*-1)</f>
        <v>4543911.4872509716</v>
      </c>
      <c r="J16" s="43">
        <f t="shared" si="1"/>
        <v>534160</v>
      </c>
      <c r="K16" s="42">
        <f t="shared" si="3"/>
        <v>4009751.4872509716</v>
      </c>
    </row>
    <row r="17" spans="1:11" ht="16.5" x14ac:dyDescent="0.3">
      <c r="A17" t="str">
        <f t="shared" si="2"/>
        <v>Agressivo-HÍBRIDOS</v>
      </c>
      <c r="B17" t="s">
        <v>19</v>
      </c>
      <c r="C17" s="1" t="s">
        <v>24</v>
      </c>
      <c r="D17" s="11">
        <v>0.05</v>
      </c>
      <c r="G17" s="40">
        <v>30</v>
      </c>
      <c r="H17" s="41">
        <f t="shared" ca="1" si="0"/>
        <v>56750</v>
      </c>
      <c r="I17" s="42">
        <f>FV(rendimento_carteira,Planilha2!$G17*12,aporte_mensal*-1,aporte_inicial*-1)</f>
        <v>5811640.4603957199</v>
      </c>
      <c r="J17" s="43">
        <f t="shared" si="1"/>
        <v>571600</v>
      </c>
      <c r="K17" s="42">
        <f t="shared" si="3"/>
        <v>5240040.4603957199</v>
      </c>
    </row>
    <row r="18" spans="1:11" ht="16.5" x14ac:dyDescent="0.3">
      <c r="A18" t="str">
        <f t="shared" si="2"/>
        <v>Agressivo-FOFS</v>
      </c>
      <c r="B18" t="s">
        <v>19</v>
      </c>
      <c r="C18" s="1" t="s">
        <v>25</v>
      </c>
      <c r="D18" s="11">
        <v>0.05</v>
      </c>
      <c r="G18" s="40">
        <v>32</v>
      </c>
      <c r="H18" s="41">
        <f t="shared" ca="1" si="0"/>
        <v>57481</v>
      </c>
      <c r="I18" s="42">
        <f>FV(rendimento_carteira,Planilha2!$G18*12,aporte_mensal*-1,aporte_inicial*-1)</f>
        <v>7421319.8625453953</v>
      </c>
      <c r="J18" s="43">
        <f t="shared" si="1"/>
        <v>609040</v>
      </c>
      <c r="K18" s="42">
        <f t="shared" si="3"/>
        <v>6812279.8625453953</v>
      </c>
    </row>
    <row r="19" spans="1:11" ht="16.5" x14ac:dyDescent="0.3">
      <c r="A19" t="str">
        <f t="shared" si="2"/>
        <v>Agressivo-DESENVOLVIMENTO</v>
      </c>
      <c r="B19" t="s">
        <v>19</v>
      </c>
      <c r="C19" s="1" t="s">
        <v>26</v>
      </c>
      <c r="D19" s="15">
        <v>0.2</v>
      </c>
      <c r="G19" s="40">
        <v>34</v>
      </c>
      <c r="H19" s="41">
        <f t="shared" ca="1" si="0"/>
        <v>58211</v>
      </c>
      <c r="I19" s="42">
        <f>FV(rendimento_carteira,Planilha2!$G19*12,aporte_mensal*-1,aporte_inicial*-1)</f>
        <v>9465185.5724829771</v>
      </c>
      <c r="J19" s="43">
        <f t="shared" si="1"/>
        <v>646480</v>
      </c>
      <c r="K19" s="42">
        <f t="shared" si="3"/>
        <v>8818705.5724829771</v>
      </c>
    </row>
    <row r="20" spans="1:11" ht="16.5" x14ac:dyDescent="0.3">
      <c r="A20" t="str">
        <f t="shared" si="2"/>
        <v>Agressivo-HOTELARIAS</v>
      </c>
      <c r="B20" t="s">
        <v>19</v>
      </c>
      <c r="C20" s="1" t="s">
        <v>27</v>
      </c>
      <c r="D20" s="11">
        <v>0.1</v>
      </c>
      <c r="G20" s="40">
        <v>35</v>
      </c>
      <c r="H20" s="41">
        <f t="shared" ca="1" si="0"/>
        <v>58577</v>
      </c>
      <c r="I20" s="42">
        <f>FV(rendimento_carteira,Planilha2!$G20*12,aporte_mensal*-1,aporte_inicial*-1)</f>
        <v>10685392.722618403</v>
      </c>
      <c r="J20" s="43">
        <f t="shared" si="1"/>
        <v>665200</v>
      </c>
      <c r="K20" s="42">
        <f t="shared" si="3"/>
        <v>10020192.722618403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12</vt:i4>
      </vt:variant>
    </vt:vector>
  </HeadingPairs>
  <TitlesOfParts>
    <vt:vector size="14" baseType="lpstr">
      <vt:lpstr>Planilha1</vt:lpstr>
      <vt:lpstr>Planilha2</vt:lpstr>
      <vt:lpstr>aporte_inicial</vt:lpstr>
      <vt:lpstr>aporte_mensal</vt:lpstr>
      <vt:lpstr>dividendos_mensais</vt:lpstr>
      <vt:lpstr>patrimonio</vt:lpstr>
      <vt:lpstr>qtd_anos</vt:lpstr>
      <vt:lpstr>rendimento_acumulado</vt:lpstr>
      <vt:lpstr>rendimento_carteira</vt:lpstr>
      <vt:lpstr>salario</vt:lpstr>
      <vt:lpstr>sugestao_invt</vt:lpstr>
      <vt:lpstr>taxa</vt:lpstr>
      <vt:lpstr>taxa_mensal</vt:lpstr>
      <vt:lpstr>total_aporte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Office</cp:lastModifiedBy>
  <dcterms:created xsi:type="dcterms:W3CDTF">2015-06-05T18:19:34Z</dcterms:created>
  <dcterms:modified xsi:type="dcterms:W3CDTF">2025-05-16T19:47:24Z</dcterms:modified>
</cp:coreProperties>
</file>