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esktop Stuff '23\01 - Folders\Oil Level Sensor Tester (New)\"/>
    </mc:Choice>
  </mc:AlternateContent>
  <xr:revisionPtr revIDLastSave="0" documentId="13_ncr:1_{250F5276-87E7-4896-8EE8-330B17DD8DD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8005553.05 DAQ Tolerances" sheetId="1" r:id="rId1"/>
    <sheet name="8005465.05 DAQ Tolerances .25mA" sheetId="2" r:id="rId2"/>
    <sheet name="8005465.05 DAQ Tolerances 4mA" sheetId="6" r:id="rId3"/>
    <sheet name="8005571.05 DAQ Tolerances" sheetId="3" r:id="rId4"/>
    <sheet name="PXD Tolerances" sheetId="5" r:id="rId5"/>
  </sheets>
  <definedNames>
    <definedName name="_xlnm.Print_Area" localSheetId="1">'8005465.05 DAQ Tolerances .25mA'!$A$1:$AB$53</definedName>
    <definedName name="_xlnm.Print_Area" localSheetId="0">'8005553.05 DAQ Tolerances'!$A$1:$AC$63</definedName>
    <definedName name="_xlnm.Print_Area" localSheetId="3">'8005571.05 DAQ Tolerances'!$A$1:$AC$74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1" i="2"/>
  <c r="E38" i="2"/>
  <c r="I38" i="2" s="1"/>
  <c r="E37" i="2"/>
  <c r="I37" i="2" s="1"/>
  <c r="D37" i="2"/>
  <c r="F37" i="2" s="1"/>
  <c r="E36" i="2"/>
  <c r="I36" i="2" s="1"/>
  <c r="D36" i="2"/>
  <c r="G36" i="2" s="1"/>
  <c r="H35" i="2"/>
  <c r="E35" i="2"/>
  <c r="I35" i="2" s="1"/>
  <c r="D35" i="2"/>
  <c r="G35" i="2" s="1"/>
  <c r="E34" i="2"/>
  <c r="I34" i="2" s="1"/>
  <c r="E33" i="2"/>
  <c r="I33" i="2" s="1"/>
  <c r="D33" i="2"/>
  <c r="F33" i="2" s="1"/>
  <c r="E32" i="2"/>
  <c r="I32" i="2" s="1"/>
  <c r="D32" i="2"/>
  <c r="G32" i="2" s="1"/>
  <c r="H31" i="2"/>
  <c r="E31" i="2"/>
  <c r="I31" i="2" s="1"/>
  <c r="D31" i="2"/>
  <c r="G31" i="2" s="1"/>
  <c r="E30" i="2"/>
  <c r="I30" i="2" s="1"/>
  <c r="E29" i="2"/>
  <c r="I29" i="2" s="1"/>
  <c r="D29" i="2"/>
  <c r="F29" i="2" s="1"/>
  <c r="E28" i="2"/>
  <c r="I28" i="2" s="1"/>
  <c r="D28" i="2"/>
  <c r="G28" i="2" s="1"/>
  <c r="E62" i="1"/>
  <c r="I62" i="1" s="1"/>
  <c r="B56" i="1"/>
  <c r="B52" i="1" s="1"/>
  <c r="B57" i="1" s="1"/>
  <c r="E52" i="2"/>
  <c r="E51" i="2"/>
  <c r="H51" i="2" s="1"/>
  <c r="E50" i="2"/>
  <c r="E49" i="2"/>
  <c r="I49" i="2" s="1"/>
  <c r="E48" i="2"/>
  <c r="E46" i="2"/>
  <c r="I46" i="2" s="1"/>
  <c r="E45" i="2"/>
  <c r="I45" i="2" s="1"/>
  <c r="E44" i="2"/>
  <c r="I44" i="2" s="1"/>
  <c r="E43" i="2"/>
  <c r="I43" i="2" s="1"/>
  <c r="E42" i="2"/>
  <c r="I42" i="2" s="1"/>
  <c r="E47" i="2"/>
  <c r="I47" i="2" s="1"/>
  <c r="I52" i="2"/>
  <c r="H52" i="2"/>
  <c r="I51" i="2"/>
  <c r="I50" i="2"/>
  <c r="H50" i="2"/>
  <c r="I48" i="2"/>
  <c r="H48" i="2"/>
  <c r="H43" i="2"/>
  <c r="H42" i="2"/>
  <c r="H38" i="6"/>
  <c r="H36" i="6"/>
  <c r="H34" i="6"/>
  <c r="H32" i="6"/>
  <c r="H28" i="6"/>
  <c r="E38" i="6"/>
  <c r="I38" i="6" s="1"/>
  <c r="E37" i="6"/>
  <c r="I37" i="6" s="1"/>
  <c r="E36" i="6"/>
  <c r="I36" i="6" s="1"/>
  <c r="E35" i="6"/>
  <c r="I35" i="6" s="1"/>
  <c r="E34" i="6"/>
  <c r="I34" i="6" s="1"/>
  <c r="E32" i="6"/>
  <c r="I32" i="6" s="1"/>
  <c r="E31" i="6"/>
  <c r="I31" i="6" s="1"/>
  <c r="E30" i="6"/>
  <c r="I30" i="6" s="1"/>
  <c r="E29" i="6"/>
  <c r="I29" i="6" s="1"/>
  <c r="E28" i="6"/>
  <c r="I28" i="6" s="1"/>
  <c r="E33" i="6"/>
  <c r="I33" i="6" s="1"/>
  <c r="B9" i="6"/>
  <c r="E19" i="6"/>
  <c r="H34" i="2" l="1"/>
  <c r="H38" i="2"/>
  <c r="G29" i="2"/>
  <c r="G33" i="2"/>
  <c r="G37" i="2"/>
  <c r="M37" i="2" s="1"/>
  <c r="H29" i="2"/>
  <c r="H33" i="2"/>
  <c r="H37" i="2"/>
  <c r="F28" i="2"/>
  <c r="F32" i="2"/>
  <c r="F36" i="2"/>
  <c r="H30" i="2"/>
  <c r="H28" i="2"/>
  <c r="D30" i="2"/>
  <c r="H32" i="2"/>
  <c r="D34" i="2"/>
  <c r="H36" i="2"/>
  <c r="D38" i="2"/>
  <c r="H46" i="2"/>
  <c r="M28" i="2"/>
  <c r="L28" i="2"/>
  <c r="M32" i="2"/>
  <c r="L32" i="2"/>
  <c r="M31" i="2"/>
  <c r="L31" i="2"/>
  <c r="M35" i="2"/>
  <c r="L35" i="2"/>
  <c r="L29" i="2"/>
  <c r="M29" i="2"/>
  <c r="M33" i="2"/>
  <c r="L33" i="2"/>
  <c r="M36" i="2"/>
  <c r="L36" i="2"/>
  <c r="H30" i="6"/>
  <c r="H44" i="2"/>
  <c r="H62" i="1"/>
  <c r="H29" i="6"/>
  <c r="H31" i="6"/>
  <c r="H33" i="6"/>
  <c r="H35" i="6"/>
  <c r="H37" i="6"/>
  <c r="D62" i="1"/>
  <c r="H49" i="2"/>
  <c r="H45" i="2"/>
  <c r="H47" i="2"/>
  <c r="E38" i="3"/>
  <c r="E39" i="3"/>
  <c r="E40" i="3"/>
  <c r="E41" i="3"/>
  <c r="E42" i="3"/>
  <c r="E43" i="3"/>
  <c r="E44" i="3"/>
  <c r="E45" i="3"/>
  <c r="E46" i="3"/>
  <c r="E47" i="3"/>
  <c r="E48" i="3"/>
  <c r="D49" i="3"/>
  <c r="G49" i="3" s="1"/>
  <c r="E49" i="3"/>
  <c r="E24" i="6"/>
  <c r="I24" i="6" s="1"/>
  <c r="E23" i="6"/>
  <c r="I23" i="6" s="1"/>
  <c r="E22" i="6"/>
  <c r="I22" i="6" s="1"/>
  <c r="E21" i="6"/>
  <c r="I21" i="6" s="1"/>
  <c r="E20" i="6"/>
  <c r="I20" i="6" s="1"/>
  <c r="I19" i="6"/>
  <c r="E18" i="6"/>
  <c r="I18" i="6" s="1"/>
  <c r="E17" i="6"/>
  <c r="I17" i="6" s="1"/>
  <c r="E16" i="6"/>
  <c r="I16" i="6" s="1"/>
  <c r="E15" i="6"/>
  <c r="I15" i="6" s="1"/>
  <c r="E14" i="6"/>
  <c r="H14" i="6" s="1"/>
  <c r="B5" i="6"/>
  <c r="B10" i="6" s="1"/>
  <c r="G34" i="2" l="1"/>
  <c r="F34" i="2"/>
  <c r="L37" i="2"/>
  <c r="G38" i="2"/>
  <c r="F38" i="2"/>
  <c r="G30" i="2"/>
  <c r="F30" i="2"/>
  <c r="K30" i="2" s="1"/>
  <c r="K34" i="2"/>
  <c r="J34" i="2"/>
  <c r="J30" i="2"/>
  <c r="K37" i="2"/>
  <c r="J37" i="2"/>
  <c r="K33" i="2"/>
  <c r="J33" i="2"/>
  <c r="N33" i="2" s="1"/>
  <c r="O33" i="2" s="1"/>
  <c r="K29" i="2"/>
  <c r="J29" i="2"/>
  <c r="K36" i="2"/>
  <c r="J36" i="2"/>
  <c r="N36" i="2" s="1"/>
  <c r="O36" i="2" s="1"/>
  <c r="K32" i="2"/>
  <c r="J32" i="2"/>
  <c r="K28" i="2"/>
  <c r="J28" i="2"/>
  <c r="K35" i="2"/>
  <c r="J35" i="2"/>
  <c r="K31" i="2"/>
  <c r="J31" i="2"/>
  <c r="N31" i="2" s="1"/>
  <c r="O31" i="2" s="1"/>
  <c r="K38" i="2"/>
  <c r="J38" i="2"/>
  <c r="I45" i="3"/>
  <c r="H45" i="3"/>
  <c r="D48" i="3"/>
  <c r="F48" i="3" s="1"/>
  <c r="H48" i="3"/>
  <c r="I48" i="3"/>
  <c r="D44" i="3"/>
  <c r="F44" i="3" s="1"/>
  <c r="H44" i="3"/>
  <c r="I44" i="3"/>
  <c r="D40" i="3"/>
  <c r="F40" i="3" s="1"/>
  <c r="H40" i="3"/>
  <c r="I40" i="3"/>
  <c r="D41" i="3"/>
  <c r="G41" i="3" s="1"/>
  <c r="M41" i="3" s="1"/>
  <c r="I41" i="3"/>
  <c r="H41" i="3"/>
  <c r="D47" i="3"/>
  <c r="G47" i="3" s="1"/>
  <c r="I47" i="3"/>
  <c r="H47" i="3"/>
  <c r="I43" i="3"/>
  <c r="H43" i="3"/>
  <c r="D39" i="3"/>
  <c r="G39" i="3" s="1"/>
  <c r="L39" i="3" s="1"/>
  <c r="I39" i="3"/>
  <c r="H39" i="3"/>
  <c r="G62" i="1"/>
  <c r="F62" i="1"/>
  <c r="I49" i="3"/>
  <c r="H49" i="3"/>
  <c r="H46" i="3"/>
  <c r="I46" i="3"/>
  <c r="D42" i="3"/>
  <c r="H42" i="3"/>
  <c r="I42" i="3"/>
  <c r="D38" i="3"/>
  <c r="H38" i="3"/>
  <c r="I38" i="3"/>
  <c r="G44" i="3"/>
  <c r="G48" i="3"/>
  <c r="F47" i="3"/>
  <c r="F49" i="3"/>
  <c r="G40" i="3"/>
  <c r="M39" i="3"/>
  <c r="L49" i="3"/>
  <c r="L47" i="3"/>
  <c r="D46" i="3"/>
  <c r="D45" i="3"/>
  <c r="D43" i="3"/>
  <c r="M49" i="3"/>
  <c r="M48" i="3"/>
  <c r="H15" i="6"/>
  <c r="H16" i="6"/>
  <c r="H17" i="6"/>
  <c r="H18" i="6"/>
  <c r="H19" i="6"/>
  <c r="H20" i="6"/>
  <c r="H21" i="6"/>
  <c r="H22" i="6"/>
  <c r="H23" i="6"/>
  <c r="H24" i="6"/>
  <c r="D19" i="6"/>
  <c r="D21" i="6"/>
  <c r="I14" i="6"/>
  <c r="D29" i="6"/>
  <c r="D33" i="6"/>
  <c r="D37" i="6"/>
  <c r="D32" i="6"/>
  <c r="D14" i="6"/>
  <c r="D15" i="6"/>
  <c r="D16" i="6"/>
  <c r="D17" i="6"/>
  <c r="D18" i="6"/>
  <c r="D20" i="6"/>
  <c r="D22" i="6"/>
  <c r="D24" i="6"/>
  <c r="D31" i="6"/>
  <c r="D35" i="6"/>
  <c r="D30" i="6"/>
  <c r="D34" i="6"/>
  <c r="D23" i="6"/>
  <c r="D28" i="6"/>
  <c r="D36" i="6"/>
  <c r="D38" i="6"/>
  <c r="L38" i="2" l="1"/>
  <c r="M38" i="2"/>
  <c r="N38" i="2" s="1"/>
  <c r="O38" i="2" s="1"/>
  <c r="M30" i="2"/>
  <c r="L30" i="2"/>
  <c r="N30" i="2" s="1"/>
  <c r="O30" i="2" s="1"/>
  <c r="M34" i="2"/>
  <c r="L34" i="2"/>
  <c r="N34" i="2" s="1"/>
  <c r="O34" i="2" s="1"/>
  <c r="N28" i="2"/>
  <c r="O28" i="2" s="1"/>
  <c r="N35" i="2"/>
  <c r="O35" i="2" s="1"/>
  <c r="N32" i="2"/>
  <c r="O32" i="2" s="1"/>
  <c r="N29" i="2"/>
  <c r="O29" i="2" s="1"/>
  <c r="N37" i="2"/>
  <c r="O37" i="2" s="1"/>
  <c r="F39" i="3"/>
  <c r="F41" i="3"/>
  <c r="G38" i="3"/>
  <c r="L38" i="3" s="1"/>
  <c r="F38" i="3"/>
  <c r="K38" i="3" s="1"/>
  <c r="L41" i="3"/>
  <c r="F42" i="3"/>
  <c r="G42" i="3"/>
  <c r="L42" i="3" s="1"/>
  <c r="M62" i="1"/>
  <c r="L62" i="1"/>
  <c r="J62" i="1"/>
  <c r="K62" i="1"/>
  <c r="F46" i="3"/>
  <c r="G46" i="3"/>
  <c r="G43" i="3"/>
  <c r="F43" i="3"/>
  <c r="G45" i="3"/>
  <c r="F45" i="3"/>
  <c r="M47" i="3"/>
  <c r="L44" i="3"/>
  <c r="J48" i="3"/>
  <c r="K48" i="3"/>
  <c r="L40" i="3"/>
  <c r="M40" i="3"/>
  <c r="M44" i="3"/>
  <c r="J49" i="3"/>
  <c r="K49" i="3"/>
  <c r="J39" i="3"/>
  <c r="K39" i="3"/>
  <c r="J44" i="3"/>
  <c r="K44" i="3"/>
  <c r="L48" i="3"/>
  <c r="J40" i="3"/>
  <c r="K40" i="3"/>
  <c r="M38" i="3"/>
  <c r="M42" i="3"/>
  <c r="J41" i="3"/>
  <c r="K41" i="3"/>
  <c r="J47" i="3"/>
  <c r="K47" i="3"/>
  <c r="J38" i="3"/>
  <c r="J42" i="3"/>
  <c r="K42" i="3"/>
  <c r="G23" i="6"/>
  <c r="F23" i="6"/>
  <c r="G20" i="6"/>
  <c r="F20" i="6"/>
  <c r="F15" i="6"/>
  <c r="G15" i="6"/>
  <c r="F18" i="6"/>
  <c r="G18" i="6"/>
  <c r="G14" i="6"/>
  <c r="F14" i="6"/>
  <c r="G28" i="6"/>
  <c r="F28" i="6"/>
  <c r="F24" i="6"/>
  <c r="G24" i="6"/>
  <c r="F17" i="6"/>
  <c r="G17" i="6"/>
  <c r="L21" i="6"/>
  <c r="F21" i="6"/>
  <c r="K21" i="6" s="1"/>
  <c r="G21" i="6"/>
  <c r="G22" i="6"/>
  <c r="F22" i="6"/>
  <c r="G16" i="6"/>
  <c r="F16" i="6"/>
  <c r="G19" i="6"/>
  <c r="F19" i="6"/>
  <c r="M21" i="6"/>
  <c r="G34" i="6"/>
  <c r="F34" i="6"/>
  <c r="G31" i="6"/>
  <c r="F31" i="6"/>
  <c r="G37" i="6"/>
  <c r="F37" i="6"/>
  <c r="G29" i="6"/>
  <c r="F29" i="6"/>
  <c r="G38" i="6"/>
  <c r="F38" i="6"/>
  <c r="G35" i="6"/>
  <c r="F35" i="6"/>
  <c r="G36" i="6"/>
  <c r="F36" i="6"/>
  <c r="G33" i="6"/>
  <c r="F33" i="6"/>
  <c r="G30" i="6"/>
  <c r="F30" i="6"/>
  <c r="G32" i="6"/>
  <c r="F32" i="6"/>
  <c r="E52" i="5"/>
  <c r="I52" i="5" s="1"/>
  <c r="E51" i="5"/>
  <c r="E50" i="5"/>
  <c r="I50" i="5" s="1"/>
  <c r="E49" i="5"/>
  <c r="I49" i="5" s="1"/>
  <c r="I48" i="5"/>
  <c r="E48" i="5"/>
  <c r="E47" i="5"/>
  <c r="E46" i="5"/>
  <c r="I46" i="5" s="1"/>
  <c r="E45" i="5"/>
  <c r="I45" i="5" s="1"/>
  <c r="E44" i="5"/>
  <c r="I44" i="5" s="1"/>
  <c r="E43" i="5"/>
  <c r="I43" i="5" s="1"/>
  <c r="I42" i="5"/>
  <c r="E42" i="5"/>
  <c r="E38" i="5"/>
  <c r="I38" i="5" s="1"/>
  <c r="I37" i="5"/>
  <c r="E37" i="5"/>
  <c r="E36" i="5"/>
  <c r="I36" i="5" s="1"/>
  <c r="E35" i="5"/>
  <c r="I35" i="5" s="1"/>
  <c r="E34" i="5"/>
  <c r="I34" i="5" s="1"/>
  <c r="E33" i="5"/>
  <c r="I33" i="5" s="1"/>
  <c r="E32" i="5"/>
  <c r="I31" i="5"/>
  <c r="E31" i="5"/>
  <c r="E30" i="5"/>
  <c r="I30" i="5" s="1"/>
  <c r="I29" i="5"/>
  <c r="E29" i="5"/>
  <c r="E28" i="5"/>
  <c r="I28" i="5" s="1"/>
  <c r="E24" i="5"/>
  <c r="I24" i="5" s="1"/>
  <c r="E23" i="5"/>
  <c r="I23" i="5" s="1"/>
  <c r="E22" i="5"/>
  <c r="I22" i="5" s="1"/>
  <c r="E21" i="5"/>
  <c r="I21" i="5" s="1"/>
  <c r="E20" i="5"/>
  <c r="I20" i="5" s="1"/>
  <c r="E19" i="5"/>
  <c r="I19" i="5" s="1"/>
  <c r="E18" i="5"/>
  <c r="I18" i="5" s="1"/>
  <c r="E17" i="5"/>
  <c r="I17" i="5" s="1"/>
  <c r="E16" i="5"/>
  <c r="I16" i="5" s="1"/>
  <c r="E15" i="5"/>
  <c r="I15" i="5" s="1"/>
  <c r="E14" i="5"/>
  <c r="I14" i="5" s="1"/>
  <c r="B9" i="5"/>
  <c r="B5" i="5" s="1"/>
  <c r="B10" i="5" s="1"/>
  <c r="N62" i="1" l="1"/>
  <c r="O62" i="1" s="1"/>
  <c r="N39" i="3"/>
  <c r="O39" i="3" s="1"/>
  <c r="N49" i="3"/>
  <c r="O49" i="3" s="1"/>
  <c r="J43" i="3"/>
  <c r="K43" i="3"/>
  <c r="J45" i="3"/>
  <c r="K45" i="3"/>
  <c r="N42" i="3"/>
  <c r="O42" i="3" s="1"/>
  <c r="N48" i="3"/>
  <c r="O48" i="3" s="1"/>
  <c r="N47" i="3"/>
  <c r="O47" i="3" s="1"/>
  <c r="N44" i="3"/>
  <c r="O44" i="3" s="1"/>
  <c r="N38" i="3"/>
  <c r="O38" i="3" s="1"/>
  <c r="N41" i="3"/>
  <c r="O41" i="3" s="1"/>
  <c r="N40" i="3"/>
  <c r="O40" i="3" s="1"/>
  <c r="L43" i="3"/>
  <c r="M43" i="3"/>
  <c r="L45" i="3"/>
  <c r="M45" i="3"/>
  <c r="L46" i="3"/>
  <c r="M46" i="3"/>
  <c r="J46" i="3"/>
  <c r="K46" i="3"/>
  <c r="J21" i="6"/>
  <c r="N21" i="6" s="1"/>
  <c r="O21" i="6" s="1"/>
  <c r="K19" i="6"/>
  <c r="J19" i="6"/>
  <c r="L19" i="6"/>
  <c r="M19" i="6"/>
  <c r="K32" i="6"/>
  <c r="J32" i="6"/>
  <c r="M17" i="6"/>
  <c r="L17" i="6"/>
  <c r="K30" i="6"/>
  <c r="J30" i="6"/>
  <c r="K24" i="6"/>
  <c r="J24" i="6"/>
  <c r="K36" i="6"/>
  <c r="J36" i="6"/>
  <c r="M16" i="6"/>
  <c r="L16" i="6"/>
  <c r="K38" i="6"/>
  <c r="J38" i="6"/>
  <c r="K37" i="6"/>
  <c r="J37" i="6"/>
  <c r="K22" i="6"/>
  <c r="J22" i="6"/>
  <c r="K34" i="6"/>
  <c r="J34" i="6"/>
  <c r="L32" i="6"/>
  <c r="M32" i="6"/>
  <c r="K17" i="6"/>
  <c r="J17" i="6"/>
  <c r="L30" i="6"/>
  <c r="M30" i="6"/>
  <c r="L24" i="6"/>
  <c r="M24" i="6"/>
  <c r="L36" i="6"/>
  <c r="M36" i="6"/>
  <c r="K16" i="6"/>
  <c r="J16" i="6"/>
  <c r="M38" i="6"/>
  <c r="L38" i="6"/>
  <c r="M37" i="6"/>
  <c r="L37" i="6"/>
  <c r="L22" i="6"/>
  <c r="M22" i="6"/>
  <c r="L34" i="6"/>
  <c r="M34" i="6"/>
  <c r="M15" i="6"/>
  <c r="L15" i="6"/>
  <c r="K20" i="6"/>
  <c r="J20" i="6"/>
  <c r="K33" i="6"/>
  <c r="J33" i="6"/>
  <c r="J18" i="6"/>
  <c r="K18" i="6"/>
  <c r="K23" i="6"/>
  <c r="J23" i="6"/>
  <c r="K35" i="6"/>
  <c r="J35" i="6"/>
  <c r="K29" i="6"/>
  <c r="J29" i="6"/>
  <c r="M14" i="6"/>
  <c r="L14" i="6"/>
  <c r="K31" i="6"/>
  <c r="J31" i="6"/>
  <c r="K28" i="6"/>
  <c r="J28" i="6"/>
  <c r="K15" i="6"/>
  <c r="J15" i="6"/>
  <c r="M20" i="6"/>
  <c r="L20" i="6"/>
  <c r="L33" i="6"/>
  <c r="M33" i="6"/>
  <c r="L18" i="6"/>
  <c r="M18" i="6"/>
  <c r="L23" i="6"/>
  <c r="M23" i="6"/>
  <c r="L35" i="6"/>
  <c r="M35" i="6"/>
  <c r="L29" i="6"/>
  <c r="M29" i="6"/>
  <c r="K14" i="6"/>
  <c r="J14" i="6"/>
  <c r="L31" i="6"/>
  <c r="M31" i="6"/>
  <c r="L28" i="6"/>
  <c r="M28" i="6"/>
  <c r="H32" i="5"/>
  <c r="D32" i="5"/>
  <c r="H47" i="5"/>
  <c r="D47" i="5"/>
  <c r="H51" i="5"/>
  <c r="D51" i="5"/>
  <c r="D14" i="5"/>
  <c r="H14" i="5"/>
  <c r="D15" i="5"/>
  <c r="H15" i="5"/>
  <c r="D16" i="5"/>
  <c r="H16" i="5"/>
  <c r="D17" i="5"/>
  <c r="H17" i="5"/>
  <c r="D18" i="5"/>
  <c r="H18" i="5"/>
  <c r="H20" i="5"/>
  <c r="D20" i="5"/>
  <c r="H22" i="5"/>
  <c r="D22" i="5"/>
  <c r="H24" i="5"/>
  <c r="D24" i="5"/>
  <c r="H29" i="5"/>
  <c r="D29" i="5"/>
  <c r="H31" i="5"/>
  <c r="D31" i="5"/>
  <c r="I32" i="5"/>
  <c r="H33" i="5"/>
  <c r="D33" i="5"/>
  <c r="H35" i="5"/>
  <c r="D35" i="5"/>
  <c r="H37" i="5"/>
  <c r="D37" i="5"/>
  <c r="H42" i="5"/>
  <c r="D42" i="5"/>
  <c r="H44" i="5"/>
  <c r="D44" i="5"/>
  <c r="H46" i="5"/>
  <c r="D46" i="5"/>
  <c r="I47" i="5"/>
  <c r="H48" i="5"/>
  <c r="D48" i="5"/>
  <c r="H50" i="5"/>
  <c r="D50" i="5"/>
  <c r="I51" i="5"/>
  <c r="H52" i="5"/>
  <c r="D52" i="5"/>
  <c r="H19" i="5"/>
  <c r="D19" i="5"/>
  <c r="H34" i="5"/>
  <c r="D34" i="5"/>
  <c r="H21" i="5"/>
  <c r="D21" i="5"/>
  <c r="H23" i="5"/>
  <c r="D23" i="5"/>
  <c r="H28" i="5"/>
  <c r="D28" i="5"/>
  <c r="H30" i="5"/>
  <c r="D30" i="5"/>
  <c r="H36" i="5"/>
  <c r="D36" i="5"/>
  <c r="H38" i="5"/>
  <c r="D38" i="5"/>
  <c r="H43" i="5"/>
  <c r="D43" i="5"/>
  <c r="H45" i="5"/>
  <c r="D45" i="5"/>
  <c r="H49" i="5"/>
  <c r="D49" i="5"/>
  <c r="N46" i="3" l="1"/>
  <c r="O46" i="3" s="1"/>
  <c r="N45" i="3"/>
  <c r="O45" i="3" s="1"/>
  <c r="N43" i="3"/>
  <c r="O43" i="3" s="1"/>
  <c r="N14" i="6"/>
  <c r="O14" i="6" s="1"/>
  <c r="N15" i="6"/>
  <c r="O15" i="6" s="1"/>
  <c r="N16" i="6"/>
  <c r="O16" i="6" s="1"/>
  <c r="N17" i="6"/>
  <c r="O17" i="6" s="1"/>
  <c r="N34" i="6"/>
  <c r="O34" i="6" s="1"/>
  <c r="N19" i="6"/>
  <c r="O19" i="6" s="1"/>
  <c r="N23" i="6"/>
  <c r="O23" i="6" s="1"/>
  <c r="N18" i="6"/>
  <c r="O18" i="6" s="1"/>
  <c r="N29" i="6"/>
  <c r="O29" i="6" s="1"/>
  <c r="N37" i="6"/>
  <c r="O37" i="6" s="1"/>
  <c r="N38" i="6"/>
  <c r="O38" i="6" s="1"/>
  <c r="N36" i="6"/>
  <c r="O36" i="6" s="1"/>
  <c r="N35" i="6"/>
  <c r="O35" i="6" s="1"/>
  <c r="N30" i="6"/>
  <c r="O30" i="6" s="1"/>
  <c r="N32" i="6"/>
  <c r="O32" i="6" s="1"/>
  <c r="N31" i="6"/>
  <c r="O31" i="6" s="1"/>
  <c r="N33" i="6"/>
  <c r="O33" i="6" s="1"/>
  <c r="N28" i="6"/>
  <c r="O28" i="6" s="1"/>
  <c r="N20" i="6"/>
  <c r="O20" i="6" s="1"/>
  <c r="N22" i="6"/>
  <c r="O22" i="6" s="1"/>
  <c r="N24" i="6"/>
  <c r="O24" i="6" s="1"/>
  <c r="G31" i="5"/>
  <c r="F31" i="5"/>
  <c r="G24" i="5"/>
  <c r="F24" i="5"/>
  <c r="G20" i="5"/>
  <c r="F20" i="5"/>
  <c r="G51" i="5"/>
  <c r="F51" i="5"/>
  <c r="G32" i="5"/>
  <c r="F32" i="5"/>
  <c r="G49" i="5"/>
  <c r="F49" i="5"/>
  <c r="G43" i="5"/>
  <c r="F43" i="5"/>
  <c r="G36" i="5"/>
  <c r="F36" i="5"/>
  <c r="G28" i="5"/>
  <c r="F28" i="5"/>
  <c r="G21" i="5"/>
  <c r="F21" i="5"/>
  <c r="G19" i="5"/>
  <c r="F19" i="5"/>
  <c r="G44" i="5"/>
  <c r="F44" i="5"/>
  <c r="G37" i="5"/>
  <c r="F37" i="5"/>
  <c r="G33" i="5"/>
  <c r="F33" i="5"/>
  <c r="G17" i="5"/>
  <c r="F17" i="5"/>
  <c r="G15" i="5"/>
  <c r="F15" i="5"/>
  <c r="G50" i="5"/>
  <c r="F50" i="5"/>
  <c r="G29" i="5"/>
  <c r="F29" i="5"/>
  <c r="G22" i="5"/>
  <c r="F22" i="5"/>
  <c r="G47" i="5"/>
  <c r="F47" i="5"/>
  <c r="G45" i="5"/>
  <c r="F45" i="5"/>
  <c r="G38" i="5"/>
  <c r="F38" i="5"/>
  <c r="G30" i="5"/>
  <c r="F30" i="5"/>
  <c r="G23" i="5"/>
  <c r="F23" i="5"/>
  <c r="G34" i="5"/>
  <c r="F34" i="5"/>
  <c r="G52" i="5"/>
  <c r="F52" i="5"/>
  <c r="G46" i="5"/>
  <c r="F46" i="5"/>
  <c r="G42" i="5"/>
  <c r="F42" i="5"/>
  <c r="G35" i="5"/>
  <c r="F35" i="5"/>
  <c r="G18" i="5"/>
  <c r="F18" i="5"/>
  <c r="G16" i="5"/>
  <c r="F16" i="5"/>
  <c r="F14" i="5"/>
  <c r="G14" i="5"/>
  <c r="G48" i="5"/>
  <c r="F48" i="5"/>
  <c r="E34" i="3"/>
  <c r="I34" i="3" s="1"/>
  <c r="E33" i="3"/>
  <c r="I33" i="3" s="1"/>
  <c r="E32" i="3"/>
  <c r="I32" i="3" s="1"/>
  <c r="E31" i="3"/>
  <c r="I31" i="3" s="1"/>
  <c r="E30" i="3"/>
  <c r="I30" i="3" s="1"/>
  <c r="E29" i="3"/>
  <c r="I29" i="3" s="1"/>
  <c r="E28" i="3"/>
  <c r="I28" i="3" s="1"/>
  <c r="E27" i="3"/>
  <c r="I27" i="3" s="1"/>
  <c r="E26" i="3"/>
  <c r="I26" i="3" s="1"/>
  <c r="E25" i="3"/>
  <c r="I25" i="3" s="1"/>
  <c r="E24" i="3"/>
  <c r="D24" i="3" s="1"/>
  <c r="E23" i="3"/>
  <c r="I23" i="3" s="1"/>
  <c r="L11" i="3"/>
  <c r="L12" i="3" s="1"/>
  <c r="L13" i="3" s="1"/>
  <c r="L15" i="3" s="1"/>
  <c r="L16" i="3" s="1"/>
  <c r="L17" i="3" s="1"/>
  <c r="K11" i="3"/>
  <c r="K12" i="3" s="1"/>
  <c r="J11" i="3"/>
  <c r="J12" i="3" s="1"/>
  <c r="I11" i="3"/>
  <c r="I12" i="3" s="1"/>
  <c r="H11" i="3"/>
  <c r="H12" i="3" s="1"/>
  <c r="H13" i="3" s="1"/>
  <c r="H15" i="3" s="1"/>
  <c r="H16" i="3" s="1"/>
  <c r="H17" i="3" s="1"/>
  <c r="G11" i="3"/>
  <c r="G12" i="3" s="1"/>
  <c r="F11" i="3"/>
  <c r="F12" i="3" s="1"/>
  <c r="E11" i="3"/>
  <c r="E12" i="3" s="1"/>
  <c r="E13" i="3" s="1"/>
  <c r="E15" i="3" s="1"/>
  <c r="E16" i="3" s="1"/>
  <c r="E17" i="3" s="1"/>
  <c r="D11" i="3"/>
  <c r="D12" i="3" s="1"/>
  <c r="D13" i="3" s="1"/>
  <c r="D15" i="3" s="1"/>
  <c r="D16" i="3" s="1"/>
  <c r="D17" i="3" s="1"/>
  <c r="C11" i="3"/>
  <c r="C12" i="3" s="1"/>
  <c r="B11" i="3"/>
  <c r="B12" i="3" s="1"/>
  <c r="B13" i="3" s="1"/>
  <c r="B15" i="3" s="1"/>
  <c r="B16" i="3" s="1"/>
  <c r="B17" i="3" s="1"/>
  <c r="E24" i="2"/>
  <c r="H24" i="2" s="1"/>
  <c r="E23" i="2"/>
  <c r="H23" i="2" s="1"/>
  <c r="E22" i="2"/>
  <c r="H22" i="2" s="1"/>
  <c r="E21" i="2"/>
  <c r="H21" i="2" s="1"/>
  <c r="E20" i="2"/>
  <c r="H20" i="2" s="1"/>
  <c r="E19" i="2"/>
  <c r="H19" i="2" s="1"/>
  <c r="E18" i="2"/>
  <c r="E17" i="2"/>
  <c r="I17" i="2" s="1"/>
  <c r="E16" i="2"/>
  <c r="E15" i="2"/>
  <c r="I15" i="2" s="1"/>
  <c r="E14" i="2"/>
  <c r="B9" i="2"/>
  <c r="B5" i="2"/>
  <c r="B10" i="2" s="1"/>
  <c r="E36" i="1"/>
  <c r="I36" i="1" s="1"/>
  <c r="B30" i="1"/>
  <c r="E61" i="1" s="1"/>
  <c r="E18" i="1"/>
  <c r="I18" i="1" s="1"/>
  <c r="E14" i="1"/>
  <c r="I14" i="1" s="1"/>
  <c r="B9" i="1"/>
  <c r="E19" i="1" s="1"/>
  <c r="B5" i="1"/>
  <c r="B10" i="1" s="1"/>
  <c r="I19" i="1" l="1"/>
  <c r="D19" i="1"/>
  <c r="F19" i="1" s="1"/>
  <c r="E15" i="1"/>
  <c r="E21" i="1"/>
  <c r="H21" i="1" s="1"/>
  <c r="E44" i="1"/>
  <c r="E40" i="1"/>
  <c r="E45" i="1"/>
  <c r="E47" i="1"/>
  <c r="E43" i="1"/>
  <c r="E46" i="1"/>
  <c r="E42" i="1"/>
  <c r="E41" i="1"/>
  <c r="E17" i="1"/>
  <c r="D14" i="1"/>
  <c r="F14" i="1" s="1"/>
  <c r="E16" i="1"/>
  <c r="I16" i="1" s="1"/>
  <c r="D18" i="1"/>
  <c r="F18" i="1" s="1"/>
  <c r="J18" i="1" s="1"/>
  <c r="I61" i="1"/>
  <c r="H61" i="1"/>
  <c r="H16" i="1"/>
  <c r="E35" i="1"/>
  <c r="I35" i="1" s="1"/>
  <c r="H19" i="1"/>
  <c r="H14" i="1"/>
  <c r="J14" i="1" s="1"/>
  <c r="D16" i="1"/>
  <c r="F16" i="1" s="1"/>
  <c r="J16" i="1" s="1"/>
  <c r="H18" i="1"/>
  <c r="B26" i="1"/>
  <c r="B31" i="1" s="1"/>
  <c r="H36" i="1"/>
  <c r="J19" i="1"/>
  <c r="D61" i="1"/>
  <c r="D36" i="1"/>
  <c r="G36" i="1" s="1"/>
  <c r="G14" i="1"/>
  <c r="M14" i="1" s="1"/>
  <c r="G19" i="1"/>
  <c r="M19" i="1" s="1"/>
  <c r="D26" i="3"/>
  <c r="G26" i="3" s="1"/>
  <c r="H29" i="3"/>
  <c r="H33" i="3"/>
  <c r="H24" i="3"/>
  <c r="D23" i="3"/>
  <c r="G23" i="3" s="1"/>
  <c r="D25" i="3"/>
  <c r="F25" i="3" s="1"/>
  <c r="D27" i="3"/>
  <c r="G27" i="3" s="1"/>
  <c r="D29" i="3"/>
  <c r="G29" i="3" s="1"/>
  <c r="D31" i="3"/>
  <c r="G31" i="3" s="1"/>
  <c r="D33" i="3"/>
  <c r="G33" i="3" s="1"/>
  <c r="H27" i="3"/>
  <c r="H31" i="3"/>
  <c r="I13" i="3"/>
  <c r="I15" i="3" s="1"/>
  <c r="I16" i="3" s="1"/>
  <c r="I17" i="3" s="1"/>
  <c r="F13" i="3"/>
  <c r="F15" i="3" s="1"/>
  <c r="F16" i="3" s="1"/>
  <c r="F17" i="3" s="1"/>
  <c r="J13" i="3"/>
  <c r="J15" i="3" s="1"/>
  <c r="J16" i="3" s="1"/>
  <c r="J17" i="3" s="1"/>
  <c r="B14" i="3"/>
  <c r="I24" i="3"/>
  <c r="H28" i="3"/>
  <c r="D30" i="3"/>
  <c r="F30" i="3" s="1"/>
  <c r="H32" i="3"/>
  <c r="D34" i="3"/>
  <c r="G34" i="3" s="1"/>
  <c r="H26" i="3"/>
  <c r="D28" i="3"/>
  <c r="F28" i="3" s="1"/>
  <c r="H30" i="3"/>
  <c r="D32" i="3"/>
  <c r="G32" i="3" s="1"/>
  <c r="H34" i="3"/>
  <c r="M14" i="5"/>
  <c r="L14" i="5"/>
  <c r="K18" i="5"/>
  <c r="J18" i="5"/>
  <c r="K42" i="5"/>
  <c r="J42" i="5"/>
  <c r="K52" i="5"/>
  <c r="J52" i="5"/>
  <c r="K23" i="5"/>
  <c r="J23" i="5"/>
  <c r="K38" i="5"/>
  <c r="J38" i="5"/>
  <c r="K47" i="5"/>
  <c r="J47" i="5"/>
  <c r="K29" i="5"/>
  <c r="J29" i="5"/>
  <c r="J15" i="5"/>
  <c r="K15" i="5"/>
  <c r="K33" i="5"/>
  <c r="J33" i="5"/>
  <c r="K44" i="5"/>
  <c r="J44" i="5"/>
  <c r="K21" i="5"/>
  <c r="J21" i="5"/>
  <c r="K36" i="5"/>
  <c r="J36" i="5"/>
  <c r="K49" i="5"/>
  <c r="J49" i="5"/>
  <c r="K51" i="5"/>
  <c r="J51" i="5"/>
  <c r="K24" i="5"/>
  <c r="J24" i="5"/>
  <c r="K14" i="5"/>
  <c r="J14" i="5"/>
  <c r="N14" i="5" s="1"/>
  <c r="O14" i="5" s="1"/>
  <c r="L18" i="5"/>
  <c r="M18" i="5"/>
  <c r="L42" i="5"/>
  <c r="M42" i="5"/>
  <c r="M52" i="5"/>
  <c r="L52" i="5"/>
  <c r="L23" i="5"/>
  <c r="M23" i="5"/>
  <c r="L38" i="5"/>
  <c r="M38" i="5"/>
  <c r="L47" i="5"/>
  <c r="M47" i="5"/>
  <c r="L29" i="5"/>
  <c r="M29" i="5"/>
  <c r="L15" i="5"/>
  <c r="M15" i="5"/>
  <c r="L33" i="5"/>
  <c r="M33" i="5"/>
  <c r="L44" i="5"/>
  <c r="M44" i="5"/>
  <c r="L21" i="5"/>
  <c r="M21" i="5"/>
  <c r="L36" i="5"/>
  <c r="M36" i="5"/>
  <c r="L49" i="5"/>
  <c r="M49" i="5"/>
  <c r="L51" i="5"/>
  <c r="M51" i="5"/>
  <c r="L24" i="5"/>
  <c r="M24" i="5"/>
  <c r="K48" i="5"/>
  <c r="J48" i="5"/>
  <c r="J16" i="5"/>
  <c r="K16" i="5"/>
  <c r="K35" i="5"/>
  <c r="J35" i="5"/>
  <c r="K46" i="5"/>
  <c r="J46" i="5"/>
  <c r="K34" i="5"/>
  <c r="J34" i="5"/>
  <c r="K30" i="5"/>
  <c r="J30" i="5"/>
  <c r="K45" i="5"/>
  <c r="J45" i="5"/>
  <c r="K22" i="5"/>
  <c r="J22" i="5"/>
  <c r="K50" i="5"/>
  <c r="J50" i="5"/>
  <c r="K17" i="5"/>
  <c r="J17" i="5"/>
  <c r="K37" i="5"/>
  <c r="J37" i="5"/>
  <c r="K19" i="5"/>
  <c r="J19" i="5"/>
  <c r="K28" i="5"/>
  <c r="J28" i="5"/>
  <c r="K43" i="5"/>
  <c r="J43" i="5"/>
  <c r="K32" i="5"/>
  <c r="J32" i="5"/>
  <c r="K20" i="5"/>
  <c r="J20" i="5"/>
  <c r="K31" i="5"/>
  <c r="J31" i="5"/>
  <c r="L48" i="5"/>
  <c r="M48" i="5"/>
  <c r="L16" i="5"/>
  <c r="M16" i="5"/>
  <c r="L35" i="5"/>
  <c r="M35" i="5"/>
  <c r="L46" i="5"/>
  <c r="M46" i="5"/>
  <c r="L34" i="5"/>
  <c r="M34" i="5"/>
  <c r="L30" i="5"/>
  <c r="M30" i="5"/>
  <c r="L45" i="5"/>
  <c r="M45" i="5"/>
  <c r="L22" i="5"/>
  <c r="M22" i="5"/>
  <c r="L50" i="5"/>
  <c r="M50" i="5"/>
  <c r="M17" i="5"/>
  <c r="L17" i="5"/>
  <c r="L37" i="5"/>
  <c r="M37" i="5"/>
  <c r="L19" i="5"/>
  <c r="M19" i="5"/>
  <c r="L28" i="5"/>
  <c r="M28" i="5"/>
  <c r="L43" i="5"/>
  <c r="M43" i="5"/>
  <c r="L32" i="5"/>
  <c r="M32" i="5"/>
  <c r="L20" i="5"/>
  <c r="M20" i="5"/>
  <c r="L31" i="5"/>
  <c r="M31" i="5"/>
  <c r="D42" i="2"/>
  <c r="D43" i="2"/>
  <c r="D44" i="2"/>
  <c r="D45" i="2"/>
  <c r="D46" i="2"/>
  <c r="D47" i="2"/>
  <c r="D48" i="2"/>
  <c r="D49" i="2"/>
  <c r="D50" i="2"/>
  <c r="D51" i="2"/>
  <c r="D52" i="2"/>
  <c r="L19" i="1"/>
  <c r="F36" i="1"/>
  <c r="H16" i="2"/>
  <c r="D16" i="2"/>
  <c r="C13" i="3"/>
  <c r="C15" i="3" s="1"/>
  <c r="C16" i="3" s="1"/>
  <c r="C17" i="3" s="1"/>
  <c r="G13" i="3"/>
  <c r="G15" i="3" s="1"/>
  <c r="G16" i="3" s="1"/>
  <c r="G17" i="3" s="1"/>
  <c r="K13" i="3"/>
  <c r="K15" i="3" s="1"/>
  <c r="K16" i="3" s="1"/>
  <c r="K17" i="3" s="1"/>
  <c r="K14" i="3"/>
  <c r="E18" i="3"/>
  <c r="E19" i="3" s="1"/>
  <c r="I21" i="1"/>
  <c r="L14" i="1"/>
  <c r="K19" i="1"/>
  <c r="H14" i="2"/>
  <c r="D14" i="2"/>
  <c r="H18" i="2"/>
  <c r="D18" i="2"/>
  <c r="I14" i="2"/>
  <c r="H17" i="2"/>
  <c r="D17" i="2"/>
  <c r="I18" i="2"/>
  <c r="K14" i="1"/>
  <c r="H15" i="2"/>
  <c r="D15" i="2"/>
  <c r="I16" i="2"/>
  <c r="I21" i="2"/>
  <c r="I23" i="2"/>
  <c r="I24" i="2"/>
  <c r="F31" i="3"/>
  <c r="F33" i="3"/>
  <c r="I19" i="2"/>
  <c r="I20" i="2"/>
  <c r="H18" i="3"/>
  <c r="H19" i="3" s="1"/>
  <c r="G25" i="3"/>
  <c r="E20" i="1"/>
  <c r="B18" i="3"/>
  <c r="B19" i="3" s="1"/>
  <c r="D14" i="3"/>
  <c r="H14" i="3"/>
  <c r="L14" i="3"/>
  <c r="D18" i="3"/>
  <c r="D19" i="3" s="1"/>
  <c r="L18" i="3"/>
  <c r="L19" i="3" s="1"/>
  <c r="H23" i="3"/>
  <c r="G24" i="3"/>
  <c r="F24" i="3"/>
  <c r="H25" i="3"/>
  <c r="I22" i="2"/>
  <c r="F34" i="3"/>
  <c r="D19" i="2"/>
  <c r="D20" i="2"/>
  <c r="D21" i="2"/>
  <c r="D22" i="2"/>
  <c r="D23" i="2"/>
  <c r="D24" i="2"/>
  <c r="E14" i="3"/>
  <c r="I41" i="1" l="1"/>
  <c r="D41" i="1"/>
  <c r="H41" i="1"/>
  <c r="N31" i="5"/>
  <c r="O31" i="5" s="1"/>
  <c r="N32" i="5"/>
  <c r="O32" i="5" s="1"/>
  <c r="N28" i="5"/>
  <c r="O28" i="5" s="1"/>
  <c r="N37" i="5"/>
  <c r="O37" i="5" s="1"/>
  <c r="N50" i="5"/>
  <c r="O50" i="5" s="1"/>
  <c r="N45" i="5"/>
  <c r="O45" i="5" s="1"/>
  <c r="N34" i="5"/>
  <c r="O34" i="5" s="1"/>
  <c r="N35" i="5"/>
  <c r="O35" i="5" s="1"/>
  <c r="N48" i="5"/>
  <c r="O48" i="5" s="1"/>
  <c r="F61" i="1"/>
  <c r="G61" i="1"/>
  <c r="H42" i="1"/>
  <c r="I42" i="1"/>
  <c r="D42" i="1"/>
  <c r="I45" i="1"/>
  <c r="D45" i="1"/>
  <c r="H45" i="1"/>
  <c r="I15" i="1"/>
  <c r="D15" i="1"/>
  <c r="I47" i="1"/>
  <c r="D47" i="1"/>
  <c r="H47" i="1"/>
  <c r="F26" i="3"/>
  <c r="F23" i="3"/>
  <c r="D21" i="1"/>
  <c r="F21" i="1" s="1"/>
  <c r="K18" i="1"/>
  <c r="G18" i="1"/>
  <c r="M18" i="1" s="1"/>
  <c r="I46" i="1"/>
  <c r="H46" i="1"/>
  <c r="D46" i="1"/>
  <c r="I40" i="1"/>
  <c r="H40" i="1"/>
  <c r="D40" i="1"/>
  <c r="H15" i="1"/>
  <c r="I17" i="1"/>
  <c r="H17" i="1"/>
  <c r="D17" i="1"/>
  <c r="I43" i="1"/>
  <c r="D43" i="1"/>
  <c r="H43" i="1"/>
  <c r="I44" i="1"/>
  <c r="D44" i="1"/>
  <c r="H44" i="1"/>
  <c r="H35" i="1"/>
  <c r="L18" i="1"/>
  <c r="N18" i="1" s="1"/>
  <c r="O18" i="1" s="1"/>
  <c r="K16" i="1"/>
  <c r="D35" i="1"/>
  <c r="G16" i="1"/>
  <c r="N19" i="1"/>
  <c r="O19" i="1" s="1"/>
  <c r="N14" i="1"/>
  <c r="O14" i="1" s="1"/>
  <c r="F52" i="2"/>
  <c r="G52" i="2"/>
  <c r="F48" i="2"/>
  <c r="G48" i="2"/>
  <c r="F50" i="2"/>
  <c r="G50" i="2"/>
  <c r="G49" i="2"/>
  <c r="F49" i="2"/>
  <c r="F51" i="2"/>
  <c r="G51" i="2"/>
  <c r="G43" i="2"/>
  <c r="F43" i="2"/>
  <c r="G45" i="2"/>
  <c r="F45" i="2"/>
  <c r="G44" i="2"/>
  <c r="F44" i="2"/>
  <c r="G46" i="2"/>
  <c r="F46" i="2"/>
  <c r="G42" i="2"/>
  <c r="F42" i="2"/>
  <c r="F47" i="2"/>
  <c r="G47" i="2"/>
  <c r="G30" i="3"/>
  <c r="F27" i="3"/>
  <c r="K27" i="3" s="1"/>
  <c r="G28" i="3"/>
  <c r="M28" i="3" s="1"/>
  <c r="J18" i="3"/>
  <c r="J19" i="3" s="1"/>
  <c r="F29" i="3"/>
  <c r="K29" i="3" s="1"/>
  <c r="I18" i="3"/>
  <c r="I19" i="3" s="1"/>
  <c r="C14" i="3"/>
  <c r="G14" i="3"/>
  <c r="C18" i="3"/>
  <c r="C19" i="3" s="1"/>
  <c r="F14" i="3"/>
  <c r="F32" i="3"/>
  <c r="K32" i="3" s="1"/>
  <c r="F18" i="3"/>
  <c r="F19" i="3" s="1"/>
  <c r="K18" i="3"/>
  <c r="K19" i="3" s="1"/>
  <c r="J14" i="3"/>
  <c r="I14" i="3"/>
  <c r="N20" i="5"/>
  <c r="O20" i="5" s="1"/>
  <c r="N43" i="5"/>
  <c r="O43" i="5" s="1"/>
  <c r="N19" i="5"/>
  <c r="O19" i="5" s="1"/>
  <c r="N17" i="5"/>
  <c r="O17" i="5" s="1"/>
  <c r="N22" i="5"/>
  <c r="O22" i="5" s="1"/>
  <c r="N30" i="5"/>
  <c r="O30" i="5" s="1"/>
  <c r="N46" i="5"/>
  <c r="O46" i="5" s="1"/>
  <c r="N24" i="5"/>
  <c r="O24" i="5" s="1"/>
  <c r="N49" i="5"/>
  <c r="O49" i="5" s="1"/>
  <c r="N21" i="5"/>
  <c r="O21" i="5" s="1"/>
  <c r="N33" i="5"/>
  <c r="O33" i="5" s="1"/>
  <c r="N29" i="5"/>
  <c r="O29" i="5" s="1"/>
  <c r="N38" i="5"/>
  <c r="O38" i="5" s="1"/>
  <c r="N52" i="5"/>
  <c r="O52" i="5" s="1"/>
  <c r="N18" i="5"/>
  <c r="O18" i="5" s="1"/>
  <c r="N16" i="5"/>
  <c r="O16" i="5" s="1"/>
  <c r="N51" i="5"/>
  <c r="O51" i="5" s="1"/>
  <c r="N36" i="5"/>
  <c r="O36" i="5" s="1"/>
  <c r="N44" i="5"/>
  <c r="O44" i="5" s="1"/>
  <c r="N47" i="5"/>
  <c r="O47" i="5" s="1"/>
  <c r="N23" i="5"/>
  <c r="O23" i="5" s="1"/>
  <c r="N42" i="5"/>
  <c r="O42" i="5" s="1"/>
  <c r="N15" i="5"/>
  <c r="O15" i="5" s="1"/>
  <c r="M24" i="3"/>
  <c r="L24" i="3"/>
  <c r="L25" i="3"/>
  <c r="M25" i="3"/>
  <c r="G24" i="2"/>
  <c r="F24" i="2"/>
  <c r="G20" i="2"/>
  <c r="F20" i="2"/>
  <c r="K34" i="3"/>
  <c r="J34" i="3"/>
  <c r="K28" i="3"/>
  <c r="J28" i="3"/>
  <c r="M26" i="3"/>
  <c r="L26" i="3"/>
  <c r="J27" i="3"/>
  <c r="K31" i="3"/>
  <c r="J31" i="3"/>
  <c r="K23" i="3"/>
  <c r="J23" i="3"/>
  <c r="G14" i="2"/>
  <c r="F14" i="2"/>
  <c r="K36" i="1"/>
  <c r="J36" i="1"/>
  <c r="G21" i="2"/>
  <c r="F21" i="2"/>
  <c r="M30" i="3"/>
  <c r="L30" i="3"/>
  <c r="M29" i="3"/>
  <c r="L29" i="3"/>
  <c r="G23" i="2"/>
  <c r="F23" i="2"/>
  <c r="G19" i="2"/>
  <c r="F19" i="2"/>
  <c r="M34" i="3"/>
  <c r="L34" i="3"/>
  <c r="I20" i="1"/>
  <c r="H20" i="1"/>
  <c r="D20" i="1"/>
  <c r="M27" i="3"/>
  <c r="L27" i="3"/>
  <c r="M31" i="3"/>
  <c r="L31" i="3"/>
  <c r="L23" i="3"/>
  <c r="M23" i="3"/>
  <c r="M36" i="1"/>
  <c r="L36" i="1"/>
  <c r="K26" i="3"/>
  <c r="J26" i="3"/>
  <c r="M32" i="3"/>
  <c r="L32" i="3"/>
  <c r="M33" i="3"/>
  <c r="L33" i="3"/>
  <c r="G17" i="2"/>
  <c r="F17" i="2"/>
  <c r="G22" i="2"/>
  <c r="F22" i="2"/>
  <c r="K30" i="3"/>
  <c r="J30" i="3"/>
  <c r="K24" i="3"/>
  <c r="J24" i="3"/>
  <c r="K25" i="3"/>
  <c r="J25" i="3"/>
  <c r="K33" i="3"/>
  <c r="J33" i="3"/>
  <c r="G15" i="2"/>
  <c r="F15" i="2"/>
  <c r="G18" i="2"/>
  <c r="F18" i="2"/>
  <c r="G18" i="3"/>
  <c r="G19" i="3" s="1"/>
  <c r="G16" i="2"/>
  <c r="F16" i="2"/>
  <c r="G21" i="1" l="1"/>
  <c r="G45" i="1"/>
  <c r="F45" i="1"/>
  <c r="F17" i="1"/>
  <c r="G17" i="1"/>
  <c r="G43" i="1"/>
  <c r="F43" i="1"/>
  <c r="F15" i="1"/>
  <c r="G15" i="1"/>
  <c r="G41" i="1"/>
  <c r="F41" i="1"/>
  <c r="G40" i="1"/>
  <c r="F40" i="1"/>
  <c r="G47" i="1"/>
  <c r="F47" i="1"/>
  <c r="G44" i="1"/>
  <c r="F44" i="1"/>
  <c r="G46" i="1"/>
  <c r="F46" i="1"/>
  <c r="F42" i="1"/>
  <c r="G42" i="1"/>
  <c r="F35" i="1"/>
  <c r="G35" i="1"/>
  <c r="M16" i="1"/>
  <c r="L16" i="1"/>
  <c r="M61" i="1"/>
  <c r="L61" i="1"/>
  <c r="J61" i="1"/>
  <c r="K61" i="1"/>
  <c r="L28" i="3"/>
  <c r="J29" i="3"/>
  <c r="J32" i="3"/>
  <c r="N32" i="3" s="1"/>
  <c r="O32" i="3" s="1"/>
  <c r="J42" i="2"/>
  <c r="K42" i="2"/>
  <c r="J43" i="2"/>
  <c r="K43" i="2"/>
  <c r="M44" i="2"/>
  <c r="L44" i="2"/>
  <c r="M45" i="2"/>
  <c r="L45" i="2"/>
  <c r="J44" i="2"/>
  <c r="K44" i="2"/>
  <c r="J48" i="2"/>
  <c r="K48" i="2"/>
  <c r="J52" i="2"/>
  <c r="K52" i="2"/>
  <c r="J45" i="2"/>
  <c r="K45" i="2"/>
  <c r="J49" i="2"/>
  <c r="K49" i="2"/>
  <c r="J50" i="2"/>
  <c r="K50" i="2"/>
  <c r="M48" i="2"/>
  <c r="L48" i="2"/>
  <c r="M52" i="2"/>
  <c r="L52" i="2"/>
  <c r="M49" i="2"/>
  <c r="L49" i="2"/>
  <c r="M42" i="2"/>
  <c r="L42" i="2"/>
  <c r="M46" i="2"/>
  <c r="L46" i="2"/>
  <c r="M50" i="2"/>
  <c r="L50" i="2"/>
  <c r="M43" i="2"/>
  <c r="L43" i="2"/>
  <c r="M47" i="2"/>
  <c r="L47" i="2"/>
  <c r="M51" i="2"/>
  <c r="L51" i="2"/>
  <c r="J46" i="2"/>
  <c r="K46" i="2"/>
  <c r="J47" i="2"/>
  <c r="K47" i="2"/>
  <c r="J51" i="2"/>
  <c r="K51" i="2"/>
  <c r="J21" i="1"/>
  <c r="K21" i="1"/>
  <c r="K23" i="2"/>
  <c r="J23" i="2"/>
  <c r="N31" i="3"/>
  <c r="O31" i="3" s="1"/>
  <c r="N27" i="3"/>
  <c r="O27" i="3" s="1"/>
  <c r="N28" i="3"/>
  <c r="O28" i="3" s="1"/>
  <c r="K18" i="2"/>
  <c r="J18" i="2"/>
  <c r="N29" i="3"/>
  <c r="O29" i="3" s="1"/>
  <c r="N25" i="3"/>
  <c r="O25" i="3" s="1"/>
  <c r="N24" i="3"/>
  <c r="O24" i="3" s="1"/>
  <c r="K22" i="2"/>
  <c r="J22" i="2"/>
  <c r="N26" i="3"/>
  <c r="O26" i="3" s="1"/>
  <c r="F20" i="1"/>
  <c r="G20" i="1"/>
  <c r="L23" i="2"/>
  <c r="M23" i="2"/>
  <c r="L21" i="2"/>
  <c r="M21" i="2"/>
  <c r="L14" i="2"/>
  <c r="M14" i="2"/>
  <c r="L24" i="2"/>
  <c r="M24" i="2"/>
  <c r="K21" i="2"/>
  <c r="J21" i="2"/>
  <c r="K14" i="2"/>
  <c r="J14" i="2"/>
  <c r="K24" i="2"/>
  <c r="J24" i="2"/>
  <c r="K16" i="2"/>
  <c r="J16" i="2"/>
  <c r="L18" i="2"/>
  <c r="M18" i="2"/>
  <c r="L22" i="2"/>
  <c r="M22" i="2"/>
  <c r="K19" i="2"/>
  <c r="J19" i="2"/>
  <c r="N36" i="1"/>
  <c r="O36" i="1" s="1"/>
  <c r="N23" i="3"/>
  <c r="O23" i="3" s="1"/>
  <c r="N34" i="3"/>
  <c r="O34" i="3" s="1"/>
  <c r="K20" i="2"/>
  <c r="J20" i="2"/>
  <c r="L15" i="2"/>
  <c r="M15" i="2"/>
  <c r="L17" i="2"/>
  <c r="M17" i="2"/>
  <c r="L16" i="2"/>
  <c r="M16" i="2"/>
  <c r="K15" i="2"/>
  <c r="J15" i="2"/>
  <c r="N33" i="3"/>
  <c r="O33" i="3" s="1"/>
  <c r="N30" i="3"/>
  <c r="O30" i="3" s="1"/>
  <c r="K17" i="2"/>
  <c r="J17" i="2"/>
  <c r="M21" i="1"/>
  <c r="L21" i="1"/>
  <c r="L19" i="2"/>
  <c r="M19" i="2"/>
  <c r="L20" i="2"/>
  <c r="M20" i="2"/>
  <c r="L44" i="1" l="1"/>
  <c r="M44" i="1"/>
  <c r="L40" i="1"/>
  <c r="M40" i="1"/>
  <c r="N24" i="2"/>
  <c r="O24" i="2" s="1"/>
  <c r="N21" i="2"/>
  <c r="O21" i="2" s="1"/>
  <c r="J46" i="1"/>
  <c r="K46" i="1"/>
  <c r="K47" i="1"/>
  <c r="J47" i="1"/>
  <c r="K41" i="1"/>
  <c r="J41" i="1"/>
  <c r="K43" i="1"/>
  <c r="J43" i="1"/>
  <c r="K45" i="1"/>
  <c r="J45" i="1"/>
  <c r="N45" i="1" s="1"/>
  <c r="O45" i="1" s="1"/>
  <c r="J42" i="1"/>
  <c r="K42" i="1"/>
  <c r="J17" i="1"/>
  <c r="K17" i="1"/>
  <c r="L46" i="1"/>
  <c r="M46" i="1"/>
  <c r="M47" i="1"/>
  <c r="L47" i="1"/>
  <c r="M41" i="1"/>
  <c r="L41" i="1"/>
  <c r="M43" i="1"/>
  <c r="L43" i="1"/>
  <c r="M45" i="1"/>
  <c r="L45" i="1"/>
  <c r="K15" i="1"/>
  <c r="J15" i="1"/>
  <c r="N15" i="1" s="1"/>
  <c r="O15" i="1" s="1"/>
  <c r="N17" i="2"/>
  <c r="O17" i="2" s="1"/>
  <c r="N16" i="1"/>
  <c r="O16" i="1" s="1"/>
  <c r="L42" i="1"/>
  <c r="M42" i="1"/>
  <c r="N42" i="1" s="1"/>
  <c r="O42" i="1" s="1"/>
  <c r="K44" i="1"/>
  <c r="J44" i="1"/>
  <c r="N44" i="1" s="1"/>
  <c r="O44" i="1" s="1"/>
  <c r="K40" i="1"/>
  <c r="J40" i="1"/>
  <c r="N40" i="1" s="1"/>
  <c r="O40" i="1" s="1"/>
  <c r="M15" i="1"/>
  <c r="L15" i="1"/>
  <c r="L17" i="1"/>
  <c r="M17" i="1"/>
  <c r="K35" i="1"/>
  <c r="J35" i="1"/>
  <c r="N61" i="1"/>
  <c r="O61" i="1" s="1"/>
  <c r="M35" i="1"/>
  <c r="L35" i="1"/>
  <c r="N47" i="2"/>
  <c r="O47" i="2" s="1"/>
  <c r="N51" i="2"/>
  <c r="O51" i="2" s="1"/>
  <c r="N46" i="2"/>
  <c r="O46" i="2" s="1"/>
  <c r="N50" i="2"/>
  <c r="O50" i="2" s="1"/>
  <c r="N45" i="2"/>
  <c r="O45" i="2" s="1"/>
  <c r="N48" i="2"/>
  <c r="O48" i="2" s="1"/>
  <c r="N43" i="2"/>
  <c r="O43" i="2" s="1"/>
  <c r="N49" i="2"/>
  <c r="O49" i="2" s="1"/>
  <c r="N52" i="2"/>
  <c r="O52" i="2" s="1"/>
  <c r="N44" i="2"/>
  <c r="O44" i="2" s="1"/>
  <c r="N42" i="2"/>
  <c r="O42" i="2" s="1"/>
  <c r="N15" i="2"/>
  <c r="O15" i="2" s="1"/>
  <c r="N20" i="2"/>
  <c r="O20" i="2" s="1"/>
  <c r="N19" i="2"/>
  <c r="O19" i="2" s="1"/>
  <c r="N23" i="2"/>
  <c r="O23" i="2" s="1"/>
  <c r="N14" i="2"/>
  <c r="O14" i="2" s="1"/>
  <c r="M20" i="1"/>
  <c r="L20" i="1"/>
  <c r="N22" i="2"/>
  <c r="O22" i="2" s="1"/>
  <c r="N16" i="2"/>
  <c r="O16" i="2" s="1"/>
  <c r="J20" i="1"/>
  <c r="K20" i="1"/>
  <c r="N18" i="2"/>
  <c r="O18" i="2" s="1"/>
  <c r="N21" i="1"/>
  <c r="O21" i="1" s="1"/>
  <c r="N17" i="1" l="1"/>
  <c r="O17" i="1" s="1"/>
  <c r="N41" i="1"/>
  <c r="O41" i="1" s="1"/>
  <c r="N46" i="1"/>
  <c r="O46" i="1" s="1"/>
  <c r="N43" i="1"/>
  <c r="O43" i="1" s="1"/>
  <c r="N47" i="1"/>
  <c r="O47" i="1" s="1"/>
  <c r="N35" i="1"/>
  <c r="O35" i="1" s="1"/>
  <c r="N20" i="1"/>
  <c r="O20" i="1" s="1"/>
</calcChain>
</file>

<file path=xl/sharedStrings.xml><?xml version="1.0" encoding="utf-8"?>
<sst xmlns="http://schemas.openxmlformats.org/spreadsheetml/2006/main" count="644" uniqueCount="77">
  <si>
    <t>Circuit A</t>
  </si>
  <si>
    <t>HBM MX840B Universal Amplifier  Tolerances</t>
  </si>
  <si>
    <t>Parameter</t>
  </si>
  <si>
    <t>Nominal</t>
  </si>
  <si>
    <t>Range</t>
  </si>
  <si>
    <t>% Rdg</t>
  </si>
  <si>
    <t>% Rng</t>
  </si>
  <si>
    <t>Units</t>
  </si>
  <si>
    <t>E</t>
  </si>
  <si>
    <t>Vdc</t>
  </si>
  <si>
    <t>I</t>
  </si>
  <si>
    <t>mA</t>
  </si>
  <si>
    <t>R</t>
  </si>
  <si>
    <t>Ω</t>
  </si>
  <si>
    <t>mVdc</t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</si>
  <si>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Series</t>
    </r>
  </si>
  <si>
    <t>mAdc</t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</si>
  <si>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Total</t>
    </r>
  </si>
  <si>
    <t>P</t>
  </si>
  <si>
    <t>mW</t>
  </si>
  <si>
    <t>Circuit A Outputs</t>
  </si>
  <si>
    <t>Resistance Calculation Error</t>
  </si>
  <si>
    <t>Level</t>
  </si>
  <si>
    <r>
      <t xml:space="preserve">SW </t>
    </r>
    <r>
      <rPr>
        <b/>
        <vertAlign val="subscript"/>
        <sz val="11"/>
        <color theme="1"/>
        <rFont val="Calibri"/>
        <family val="2"/>
        <scheme val="minor"/>
      </rPr>
      <t>Closed</t>
    </r>
  </si>
  <si>
    <r>
      <t xml:space="preserve">Ω </t>
    </r>
    <r>
      <rPr>
        <b/>
        <vertAlign val="subscript"/>
        <sz val="11"/>
        <color theme="1"/>
        <rFont val="Calibri"/>
        <family val="2"/>
        <scheme val="minor"/>
      </rPr>
      <t>Nominal</t>
    </r>
  </si>
  <si>
    <r>
      <t xml:space="preserve">V </t>
    </r>
    <r>
      <rPr>
        <b/>
        <vertAlign val="subscript"/>
        <sz val="11"/>
        <color theme="1"/>
        <rFont val="Calibri"/>
        <family val="2"/>
        <scheme val="minor"/>
      </rPr>
      <t>Sig-Rtn</t>
    </r>
  </si>
  <si>
    <t>I, mA</t>
  </si>
  <si>
    <t>V Min</t>
  </si>
  <si>
    <t>V Max</t>
  </si>
  <si>
    <t>I Min</t>
  </si>
  <si>
    <t>I Max</t>
  </si>
  <si>
    <t>V-/I-</t>
  </si>
  <si>
    <t>V-/I+</t>
  </si>
  <si>
    <t>V+/I-</t>
  </si>
  <si>
    <t>V+/I+</t>
  </si>
  <si>
    <r>
      <t xml:space="preserve">± Errror
 Ω </t>
    </r>
    <r>
      <rPr>
        <b/>
        <vertAlign val="subscript"/>
        <sz val="11"/>
        <color theme="1"/>
        <rFont val="Calibri"/>
        <family val="2"/>
        <scheme val="minor"/>
      </rPr>
      <t>RMS</t>
    </r>
  </si>
  <si>
    <t>± Errror
% Rdg</t>
  </si>
  <si>
    <t>SW 9</t>
  </si>
  <si>
    <t>SW 8</t>
  </si>
  <si>
    <t>SW 7</t>
  </si>
  <si>
    <t>SW 6</t>
  </si>
  <si>
    <t>SW 5</t>
  </si>
  <si>
    <t>SW 4</t>
  </si>
  <si>
    <t>SW 3</t>
  </si>
  <si>
    <t>SW 2</t>
  </si>
  <si>
    <t>Circuit B - Low Level</t>
  </si>
  <si>
    <t>```</t>
  </si>
  <si>
    <t>Circuit B Outputs</t>
  </si>
  <si>
    <r>
      <t xml:space="preserve">V </t>
    </r>
    <r>
      <rPr>
        <b/>
        <vertAlign val="subscript"/>
        <sz val="11"/>
        <color theme="1"/>
        <rFont val="Calibri"/>
        <family val="2"/>
        <scheme val="minor"/>
      </rPr>
      <t>LL Exc-LL Sig</t>
    </r>
  </si>
  <si>
    <t>SW 1</t>
  </si>
  <si>
    <t>None</t>
  </si>
  <si>
    <t>Circuits A &amp; B</t>
  </si>
  <si>
    <t>SW 11</t>
  </si>
  <si>
    <t>SW 10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</si>
  <si>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 Shunt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</si>
  <si>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OLS</t>
    </r>
  </si>
  <si>
    <r>
      <t>V</t>
    </r>
    <r>
      <rPr>
        <vertAlign val="subscript"/>
        <sz val="11"/>
        <color theme="1"/>
        <rFont val="Calibri"/>
        <family val="2"/>
        <scheme val="minor"/>
      </rPr>
      <t>shunt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Series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OLS</t>
    </r>
  </si>
  <si>
    <r>
      <t>I</t>
    </r>
    <r>
      <rPr>
        <vertAlign val="subscript"/>
        <sz val="11"/>
        <color theme="1"/>
        <rFont val="Calibri"/>
        <family val="2"/>
        <scheme val="minor"/>
      </rPr>
      <t>Shunt</t>
    </r>
  </si>
  <si>
    <r>
      <t>P</t>
    </r>
    <r>
      <rPr>
        <vertAlign val="subscript"/>
        <sz val="11"/>
        <color theme="1"/>
        <rFont val="Calibri"/>
        <family val="2"/>
        <scheme val="minor"/>
      </rPr>
      <t>Shunt</t>
    </r>
  </si>
  <si>
    <r>
      <t xml:space="preserve">I </t>
    </r>
    <r>
      <rPr>
        <vertAlign val="subscript"/>
        <sz val="11"/>
        <color theme="1"/>
        <rFont val="Calibri"/>
        <family val="2"/>
        <scheme val="minor"/>
      </rPr>
      <t>Series</t>
    </r>
    <r>
      <rPr>
        <sz val="11"/>
        <color theme="1"/>
        <rFont val="Calibri"/>
        <family val="2"/>
        <scheme val="minor"/>
      </rPr>
      <t xml:space="preserve"> = I </t>
    </r>
    <r>
      <rPr>
        <vertAlign val="subscript"/>
        <sz val="11"/>
        <color theme="1"/>
        <rFont val="Calibri"/>
        <family val="2"/>
        <scheme val="minor"/>
      </rPr>
      <t>OLS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</si>
  <si>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Series</t>
    </r>
  </si>
  <si>
    <r>
      <t xml:space="preserve">P </t>
    </r>
    <r>
      <rPr>
        <vertAlign val="subscript"/>
        <sz val="11"/>
        <color theme="1"/>
        <rFont val="Calibri"/>
        <family val="2"/>
        <scheme val="minor"/>
      </rPr>
      <t>Series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</si>
  <si>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OLS</t>
    </r>
  </si>
  <si>
    <r>
      <t xml:space="preserve">P </t>
    </r>
    <r>
      <rPr>
        <vertAlign val="subscript"/>
        <sz val="11"/>
        <color theme="1"/>
        <rFont val="Calibri"/>
        <family val="2"/>
        <scheme val="minor"/>
      </rPr>
      <t>OLS</t>
    </r>
  </si>
  <si>
    <r>
      <t xml:space="preserve">± Errror
Ω </t>
    </r>
    <r>
      <rPr>
        <b/>
        <vertAlign val="subscript"/>
        <sz val="11"/>
        <color theme="1"/>
        <rFont val="Calibri"/>
        <family val="2"/>
        <scheme val="minor"/>
      </rPr>
      <t>RMS</t>
    </r>
  </si>
  <si>
    <t>SW 12</t>
  </si>
  <si>
    <t>Keysight DAQ970A Tolerances</t>
  </si>
  <si>
    <t>HBM DAQ Error</t>
  </si>
  <si>
    <r>
      <t>I</t>
    </r>
    <r>
      <rPr>
        <vertAlign val="subscript"/>
        <sz val="11"/>
        <color theme="1"/>
        <rFont val="Calibri"/>
        <family val="2"/>
        <scheme val="minor"/>
      </rPr>
      <t>Sense</t>
    </r>
    <r>
      <rPr>
        <sz val="11"/>
        <color theme="1"/>
        <rFont val="Calibri"/>
        <family val="2"/>
        <scheme val="minor"/>
      </rPr>
      <t xml:space="preserve"> Resistor</t>
    </r>
  </si>
  <si>
    <t>Keysight DAQ Error</t>
  </si>
  <si>
    <t>Adjust Power Supply +</t>
  </si>
  <si>
    <t>V Min
(300mV)</t>
  </si>
  <si>
    <t>V Max
(300 mV)</t>
  </si>
  <si>
    <t>I Min
(30 mA)</t>
  </si>
  <si>
    <t>I Max
(30 mA)</t>
  </si>
  <si>
    <t>V Min
(10 Vdc)</t>
  </si>
  <si>
    <t>V Max
(10 Vdc)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</si>
</sst>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(* #,##0.000_);_(* \(#,##0.000\);_(* &quot;-&quot;??_);_(@_)"/>
    <numFmt numFmtId="165" formatCode="0.000%"/>
    <numFmt numFmtId="166" formatCode="0.0000"/>
    <numFmt numFmtId="167" formatCode="_(* #,##0_);_(* \(#,##0\);_(* &quot;-&quot;??_);_(@_)"/>
    <numFmt numFmtId="168" formatCode="_(* #,##0.0000_);_(* \(#,##0.0000\);_(* &quot;-&quot;??_);_(@_)"/>
    <numFmt numFmtId="169" formatCode="#,##0.000"/>
    <numFmt numFmtId="170" formatCode="#,##0.0000"/>
    <numFmt numFmtId="171" formatCode="_(* #,##0.0_);_(* \(#,##0.0\);_(* &quot;-&quot;??_);_(@_)"/>
    <numFmt numFmtId="172" formatCode="_(* #,##0.000_);_(* \(#,##0.000\);_(* &quot;-&quot;???_);_(@_)"/>
    <numFmt numFmtId="173" formatCode="0.000"/>
    <numFmt numFmtId="174" formatCode="0.0000%"/>
    <numFmt numFmtId="175" formatCode="_(* #,##0.000000_);_(* \(#,##0.000000\);_(* &quot;-&quot;??_);_(@_)"/>
    <numFmt numFmtId="176" formatCode="_(* #,##0.0000000_);_(* \(#,##0.0000000\);_(* &quot;-&quot;??_);_(@_)"/>
    <numFmt numFmtId="177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1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165" fontId="0" fillId="0" borderId="11" xfId="0" applyNumberFormat="1" applyBorder="1"/>
    <xf numFmtId="0" fontId="0" fillId="0" borderId="12" xfId="0" applyBorder="1" applyAlignment="1">
      <alignment horizontal="center"/>
    </xf>
    <xf numFmtId="0" fontId="0" fillId="3" borderId="13" xfId="0" applyFill="1" applyBorder="1" applyAlignment="1">
      <alignment horizontal="center"/>
    </xf>
    <xf numFmtId="167" fontId="0" fillId="0" borderId="11" xfId="1" applyNumberFormat="1" applyFont="1" applyBorder="1"/>
    <xf numFmtId="165" fontId="0" fillId="0" borderId="14" xfId="0" applyNumberFormat="1" applyBorder="1"/>
    <xf numFmtId="0" fontId="0" fillId="0" borderId="18" xfId="0" applyBorder="1"/>
    <xf numFmtId="0" fontId="3" fillId="0" borderId="0" xfId="0" applyFont="1" applyAlignment="1">
      <alignment horizontal="center"/>
    </xf>
    <xf numFmtId="167" fontId="0" fillId="2" borderId="11" xfId="1" applyNumberFormat="1" applyFont="1" applyFill="1" applyBorder="1"/>
    <xf numFmtId="166" fontId="0" fillId="0" borderId="0" xfId="0" applyNumberFormat="1"/>
    <xf numFmtId="0" fontId="0" fillId="0" borderId="19" xfId="0" applyBorder="1" applyAlignment="1">
      <alignment horizontal="center"/>
    </xf>
    <xf numFmtId="43" fontId="0" fillId="0" borderId="20" xfId="1" applyFont="1" applyBorder="1"/>
    <xf numFmtId="0" fontId="0" fillId="0" borderId="21" xfId="0" applyBorder="1"/>
    <xf numFmtId="0" fontId="0" fillId="0" borderId="0" xfId="0" applyAlignment="1">
      <alignment horizontal="center"/>
    </xf>
    <xf numFmtId="43" fontId="0" fillId="0" borderId="0" xfId="1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164" fontId="0" fillId="0" borderId="11" xfId="0" applyNumberFormat="1" applyBorder="1"/>
    <xf numFmtId="164" fontId="0" fillId="0" borderId="12" xfId="1" applyNumberFormat="1" applyFont="1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68" fontId="0" fillId="0" borderId="12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1" xfId="1" applyNumberFormat="1" applyFont="1" applyBorder="1" applyAlignment="1">
      <alignment horizontal="center"/>
    </xf>
    <xf numFmtId="10" fontId="0" fillId="2" borderId="12" xfId="2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7" fontId="0" fillId="2" borderId="20" xfId="1" applyNumberFormat="1" applyFont="1" applyFill="1" applyBorder="1"/>
    <xf numFmtId="164" fontId="0" fillId="0" borderId="20" xfId="0" applyNumberFormat="1" applyBorder="1"/>
    <xf numFmtId="164" fontId="0" fillId="0" borderId="21" xfId="1" applyNumberFormat="1" applyFont="1" applyBorder="1"/>
    <xf numFmtId="168" fontId="0" fillId="0" borderId="19" xfId="1" applyNumberFormat="1" applyFont="1" applyBorder="1"/>
    <xf numFmtId="168" fontId="0" fillId="0" borderId="20" xfId="1" applyNumberFormat="1" applyFont="1" applyBorder="1"/>
    <xf numFmtId="168" fontId="0" fillId="0" borderId="21" xfId="1" applyNumberFormat="1" applyFont="1" applyBorder="1"/>
    <xf numFmtId="169" fontId="0" fillId="0" borderId="19" xfId="1" applyNumberFormat="1" applyFont="1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2" borderId="21" xfId="2" applyNumberFormat="1" applyFont="1" applyFill="1" applyBorder="1" applyAlignment="1">
      <alignment horizontal="center"/>
    </xf>
    <xf numFmtId="10" fontId="0" fillId="0" borderId="18" xfId="2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8" xfId="0" applyBorder="1"/>
    <xf numFmtId="0" fontId="0" fillId="3" borderId="10" xfId="0" applyFill="1" applyBorder="1" applyAlignment="1">
      <alignment horizontal="center"/>
    </xf>
    <xf numFmtId="166" fontId="0" fillId="0" borderId="28" xfId="0" applyNumberFormat="1" applyBorder="1"/>
    <xf numFmtId="165" fontId="0" fillId="0" borderId="20" xfId="0" applyNumberFormat="1" applyBorder="1"/>
    <xf numFmtId="0" fontId="0" fillId="0" borderId="21" xfId="0" applyBorder="1" applyAlignment="1">
      <alignment horizontal="center"/>
    </xf>
    <xf numFmtId="43" fontId="0" fillId="0" borderId="11" xfId="1" applyFont="1" applyBorder="1"/>
    <xf numFmtId="167" fontId="0" fillId="4" borderId="20" xfId="1" applyNumberFormat="1" applyFont="1" applyFill="1" applyBorder="1"/>
    <xf numFmtId="164" fontId="0" fillId="4" borderId="20" xfId="0" applyNumberFormat="1" applyFill="1" applyBorder="1"/>
    <xf numFmtId="164" fontId="0" fillId="4" borderId="21" xfId="1" applyNumberFormat="1" applyFont="1" applyFill="1" applyBorder="1"/>
    <xf numFmtId="168" fontId="0" fillId="4" borderId="19" xfId="1" applyNumberFormat="1" applyFont="1" applyFill="1" applyBorder="1"/>
    <xf numFmtId="168" fontId="0" fillId="4" borderId="20" xfId="1" applyNumberFormat="1" applyFont="1" applyFill="1" applyBorder="1"/>
    <xf numFmtId="170" fontId="0" fillId="4" borderId="20" xfId="1" applyNumberFormat="1" applyFont="1" applyFill="1" applyBorder="1"/>
    <xf numFmtId="170" fontId="0" fillId="4" borderId="21" xfId="1" applyNumberFormat="1" applyFont="1" applyFill="1" applyBorder="1"/>
    <xf numFmtId="3" fontId="0" fillId="4" borderId="19" xfId="1" applyNumberFormat="1" applyFont="1" applyFill="1" applyBorder="1" applyAlignment="1">
      <alignment horizontal="center"/>
    </xf>
    <xf numFmtId="3" fontId="0" fillId="4" borderId="20" xfId="1" applyNumberFormat="1" applyFont="1" applyFill="1" applyBorder="1" applyAlignment="1">
      <alignment horizontal="center"/>
    </xf>
    <xf numFmtId="0" fontId="3" fillId="0" borderId="22" xfId="0" applyFont="1" applyBorder="1"/>
    <xf numFmtId="0" fontId="0" fillId="0" borderId="3" xfId="0" applyBorder="1"/>
    <xf numFmtId="0" fontId="0" fillId="0" borderId="4" xfId="0" applyBorder="1"/>
    <xf numFmtId="0" fontId="3" fillId="0" borderId="30" xfId="0" applyFont="1" applyBorder="1"/>
    <xf numFmtId="0" fontId="3" fillId="0" borderId="3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6" fontId="7" fillId="0" borderId="28" xfId="0" applyNumberFormat="1" applyFont="1" applyBorder="1"/>
    <xf numFmtId="166" fontId="7" fillId="0" borderId="0" xfId="0" applyNumberFormat="1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7" fontId="0" fillId="0" borderId="11" xfId="1" applyNumberFormat="1" applyFon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29" xfId="1" applyNumberFormat="1" applyFont="1" applyBorder="1"/>
    <xf numFmtId="169" fontId="0" fillId="0" borderId="10" xfId="1" applyNumberFormat="1" applyFont="1" applyBorder="1"/>
    <xf numFmtId="169" fontId="0" fillId="0" borderId="11" xfId="1" applyNumberFormat="1" applyFont="1" applyBorder="1"/>
    <xf numFmtId="164" fontId="0" fillId="2" borderId="11" xfId="1" applyNumberFormat="1" applyFont="1" applyFill="1" applyBorder="1" applyAlignment="1"/>
    <xf numFmtId="0" fontId="0" fillId="0" borderId="33" xfId="0" applyBorder="1" applyAlignment="1">
      <alignment horizontal="center"/>
    </xf>
    <xf numFmtId="167" fontId="0" fillId="0" borderId="20" xfId="1" applyNumberFormat="1" applyFont="1" applyBorder="1"/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4" xfId="1" applyNumberFormat="1" applyFont="1" applyBorder="1"/>
    <xf numFmtId="169" fontId="0" fillId="0" borderId="19" xfId="1" applyNumberFormat="1" applyFont="1" applyBorder="1"/>
    <xf numFmtId="169" fontId="0" fillId="0" borderId="20" xfId="1" applyNumberFormat="1" applyFont="1" applyBorder="1"/>
    <xf numFmtId="164" fontId="0" fillId="2" borderId="20" xfId="1" applyNumberFormat="1" applyFont="1" applyFill="1" applyBorder="1" applyAlignment="1"/>
    <xf numFmtId="0" fontId="3" fillId="0" borderId="27" xfId="0" applyFont="1" applyBorder="1"/>
    <xf numFmtId="171" fontId="0" fillId="0" borderId="11" xfId="1" applyNumberFormat="1" applyFont="1" applyBorder="1"/>
    <xf numFmtId="164" fontId="0" fillId="0" borderId="0" xfId="1" applyNumberFormat="1" applyFont="1" applyBorder="1"/>
    <xf numFmtId="0" fontId="3" fillId="0" borderId="1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26" xfId="1" applyNumberFormat="1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2" borderId="11" xfId="1" applyNumberFormat="1" applyFont="1" applyFill="1" applyBorder="1"/>
    <xf numFmtId="172" fontId="0" fillId="0" borderId="0" xfId="0" applyNumberFormat="1"/>
    <xf numFmtId="164" fontId="0" fillId="0" borderId="39" xfId="0" applyNumberFormat="1" applyBorder="1" applyAlignment="1">
      <alignment horizontal="center"/>
    </xf>
    <xf numFmtId="164" fontId="0" fillId="2" borderId="20" xfId="1" applyNumberFormat="1" applyFont="1" applyFill="1" applyBorder="1"/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169" fontId="0" fillId="2" borderId="11" xfId="1" applyNumberFormat="1" applyFont="1" applyFill="1" applyBorder="1" applyAlignment="1">
      <alignment horizontal="center"/>
    </xf>
    <xf numFmtId="169" fontId="0" fillId="2" borderId="20" xfId="1" applyNumberFormat="1" applyFont="1" applyFill="1" applyBorder="1" applyAlignment="1">
      <alignment horizontal="center"/>
    </xf>
    <xf numFmtId="3" fontId="0" fillId="4" borderId="20" xfId="1" applyNumberFormat="1" applyFont="1" applyFill="1" applyBorder="1"/>
    <xf numFmtId="10" fontId="0" fillId="4" borderId="21" xfId="2" applyNumberFormat="1" applyFont="1" applyFill="1" applyBorder="1" applyAlignment="1">
      <alignment horizontal="center"/>
    </xf>
    <xf numFmtId="174" fontId="0" fillId="0" borderId="11" xfId="2" applyNumberFormat="1" applyFont="1" applyBorder="1"/>
    <xf numFmtId="174" fontId="0" fillId="0" borderId="20" xfId="2" applyNumberFormat="1" applyFont="1" applyBorder="1"/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174" fontId="0" fillId="0" borderId="0" xfId="2" applyNumberFormat="1" applyFont="1" applyBorder="1"/>
    <xf numFmtId="0" fontId="8" fillId="0" borderId="0" xfId="0" applyFont="1" applyAlignment="1">
      <alignment horizontal="center"/>
    </xf>
    <xf numFmtId="0" fontId="0" fillId="5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0" fillId="8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9" xfId="0" applyFont="1" applyBorder="1"/>
    <xf numFmtId="0" fontId="3" fillId="0" borderId="0" xfId="0" applyFont="1"/>
    <xf numFmtId="0" fontId="0" fillId="0" borderId="5" xfId="0" applyBorder="1" applyAlignment="1">
      <alignment horizontal="center"/>
    </xf>
    <xf numFmtId="167" fontId="3" fillId="0" borderId="6" xfId="1" applyNumberFormat="1" applyFont="1" applyFill="1" applyBorder="1" applyAlignment="1">
      <alignment horizontal="center"/>
    </xf>
    <xf numFmtId="167" fontId="3" fillId="0" borderId="6" xfId="1" applyNumberFormat="1" applyFont="1" applyBorder="1" applyAlignment="1">
      <alignment horizontal="center"/>
    </xf>
    <xf numFmtId="164" fontId="0" fillId="0" borderId="20" xfId="1" applyNumberFormat="1" applyFont="1" applyBorder="1"/>
    <xf numFmtId="0" fontId="3" fillId="0" borderId="21" xfId="0" applyFont="1" applyBorder="1" applyAlignment="1">
      <alignment horizontal="center"/>
    </xf>
    <xf numFmtId="165" fontId="0" fillId="0" borderId="0" xfId="0" applyNumberFormat="1"/>
    <xf numFmtId="0" fontId="0" fillId="8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167" fontId="0" fillId="0" borderId="0" xfId="1" applyNumberFormat="1" applyFont="1" applyFill="1" applyBorder="1"/>
    <xf numFmtId="167" fontId="0" fillId="0" borderId="0" xfId="0" applyNumberFormat="1"/>
    <xf numFmtId="173" fontId="0" fillId="0" borderId="0" xfId="0" applyNumberFormat="1"/>
    <xf numFmtId="164" fontId="0" fillId="0" borderId="0" xfId="1" applyNumberFormat="1" applyFont="1" applyFill="1" applyBorder="1"/>
    <xf numFmtId="43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67" fontId="0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/>
    <xf numFmtId="169" fontId="0" fillId="0" borderId="0" xfId="1" applyNumberFormat="1" applyFont="1" applyFill="1" applyBorder="1"/>
    <xf numFmtId="16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4" fontId="1" fillId="0" borderId="0" xfId="1" applyNumberFormat="1" applyFont="1" applyFill="1" applyBorder="1"/>
    <xf numFmtId="168" fontId="1" fillId="0" borderId="0" xfId="1" applyNumberFormat="1" applyFont="1" applyFill="1" applyBorder="1"/>
    <xf numFmtId="0" fontId="0" fillId="8" borderId="10" xfId="0" applyFill="1" applyBorder="1" applyAlignment="1">
      <alignment horizontal="center"/>
    </xf>
    <xf numFmtId="175" fontId="1" fillId="0" borderId="0" xfId="1" applyNumberFormat="1" applyFont="1" applyFill="1" applyBorder="1"/>
    <xf numFmtId="176" fontId="1" fillId="0" borderId="0" xfId="1" applyNumberFormat="1" applyFont="1" applyFill="1" applyBorder="1"/>
    <xf numFmtId="177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11" xfId="2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2" fontId="4" fillId="2" borderId="34" xfId="0" applyNumberFormat="1" applyFont="1" applyFill="1" applyBorder="1" applyAlignment="1">
      <alignment horizontal="left" indent="1"/>
    </xf>
    <xf numFmtId="2" fontId="4" fillId="2" borderId="35" xfId="0" applyNumberFormat="1" applyFont="1" applyFill="1" applyBorder="1" applyAlignment="1">
      <alignment horizontal="left" indent="1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3" fillId="10" borderId="3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2" fontId="4" fillId="2" borderId="14" xfId="0" applyNumberFormat="1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219075</xdr:rowOff>
    </xdr:from>
    <xdr:to>
      <xdr:col>27</xdr:col>
      <xdr:colOff>582039</xdr:colOff>
      <xdr:row>49</xdr:row>
      <xdr:rowOff>153686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201525" y="219075"/>
          <a:ext cx="7268589" cy="10402586"/>
          <a:chOff x="12446454" y="219075"/>
          <a:chExt cx="7298524" cy="10139968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2446454" y="219075"/>
            <a:ext cx="7298524" cy="10139968"/>
            <a:chOff x="11487150" y="219075"/>
            <a:chExt cx="7268589" cy="9211961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1487150" y="219075"/>
              <a:ext cx="7268589" cy="9211961"/>
            </a:xfrm>
            <a:prstGeom prst="rect">
              <a:avLst/>
            </a:prstGeom>
            <a:ln w="25400" cap="sq">
              <a:solidFill>
                <a:srgbClr val="000000"/>
              </a:solidFill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6773525" y="390525"/>
              <a:ext cx="184640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u="sng"/>
                <a:t>AEPS</a:t>
              </a:r>
              <a:r>
                <a:rPr lang="en-US" sz="1600" u="sng" baseline="0"/>
                <a:t> 1015 Rev New</a:t>
              </a:r>
              <a:endParaRPr lang="en-US" sz="1600" u="sng"/>
            </a:p>
          </xdr:txBody>
        </xdr:sp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14521543" y="2669721"/>
            <a:ext cx="774246" cy="583747"/>
            <a:chOff x="8467725" y="4953000"/>
            <a:chExt cx="771525" cy="581025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4400" y="5095875"/>
              <a:ext cx="628738" cy="409632"/>
            </a:xfrm>
            <a:prstGeom prst="rect">
              <a:avLst/>
            </a:prstGeom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572500" y="5038725"/>
              <a:ext cx="5529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2.5 kΩ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8467725" y="4953000"/>
              <a:ext cx="771525" cy="58102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3106400" y="9129032"/>
            <a:ext cx="348019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NOTE: 2.5 kΩ Added to Low Level Circuit to limit current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2913179" y="4196443"/>
            <a:ext cx="348291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NOTE: 2.5 kΩ Added to Low Level Circuit to limit current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14531068" y="7648575"/>
            <a:ext cx="774246" cy="585107"/>
            <a:chOff x="8429625" y="7229475"/>
            <a:chExt cx="771525" cy="581025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86775" y="7305675"/>
              <a:ext cx="628738" cy="409632"/>
            </a:xfrm>
            <a:prstGeom prst="rect">
              <a:avLst/>
            </a:prstGeom>
          </xdr:spPr>
        </xdr:pic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534400" y="7248525"/>
              <a:ext cx="5529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2.5 kΩ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8429625" y="7229475"/>
              <a:ext cx="771525" cy="58102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`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265019</xdr:colOff>
      <xdr:row>0</xdr:row>
      <xdr:rowOff>256054</xdr:rowOff>
    </xdr:from>
    <xdr:to>
      <xdr:col>26</xdr:col>
      <xdr:colOff>583071</xdr:colOff>
      <xdr:row>47</xdr:row>
      <xdr:rowOff>17929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075894" y="256054"/>
          <a:ext cx="7023652" cy="9696450"/>
          <a:chOff x="10910607" y="256054"/>
          <a:chExt cx="6974346" cy="914119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0910607" y="256054"/>
            <a:ext cx="6974346" cy="9141199"/>
            <a:chOff x="10921813" y="9525"/>
            <a:chExt cx="6974346" cy="9141199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0921813" y="9525"/>
              <a:ext cx="6974346" cy="9141199"/>
            </a:xfrm>
            <a:prstGeom prst="rect">
              <a:avLst/>
            </a:prstGeom>
            <a:ln w="19050" cap="sq">
              <a:solidFill>
                <a:srgbClr val="000000"/>
              </a:solidFill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3456584" y="537322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3456584" y="2235013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3447059" y="4758018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3456584" y="6540874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5968382" y="313765"/>
            <a:ext cx="1846403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u="sng"/>
              <a:t>AEPS 1015 Rev</a:t>
            </a:r>
            <a:r>
              <a:rPr lang="en-US" sz="1600" u="sng" baseline="0"/>
              <a:t> New</a:t>
            </a:r>
            <a:endParaRPr lang="en-US" sz="1600" u="sng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0</xdr:row>
      <xdr:rowOff>256054</xdr:rowOff>
    </xdr:from>
    <xdr:to>
      <xdr:col>26</xdr:col>
      <xdr:colOff>594277</xdr:colOff>
      <xdr:row>39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1087100" y="256054"/>
          <a:ext cx="7023652" cy="7906871"/>
          <a:chOff x="11056284" y="256054"/>
          <a:chExt cx="6974346" cy="965666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pSpPr/>
        </xdr:nvGrpSpPr>
        <xdr:grpSpPr>
          <a:xfrm>
            <a:off x="11056284" y="256054"/>
            <a:ext cx="6974346" cy="9656669"/>
            <a:chOff x="10910607" y="256054"/>
            <a:chExt cx="6974346" cy="9141199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10910607" y="256054"/>
              <a:ext cx="6974346" cy="9141199"/>
              <a:chOff x="10921813" y="9525"/>
              <a:chExt cx="6974346" cy="9141199"/>
            </a:xfrm>
          </xdr:grpSpPr>
          <xdr:pic>
            <xdr:nvPicPr>
              <xdr:cNvPr id="5" name="Picture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10921813" y="9525"/>
                <a:ext cx="6974346" cy="9141199"/>
              </a:xfrm>
              <a:prstGeom prst="rect">
                <a:avLst/>
              </a:prstGeom>
              <a:ln w="19050" cap="sq">
                <a:solidFill>
                  <a:srgbClr val="000000"/>
                </a:solidFill>
                <a:prstDash val="solid"/>
                <a:miter lim="800000"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xdr:spPr>
          </xdr:pic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 txBox="1"/>
            </xdr:nvSpPr>
            <xdr:spPr>
              <a:xfrm>
                <a:off x="13456584" y="537322"/>
                <a:ext cx="657225" cy="25039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/>
                  <a:t>6 kΩ</a:t>
                </a:r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 txBox="1"/>
            </xdr:nvSpPr>
            <xdr:spPr>
              <a:xfrm>
                <a:off x="13456584" y="2235013"/>
                <a:ext cx="657225" cy="25039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/>
                  <a:t>6 kΩ</a:t>
                </a: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 txBox="1"/>
            </xdr:nvSpPr>
            <xdr:spPr>
              <a:xfrm>
                <a:off x="13447059" y="4758018"/>
                <a:ext cx="657225" cy="25039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/>
                  <a:t>6 kΩ</a:t>
                </a:r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SpPr txBox="1"/>
            </xdr:nvSpPr>
            <xdr:spPr>
              <a:xfrm>
                <a:off x="13456584" y="6540874"/>
                <a:ext cx="657225" cy="25039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sz="1100"/>
                  <a:t>6 kΩ</a:t>
                </a:r>
              </a:p>
            </xdr:txBody>
          </xdr:sp>
        </xdr:grp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968382" y="313765"/>
              <a:ext cx="184640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u="sng"/>
                <a:t>AEPS 1015 Rev</a:t>
              </a:r>
              <a:r>
                <a:rPr lang="en-US" sz="1600" u="sng" baseline="0"/>
                <a:t> New</a:t>
              </a:r>
              <a:endParaRPr lang="en-US" sz="1600" u="sng"/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3583210" y="8556251"/>
            <a:ext cx="567018" cy="2907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  <a:r>
              <a:rPr lang="en-US" sz="1100" baseline="0"/>
              <a:t> mA</a:t>
            </a:r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13583210" y="3988174"/>
            <a:ext cx="567018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  <a:r>
              <a:rPr lang="en-US" sz="1100" baseline="0"/>
              <a:t> mA</a:t>
            </a:r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13592735" y="6665259"/>
            <a:ext cx="567018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  <a:r>
              <a:rPr lang="en-US" sz="1100" baseline="0"/>
              <a:t> mA</a:t>
            </a:r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13583210" y="2208119"/>
            <a:ext cx="567018" cy="2986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  <a:r>
              <a:rPr lang="en-US" sz="1100" baseline="0"/>
              <a:t> mA</a:t>
            </a:r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56</xdr:row>
      <xdr:rowOff>95250</xdr:rowOff>
    </xdr:from>
    <xdr:to>
      <xdr:col>28</xdr:col>
      <xdr:colOff>161787</xdr:colOff>
      <xdr:row>72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1658600" y="11906250"/>
          <a:ext cx="7553187" cy="3086100"/>
          <a:chOff x="10953750" y="9429750"/>
          <a:chExt cx="7553187" cy="313372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53750" y="9429750"/>
            <a:ext cx="7553187" cy="3133725"/>
          </a:xfrm>
          <a:prstGeom prst="rect">
            <a:avLst/>
          </a:prstGeom>
          <a:ln w="254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1010900" y="9496425"/>
            <a:ext cx="15840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 u="sng"/>
              <a:t>P&amp;WC</a:t>
            </a:r>
            <a:r>
              <a:rPr lang="en-US" sz="1100" b="1" u="sng" baseline="0"/>
              <a:t> Excitation Circuit</a:t>
            </a:r>
            <a:endParaRPr lang="en-US" sz="1100" b="1" u="sng"/>
          </a:p>
        </xdr:txBody>
      </xdr:sp>
    </xdr:grpSp>
    <xdr:clientData/>
  </xdr:twoCellAnchor>
  <xdr:twoCellAnchor>
    <xdr:from>
      <xdr:col>16</xdr:col>
      <xdr:colOff>19050</xdr:colOff>
      <xdr:row>0</xdr:row>
      <xdr:rowOff>190500</xdr:rowOff>
    </xdr:from>
    <xdr:to>
      <xdr:col>28</xdr:col>
      <xdr:colOff>153453</xdr:colOff>
      <xdr:row>55</xdr:row>
      <xdr:rowOff>115563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11658600" y="190500"/>
          <a:ext cx="7544853" cy="11545563"/>
          <a:chOff x="11468100" y="190500"/>
          <a:chExt cx="7544853" cy="11478888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pSpPr/>
        </xdr:nvGrpSpPr>
        <xdr:grpSpPr>
          <a:xfrm>
            <a:off x="11468100" y="190500"/>
            <a:ext cx="7544853" cy="11478888"/>
            <a:chOff x="10953750" y="190500"/>
            <a:chExt cx="7544853" cy="9050013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53750" y="190500"/>
              <a:ext cx="7544853" cy="9050013"/>
            </a:xfrm>
            <a:prstGeom prst="rect">
              <a:avLst/>
            </a:prstGeom>
            <a:ln w="25400" cap="sq">
              <a:solidFill>
                <a:srgbClr val="000000"/>
              </a:solidFill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6297275" y="361950"/>
              <a:ext cx="184640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u="sng"/>
                <a:t>AEPS 1015 Rev New</a:t>
              </a:r>
            </a:p>
          </xdr:txBody>
        </xdr: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4201775" y="8448675"/>
            <a:ext cx="663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Remove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14163675" y="1104900"/>
            <a:ext cx="663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Remove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14163675" y="3181351"/>
            <a:ext cx="663580" cy="5732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Remove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/>
        </xdr:nvSpPr>
        <xdr:spPr>
          <a:xfrm>
            <a:off x="14173200" y="6219825"/>
            <a:ext cx="663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Remove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265019</xdr:colOff>
      <xdr:row>0</xdr:row>
      <xdr:rowOff>256054</xdr:rowOff>
    </xdr:from>
    <xdr:to>
      <xdr:col>26</xdr:col>
      <xdr:colOff>583071</xdr:colOff>
      <xdr:row>47</xdr:row>
      <xdr:rowOff>17929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1075894" y="256054"/>
          <a:ext cx="7023652" cy="9658350"/>
          <a:chOff x="10910607" y="256054"/>
          <a:chExt cx="6974346" cy="914119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10910607" y="256054"/>
            <a:ext cx="6974346" cy="9141199"/>
            <a:chOff x="10921813" y="9525"/>
            <a:chExt cx="6974346" cy="9141199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0921813" y="9525"/>
              <a:ext cx="6974346" cy="9141199"/>
            </a:xfrm>
            <a:prstGeom prst="rect">
              <a:avLst/>
            </a:prstGeom>
            <a:ln w="19050" cap="sq">
              <a:solidFill>
                <a:srgbClr val="000000"/>
              </a:solidFill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3456584" y="537322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3456584" y="2235013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3447059" y="4758018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3456584" y="6540874"/>
              <a:ext cx="657225" cy="264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100kΩ</a:t>
              </a:r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15968382" y="313765"/>
            <a:ext cx="1846403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u="sng"/>
              <a:t>AEPS 1015 Rev</a:t>
            </a:r>
            <a:r>
              <a:rPr lang="en-US" sz="1600" u="sng" baseline="0"/>
              <a:t> New</a:t>
            </a:r>
            <a:endParaRPr lang="en-US" sz="1600" u="sng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2"/>
  <sheetViews>
    <sheetView zoomScaleNormal="100" workbookViewId="0">
      <selection sqref="A1:AC63"/>
    </sheetView>
  </sheetViews>
  <sheetFormatPr defaultRowHeight="15" x14ac:dyDescent="0.25"/>
  <cols>
    <col min="1" max="1" width="17.7109375" customWidth="1"/>
    <col min="2" max="2" width="10.5703125" bestFit="1" customWidth="1"/>
    <col min="3" max="3" width="11.85546875" customWidth="1"/>
    <col min="4" max="4" width="14.42578125" bestFit="1" customWidth="1"/>
    <col min="5" max="5" width="10.5703125" bestFit="1" customWidth="1"/>
    <col min="6" max="6" width="11.28515625" bestFit="1" customWidth="1"/>
    <col min="7" max="7" width="10.5703125" bestFit="1" customWidth="1"/>
    <col min="8" max="9" width="10.7109375" customWidth="1"/>
    <col min="10" max="10" width="11.7109375" bestFit="1" customWidth="1"/>
    <col min="11" max="11" width="10.140625" bestFit="1" customWidth="1"/>
    <col min="12" max="12" width="11.7109375" bestFit="1" customWidth="1"/>
    <col min="13" max="13" width="10.140625" bestFit="1" customWidth="1"/>
    <col min="14" max="15" width="10.7109375" customWidth="1"/>
  </cols>
  <sheetData>
    <row r="1" spans="1:15" ht="21.75" thickBot="1" x14ac:dyDescent="0.4">
      <c r="A1" s="195">
        <v>8005553.0499999998</v>
      </c>
      <c r="B1" s="196"/>
    </row>
    <row r="2" spans="1:15" ht="15.75" thickBot="1" x14ac:dyDescent="0.3">
      <c r="A2" s="171" t="s">
        <v>0</v>
      </c>
      <c r="B2" s="172"/>
      <c r="C2" s="173"/>
      <c r="D2" s="197" t="s">
        <v>1</v>
      </c>
      <c r="E2" s="198"/>
      <c r="F2" s="198"/>
      <c r="G2" s="198"/>
      <c r="H2" s="186" t="s">
        <v>66</v>
      </c>
      <c r="I2" s="187"/>
      <c r="J2" s="187"/>
      <c r="K2" s="188"/>
    </row>
    <row r="3" spans="1:15" x14ac:dyDescent="0.25">
      <c r="A3" s="1" t="s">
        <v>2</v>
      </c>
      <c r="B3" s="2" t="s">
        <v>3</v>
      </c>
      <c r="C3" s="3"/>
      <c r="D3" s="4" t="s">
        <v>4</v>
      </c>
      <c r="E3" s="2" t="s">
        <v>5</v>
      </c>
      <c r="F3" s="2" t="s">
        <v>6</v>
      </c>
      <c r="G3" s="162" t="s">
        <v>7</v>
      </c>
      <c r="H3" s="75" t="s">
        <v>4</v>
      </c>
      <c r="I3" s="76" t="s">
        <v>5</v>
      </c>
      <c r="J3" s="76" t="s">
        <v>6</v>
      </c>
      <c r="K3" s="96" t="s">
        <v>7</v>
      </c>
    </row>
    <row r="4" spans="1:15" x14ac:dyDescent="0.25">
      <c r="A4" s="7" t="s">
        <v>8</v>
      </c>
      <c r="B4" s="8">
        <v>5</v>
      </c>
      <c r="C4" s="9" t="s">
        <v>9</v>
      </c>
      <c r="D4" s="10">
        <v>60</v>
      </c>
      <c r="E4" s="11">
        <v>5.1000000000000004E-4</v>
      </c>
      <c r="F4" s="11">
        <v>5.1000000000000004E-4</v>
      </c>
      <c r="G4" s="113" t="s">
        <v>9</v>
      </c>
      <c r="H4" s="7">
        <v>100</v>
      </c>
      <c r="I4" s="111">
        <v>4.0000000000000003E-5</v>
      </c>
      <c r="J4" s="111">
        <v>6.0000000000000002E-6</v>
      </c>
      <c r="K4" s="12" t="s">
        <v>9</v>
      </c>
    </row>
    <row r="5" spans="1:15" x14ac:dyDescent="0.25">
      <c r="A5" s="7" t="s">
        <v>10</v>
      </c>
      <c r="B5" s="8">
        <f>B4/B9*1000</f>
        <v>1.8518518518518519</v>
      </c>
      <c r="C5" s="9" t="s">
        <v>11</v>
      </c>
      <c r="D5" s="13">
        <v>10</v>
      </c>
      <c r="E5" s="11">
        <v>5.0000000000000001E-4</v>
      </c>
      <c r="F5" s="11">
        <v>5.0000000000000001E-4</v>
      </c>
      <c r="G5" s="113" t="s">
        <v>9</v>
      </c>
      <c r="H5" s="119">
        <v>10</v>
      </c>
      <c r="I5" s="111">
        <v>3.0000000000000001E-5</v>
      </c>
      <c r="J5" s="111">
        <v>3.9999999999999998E-6</v>
      </c>
      <c r="K5" s="12" t="s">
        <v>9</v>
      </c>
    </row>
    <row r="6" spans="1:15" x14ac:dyDescent="0.25">
      <c r="A6" s="7" t="s">
        <v>12</v>
      </c>
      <c r="B6" s="14">
        <v>2700</v>
      </c>
      <c r="C6" s="9" t="s">
        <v>13</v>
      </c>
      <c r="D6" s="10">
        <v>300</v>
      </c>
      <c r="E6" s="11">
        <v>5.1000000000000004E-4</v>
      </c>
      <c r="F6" s="11">
        <v>5.1999999999999995E-4</v>
      </c>
      <c r="G6" s="113" t="s">
        <v>14</v>
      </c>
      <c r="H6" s="7">
        <v>1</v>
      </c>
      <c r="I6" s="111">
        <v>3.4999999999999997E-5</v>
      </c>
      <c r="J6" s="111">
        <v>6.0000000000000002E-6</v>
      </c>
      <c r="K6" s="12" t="s">
        <v>9</v>
      </c>
    </row>
    <row r="7" spans="1:15" ht="18.75" thickBot="1" x14ac:dyDescent="0.4">
      <c r="A7" s="7" t="s">
        <v>15</v>
      </c>
      <c r="B7" s="14">
        <v>0</v>
      </c>
      <c r="C7" s="9" t="s">
        <v>13</v>
      </c>
      <c r="D7" s="129">
        <v>30</v>
      </c>
      <c r="E7" s="15">
        <v>5.1999999999999995E-4</v>
      </c>
      <c r="F7" s="15">
        <v>5.1999999999999995E-4</v>
      </c>
      <c r="G7" s="163" t="s">
        <v>16</v>
      </c>
      <c r="H7" s="123">
        <v>100</v>
      </c>
      <c r="I7" s="112">
        <v>4.0000000000000003E-5</v>
      </c>
      <c r="J7" s="112">
        <v>6.0000000000000002E-6</v>
      </c>
      <c r="K7" s="56" t="s">
        <v>14</v>
      </c>
    </row>
    <row r="8" spans="1:15" ht="18" x14ac:dyDescent="0.35">
      <c r="A8" s="176"/>
      <c r="B8" s="177"/>
      <c r="C8" s="178"/>
      <c r="D8" s="16"/>
      <c r="E8" s="16"/>
      <c r="F8" s="16"/>
      <c r="G8" s="16"/>
      <c r="H8" s="189" t="s">
        <v>68</v>
      </c>
      <c r="I8" s="189"/>
      <c r="J8" s="164">
        <v>50</v>
      </c>
      <c r="K8" s="98" t="s">
        <v>13</v>
      </c>
    </row>
    <row r="9" spans="1:15" ht="18" x14ac:dyDescent="0.35">
      <c r="A9" s="7" t="s">
        <v>17</v>
      </c>
      <c r="B9" s="18">
        <f>B6+B7</f>
        <v>2700</v>
      </c>
      <c r="C9" s="9" t="s">
        <v>13</v>
      </c>
      <c r="D9" s="19"/>
      <c r="E9" s="19"/>
      <c r="F9" s="19"/>
      <c r="G9" s="19"/>
      <c r="H9" s="190" t="s">
        <v>70</v>
      </c>
      <c r="I9" s="191"/>
      <c r="J9" s="161">
        <v>2.5000000000000688E-2</v>
      </c>
      <c r="K9" s="30" t="s">
        <v>9</v>
      </c>
    </row>
    <row r="10" spans="1:15" ht="15.75" thickBot="1" x14ac:dyDescent="0.3">
      <c r="A10" s="20" t="s">
        <v>18</v>
      </c>
      <c r="B10" s="21">
        <f>B4*(B5/1000)*1000</f>
        <v>9.2592592592592595</v>
      </c>
      <c r="C10" s="22" t="s">
        <v>19</v>
      </c>
      <c r="D10" s="179"/>
      <c r="E10" s="179"/>
      <c r="F10" s="179"/>
      <c r="G10" s="179"/>
      <c r="H10" s="179"/>
    </row>
    <row r="11" spans="1:15" ht="15.75" thickBot="1" x14ac:dyDescent="0.3">
      <c r="A11" s="23"/>
      <c r="B11" s="24"/>
      <c r="H11" s="19"/>
    </row>
    <row r="12" spans="1:15" ht="15.75" thickBot="1" x14ac:dyDescent="0.3">
      <c r="A12" s="171" t="s">
        <v>20</v>
      </c>
      <c r="B12" s="172"/>
      <c r="C12" s="172"/>
      <c r="D12" s="172"/>
      <c r="E12" s="173"/>
      <c r="F12" s="192" t="s">
        <v>67</v>
      </c>
      <c r="G12" s="193"/>
      <c r="H12" s="193"/>
      <c r="I12" s="194"/>
      <c r="J12" s="183" t="s">
        <v>21</v>
      </c>
      <c r="K12" s="184"/>
      <c r="L12" s="184"/>
      <c r="M12" s="184"/>
      <c r="N12" s="184"/>
      <c r="O12" s="185"/>
    </row>
    <row r="13" spans="1:15" ht="33" x14ac:dyDescent="0.35">
      <c r="A13" s="1" t="s">
        <v>22</v>
      </c>
      <c r="B13" s="2" t="s">
        <v>23</v>
      </c>
      <c r="C13" s="2" t="s">
        <v>24</v>
      </c>
      <c r="D13" s="120" t="s">
        <v>25</v>
      </c>
      <c r="E13" s="128" t="s">
        <v>26</v>
      </c>
      <c r="F13" s="25" t="s">
        <v>27</v>
      </c>
      <c r="G13" s="26" t="s">
        <v>28</v>
      </c>
      <c r="H13" s="26" t="s">
        <v>29</v>
      </c>
      <c r="I13" s="27" t="s">
        <v>30</v>
      </c>
      <c r="J13" s="1" t="s">
        <v>31</v>
      </c>
      <c r="K13" s="2" t="s">
        <v>32</v>
      </c>
      <c r="L13" s="2" t="s">
        <v>33</v>
      </c>
      <c r="M13" s="2" t="s">
        <v>34</v>
      </c>
      <c r="N13" s="105" t="s">
        <v>35</v>
      </c>
      <c r="O13" s="106" t="s">
        <v>36</v>
      </c>
    </row>
    <row r="14" spans="1:15" x14ac:dyDescent="0.25">
      <c r="A14" s="7">
        <v>7</v>
      </c>
      <c r="B14" s="30" t="s">
        <v>37</v>
      </c>
      <c r="C14" s="18">
        <v>1700</v>
      </c>
      <c r="D14" s="31">
        <f>C14*(E14/1000)</f>
        <v>3.1481481481481484</v>
      </c>
      <c r="E14" s="32">
        <f>B$4/B$9*1000</f>
        <v>1.8518518518518519</v>
      </c>
      <c r="F14" s="33">
        <f>D14-((D14*E$5)+(D$5*F$5))</f>
        <v>3.1415740740740743</v>
      </c>
      <c r="G14" s="34">
        <f>D14+((D14*E$5)+(D$5*F$5))</f>
        <v>3.1547222222222224</v>
      </c>
      <c r="H14" s="34">
        <f>E14-((E14*E$7)+(D$7*F$7))</f>
        <v>1.835288888888889</v>
      </c>
      <c r="I14" s="35">
        <f>E14+((E14*E$7)+(D$7*F$7))</f>
        <v>1.8684148148148148</v>
      </c>
      <c r="J14" s="36">
        <f>C14-(F14/(H14/1000))</f>
        <v>-11.759981272501363</v>
      </c>
      <c r="K14" s="37">
        <f>C14-(F14/(I14/1000))</f>
        <v>18.588544061909943</v>
      </c>
      <c r="L14" s="37">
        <f>C14-(G14/(H14/1000))</f>
        <v>-18.92405676369458</v>
      </c>
      <c r="M14" s="37">
        <f>C14-(G14/(I14/1000))</f>
        <v>11.551483531295844</v>
      </c>
      <c r="N14" s="107">
        <f>SQRT((J14^2+K14^2+L14^2+M14^2)/4)</f>
        <v>15.615599780671921</v>
      </c>
      <c r="O14" s="38">
        <f>N14/C14</f>
        <v>9.1856469298070131E-3</v>
      </c>
    </row>
    <row r="15" spans="1:15" x14ac:dyDescent="0.25">
      <c r="A15" s="7">
        <v>6</v>
      </c>
      <c r="B15" s="30" t="s">
        <v>38</v>
      </c>
      <c r="C15" s="18">
        <v>1600</v>
      </c>
      <c r="D15" s="31">
        <f t="shared" ref="D15:D21" si="0">C15*(E15/1000)</f>
        <v>2.9629629629629632</v>
      </c>
      <c r="E15" s="32">
        <f t="shared" ref="E15:E21" si="1">B$4/B$9*1000</f>
        <v>1.8518518518518519</v>
      </c>
      <c r="F15" s="33">
        <f t="shared" ref="F15:F21" si="2">D15-((D15*E$5)+(D$5*F$5))</f>
        <v>2.9564814814814819</v>
      </c>
      <c r="G15" s="34">
        <f t="shared" ref="G15:G21" si="3">D15+((D15*E$5)+(D$5*F$5))</f>
        <v>2.9694444444444446</v>
      </c>
      <c r="H15" s="34">
        <f t="shared" ref="H15:H21" si="4">E15-((E15*E$7)+(D$7*F$7))</f>
        <v>1.835288888888889</v>
      </c>
      <c r="I15" s="35">
        <f t="shared" ref="I15:I21" si="5">E15+((E15*E$7)+(D$7*F$7))</f>
        <v>1.8684148148148148</v>
      </c>
      <c r="J15" s="36">
        <f t="shared" ref="J15:J21" si="6">C15-(F15/(H15/1000))</f>
        <v>-10.90796080140808</v>
      </c>
      <c r="K15" s="37">
        <f t="shared" ref="K15:K21" si="7">C15-(F15/(I15/1000))</f>
        <v>17.652515897809735</v>
      </c>
      <c r="L15" s="37">
        <f t="shared" ref="L15:L21" si="8">C15-(G15/(H15/1000))</f>
        <v>-17.971133820894011</v>
      </c>
      <c r="M15" s="37">
        <f t="shared" ref="M15:M21" si="9">C15-(G15/(I15/1000))</f>
        <v>10.714568895795765</v>
      </c>
      <c r="N15" s="107">
        <f t="shared" ref="N15:N21" si="10">SQRT((J15^2+K15^2+L15^2+M15^2)/4)</f>
        <v>14.73396216058935</v>
      </c>
      <c r="O15" s="38">
        <f t="shared" ref="O15:O21" si="11">N15/C15</f>
        <v>9.2087263503683441E-3</v>
      </c>
    </row>
    <row r="16" spans="1:15" x14ac:dyDescent="0.25">
      <c r="A16" s="7">
        <v>5</v>
      </c>
      <c r="B16" s="30" t="s">
        <v>39</v>
      </c>
      <c r="C16" s="18">
        <v>1500</v>
      </c>
      <c r="D16" s="31">
        <f t="shared" si="0"/>
        <v>2.7777777777777777</v>
      </c>
      <c r="E16" s="32">
        <f t="shared" si="1"/>
        <v>1.8518518518518519</v>
      </c>
      <c r="F16" s="33">
        <f t="shared" si="2"/>
        <v>2.7713888888888887</v>
      </c>
      <c r="G16" s="34">
        <f t="shared" si="3"/>
        <v>2.7841666666666667</v>
      </c>
      <c r="H16" s="34">
        <f t="shared" si="4"/>
        <v>1.835288888888889</v>
      </c>
      <c r="I16" s="35">
        <f t="shared" si="5"/>
        <v>1.8684148148148148</v>
      </c>
      <c r="J16" s="36">
        <f t="shared" si="6"/>
        <v>-10.055940330314115</v>
      </c>
      <c r="K16" s="37">
        <f t="shared" si="7"/>
        <v>16.716487733709755</v>
      </c>
      <c r="L16" s="37">
        <f t="shared" si="8"/>
        <v>-17.018210878093669</v>
      </c>
      <c r="M16" s="37">
        <f t="shared" si="9"/>
        <v>9.8776542602956852</v>
      </c>
      <c r="N16" s="107">
        <f t="shared" si="10"/>
        <v>13.854155092023023</v>
      </c>
      <c r="O16" s="38">
        <f t="shared" si="11"/>
        <v>9.2361033946820152E-3</v>
      </c>
    </row>
    <row r="17" spans="1:15" x14ac:dyDescent="0.25">
      <c r="A17" s="7">
        <v>4</v>
      </c>
      <c r="B17" s="30" t="s">
        <v>40</v>
      </c>
      <c r="C17" s="18">
        <v>1400</v>
      </c>
      <c r="D17" s="31">
        <f t="shared" si="0"/>
        <v>2.5925925925925926</v>
      </c>
      <c r="E17" s="32">
        <f t="shared" si="1"/>
        <v>1.8518518518518519</v>
      </c>
      <c r="F17" s="33">
        <f t="shared" si="2"/>
        <v>2.5862962962962963</v>
      </c>
      <c r="G17" s="34">
        <f t="shared" si="3"/>
        <v>2.5988888888888888</v>
      </c>
      <c r="H17" s="34">
        <f t="shared" si="4"/>
        <v>1.835288888888889</v>
      </c>
      <c r="I17" s="35">
        <f t="shared" si="5"/>
        <v>1.8684148148148148</v>
      </c>
      <c r="J17" s="36">
        <f t="shared" si="6"/>
        <v>-9.2039198592208322</v>
      </c>
      <c r="K17" s="37">
        <f t="shared" si="7"/>
        <v>15.78045956960932</v>
      </c>
      <c r="L17" s="37">
        <f t="shared" si="8"/>
        <v>-16.0652879352931</v>
      </c>
      <c r="M17" s="37">
        <f t="shared" si="9"/>
        <v>9.0407396247958332</v>
      </c>
      <c r="N17" s="107">
        <f t="shared" si="10"/>
        <v>12.976550913188195</v>
      </c>
      <c r="O17" s="38">
        <f t="shared" si="11"/>
        <v>9.2689649379915674E-3</v>
      </c>
    </row>
    <row r="18" spans="1:15" x14ac:dyDescent="0.25">
      <c r="A18" s="7">
        <v>3</v>
      </c>
      <c r="B18" s="30" t="s">
        <v>41</v>
      </c>
      <c r="C18" s="18">
        <v>1300</v>
      </c>
      <c r="D18" s="31">
        <f t="shared" si="0"/>
        <v>2.4074074074074074</v>
      </c>
      <c r="E18" s="32">
        <f t="shared" si="1"/>
        <v>1.8518518518518519</v>
      </c>
      <c r="F18" s="33">
        <f t="shared" si="2"/>
        <v>2.401203703703704</v>
      </c>
      <c r="G18" s="34">
        <f t="shared" si="3"/>
        <v>2.4136111111111109</v>
      </c>
      <c r="H18" s="34">
        <f t="shared" si="4"/>
        <v>1.835288888888889</v>
      </c>
      <c r="I18" s="35">
        <f t="shared" si="5"/>
        <v>1.8684148148148148</v>
      </c>
      <c r="J18" s="36">
        <f t="shared" si="6"/>
        <v>-8.3518993881275492</v>
      </c>
      <c r="K18" s="37">
        <f t="shared" si="7"/>
        <v>14.844431405508885</v>
      </c>
      <c r="L18" s="37">
        <f t="shared" si="8"/>
        <v>-15.112364992492758</v>
      </c>
      <c r="M18" s="37">
        <f t="shared" si="9"/>
        <v>8.2038249892957538</v>
      </c>
      <c r="N18" s="107">
        <f t="shared" si="10"/>
        <v>12.101628891016881</v>
      </c>
      <c r="O18" s="38">
        <f t="shared" si="11"/>
        <v>9.3089453007822159E-3</v>
      </c>
    </row>
    <row r="19" spans="1:15" x14ac:dyDescent="0.25">
      <c r="A19" s="7">
        <v>2</v>
      </c>
      <c r="B19" s="30" t="s">
        <v>42</v>
      </c>
      <c r="C19" s="18">
        <v>1200</v>
      </c>
      <c r="D19" s="31">
        <f t="shared" si="0"/>
        <v>2.2222222222222223</v>
      </c>
      <c r="E19" s="32">
        <f t="shared" si="1"/>
        <v>1.8518518518518519</v>
      </c>
      <c r="F19" s="33">
        <f t="shared" si="2"/>
        <v>2.2161111111111111</v>
      </c>
      <c r="G19" s="34">
        <f t="shared" si="3"/>
        <v>2.2283333333333335</v>
      </c>
      <c r="H19" s="34">
        <f t="shared" si="4"/>
        <v>1.835288888888889</v>
      </c>
      <c r="I19" s="35">
        <f t="shared" si="5"/>
        <v>1.8684148148148148</v>
      </c>
      <c r="J19" s="36">
        <f t="shared" si="6"/>
        <v>-7.4998789170340387</v>
      </c>
      <c r="K19" s="37">
        <f t="shared" si="7"/>
        <v>13.908403241408678</v>
      </c>
      <c r="L19" s="37">
        <f t="shared" si="8"/>
        <v>-14.159442049692416</v>
      </c>
      <c r="M19" s="37">
        <f t="shared" si="9"/>
        <v>7.366910353795447</v>
      </c>
      <c r="N19" s="107">
        <f t="shared" si="10"/>
        <v>11.230015937380225</v>
      </c>
      <c r="O19" s="38">
        <f t="shared" si="11"/>
        <v>9.3583466144835214E-3</v>
      </c>
    </row>
    <row r="20" spans="1:15" x14ac:dyDescent="0.25">
      <c r="A20" s="7">
        <v>1</v>
      </c>
      <c r="B20" s="30" t="s">
        <v>43</v>
      </c>
      <c r="C20" s="18">
        <v>1100</v>
      </c>
      <c r="D20" s="31">
        <f t="shared" si="0"/>
        <v>2.0370370370370372</v>
      </c>
      <c r="E20" s="32">
        <f t="shared" si="1"/>
        <v>1.8518518518518519</v>
      </c>
      <c r="F20" s="33">
        <f t="shared" si="2"/>
        <v>2.0310185185185188</v>
      </c>
      <c r="G20" s="34">
        <f t="shared" si="3"/>
        <v>2.0430555555555556</v>
      </c>
      <c r="H20" s="34">
        <f t="shared" si="4"/>
        <v>1.835288888888889</v>
      </c>
      <c r="I20" s="35">
        <f t="shared" si="5"/>
        <v>1.8684148148148148</v>
      </c>
      <c r="J20" s="36">
        <f t="shared" si="6"/>
        <v>-6.6478584459405283</v>
      </c>
      <c r="K20" s="37">
        <f t="shared" si="7"/>
        <v>12.972375077308243</v>
      </c>
      <c r="L20" s="37">
        <f t="shared" si="8"/>
        <v>-13.206519106892074</v>
      </c>
      <c r="M20" s="37">
        <f t="shared" si="9"/>
        <v>6.5299957182953676</v>
      </c>
      <c r="N20" s="107">
        <f t="shared" si="10"/>
        <v>10.36254708150091</v>
      </c>
      <c r="O20" s="38">
        <f t="shared" si="11"/>
        <v>9.4204973468190092E-3</v>
      </c>
    </row>
    <row r="21" spans="1:15" ht="15.75" thickBot="1" x14ac:dyDescent="0.3">
      <c r="A21" s="20">
        <v>0</v>
      </c>
      <c r="B21" s="39" t="s">
        <v>44</v>
      </c>
      <c r="C21" s="40">
        <v>1000</v>
      </c>
      <c r="D21" s="41">
        <f t="shared" si="0"/>
        <v>1.8518518518518519</v>
      </c>
      <c r="E21" s="42">
        <f t="shared" si="1"/>
        <v>1.8518518518518519</v>
      </c>
      <c r="F21" s="43">
        <f t="shared" si="2"/>
        <v>1.845925925925926</v>
      </c>
      <c r="G21" s="44">
        <f t="shared" si="3"/>
        <v>1.8577777777777778</v>
      </c>
      <c r="H21" s="44">
        <f t="shared" si="4"/>
        <v>1.835288888888889</v>
      </c>
      <c r="I21" s="45">
        <f t="shared" si="5"/>
        <v>1.8684148148148148</v>
      </c>
      <c r="J21" s="46">
        <f t="shared" si="6"/>
        <v>-5.7958379748470179</v>
      </c>
      <c r="K21" s="47">
        <f t="shared" si="7"/>
        <v>12.036346913208149</v>
      </c>
      <c r="L21" s="47">
        <f t="shared" si="8"/>
        <v>-12.253596164091618</v>
      </c>
      <c r="M21" s="47">
        <f t="shared" si="9"/>
        <v>5.6930810827954019</v>
      </c>
      <c r="N21" s="108">
        <f t="shared" si="10"/>
        <v>9.500357572398233</v>
      </c>
      <c r="O21" s="48">
        <f t="shared" si="11"/>
        <v>9.5003575723982322E-3</v>
      </c>
    </row>
    <row r="22" spans="1:15" ht="15.75" thickBot="1" x14ac:dyDescent="0.3">
      <c r="O22" s="49"/>
    </row>
    <row r="23" spans="1:15" ht="15.75" thickBot="1" x14ac:dyDescent="0.3">
      <c r="A23" s="171" t="s">
        <v>45</v>
      </c>
      <c r="B23" s="172"/>
      <c r="C23" s="173"/>
      <c r="D23" s="198" t="s">
        <v>1</v>
      </c>
      <c r="E23" s="198"/>
      <c r="F23" s="198"/>
      <c r="G23" s="199"/>
      <c r="O23" s="50"/>
    </row>
    <row r="24" spans="1:15" x14ac:dyDescent="0.25">
      <c r="A24" s="25" t="s">
        <v>2</v>
      </c>
      <c r="B24" s="26" t="s">
        <v>3</v>
      </c>
      <c r="C24" s="93"/>
      <c r="D24" s="4" t="s">
        <v>4</v>
      </c>
      <c r="E24" s="2" t="s">
        <v>5</v>
      </c>
      <c r="F24" s="2" t="s">
        <v>6</v>
      </c>
      <c r="G24" s="5" t="s">
        <v>7</v>
      </c>
      <c r="H24" s="51"/>
      <c r="O24" s="50"/>
    </row>
    <row r="25" spans="1:15" x14ac:dyDescent="0.25">
      <c r="A25" s="7" t="s">
        <v>8</v>
      </c>
      <c r="B25" s="8">
        <v>5</v>
      </c>
      <c r="C25" s="9" t="s">
        <v>9</v>
      </c>
      <c r="D25" s="10">
        <v>60</v>
      </c>
      <c r="E25" s="11">
        <v>5.1000000000000004E-4</v>
      </c>
      <c r="F25" s="11">
        <v>5.1000000000000004E-4</v>
      </c>
      <c r="G25" s="12" t="s">
        <v>9</v>
      </c>
      <c r="H25" s="52"/>
    </row>
    <row r="26" spans="1:15" x14ac:dyDescent="0.25">
      <c r="A26" s="7" t="s">
        <v>10</v>
      </c>
      <c r="B26" s="8">
        <f>B25/B30*1000</f>
        <v>1.9230769230769231</v>
      </c>
      <c r="C26" s="9" t="s">
        <v>11</v>
      </c>
      <c r="D26" s="13">
        <v>10</v>
      </c>
      <c r="E26" s="11">
        <v>5.0000000000000001E-4</v>
      </c>
      <c r="F26" s="11">
        <v>5.0000000000000001E-4</v>
      </c>
      <c r="G26" s="12" t="s">
        <v>9</v>
      </c>
      <c r="H26" s="54"/>
    </row>
    <row r="27" spans="1:15" x14ac:dyDescent="0.25">
      <c r="A27" s="7" t="s">
        <v>12</v>
      </c>
      <c r="B27" s="14">
        <v>100</v>
      </c>
      <c r="C27" s="9" t="s">
        <v>13</v>
      </c>
      <c r="D27" s="10">
        <v>300</v>
      </c>
      <c r="E27" s="11">
        <v>5.1000000000000004E-4</v>
      </c>
      <c r="F27" s="11">
        <v>5.1999999999999995E-4</v>
      </c>
      <c r="G27" s="12" t="s">
        <v>14</v>
      </c>
    </row>
    <row r="28" spans="1:15" ht="18.75" thickBot="1" x14ac:dyDescent="0.4">
      <c r="A28" s="7" t="s">
        <v>15</v>
      </c>
      <c r="B28" s="14">
        <v>2500</v>
      </c>
      <c r="C28" s="9" t="s">
        <v>13</v>
      </c>
      <c r="D28" s="127">
        <v>30</v>
      </c>
      <c r="E28" s="55">
        <v>5.1999999999999995E-4</v>
      </c>
      <c r="F28" s="55">
        <v>5.1999999999999995E-4</v>
      </c>
      <c r="G28" s="56" t="s">
        <v>16</v>
      </c>
    </row>
    <row r="29" spans="1:15" x14ac:dyDescent="0.25">
      <c r="A29" s="176"/>
      <c r="B29" s="177"/>
      <c r="C29" s="178"/>
      <c r="D29" s="17"/>
      <c r="E29" s="17"/>
      <c r="F29" s="17"/>
      <c r="G29" s="17"/>
      <c r="H29" s="17"/>
    </row>
    <row r="30" spans="1:15" ht="18" x14ac:dyDescent="0.35">
      <c r="A30" s="7" t="s">
        <v>17</v>
      </c>
      <c r="B30" s="14">
        <f>SUM(B27:B28)</f>
        <v>2600</v>
      </c>
      <c r="C30" s="9" t="s">
        <v>13</v>
      </c>
      <c r="D30" s="19"/>
      <c r="E30" s="19"/>
      <c r="F30" s="19"/>
      <c r="G30" s="19"/>
      <c r="H30" s="19"/>
      <c r="N30" t="s">
        <v>46</v>
      </c>
    </row>
    <row r="31" spans="1:15" ht="15.75" thickBot="1" x14ac:dyDescent="0.3">
      <c r="A31" s="20" t="s">
        <v>18</v>
      </c>
      <c r="B31" s="21">
        <f>((B26/1000)^2*B27)*1000</f>
        <v>0.36982248520710065</v>
      </c>
      <c r="C31" s="22" t="s">
        <v>19</v>
      </c>
      <c r="D31" s="179"/>
      <c r="E31" s="179"/>
      <c r="F31" s="179"/>
      <c r="G31" s="179"/>
      <c r="H31" s="179"/>
    </row>
    <row r="32" spans="1:15" ht="15.75" thickBot="1" x14ac:dyDescent="0.3"/>
    <row r="33" spans="1:15" ht="15.75" thickBot="1" x14ac:dyDescent="0.3">
      <c r="A33" s="171" t="s">
        <v>47</v>
      </c>
      <c r="B33" s="172"/>
      <c r="C33" s="172"/>
      <c r="D33" s="172"/>
      <c r="E33" s="173"/>
      <c r="F33" s="192" t="s">
        <v>67</v>
      </c>
      <c r="G33" s="193"/>
      <c r="H33" s="193"/>
      <c r="I33" s="194"/>
      <c r="J33" s="183" t="s">
        <v>21</v>
      </c>
      <c r="K33" s="184"/>
      <c r="L33" s="184"/>
      <c r="M33" s="184"/>
      <c r="N33" s="184"/>
      <c r="O33" s="185"/>
    </row>
    <row r="34" spans="1:15" ht="33" x14ac:dyDescent="0.35">
      <c r="A34" s="1" t="s">
        <v>22</v>
      </c>
      <c r="B34" s="2" t="s">
        <v>23</v>
      </c>
      <c r="C34" s="2" t="s">
        <v>24</v>
      </c>
      <c r="D34" s="120" t="s">
        <v>48</v>
      </c>
      <c r="E34" s="128" t="s">
        <v>26</v>
      </c>
      <c r="F34" s="25" t="s">
        <v>27</v>
      </c>
      <c r="G34" s="26" t="s">
        <v>28</v>
      </c>
      <c r="H34" s="26" t="s">
        <v>29</v>
      </c>
      <c r="I34" s="27" t="s">
        <v>30</v>
      </c>
      <c r="J34" s="1" t="s">
        <v>31</v>
      </c>
      <c r="K34" s="2" t="s">
        <v>32</v>
      </c>
      <c r="L34" s="2" t="s">
        <v>33</v>
      </c>
      <c r="M34" s="2" t="s">
        <v>34</v>
      </c>
      <c r="N34" s="105" t="s">
        <v>35</v>
      </c>
      <c r="O34" s="106" t="s">
        <v>36</v>
      </c>
    </row>
    <row r="35" spans="1:15" x14ac:dyDescent="0.25">
      <c r="A35" s="7">
        <v>1</v>
      </c>
      <c r="B35" s="30" t="s">
        <v>49</v>
      </c>
      <c r="C35" s="18">
        <v>100</v>
      </c>
      <c r="D35" s="31">
        <f>C35*(E35/1000)</f>
        <v>0.19230769230769232</v>
      </c>
      <c r="E35" s="32">
        <f>B$25/B$30*1000</f>
        <v>1.9230769230769231</v>
      </c>
      <c r="F35" s="33">
        <f>D35-((D35*E$26)+(D$26*F$26))</f>
        <v>0.18721153846153848</v>
      </c>
      <c r="G35" s="34">
        <f>D35+((D35*E$26)+(D$26*F$26))</f>
        <v>0.19740384615384615</v>
      </c>
      <c r="H35" s="34">
        <f>E35-((E35*E$28)+(D$28*F$28))</f>
        <v>1.9064769230769232</v>
      </c>
      <c r="I35" s="35">
        <f>E35+((E35*E$28)+(D$28*F$28))</f>
        <v>1.9396769230769231</v>
      </c>
      <c r="J35" s="36">
        <f>C35-(F35/(H35/1000))</f>
        <v>1.8023579538576939</v>
      </c>
      <c r="K35" s="37">
        <f>C35-(F35/(I35/1000))</f>
        <v>3.4831335908438206</v>
      </c>
      <c r="L35" s="37">
        <f>C35-(G35/(H35/1000))</f>
        <v>-3.543789995238896</v>
      </c>
      <c r="M35" s="37">
        <f>C35-(G35/(I35/1000))</f>
        <v>-1.7715083400090492</v>
      </c>
      <c r="N35" s="107">
        <f>SQRT((J35^2+K35^2+L35^2+M35^2)/4)</f>
        <v>2.7873555179854419</v>
      </c>
      <c r="O35" s="38">
        <f>N35/C35</f>
        <v>2.7873555179854417E-2</v>
      </c>
    </row>
    <row r="36" spans="1:15" ht="15.75" thickBot="1" x14ac:dyDescent="0.3">
      <c r="A36" s="20">
        <v>0</v>
      </c>
      <c r="B36" s="39" t="s">
        <v>50</v>
      </c>
      <c r="C36" s="58">
        <v>10000000</v>
      </c>
      <c r="D36" s="59">
        <f>C36*(E36/1000)</f>
        <v>4.9999500004999948</v>
      </c>
      <c r="E36" s="60">
        <f>B$25/(B27+C36)*1000</f>
        <v>4.9999500004999943E-4</v>
      </c>
      <c r="F36" s="61">
        <f>D36-((D36*E$26)+(D$26*F$26))</f>
        <v>4.9924500254997453</v>
      </c>
      <c r="G36" s="62">
        <f>D36+((D36*E$26)+(D$26*F$26))</f>
        <v>5.0074499755002444</v>
      </c>
      <c r="H36" s="63">
        <f>E36-((E36*E$28)+(D$28*F$28))</f>
        <v>-1.5100264997350026E-2</v>
      </c>
      <c r="I36" s="64">
        <f>E36+((E36*E$28)+(D$28*F$28))</f>
        <v>1.6100254997450023E-2</v>
      </c>
      <c r="J36" s="65">
        <f>C36-(F36/(H36/1000))</f>
        <v>10330620.027289314</v>
      </c>
      <c r="K36" s="66">
        <f>C36-(F36/(I36/1000))</f>
        <v>9689914.8475418277</v>
      </c>
      <c r="L36" s="66">
        <f>C36-(G36/(H36/1000))</f>
        <v>10331613.384028625</v>
      </c>
      <c r="M36" s="66">
        <f>C36-(G36/(I36/1000))</f>
        <v>9688983.1883846968</v>
      </c>
      <c r="N36" s="109">
        <f>SQRT((J36^2+K36^2+L36^2+M36^2)/4)</f>
        <v>10015422.984610826</v>
      </c>
      <c r="O36" s="110">
        <f t="shared" ref="O36" si="12">N36/C36</f>
        <v>1.0015422984610827</v>
      </c>
    </row>
    <row r="37" spans="1:15" ht="15.75" thickBot="1" x14ac:dyDescent="0.3"/>
    <row r="38" spans="1:15" ht="15.75" thickBot="1" x14ac:dyDescent="0.3">
      <c r="A38" s="171" t="s">
        <v>20</v>
      </c>
      <c r="B38" s="172"/>
      <c r="C38" s="172"/>
      <c r="D38" s="172"/>
      <c r="E38" s="173"/>
      <c r="F38" s="180" t="s">
        <v>69</v>
      </c>
      <c r="G38" s="181"/>
      <c r="H38" s="181"/>
      <c r="I38" s="182"/>
      <c r="J38" s="183" t="s">
        <v>21</v>
      </c>
      <c r="K38" s="184"/>
      <c r="L38" s="184"/>
      <c r="M38" s="184"/>
      <c r="N38" s="184"/>
      <c r="O38" s="185"/>
    </row>
    <row r="39" spans="1:15" ht="33" x14ac:dyDescent="0.35">
      <c r="A39" s="1" t="s">
        <v>22</v>
      </c>
      <c r="B39" s="2" t="s">
        <v>23</v>
      </c>
      <c r="C39" s="2" t="s">
        <v>24</v>
      </c>
      <c r="D39" s="120" t="s">
        <v>25</v>
      </c>
      <c r="E39" s="128" t="s">
        <v>26</v>
      </c>
      <c r="F39" s="25" t="s">
        <v>27</v>
      </c>
      <c r="G39" s="26" t="s">
        <v>28</v>
      </c>
      <c r="H39" s="26" t="s">
        <v>29</v>
      </c>
      <c r="I39" s="27" t="s">
        <v>30</v>
      </c>
      <c r="J39" s="1" t="s">
        <v>31</v>
      </c>
      <c r="K39" s="2" t="s">
        <v>32</v>
      </c>
      <c r="L39" s="2" t="s">
        <v>33</v>
      </c>
      <c r="M39" s="2" t="s">
        <v>34</v>
      </c>
      <c r="N39" s="105" t="s">
        <v>35</v>
      </c>
      <c r="O39" s="106" t="s">
        <v>36</v>
      </c>
    </row>
    <row r="40" spans="1:15" x14ac:dyDescent="0.25">
      <c r="A40" s="7">
        <v>7</v>
      </c>
      <c r="B40" s="30" t="s">
        <v>37</v>
      </c>
      <c r="C40" s="18">
        <v>1700</v>
      </c>
      <c r="D40" s="31">
        <f>C40*(E40/1000)</f>
        <v>3.0909090909090908</v>
      </c>
      <c r="E40" s="32">
        <f>B$4/(B$9+J$8)*1000</f>
        <v>1.8181818181818181</v>
      </c>
      <c r="F40" s="33">
        <f>D40-((D40*I$5)+(H$5*J$5))</f>
        <v>3.0907763636363637</v>
      </c>
      <c r="G40" s="34">
        <f>D40+((D40*I$5)+(H$5*J$5))</f>
        <v>3.091041818181818</v>
      </c>
      <c r="H40" s="34">
        <f>((E40/1000*J$8)-((E40/1000*J$8*I$7)+(H$7/1000*J$7)))/J$8*1000</f>
        <v>1.818097090909091</v>
      </c>
      <c r="I40" s="35">
        <f>((E40/1000*J$8)+((E40/1000*J$8*I$7)+(H$7/1000*J$7)))/J$8*1000</f>
        <v>1.8182665454545455</v>
      </c>
      <c r="J40" s="36">
        <f>C40-(F40/(H40/1000))</f>
        <v>-6.220289865268569E-3</v>
      </c>
      <c r="K40" s="37">
        <f>C40-(F40/(I40/1000))</f>
        <v>0.15221290687850342</v>
      </c>
      <c r="L40" s="37">
        <f>C40-(G40/(H40/1000))</f>
        <v>-0.15222709378235777</v>
      </c>
      <c r="M40" s="37">
        <f>C40-(G40/(I40/1000))</f>
        <v>6.2197101615311112E-3</v>
      </c>
      <c r="N40" s="107">
        <f>SQRT((J40^2+K40^2+L40^2+M40^2)/4)</f>
        <v>0.10772561661732101</v>
      </c>
      <c r="O40" s="38">
        <f>N40/C40</f>
        <v>6.3368009774894714E-5</v>
      </c>
    </row>
    <row r="41" spans="1:15" x14ac:dyDescent="0.25">
      <c r="A41" s="7">
        <v>6</v>
      </c>
      <c r="B41" s="30" t="s">
        <v>38</v>
      </c>
      <c r="C41" s="18">
        <v>1600</v>
      </c>
      <c r="D41" s="31">
        <f t="shared" ref="D41:D47" si="13">C41*(E41/1000)</f>
        <v>2.9090909090909092</v>
      </c>
      <c r="E41" s="32">
        <f t="shared" ref="E41:E47" si="14">B$4/(B$9+J$8)*1000</f>
        <v>1.8181818181818181</v>
      </c>
      <c r="F41" s="33">
        <f t="shared" ref="F41:F47" si="15">D41-((D41*I$5)+(H$5*J$5))</f>
        <v>2.9089636363636364</v>
      </c>
      <c r="G41" s="34">
        <f t="shared" ref="G41:G47" si="16">D41+((D41*I$5)+(H$5*J$5))</f>
        <v>2.9092181818181819</v>
      </c>
      <c r="H41" s="34">
        <f t="shared" ref="H41:H47" si="17">((E41/1000*J$8)-((E41/1000*J$8*I$7)+(H$7/1000*J$7)))/J$8*1000</f>
        <v>1.818097090909091</v>
      </c>
      <c r="I41" s="35">
        <f t="shared" ref="I41:I47" si="18">((E41/1000*J$8)+((E41/1000*J$8*I$7)+(H$7/1000*J$7)))/J$8*1000</f>
        <v>1.8182665454545455</v>
      </c>
      <c r="J41" s="36">
        <f t="shared" ref="J41:J47" si="19">C41-(F41/(H41/1000))</f>
        <v>-4.5602125057939702E-3</v>
      </c>
      <c r="K41" s="37">
        <f t="shared" ref="K41:K47" si="20">C41-(F41/(I41/1000))</f>
        <v>0.14455326381789746</v>
      </c>
      <c r="L41" s="37">
        <f t="shared" ref="L41:L47" si="21">C41-(G41/(H41/1000))</f>
        <v>-0.14456673680979293</v>
      </c>
      <c r="M41" s="37">
        <f t="shared" ref="M41:M47" si="22">C41-(G41/(I41/1000))</f>
        <v>4.5597875139264943E-3</v>
      </c>
      <c r="N41" s="107">
        <f t="shared" ref="N41:N47" si="23">SQRT((J41^2+K41^2+L41^2+M41^2)/4)</f>
        <v>0.10227019931596491</v>
      </c>
      <c r="O41" s="38">
        <f t="shared" ref="O41:O47" si="24">N41/C41</f>
        <v>6.3918874572478071E-5</v>
      </c>
    </row>
    <row r="42" spans="1:15" x14ac:dyDescent="0.25">
      <c r="A42" s="7">
        <v>5</v>
      </c>
      <c r="B42" s="30" t="s">
        <v>39</v>
      </c>
      <c r="C42" s="18">
        <v>1500</v>
      </c>
      <c r="D42" s="31">
        <f t="shared" si="13"/>
        <v>2.7272727272727271</v>
      </c>
      <c r="E42" s="32">
        <f t="shared" si="14"/>
        <v>1.8181818181818181</v>
      </c>
      <c r="F42" s="33">
        <f t="shared" si="15"/>
        <v>2.7271509090909087</v>
      </c>
      <c r="G42" s="34">
        <f t="shared" si="16"/>
        <v>2.7273945454545454</v>
      </c>
      <c r="H42" s="34">
        <f t="shared" si="17"/>
        <v>1.818097090909091</v>
      </c>
      <c r="I42" s="35">
        <f t="shared" si="18"/>
        <v>1.8182665454545455</v>
      </c>
      <c r="J42" s="36">
        <f t="shared" si="19"/>
        <v>-2.9001351458646241E-3</v>
      </c>
      <c r="K42" s="37">
        <f t="shared" si="20"/>
        <v>0.13689362075751887</v>
      </c>
      <c r="L42" s="37">
        <f t="shared" si="21"/>
        <v>-0.13690637983722809</v>
      </c>
      <c r="M42" s="37">
        <f t="shared" si="22"/>
        <v>2.8998648663218773E-3</v>
      </c>
      <c r="N42" s="107">
        <f t="shared" si="23"/>
        <v>9.6824635610398738E-2</v>
      </c>
      <c r="O42" s="38">
        <f t="shared" si="24"/>
        <v>6.4549757073599159E-5</v>
      </c>
    </row>
    <row r="43" spans="1:15" x14ac:dyDescent="0.25">
      <c r="A43" s="7">
        <v>4</v>
      </c>
      <c r="B43" s="30" t="s">
        <v>40</v>
      </c>
      <c r="C43" s="18">
        <v>1400</v>
      </c>
      <c r="D43" s="31">
        <f t="shared" si="13"/>
        <v>2.5454545454545454</v>
      </c>
      <c r="E43" s="32">
        <f t="shared" si="14"/>
        <v>1.8181818181818181</v>
      </c>
      <c r="F43" s="33">
        <f t="shared" si="15"/>
        <v>2.5453381818181819</v>
      </c>
      <c r="G43" s="34">
        <f t="shared" si="16"/>
        <v>2.5455709090909089</v>
      </c>
      <c r="H43" s="34">
        <f t="shared" si="17"/>
        <v>1.818097090909091</v>
      </c>
      <c r="I43" s="35">
        <f t="shared" si="18"/>
        <v>1.8182665454545455</v>
      </c>
      <c r="J43" s="36">
        <f t="shared" si="19"/>
        <v>-1.240057786617399E-3</v>
      </c>
      <c r="K43" s="37">
        <f t="shared" si="20"/>
        <v>0.12923397769668554</v>
      </c>
      <c r="L43" s="37">
        <f t="shared" si="21"/>
        <v>-0.12924602286443587</v>
      </c>
      <c r="M43" s="37">
        <f t="shared" si="22"/>
        <v>1.2399422187172604E-3</v>
      </c>
      <c r="N43" s="107">
        <f t="shared" si="23"/>
        <v>9.1390686912838123E-2</v>
      </c>
      <c r="O43" s="38">
        <f t="shared" si="24"/>
        <v>6.527906208059866E-5</v>
      </c>
    </row>
    <row r="44" spans="1:15" x14ac:dyDescent="0.25">
      <c r="A44" s="7">
        <v>3</v>
      </c>
      <c r="B44" s="30" t="s">
        <v>41</v>
      </c>
      <c r="C44" s="18">
        <v>1300</v>
      </c>
      <c r="D44" s="31">
        <f t="shared" si="13"/>
        <v>2.3636363636363638</v>
      </c>
      <c r="E44" s="32">
        <f t="shared" si="14"/>
        <v>1.8181818181818181</v>
      </c>
      <c r="F44" s="33">
        <f t="shared" si="15"/>
        <v>2.3635254545454547</v>
      </c>
      <c r="G44" s="34">
        <f t="shared" si="16"/>
        <v>2.3637472727272728</v>
      </c>
      <c r="H44" s="34">
        <f t="shared" si="17"/>
        <v>1.818097090909091</v>
      </c>
      <c r="I44" s="35">
        <f t="shared" si="18"/>
        <v>1.8182665454545455</v>
      </c>
      <c r="J44" s="36">
        <f t="shared" si="19"/>
        <v>4.2001957285719982E-4</v>
      </c>
      <c r="K44" s="37">
        <f t="shared" si="20"/>
        <v>0.12157433463585221</v>
      </c>
      <c r="L44" s="37">
        <f t="shared" si="21"/>
        <v>-0.12158566589187103</v>
      </c>
      <c r="M44" s="37">
        <f t="shared" si="22"/>
        <v>-4.1998042888735654E-4</v>
      </c>
      <c r="N44" s="107">
        <f t="shared" si="23"/>
        <v>8.5970555704441773E-2</v>
      </c>
      <c r="O44" s="38">
        <f t="shared" si="24"/>
        <v>6.613119669572444E-5</v>
      </c>
    </row>
    <row r="45" spans="1:15" x14ac:dyDescent="0.25">
      <c r="A45" s="7">
        <v>2</v>
      </c>
      <c r="B45" s="30" t="s">
        <v>42</v>
      </c>
      <c r="C45" s="18">
        <v>1200</v>
      </c>
      <c r="D45" s="31">
        <f t="shared" si="13"/>
        <v>2.1818181818181817</v>
      </c>
      <c r="E45" s="32">
        <f t="shared" si="14"/>
        <v>1.8181818181818181</v>
      </c>
      <c r="F45" s="33">
        <f t="shared" si="15"/>
        <v>2.181712727272727</v>
      </c>
      <c r="G45" s="34">
        <f t="shared" si="16"/>
        <v>2.1819236363636363</v>
      </c>
      <c r="H45" s="34">
        <f t="shared" si="17"/>
        <v>1.818097090909091</v>
      </c>
      <c r="I45" s="35">
        <f t="shared" si="18"/>
        <v>1.8182665454545455</v>
      </c>
      <c r="J45" s="36">
        <f t="shared" si="19"/>
        <v>2.0800969327865459E-3</v>
      </c>
      <c r="K45" s="37">
        <f t="shared" si="20"/>
        <v>0.11391469157547363</v>
      </c>
      <c r="L45" s="37">
        <f t="shared" si="21"/>
        <v>-0.11392530891930619</v>
      </c>
      <c r="M45" s="37">
        <f t="shared" si="22"/>
        <v>-2.0799030764919735E-3</v>
      </c>
      <c r="N45" s="107">
        <f t="shared" si="23"/>
        <v>8.0567030740173143E-2</v>
      </c>
      <c r="O45" s="38">
        <f t="shared" si="24"/>
        <v>6.7139192283477615E-5</v>
      </c>
    </row>
    <row r="46" spans="1:15" x14ac:dyDescent="0.25">
      <c r="A46" s="7">
        <v>1</v>
      </c>
      <c r="B46" s="30" t="s">
        <v>43</v>
      </c>
      <c r="C46" s="18">
        <v>1100</v>
      </c>
      <c r="D46" s="31">
        <f t="shared" si="13"/>
        <v>2</v>
      </c>
      <c r="E46" s="32">
        <f t="shared" si="14"/>
        <v>1.8181818181818181</v>
      </c>
      <c r="F46" s="33">
        <f t="shared" si="15"/>
        <v>1.9999</v>
      </c>
      <c r="G46" s="34">
        <f t="shared" si="16"/>
        <v>2.0001000000000002</v>
      </c>
      <c r="H46" s="34">
        <f t="shared" si="17"/>
        <v>1.818097090909091</v>
      </c>
      <c r="I46" s="35">
        <f t="shared" si="18"/>
        <v>1.8182665454545455</v>
      </c>
      <c r="J46" s="36">
        <f t="shared" si="19"/>
        <v>3.7401742922611447E-3</v>
      </c>
      <c r="K46" s="37">
        <f t="shared" si="20"/>
        <v>0.10625504851464029</v>
      </c>
      <c r="L46" s="37">
        <f t="shared" si="21"/>
        <v>-0.10626495194674135</v>
      </c>
      <c r="M46" s="37">
        <f t="shared" si="22"/>
        <v>-3.7398257243239641E-3</v>
      </c>
      <c r="N46" s="107">
        <f t="shared" si="23"/>
        <v>7.5183692625589729E-2</v>
      </c>
      <c r="O46" s="38">
        <f t="shared" si="24"/>
        <v>6.8348811477808848E-5</v>
      </c>
    </row>
    <row r="47" spans="1:15" ht="15.75" thickBot="1" x14ac:dyDescent="0.3">
      <c r="A47" s="20">
        <v>0</v>
      </c>
      <c r="B47" s="39" t="s">
        <v>44</v>
      </c>
      <c r="C47" s="40">
        <v>1000</v>
      </c>
      <c r="D47" s="41">
        <f t="shared" si="13"/>
        <v>1.8181818181818181</v>
      </c>
      <c r="E47" s="42">
        <f t="shared" si="14"/>
        <v>1.8181818181818181</v>
      </c>
      <c r="F47" s="43">
        <f t="shared" si="15"/>
        <v>1.8180872727272728</v>
      </c>
      <c r="G47" s="44">
        <f t="shared" si="16"/>
        <v>1.8182763636363635</v>
      </c>
      <c r="H47" s="44">
        <f t="shared" si="17"/>
        <v>1.818097090909091</v>
      </c>
      <c r="I47" s="45">
        <f t="shared" si="18"/>
        <v>1.8182665454545455</v>
      </c>
      <c r="J47" s="46">
        <f t="shared" si="19"/>
        <v>5.4002516518494303E-3</v>
      </c>
      <c r="K47" s="47">
        <f t="shared" si="20"/>
        <v>9.8595405454148022E-2</v>
      </c>
      <c r="L47" s="47">
        <f t="shared" si="21"/>
        <v>-9.8604594973949133E-2</v>
      </c>
      <c r="M47" s="47">
        <f t="shared" si="22"/>
        <v>-5.3997483715875205E-3</v>
      </c>
      <c r="N47" s="108">
        <f t="shared" si="23"/>
        <v>6.9825210574376642E-2</v>
      </c>
      <c r="O47" s="48">
        <f t="shared" si="24"/>
        <v>6.9825210574376637E-5</v>
      </c>
    </row>
    <row r="48" spans="1:15" ht="15.75" thickBot="1" x14ac:dyDescent="0.3">
      <c r="O48" s="49"/>
    </row>
    <row r="49" spans="1:15" ht="15.75" thickBot="1" x14ac:dyDescent="0.3">
      <c r="A49" s="171" t="s">
        <v>45</v>
      </c>
      <c r="B49" s="172"/>
      <c r="C49" s="173"/>
      <c r="D49" s="174" t="s">
        <v>1</v>
      </c>
      <c r="E49" s="174"/>
      <c r="F49" s="174"/>
      <c r="G49" s="175"/>
      <c r="H49" s="186" t="s">
        <v>66</v>
      </c>
      <c r="I49" s="187"/>
      <c r="J49" s="187"/>
      <c r="K49" s="188"/>
      <c r="O49" s="50"/>
    </row>
    <row r="50" spans="1:15" x14ac:dyDescent="0.25">
      <c r="A50" s="25" t="s">
        <v>2</v>
      </c>
      <c r="B50" s="26" t="s">
        <v>3</v>
      </c>
      <c r="C50" s="93"/>
      <c r="D50" s="4" t="s">
        <v>4</v>
      </c>
      <c r="E50" s="2" t="s">
        <v>5</v>
      </c>
      <c r="F50" s="2" t="s">
        <v>6</v>
      </c>
      <c r="G50" s="5" t="s">
        <v>7</v>
      </c>
      <c r="H50" s="75" t="s">
        <v>4</v>
      </c>
      <c r="I50" s="76" t="s">
        <v>5</v>
      </c>
      <c r="J50" s="76" t="s">
        <v>6</v>
      </c>
      <c r="K50" s="96" t="s">
        <v>7</v>
      </c>
      <c r="O50" s="50"/>
    </row>
    <row r="51" spans="1:15" x14ac:dyDescent="0.25">
      <c r="A51" s="7" t="s">
        <v>8</v>
      </c>
      <c r="B51" s="8">
        <v>5</v>
      </c>
      <c r="C51" s="9" t="s">
        <v>9</v>
      </c>
      <c r="D51" s="10">
        <v>60</v>
      </c>
      <c r="E51" s="11">
        <v>5.1000000000000004E-4</v>
      </c>
      <c r="F51" s="11">
        <v>5.1000000000000004E-4</v>
      </c>
      <c r="G51" s="12" t="s">
        <v>9</v>
      </c>
      <c r="H51" s="7">
        <v>100</v>
      </c>
      <c r="I51" s="111">
        <v>4.0000000000000003E-5</v>
      </c>
      <c r="J51" s="111">
        <v>6.0000000000000002E-6</v>
      </c>
      <c r="K51" s="12" t="s">
        <v>9</v>
      </c>
    </row>
    <row r="52" spans="1:15" x14ac:dyDescent="0.25">
      <c r="A52" s="7" t="s">
        <v>10</v>
      </c>
      <c r="B52" s="8">
        <f>B51/B56*1000</f>
        <v>1.9230769230769231</v>
      </c>
      <c r="C52" s="9" t="s">
        <v>11</v>
      </c>
      <c r="D52" s="13">
        <v>10</v>
      </c>
      <c r="E52" s="11">
        <v>5.0000000000000001E-4</v>
      </c>
      <c r="F52" s="11">
        <v>5.0000000000000001E-4</v>
      </c>
      <c r="G52" s="12" t="s">
        <v>9</v>
      </c>
      <c r="H52" s="119">
        <v>10</v>
      </c>
      <c r="I52" s="111">
        <v>3.0000000000000001E-5</v>
      </c>
      <c r="J52" s="111">
        <v>3.9999999999999998E-6</v>
      </c>
      <c r="K52" s="12" t="s">
        <v>9</v>
      </c>
    </row>
    <row r="53" spans="1:15" x14ac:dyDescent="0.25">
      <c r="A53" s="7" t="s">
        <v>12</v>
      </c>
      <c r="B53" s="14">
        <v>100</v>
      </c>
      <c r="C53" s="9" t="s">
        <v>13</v>
      </c>
      <c r="D53" s="10">
        <v>300</v>
      </c>
      <c r="E53" s="11">
        <v>5.1000000000000004E-4</v>
      </c>
      <c r="F53" s="11">
        <v>5.1999999999999995E-4</v>
      </c>
      <c r="G53" s="12" t="s">
        <v>14</v>
      </c>
      <c r="H53" s="7">
        <v>1</v>
      </c>
      <c r="I53" s="111">
        <v>3.4999999999999997E-5</v>
      </c>
      <c r="J53" s="111">
        <v>6.0000000000000002E-6</v>
      </c>
      <c r="K53" s="12" t="s">
        <v>9</v>
      </c>
    </row>
    <row r="54" spans="1:15" ht="18.75" thickBot="1" x14ac:dyDescent="0.4">
      <c r="A54" s="7" t="s">
        <v>15</v>
      </c>
      <c r="B54" s="14">
        <v>2500</v>
      </c>
      <c r="C54" s="9" t="s">
        <v>13</v>
      </c>
      <c r="D54" s="127">
        <v>30</v>
      </c>
      <c r="E54" s="55">
        <v>5.1999999999999995E-4</v>
      </c>
      <c r="F54" s="55">
        <v>5.1999999999999995E-4</v>
      </c>
      <c r="G54" s="56" t="s">
        <v>16</v>
      </c>
      <c r="H54" s="123">
        <v>100</v>
      </c>
      <c r="I54" s="112">
        <v>4.0000000000000003E-5</v>
      </c>
      <c r="J54" s="112">
        <v>6.0000000000000002E-6</v>
      </c>
      <c r="K54" s="56" t="s">
        <v>14</v>
      </c>
    </row>
    <row r="55" spans="1:15" ht="18" x14ac:dyDescent="0.35">
      <c r="A55" s="176"/>
      <c r="B55" s="177"/>
      <c r="C55" s="178"/>
      <c r="D55" s="17"/>
      <c r="E55" s="17"/>
      <c r="F55" s="17"/>
      <c r="G55" s="17"/>
      <c r="H55" s="189" t="s">
        <v>68</v>
      </c>
      <c r="I55" s="189"/>
      <c r="J55" s="164">
        <v>50</v>
      </c>
      <c r="K55" s="98" t="s">
        <v>13</v>
      </c>
    </row>
    <row r="56" spans="1:15" ht="18" x14ac:dyDescent="0.35">
      <c r="A56" s="7" t="s">
        <v>17</v>
      </c>
      <c r="B56" s="14">
        <f>SUM(B53:B54)</f>
        <v>2600</v>
      </c>
      <c r="C56" s="9" t="s">
        <v>13</v>
      </c>
      <c r="D56" s="19"/>
      <c r="E56" s="19"/>
      <c r="F56" s="19"/>
      <c r="G56" s="19"/>
      <c r="H56" s="190" t="s">
        <v>70</v>
      </c>
      <c r="I56" s="191"/>
      <c r="J56" s="161">
        <v>2.5000000000000688E-2</v>
      </c>
      <c r="K56" s="30" t="s">
        <v>9</v>
      </c>
      <c r="N56" t="s">
        <v>46</v>
      </c>
    </row>
    <row r="57" spans="1:15" ht="15.75" thickBot="1" x14ac:dyDescent="0.3">
      <c r="A57" s="20" t="s">
        <v>18</v>
      </c>
      <c r="B57" s="21">
        <f>((B52/1000)^2*B53)*1000</f>
        <v>0.36982248520710065</v>
      </c>
      <c r="C57" s="22" t="s">
        <v>19</v>
      </c>
      <c r="D57" s="179"/>
      <c r="E57" s="179"/>
      <c r="F57" s="179"/>
      <c r="G57" s="179"/>
      <c r="H57" s="179"/>
    </row>
    <row r="58" spans="1:15" ht="15.75" thickBot="1" x14ac:dyDescent="0.3"/>
    <row r="59" spans="1:15" ht="15.75" thickBot="1" x14ac:dyDescent="0.3">
      <c r="A59" s="171" t="s">
        <v>47</v>
      </c>
      <c r="B59" s="172"/>
      <c r="C59" s="172"/>
      <c r="D59" s="172"/>
      <c r="E59" s="173"/>
      <c r="F59" s="180" t="s">
        <v>69</v>
      </c>
      <c r="G59" s="181"/>
      <c r="H59" s="181"/>
      <c r="I59" s="182"/>
      <c r="J59" s="183" t="s">
        <v>21</v>
      </c>
      <c r="K59" s="184"/>
      <c r="L59" s="184"/>
      <c r="M59" s="184"/>
      <c r="N59" s="184"/>
      <c r="O59" s="185"/>
    </row>
    <row r="60" spans="1:15" ht="33" x14ac:dyDescent="0.35">
      <c r="A60" s="1" t="s">
        <v>22</v>
      </c>
      <c r="B60" s="2" t="s">
        <v>23</v>
      </c>
      <c r="C60" s="2" t="s">
        <v>24</v>
      </c>
      <c r="D60" s="120" t="s">
        <v>48</v>
      </c>
      <c r="E60" s="128" t="s">
        <v>26</v>
      </c>
      <c r="F60" s="25" t="s">
        <v>27</v>
      </c>
      <c r="G60" s="26" t="s">
        <v>28</v>
      </c>
      <c r="H60" s="26" t="s">
        <v>29</v>
      </c>
      <c r="I60" s="27" t="s">
        <v>30</v>
      </c>
      <c r="J60" s="1" t="s">
        <v>31</v>
      </c>
      <c r="K60" s="2" t="s">
        <v>32</v>
      </c>
      <c r="L60" s="2" t="s">
        <v>33</v>
      </c>
      <c r="M60" s="2" t="s">
        <v>34</v>
      </c>
      <c r="N60" s="105" t="s">
        <v>35</v>
      </c>
      <c r="O60" s="106" t="s">
        <v>36</v>
      </c>
    </row>
    <row r="61" spans="1:15" x14ac:dyDescent="0.25">
      <c r="A61" s="7">
        <v>1</v>
      </c>
      <c r="B61" s="30" t="s">
        <v>49</v>
      </c>
      <c r="C61" s="18">
        <v>100</v>
      </c>
      <c r="D61" s="31">
        <f>C61*(E61/1000)</f>
        <v>0.19230769230769232</v>
      </c>
      <c r="E61" s="32">
        <f>B$25/B$30*1000</f>
        <v>1.9230769230769231</v>
      </c>
      <c r="F61" s="33">
        <f>D61-((D61*I$52)+(H$52*J$52))</f>
        <v>0.19226192307692308</v>
      </c>
      <c r="G61" s="34">
        <f>D61+((D61*I$52)+(H$52*J$52))</f>
        <v>0.19235346153846156</v>
      </c>
      <c r="H61" s="34">
        <f>((E61/1000*J$55)-((E61/1000*J$55*I$54)+(H$54/1000*J$54)))/J$55*1000</f>
        <v>1.9229880000000004</v>
      </c>
      <c r="I61" s="35">
        <f>((E61/1000*J$55)+((E61/1000*J$55*I$54)+(H$54/1000*J$54)))/J$55*1000</f>
        <v>1.9231658461538461</v>
      </c>
      <c r="J61" s="36">
        <f>C61-(F61/(H61/1000))</f>
        <v>1.9176886739259658E-2</v>
      </c>
      <c r="K61" s="37">
        <f>C61-(F61/(I61/1000))</f>
        <v>2.8422685735009168E-2</v>
      </c>
      <c r="L61" s="37">
        <f>C61-(G61/(H61/1000))</f>
        <v>-2.8425314386538503E-2</v>
      </c>
      <c r="M61" s="37">
        <f>C61-(G61/(I61/1000))</f>
        <v>-1.9175113342768668E-2</v>
      </c>
      <c r="N61" s="107">
        <f>SQRT((J61^2+K61^2+L61^2+M61^2)/4)</f>
        <v>2.4245027939162413E-2</v>
      </c>
      <c r="O61" s="38">
        <f>N61/C61</f>
        <v>2.4245027939162413E-4</v>
      </c>
    </row>
    <row r="62" spans="1:15" ht="15.75" thickBot="1" x14ac:dyDescent="0.3">
      <c r="A62" s="20">
        <v>0</v>
      </c>
      <c r="B62" s="39" t="s">
        <v>50</v>
      </c>
      <c r="C62" s="58">
        <v>10000000</v>
      </c>
      <c r="D62" s="59">
        <f>C62*(E62/1000)</f>
        <v>4.9999500004999948</v>
      </c>
      <c r="E62" s="60">
        <f>B$25/(B53+C62)*1000</f>
        <v>4.9999500004999943E-4</v>
      </c>
      <c r="F62" s="43">
        <f>D62-((D62*I$52)+(H$52*J$52))</f>
        <v>4.9997600019999799</v>
      </c>
      <c r="G62" s="44">
        <f>D62+((D62*I$52)+(H$52*J$52))</f>
        <v>5.0001399990000097</v>
      </c>
      <c r="H62" s="44">
        <f>((E62/1000*J$55)-((E62/1000*J$55*I$54)+(H$54/1000*J$54)))/J$55*1000</f>
        <v>4.8797500024999743E-4</v>
      </c>
      <c r="I62" s="45">
        <f>((E62/1000*J$55)+((E62/1000*J$55*I$54)+(H$54/1000*J$54)))/J$55*1000</f>
        <v>5.1201499985000149E-4</v>
      </c>
      <c r="J62" s="65">
        <f>C62-(F62/(H62/1000))</f>
        <v>-245934.72911219299</v>
      </c>
      <c r="K62" s="66">
        <f>C62-(F62/(I62/1000))</f>
        <v>235129.82341396995</v>
      </c>
      <c r="L62" s="66">
        <f>C62-(G62/(H62/1000))</f>
        <v>-246713.4513824638</v>
      </c>
      <c r="M62" s="66">
        <f>C62-(G62/(I62/1000))</f>
        <v>234387.6635160353</v>
      </c>
      <c r="N62" s="66">
        <f>SQRT((J62^2+K62^2+L62^2+M62^2)/4)</f>
        <v>240611.21583569518</v>
      </c>
      <c r="O62" s="110">
        <f t="shared" ref="O62" si="25">N62/C62</f>
        <v>2.4061121583569517E-2</v>
      </c>
    </row>
  </sheetData>
  <mergeCells count="31">
    <mergeCell ref="A29:C29"/>
    <mergeCell ref="A12:E12"/>
    <mergeCell ref="F12:I12"/>
    <mergeCell ref="J12:O12"/>
    <mergeCell ref="A23:C23"/>
    <mergeCell ref="D23:G23"/>
    <mergeCell ref="A1:B1"/>
    <mergeCell ref="A2:C2"/>
    <mergeCell ref="D2:G2"/>
    <mergeCell ref="A8:C8"/>
    <mergeCell ref="D10:H10"/>
    <mergeCell ref="H2:K2"/>
    <mergeCell ref="H8:I8"/>
    <mergeCell ref="H9:I9"/>
    <mergeCell ref="D31:H31"/>
    <mergeCell ref="J59:O59"/>
    <mergeCell ref="H49:K49"/>
    <mergeCell ref="H55:I55"/>
    <mergeCell ref="H56:I56"/>
    <mergeCell ref="A38:E38"/>
    <mergeCell ref="F38:I38"/>
    <mergeCell ref="J38:O38"/>
    <mergeCell ref="A33:E33"/>
    <mergeCell ref="F33:I33"/>
    <mergeCell ref="J33:O33"/>
    <mergeCell ref="A49:C49"/>
    <mergeCell ref="D49:G49"/>
    <mergeCell ref="A55:C55"/>
    <mergeCell ref="D57:H57"/>
    <mergeCell ref="A59:E59"/>
    <mergeCell ref="F59:I59"/>
  </mergeCells>
  <pageMargins left="0.7" right="0.7" top="0.75" bottom="0.75" header="0.3" footer="0.3"/>
  <pageSetup paperSize="17" scale="65" orientation="landscape" r:id="rId1"/>
  <headerFooter>
    <oddHeader>&amp;L&amp;F&amp;A&amp;R&amp;D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topLeftCell="J1" zoomScaleNormal="100" workbookViewId="0">
      <selection activeCell="R55" sqref="R55"/>
    </sheetView>
  </sheetViews>
  <sheetFormatPr defaultRowHeight="15" x14ac:dyDescent="0.25"/>
  <cols>
    <col min="1" max="1" width="17.7109375" customWidth="1"/>
    <col min="2" max="3" width="10.5703125" bestFit="1" customWidth="1"/>
    <col min="4" max="4" width="14.5703125" bestFit="1" customWidth="1"/>
    <col min="5" max="5" width="10.7109375" bestFit="1" customWidth="1"/>
    <col min="6" max="6" width="11.42578125" bestFit="1" customWidth="1"/>
    <col min="7" max="7" width="10.7109375" bestFit="1" customWidth="1"/>
    <col min="8" max="8" width="10" bestFit="1" customWidth="1"/>
    <col min="9" max="9" width="11" bestFit="1" customWidth="1"/>
    <col min="10" max="15" width="9.140625" customWidth="1"/>
  </cols>
  <sheetData>
    <row r="1" spans="1:15" ht="21.75" thickBot="1" x14ac:dyDescent="0.4">
      <c r="A1" s="195">
        <v>8005465.0499999998</v>
      </c>
      <c r="B1" s="196"/>
    </row>
    <row r="2" spans="1:15" ht="15.75" thickBot="1" x14ac:dyDescent="0.3">
      <c r="A2" s="67" t="s">
        <v>51</v>
      </c>
      <c r="B2" s="68"/>
      <c r="C2" s="69"/>
      <c r="D2" s="197" t="s">
        <v>1</v>
      </c>
      <c r="E2" s="198"/>
      <c r="F2" s="198"/>
      <c r="G2" s="199"/>
      <c r="H2" s="211" t="s">
        <v>66</v>
      </c>
      <c r="I2" s="212"/>
      <c r="J2" s="212"/>
      <c r="K2" s="213"/>
      <c r="L2" s="130"/>
      <c r="M2" s="131"/>
      <c r="N2" s="131"/>
      <c r="O2" s="131"/>
    </row>
    <row r="3" spans="1:15" x14ac:dyDescent="0.25">
      <c r="A3" s="26" t="s">
        <v>2</v>
      </c>
      <c r="B3" s="26" t="s">
        <v>3</v>
      </c>
      <c r="C3" s="70"/>
      <c r="D3" s="1" t="s">
        <v>4</v>
      </c>
      <c r="E3" s="2" t="s">
        <v>5</v>
      </c>
      <c r="F3" s="2" t="s">
        <v>6</v>
      </c>
      <c r="G3" s="5" t="s">
        <v>7</v>
      </c>
      <c r="H3" s="1" t="s">
        <v>4</v>
      </c>
      <c r="I3" s="2" t="s">
        <v>5</v>
      </c>
      <c r="J3" s="2" t="s">
        <v>6</v>
      </c>
      <c r="K3" s="5" t="s">
        <v>7</v>
      </c>
      <c r="L3" s="6"/>
      <c r="M3" s="17"/>
      <c r="N3" s="17"/>
      <c r="O3" s="17"/>
    </row>
    <row r="4" spans="1:15" x14ac:dyDescent="0.25">
      <c r="A4" s="30" t="s">
        <v>8</v>
      </c>
      <c r="B4" s="8">
        <v>25.074999999999992</v>
      </c>
      <c r="C4" s="113" t="s">
        <v>9</v>
      </c>
      <c r="D4" s="7">
        <v>60</v>
      </c>
      <c r="E4" s="11">
        <v>5.1000000000000004E-4</v>
      </c>
      <c r="F4" s="11">
        <v>5.1000000000000004E-4</v>
      </c>
      <c r="G4" s="12" t="s">
        <v>9</v>
      </c>
      <c r="H4" s="7">
        <v>100</v>
      </c>
      <c r="I4" s="111">
        <v>4.0000000000000003E-5</v>
      </c>
      <c r="J4" s="111">
        <v>6.0000000000000002E-6</v>
      </c>
      <c r="K4" s="113" t="s">
        <v>9</v>
      </c>
      <c r="L4" s="116"/>
      <c r="M4" s="117"/>
      <c r="N4" s="117"/>
      <c r="O4" s="23"/>
    </row>
    <row r="5" spans="1:15" x14ac:dyDescent="0.25">
      <c r="A5" s="30" t="s">
        <v>10</v>
      </c>
      <c r="B5" s="8">
        <f>B4/B9*1000</f>
        <v>0.24925447316103372</v>
      </c>
      <c r="C5" s="113" t="s">
        <v>11</v>
      </c>
      <c r="D5" s="165">
        <v>10</v>
      </c>
      <c r="E5" s="11">
        <v>5.0000000000000001E-4</v>
      </c>
      <c r="F5" s="11">
        <v>5.0000000000000001E-4</v>
      </c>
      <c r="G5" s="12" t="s">
        <v>9</v>
      </c>
      <c r="H5" s="7">
        <v>10</v>
      </c>
      <c r="I5" s="111">
        <v>3.0000000000000001E-5</v>
      </c>
      <c r="J5" s="111">
        <v>3.9999999999999998E-6</v>
      </c>
      <c r="K5" s="113" t="s">
        <v>9</v>
      </c>
      <c r="L5" s="116"/>
      <c r="M5" s="117"/>
      <c r="N5" s="117"/>
      <c r="O5" s="23"/>
    </row>
    <row r="6" spans="1:15" x14ac:dyDescent="0.25">
      <c r="A6" s="30" t="s">
        <v>12</v>
      </c>
      <c r="B6" s="14">
        <v>600</v>
      </c>
      <c r="C6" s="113" t="s">
        <v>13</v>
      </c>
      <c r="D6" s="53">
        <v>300</v>
      </c>
      <c r="E6" s="11">
        <v>5.1000000000000004E-4</v>
      </c>
      <c r="F6" s="11">
        <v>5.1999999999999995E-4</v>
      </c>
      <c r="G6" s="12" t="s">
        <v>14</v>
      </c>
      <c r="H6" s="119">
        <v>1</v>
      </c>
      <c r="I6" s="111">
        <v>3.4999999999999997E-5</v>
      </c>
      <c r="J6" s="111">
        <v>6.0000000000000002E-6</v>
      </c>
      <c r="K6" s="113" t="s">
        <v>9</v>
      </c>
      <c r="L6" s="116"/>
      <c r="M6" s="117"/>
      <c r="N6" s="117"/>
      <c r="O6" s="23"/>
    </row>
    <row r="7" spans="1:15" ht="18.75" thickBot="1" x14ac:dyDescent="0.4">
      <c r="A7" s="30" t="s">
        <v>15</v>
      </c>
      <c r="B7" s="14">
        <v>100000</v>
      </c>
      <c r="C7" s="113" t="s">
        <v>13</v>
      </c>
      <c r="D7" s="124">
        <v>30</v>
      </c>
      <c r="E7" s="55">
        <v>5.1999999999999995E-4</v>
      </c>
      <c r="F7" s="55">
        <v>5.1999999999999995E-4</v>
      </c>
      <c r="G7" s="56" t="s">
        <v>16</v>
      </c>
      <c r="H7" s="123">
        <v>100</v>
      </c>
      <c r="I7" s="112">
        <v>4.0000000000000003E-5</v>
      </c>
      <c r="J7" s="112">
        <v>6.0000000000000002E-6</v>
      </c>
      <c r="K7" s="114" t="s">
        <v>14</v>
      </c>
      <c r="L7" s="116"/>
      <c r="M7" s="117"/>
      <c r="N7" s="117"/>
      <c r="O7" s="118"/>
    </row>
    <row r="8" spans="1:15" ht="18" x14ac:dyDescent="0.35">
      <c r="A8" s="207"/>
      <c r="B8" s="177"/>
      <c r="C8" s="208"/>
      <c r="D8" s="71"/>
      <c r="E8" s="72"/>
      <c r="F8" s="72"/>
      <c r="G8" s="72"/>
      <c r="H8" s="203" t="s">
        <v>68</v>
      </c>
      <c r="I8" s="203"/>
      <c r="J8" s="126">
        <v>100</v>
      </c>
      <c r="K8" s="30" t="s">
        <v>13</v>
      </c>
      <c r="L8" s="23"/>
      <c r="O8" s="118"/>
    </row>
    <row r="9" spans="1:15" ht="18" x14ac:dyDescent="0.35">
      <c r="A9" s="30" t="s">
        <v>17</v>
      </c>
      <c r="B9" s="14">
        <f>SUM(B6:B7)</f>
        <v>100600</v>
      </c>
      <c r="C9" s="30" t="s">
        <v>13</v>
      </c>
      <c r="D9" s="73"/>
      <c r="E9" s="74"/>
      <c r="F9" s="74"/>
      <c r="G9" s="74"/>
      <c r="H9" s="190" t="s">
        <v>70</v>
      </c>
      <c r="I9" s="191"/>
      <c r="J9" s="161">
        <v>2.5000000000000688E-2</v>
      </c>
      <c r="K9" s="30" t="s">
        <v>9</v>
      </c>
      <c r="L9" s="23"/>
      <c r="O9" s="118"/>
    </row>
    <row r="10" spans="1:15" x14ac:dyDescent="0.25">
      <c r="A10" s="30" t="s">
        <v>18</v>
      </c>
      <c r="B10" s="57">
        <f>((B5/1000)^2*B6)*1000</f>
        <v>3.7276675434470684E-2</v>
      </c>
      <c r="C10" s="30" t="s">
        <v>19</v>
      </c>
      <c r="D10" s="209"/>
      <c r="E10" s="179"/>
      <c r="F10" s="179"/>
      <c r="G10" s="179"/>
      <c r="H10" s="179"/>
      <c r="I10" s="23"/>
    </row>
    <row r="11" spans="1:15" ht="15.75" thickBot="1" x14ac:dyDescent="0.3"/>
    <row r="12" spans="1:15" ht="15.75" thickBot="1" x14ac:dyDescent="0.3">
      <c r="A12" s="171" t="s">
        <v>51</v>
      </c>
      <c r="B12" s="172"/>
      <c r="C12" s="172"/>
      <c r="D12" s="172"/>
      <c r="E12" s="173"/>
      <c r="F12" s="204" t="s">
        <v>67</v>
      </c>
      <c r="G12" s="205"/>
      <c r="H12" s="205"/>
      <c r="I12" s="210"/>
      <c r="J12" s="200" t="s">
        <v>21</v>
      </c>
      <c r="K12" s="201"/>
      <c r="L12" s="201"/>
      <c r="M12" s="201"/>
      <c r="N12" s="201"/>
      <c r="O12" s="202"/>
    </row>
    <row r="13" spans="1:15" ht="33" x14ac:dyDescent="0.35">
      <c r="A13" s="1" t="s">
        <v>22</v>
      </c>
      <c r="B13" s="2" t="s">
        <v>23</v>
      </c>
      <c r="C13" s="2" t="s">
        <v>24</v>
      </c>
      <c r="D13" s="120" t="s">
        <v>25</v>
      </c>
      <c r="E13" s="125" t="s">
        <v>26</v>
      </c>
      <c r="F13" s="167" t="s">
        <v>71</v>
      </c>
      <c r="G13" s="168" t="s">
        <v>72</v>
      </c>
      <c r="H13" s="168" t="s">
        <v>73</v>
      </c>
      <c r="I13" s="169" t="s">
        <v>74</v>
      </c>
      <c r="J13" s="75" t="s">
        <v>31</v>
      </c>
      <c r="K13" s="76" t="s">
        <v>32</v>
      </c>
      <c r="L13" s="76" t="s">
        <v>33</v>
      </c>
      <c r="M13" s="76" t="s">
        <v>34</v>
      </c>
      <c r="N13" s="28" t="s">
        <v>35</v>
      </c>
      <c r="O13" s="29" t="s">
        <v>36</v>
      </c>
    </row>
    <row r="14" spans="1:15" x14ac:dyDescent="0.25">
      <c r="A14" s="7">
        <v>10</v>
      </c>
      <c r="B14" s="30" t="s">
        <v>52</v>
      </c>
      <c r="C14" s="78">
        <v>550</v>
      </c>
      <c r="D14" s="79">
        <f>C14*(E14/1000)</f>
        <v>0.13715813028344104</v>
      </c>
      <c r="E14" s="80">
        <f>B$4/(B$7+C14)*1000</f>
        <v>0.24937841869716551</v>
      </c>
      <c r="F14" s="33">
        <f t="shared" ref="F14:F17" si="0">D14-((D14*E$6)+((D$6/1000)*F$6))</f>
        <v>0.13693217963699647</v>
      </c>
      <c r="G14" s="34">
        <f t="shared" ref="G14:G17" si="1">D14+((D14*E$6)+((D$6/1000)*F$6))</f>
        <v>0.1373840809298856</v>
      </c>
      <c r="H14" s="34">
        <f t="shared" ref="H14:H17" si="2">E14-((E14*E$7)+(D$7*F$7))</f>
        <v>0.23364874191944299</v>
      </c>
      <c r="I14" s="81">
        <f t="shared" ref="I14:I17" si="3">E14+((E14*E$7)+(D$7*F$7))</f>
        <v>0.26510809547488806</v>
      </c>
      <c r="J14" s="82">
        <f t="shared" ref="J14:J17" si="4">C14-(F14/(H14/1000))</f>
        <v>-36.059991216249387</v>
      </c>
      <c r="K14" s="83">
        <f t="shared" ref="K14:K17" si="5">C14-(F14/(I14/1000))</f>
        <v>33.485483943031227</v>
      </c>
      <c r="L14" s="83">
        <f t="shared" ref="L14:L17" si="6">C14-(G14/(H14/1000))</f>
        <v>-37.994096613850616</v>
      </c>
      <c r="M14" s="83">
        <f t="shared" ref="M14:M17" si="7">C14-(G14/(I14/1000))</f>
        <v>31.780891361353724</v>
      </c>
      <c r="N14" s="84">
        <f t="shared" ref="N14:N17" si="8">SQRT((J14^2+K14^2+L14^2+M14^2)/4)</f>
        <v>34.911233989361392</v>
      </c>
      <c r="O14" s="38">
        <f>N14/C14</f>
        <v>6.3474970889747989E-2</v>
      </c>
    </row>
    <row r="15" spans="1:15" x14ac:dyDescent="0.25">
      <c r="A15" s="7">
        <v>9</v>
      </c>
      <c r="B15" s="30" t="s">
        <v>53</v>
      </c>
      <c r="C15" s="78">
        <v>500</v>
      </c>
      <c r="D15" s="79">
        <f t="shared" ref="D15:D24" si="9">C15*(E15/1000)</f>
        <v>0.12475124378109449</v>
      </c>
      <c r="E15" s="80">
        <f t="shared" ref="E15:E24" si="10">B$4/(B$7+C15)*1000</f>
        <v>0.24950248756218898</v>
      </c>
      <c r="F15" s="33">
        <f t="shared" si="0"/>
        <v>0.12453162064676614</v>
      </c>
      <c r="G15" s="34">
        <f t="shared" si="1"/>
        <v>0.12497086691542285</v>
      </c>
      <c r="H15" s="34">
        <f t="shared" si="2"/>
        <v>0.23377274626865666</v>
      </c>
      <c r="I15" s="81">
        <f t="shared" si="3"/>
        <v>0.26523222885572134</v>
      </c>
      <c r="J15" s="82">
        <f t="shared" si="4"/>
        <v>-32.70375881905295</v>
      </c>
      <c r="K15" s="83">
        <f t="shared" si="5"/>
        <v>30.48081229032033</v>
      </c>
      <c r="L15" s="83">
        <f t="shared" si="6"/>
        <v>-34.582704400467833</v>
      </c>
      <c r="M15" s="83">
        <f t="shared" si="7"/>
        <v>28.824730484003908</v>
      </c>
      <c r="N15" s="84">
        <f t="shared" si="8"/>
        <v>31.723194550273966</v>
      </c>
      <c r="O15" s="38">
        <f t="shared" ref="O15:O24" si="11">N15/C15</f>
        <v>6.3446389100547937E-2</v>
      </c>
    </row>
    <row r="16" spans="1:15" x14ac:dyDescent="0.25">
      <c r="A16" s="7">
        <v>8</v>
      </c>
      <c r="B16" s="30" t="s">
        <v>37</v>
      </c>
      <c r="C16" s="78">
        <v>450</v>
      </c>
      <c r="D16" s="79">
        <f t="shared" si="9"/>
        <v>0.11233200597312093</v>
      </c>
      <c r="E16" s="80">
        <f t="shared" si="10"/>
        <v>0.24962667994026871</v>
      </c>
      <c r="F16" s="33">
        <f t="shared" si="0"/>
        <v>0.11211871665007464</v>
      </c>
      <c r="G16" s="34">
        <f t="shared" si="1"/>
        <v>0.11254529529616722</v>
      </c>
      <c r="H16" s="34">
        <f t="shared" si="2"/>
        <v>0.23389687406669979</v>
      </c>
      <c r="I16" s="81">
        <f t="shared" si="3"/>
        <v>0.26535648581383764</v>
      </c>
      <c r="J16" s="82">
        <f t="shared" si="4"/>
        <v>-29.351069130158749</v>
      </c>
      <c r="K16" s="83">
        <f t="shared" si="5"/>
        <v>27.478891061542868</v>
      </c>
      <c r="L16" s="83">
        <f t="shared" si="6"/>
        <v>-31.174858557848722</v>
      </c>
      <c r="M16" s="83">
        <f t="shared" si="7"/>
        <v>25.87132286970359</v>
      </c>
      <c r="N16" s="84">
        <f t="shared" si="8"/>
        <v>28.538447164245902</v>
      </c>
      <c r="O16" s="38">
        <f t="shared" si="11"/>
        <v>6.3418771476102004E-2</v>
      </c>
    </row>
    <row r="17" spans="1:15" x14ac:dyDescent="0.25">
      <c r="A17" s="7">
        <v>7</v>
      </c>
      <c r="B17" s="30" t="s">
        <v>38</v>
      </c>
      <c r="C17" s="78">
        <v>400</v>
      </c>
      <c r="D17" s="79">
        <f t="shared" si="9"/>
        <v>9.9900398406374477E-2</v>
      </c>
      <c r="E17" s="80">
        <f t="shared" si="10"/>
        <v>0.2497509960159362</v>
      </c>
      <c r="F17" s="33">
        <f t="shared" si="0"/>
        <v>9.969344920318722E-2</v>
      </c>
      <c r="G17" s="34">
        <f t="shared" si="1"/>
        <v>0.10010734760956173</v>
      </c>
      <c r="H17" s="34">
        <f t="shared" si="2"/>
        <v>0.23402112549800791</v>
      </c>
      <c r="I17" s="81">
        <f t="shared" si="3"/>
        <v>0.26548086653386449</v>
      </c>
      <c r="J17" s="82">
        <f t="shared" si="4"/>
        <v>-26.001921796739055</v>
      </c>
      <c r="K17" s="83">
        <f t="shared" si="5"/>
        <v>24.47972049816093</v>
      </c>
      <c r="L17" s="83">
        <f t="shared" si="6"/>
        <v>-27.770558732800794</v>
      </c>
      <c r="M17" s="83">
        <f t="shared" si="7"/>
        <v>22.920668760164176</v>
      </c>
      <c r="N17" s="84">
        <f t="shared" si="8"/>
        <v>25.357038675370386</v>
      </c>
      <c r="O17" s="38">
        <f t="shared" si="11"/>
        <v>6.3392596688425965E-2</v>
      </c>
    </row>
    <row r="18" spans="1:15" x14ac:dyDescent="0.25">
      <c r="A18" s="7">
        <v>6</v>
      </c>
      <c r="B18" s="30" t="s">
        <v>39</v>
      </c>
      <c r="C18" s="14">
        <v>350</v>
      </c>
      <c r="D18" s="79">
        <f t="shared" si="9"/>
        <v>8.7456402590931709E-2</v>
      </c>
      <c r="E18" s="80">
        <f t="shared" si="10"/>
        <v>0.24987543597409059</v>
      </c>
      <c r="F18" s="33">
        <f>D18-((D18*E$6)+((D$6/1000)*F$6))</f>
        <v>8.7255799825610339E-2</v>
      </c>
      <c r="G18" s="34">
        <f>D18+((D18*E$6)+((D$6/1000)*F$6))</f>
        <v>8.7657005356253079E-2</v>
      </c>
      <c r="H18" s="34">
        <f>E18-((E18*E$7)+(D$7*F$7))</f>
        <v>0.23414550074738408</v>
      </c>
      <c r="I18" s="81">
        <f>E18+((E18*E$7)+(D$7*F$7))</f>
        <v>0.26560537120079714</v>
      </c>
      <c r="J18" s="82">
        <f>C18-(F18/(H18/1000))</f>
        <v>-22.656316466013436</v>
      </c>
      <c r="K18" s="83">
        <f>C18-(F18/(I18/1000))</f>
        <v>21.483300841664345</v>
      </c>
      <c r="L18" s="83">
        <f>C18-(G18/(H18/1000))</f>
        <v>-24.369804572178623</v>
      </c>
      <c r="M18" s="83">
        <f>C18-(G18/(I18/1000))</f>
        <v>19.972768397124923</v>
      </c>
      <c r="N18" s="84">
        <f>SQRT((J18^2+K18^2+L18^2+M18^2)/4)</f>
        <v>22.179042716002069</v>
      </c>
      <c r="O18" s="38">
        <f t="shared" si="11"/>
        <v>6.3368693474291624E-2</v>
      </c>
    </row>
    <row r="19" spans="1:15" x14ac:dyDescent="0.25">
      <c r="A19" s="7">
        <v>5</v>
      </c>
      <c r="B19" s="30" t="s">
        <v>40</v>
      </c>
      <c r="C19" s="14">
        <v>300</v>
      </c>
      <c r="D19" s="79">
        <f t="shared" si="9"/>
        <v>7.4999999999999969E-2</v>
      </c>
      <c r="E19" s="80">
        <f t="shared" si="10"/>
        <v>0.24999999999999989</v>
      </c>
      <c r="F19" s="33">
        <f t="shared" ref="F19:F24" si="12">D19-((D19*E$6)+((D$6/1000)*F$6))</f>
        <v>7.4805749999999976E-2</v>
      </c>
      <c r="G19" s="34">
        <f t="shared" ref="G19:G24" si="13">D19+((D19*E$6)+((D$6/1000)*F$6))</f>
        <v>7.5194249999999963E-2</v>
      </c>
      <c r="H19" s="34">
        <f t="shared" ref="H19:H24" si="14">E19-((E19*E$7)+(D$7*F$7))</f>
        <v>0.23426999999999989</v>
      </c>
      <c r="I19" s="81">
        <f t="shared" ref="I19:I24" si="15">E19+((E19*E$7)+(D$7*F$7))</f>
        <v>0.26572999999999991</v>
      </c>
      <c r="J19" s="82">
        <f t="shared" ref="J19:J24" si="16">C19-(F19/(H19/1000))</f>
        <v>-19.314252785247845</v>
      </c>
      <c r="K19" s="83">
        <f t="shared" ref="K19:K24" si="17">C19-(F19/(I19/1000))</f>
        <v>18.489632333571706</v>
      </c>
      <c r="L19" s="83">
        <f t="shared" ref="L19:L24" si="18">C19-(G19/(H19/1000))</f>
        <v>-20.972595722883852</v>
      </c>
      <c r="M19" s="83">
        <f t="shared" ref="M19:M24" si="19">C19-(G19/(I19/1000))</f>
        <v>17.027622022353569</v>
      </c>
      <c r="N19" s="84">
        <f t="shared" ref="N19:N24" si="20">SQRT((J19^2+K19^2+L19^2+M19^2)/4)</f>
        <v>19.004581997341987</v>
      </c>
      <c r="O19" s="38">
        <f t="shared" si="11"/>
        <v>6.3348606657806616E-2</v>
      </c>
    </row>
    <row r="20" spans="1:15" x14ac:dyDescent="0.25">
      <c r="A20" s="7">
        <v>4</v>
      </c>
      <c r="B20" s="30" t="s">
        <v>41</v>
      </c>
      <c r="C20" s="14">
        <v>250</v>
      </c>
      <c r="D20" s="79">
        <f t="shared" si="9"/>
        <v>6.2531172069825419E-2</v>
      </c>
      <c r="E20" s="80">
        <f t="shared" si="10"/>
        <v>0.25012468827930168</v>
      </c>
      <c r="F20" s="33">
        <f t="shared" si="12"/>
        <v>6.234328117206981E-2</v>
      </c>
      <c r="G20" s="34">
        <f t="shared" si="13"/>
        <v>6.2719062967581035E-2</v>
      </c>
      <c r="H20" s="34">
        <f t="shared" si="14"/>
        <v>0.23439462344139644</v>
      </c>
      <c r="I20" s="81">
        <f t="shared" si="15"/>
        <v>0.26585475311720691</v>
      </c>
      <c r="J20" s="82">
        <f t="shared" si="16"/>
        <v>-15.9757304017553</v>
      </c>
      <c r="K20" s="83">
        <f t="shared" si="17"/>
        <v>15.49871521542957</v>
      </c>
      <c r="L20" s="83">
        <f t="shared" si="18"/>
        <v>-17.578931831864793</v>
      </c>
      <c r="M20" s="83">
        <f t="shared" si="19"/>
        <v>14.085229877646043</v>
      </c>
      <c r="N20" s="84">
        <f t="shared" si="20"/>
        <v>15.833877290907292</v>
      </c>
      <c r="O20" s="38">
        <f t="shared" si="11"/>
        <v>6.3335509163629164E-2</v>
      </c>
    </row>
    <row r="21" spans="1:15" x14ac:dyDescent="0.25">
      <c r="A21" s="7">
        <v>3</v>
      </c>
      <c r="B21" s="30" t="s">
        <v>42</v>
      </c>
      <c r="C21" s="14">
        <v>200</v>
      </c>
      <c r="D21" s="79">
        <f t="shared" si="9"/>
        <v>5.0049900199600782E-2</v>
      </c>
      <c r="E21" s="80">
        <f t="shared" si="10"/>
        <v>0.25024950099800392</v>
      </c>
      <c r="F21" s="33">
        <f t="shared" si="12"/>
        <v>4.9868374750498982E-2</v>
      </c>
      <c r="G21" s="34">
        <f t="shared" si="13"/>
        <v>5.0231425648702581E-2</v>
      </c>
      <c r="H21" s="34">
        <f t="shared" si="14"/>
        <v>0.23451937125748495</v>
      </c>
      <c r="I21" s="81">
        <f t="shared" si="15"/>
        <v>0.26597963073852288</v>
      </c>
      <c r="J21" s="82">
        <f t="shared" si="16"/>
        <v>-12.640748962895657</v>
      </c>
      <c r="K21" s="83">
        <f t="shared" si="17"/>
        <v>12.510549728812947</v>
      </c>
      <c r="L21" s="83">
        <f t="shared" si="18"/>
        <v>-14.188812546116651</v>
      </c>
      <c r="M21" s="83">
        <f t="shared" si="19"/>
        <v>11.145592204826812</v>
      </c>
      <c r="N21" s="84">
        <f t="shared" si="20"/>
        <v>12.667369655192655</v>
      </c>
      <c r="O21" s="38">
        <f t="shared" si="11"/>
        <v>6.3336848275963267E-2</v>
      </c>
    </row>
    <row r="22" spans="1:15" x14ac:dyDescent="0.25">
      <c r="A22" s="7">
        <v>2</v>
      </c>
      <c r="B22" s="30" t="s">
        <v>43</v>
      </c>
      <c r="C22" s="14">
        <v>150</v>
      </c>
      <c r="D22" s="79">
        <f t="shared" si="9"/>
        <v>3.7556165751372932E-2</v>
      </c>
      <c r="E22" s="80">
        <f t="shared" si="10"/>
        <v>0.25037443834248618</v>
      </c>
      <c r="F22" s="33">
        <f t="shared" si="12"/>
        <v>3.738101210683973E-2</v>
      </c>
      <c r="G22" s="34">
        <f t="shared" si="13"/>
        <v>3.7731319395906134E-2</v>
      </c>
      <c r="H22" s="34">
        <f t="shared" si="14"/>
        <v>0.23464424363454808</v>
      </c>
      <c r="I22" s="81">
        <f t="shared" si="15"/>
        <v>0.26610463305042426</v>
      </c>
      <c r="J22" s="82">
        <f t="shared" si="16"/>
        <v>-9.3093081160755844</v>
      </c>
      <c r="K22" s="83">
        <f t="shared" si="17"/>
        <v>9.52513611532504</v>
      </c>
      <c r="L22" s="83">
        <f t="shared" si="18"/>
        <v>-10.802237512681614</v>
      </c>
      <c r="M22" s="83">
        <f t="shared" si="19"/>
        <v>8.2087092457484232</v>
      </c>
      <c r="N22" s="84">
        <f t="shared" si="20"/>
        <v>9.5060859239899784</v>
      </c>
      <c r="O22" s="38">
        <f t="shared" si="11"/>
        <v>6.3373906159933185E-2</v>
      </c>
    </row>
    <row r="23" spans="1:15" x14ac:dyDescent="0.25">
      <c r="A23" s="7">
        <v>1</v>
      </c>
      <c r="B23" s="30" t="s">
        <v>44</v>
      </c>
      <c r="C23" s="14">
        <v>100</v>
      </c>
      <c r="D23" s="79">
        <f t="shared" si="9"/>
        <v>2.5049950049950042E-2</v>
      </c>
      <c r="E23" s="80">
        <f t="shared" si="10"/>
        <v>0.25049950049950043</v>
      </c>
      <c r="F23" s="33">
        <f t="shared" si="12"/>
        <v>2.4881174575424568E-2</v>
      </c>
      <c r="G23" s="34">
        <f t="shared" si="13"/>
        <v>2.5218725524475516E-2</v>
      </c>
      <c r="H23" s="34">
        <f t="shared" si="14"/>
        <v>0.23476924075924069</v>
      </c>
      <c r="I23" s="81">
        <f t="shared" si="15"/>
        <v>0.26622976023976019</v>
      </c>
      <c r="J23" s="82">
        <f t="shared" si="16"/>
        <v>-5.9814075087484753</v>
      </c>
      <c r="K23" s="83">
        <f t="shared" si="17"/>
        <v>6.5424746165974312</v>
      </c>
      <c r="L23" s="83">
        <f t="shared" si="18"/>
        <v>-7.419206378648596</v>
      </c>
      <c r="M23" s="83">
        <f t="shared" si="19"/>
        <v>5.2745812422918732</v>
      </c>
      <c r="N23" s="84">
        <f t="shared" si="20"/>
        <v>6.35309059562847</v>
      </c>
      <c r="O23" s="38">
        <f t="shared" si="11"/>
        <v>6.3530905956284703E-2</v>
      </c>
    </row>
    <row r="24" spans="1:15" ht="15.75" thickBot="1" x14ac:dyDescent="0.3">
      <c r="A24" s="20">
        <v>0</v>
      </c>
      <c r="B24" s="85" t="s">
        <v>49</v>
      </c>
      <c r="C24" s="86">
        <v>50</v>
      </c>
      <c r="D24" s="87">
        <f t="shared" si="9"/>
        <v>1.2531234382808589E-2</v>
      </c>
      <c r="E24" s="88">
        <f t="shared" si="10"/>
        <v>0.2506246876561718</v>
      </c>
      <c r="F24" s="43">
        <f t="shared" si="12"/>
        <v>1.2368843453273357E-2</v>
      </c>
      <c r="G24" s="44">
        <f t="shared" si="13"/>
        <v>1.2693625312343821E-2</v>
      </c>
      <c r="H24" s="44">
        <f t="shared" si="14"/>
        <v>0.23489436281859058</v>
      </c>
      <c r="I24" s="89">
        <f t="shared" si="15"/>
        <v>0.26635501249375299</v>
      </c>
      <c r="J24" s="90">
        <f t="shared" si="16"/>
        <v>-2.6570467884145899</v>
      </c>
      <c r="K24" s="91">
        <f t="shared" si="17"/>
        <v>3.5625654742898689</v>
      </c>
      <c r="L24" s="91">
        <f t="shared" si="18"/>
        <v>-4.0397187911535184</v>
      </c>
      <c r="M24" s="91">
        <f t="shared" si="19"/>
        <v>2.3432084363663535</v>
      </c>
      <c r="N24" s="92">
        <f t="shared" si="20"/>
        <v>3.2234191506180117</v>
      </c>
      <c r="O24" s="48">
        <f t="shared" si="11"/>
        <v>6.4468383012360228E-2</v>
      </c>
    </row>
    <row r="25" spans="1:15" ht="15.75" thickBot="1" x14ac:dyDescent="0.3"/>
    <row r="26" spans="1:15" ht="15.75" thickBot="1" x14ac:dyDescent="0.3">
      <c r="A26" s="171" t="s">
        <v>51</v>
      </c>
      <c r="B26" s="172"/>
      <c r="C26" s="172"/>
      <c r="D26" s="172"/>
      <c r="E26" s="173"/>
      <c r="F26" s="204" t="s">
        <v>67</v>
      </c>
      <c r="G26" s="205"/>
      <c r="H26" s="205"/>
      <c r="I26" s="206"/>
      <c r="J26" s="200" t="s">
        <v>21</v>
      </c>
      <c r="K26" s="201"/>
      <c r="L26" s="201"/>
      <c r="M26" s="201"/>
      <c r="N26" s="201"/>
      <c r="O26" s="202"/>
    </row>
    <row r="27" spans="1:15" ht="33" x14ac:dyDescent="0.35">
      <c r="A27" s="1" t="s">
        <v>22</v>
      </c>
      <c r="B27" s="2" t="s">
        <v>23</v>
      </c>
      <c r="C27" s="2" t="s">
        <v>24</v>
      </c>
      <c r="D27" s="166" t="s">
        <v>25</v>
      </c>
      <c r="E27" s="125" t="s">
        <v>26</v>
      </c>
      <c r="F27" s="167" t="s">
        <v>75</v>
      </c>
      <c r="G27" s="168" t="s">
        <v>76</v>
      </c>
      <c r="H27" s="168" t="s">
        <v>73</v>
      </c>
      <c r="I27" s="170" t="s">
        <v>74</v>
      </c>
      <c r="J27" s="75" t="s">
        <v>31</v>
      </c>
      <c r="K27" s="76" t="s">
        <v>32</v>
      </c>
      <c r="L27" s="76" t="s">
        <v>33</v>
      </c>
      <c r="M27" s="76" t="s">
        <v>34</v>
      </c>
      <c r="N27" s="28" t="s">
        <v>35</v>
      </c>
      <c r="O27" s="29" t="s">
        <v>36</v>
      </c>
    </row>
    <row r="28" spans="1:15" x14ac:dyDescent="0.25">
      <c r="A28" s="7">
        <v>10</v>
      </c>
      <c r="B28" s="30" t="s">
        <v>52</v>
      </c>
      <c r="C28" s="78">
        <v>550</v>
      </c>
      <c r="D28" s="79">
        <f>C28*(E28/1000)</f>
        <v>0.13715813028344104</v>
      </c>
      <c r="E28" s="80">
        <f t="shared" ref="E28:E38" si="21">B$4/(B$7+C28)*1000</f>
        <v>0.24937841869716551</v>
      </c>
      <c r="F28" s="33">
        <f t="shared" ref="F28:F38" si="22">D28-((D28*E$5)+((D$5)*F$5))</f>
        <v>0.13208955121829932</v>
      </c>
      <c r="G28" s="34">
        <f t="shared" ref="G28:G38" si="23">D28+((D28*E$5)+((D$5)*F$5))</f>
        <v>0.14222670934858275</v>
      </c>
      <c r="H28" s="34">
        <f t="shared" ref="H28:H38" si="24">E28-((E28*E$7)+(D$7*F$7))</f>
        <v>0.23364874191944299</v>
      </c>
      <c r="I28" s="35">
        <f t="shared" ref="I28:I38" si="25">E28+((E28*E$7)+(D$7*F$7))</f>
        <v>0.26510809547488806</v>
      </c>
      <c r="J28" s="82">
        <f t="shared" ref="J28:J31" si="26">C28-(F28/(H28/1000))</f>
        <v>-15.333885957070265</v>
      </c>
      <c r="K28" s="83">
        <f t="shared" ref="K28:K31" si="27">C28-(F28/(I28/1000))</f>
        <v>51.752102357767114</v>
      </c>
      <c r="L28" s="83">
        <f t="shared" ref="L28:L31" si="28">C28-(G28/(H28/1000))</f>
        <v>-58.720201873029737</v>
      </c>
      <c r="M28" s="83">
        <f t="shared" ref="M28:M31" si="29">C28-(G28/(I28/1000))</f>
        <v>13.514272946617893</v>
      </c>
      <c r="N28" s="84">
        <f t="shared" ref="N28:N31" si="30">SQRT((J28^2+K28^2+L28^2+M28^2)/4)</f>
        <v>40.447823916368776</v>
      </c>
      <c r="O28" s="38">
        <f>N28/C28</f>
        <v>7.3541498029761412E-2</v>
      </c>
    </row>
    <row r="29" spans="1:15" x14ac:dyDescent="0.25">
      <c r="A29" s="7">
        <v>9</v>
      </c>
      <c r="B29" s="30" t="s">
        <v>53</v>
      </c>
      <c r="C29" s="78">
        <v>500</v>
      </c>
      <c r="D29" s="79">
        <f t="shared" ref="D29:D38" si="31">C29*(E29/1000)</f>
        <v>0.12475124378109449</v>
      </c>
      <c r="E29" s="80">
        <f t="shared" si="21"/>
        <v>0.24950248756218898</v>
      </c>
      <c r="F29" s="33">
        <f t="shared" si="22"/>
        <v>0.11968886815920395</v>
      </c>
      <c r="G29" s="34">
        <f t="shared" si="23"/>
        <v>0.12981361940298505</v>
      </c>
      <c r="H29" s="34">
        <f t="shared" si="24"/>
        <v>0.23377274626865666</v>
      </c>
      <c r="I29" s="35">
        <f t="shared" si="25"/>
        <v>0.26523222885572134</v>
      </c>
      <c r="J29" s="82">
        <f t="shared" si="26"/>
        <v>-11.988116962337983</v>
      </c>
      <c r="K29" s="83">
        <f t="shared" si="27"/>
        <v>48.739349378573309</v>
      </c>
      <c r="L29" s="83">
        <f t="shared" si="28"/>
        <v>-55.298346257182857</v>
      </c>
      <c r="M29" s="83">
        <f t="shared" si="29"/>
        <v>10.566193395750872</v>
      </c>
      <c r="N29" s="84">
        <f t="shared" si="30"/>
        <v>37.712036101903287</v>
      </c>
      <c r="O29" s="38">
        <f t="shared" ref="O29:O38" si="32">N29/C29</f>
        <v>7.5424072203806578E-2</v>
      </c>
    </row>
    <row r="30" spans="1:15" x14ac:dyDescent="0.25">
      <c r="A30" s="7">
        <v>8</v>
      </c>
      <c r="B30" s="30" t="s">
        <v>37</v>
      </c>
      <c r="C30" s="78">
        <v>450</v>
      </c>
      <c r="D30" s="79">
        <f t="shared" si="31"/>
        <v>0.11233200597312093</v>
      </c>
      <c r="E30" s="80">
        <f t="shared" si="21"/>
        <v>0.24962667994026871</v>
      </c>
      <c r="F30" s="33">
        <f t="shared" si="22"/>
        <v>0.10727583997013437</v>
      </c>
      <c r="G30" s="34">
        <f t="shared" si="23"/>
        <v>0.11738817197610749</v>
      </c>
      <c r="H30" s="34">
        <f t="shared" si="24"/>
        <v>0.23389687406669979</v>
      </c>
      <c r="I30" s="35">
        <f t="shared" si="25"/>
        <v>0.26535648581383764</v>
      </c>
      <c r="J30" s="82">
        <f t="shared" si="26"/>
        <v>-8.645889981166647</v>
      </c>
      <c r="K30" s="83">
        <f t="shared" si="27"/>
        <v>45.729346350349431</v>
      </c>
      <c r="L30" s="83">
        <f t="shared" si="28"/>
        <v>-51.880037706840824</v>
      </c>
      <c r="M30" s="83">
        <f t="shared" si="29"/>
        <v>7.6208675808970838</v>
      </c>
      <c r="N30" s="84">
        <f t="shared" si="30"/>
        <v>35.055457728952305</v>
      </c>
      <c r="O30" s="38">
        <f t="shared" si="32"/>
        <v>7.7901017175449561E-2</v>
      </c>
    </row>
    <row r="31" spans="1:15" x14ac:dyDescent="0.25">
      <c r="A31" s="7">
        <v>7</v>
      </c>
      <c r="B31" s="30" t="s">
        <v>38</v>
      </c>
      <c r="C31" s="78">
        <v>400</v>
      </c>
      <c r="D31" s="79">
        <f t="shared" si="31"/>
        <v>9.9900398406374477E-2</v>
      </c>
      <c r="E31" s="80">
        <f t="shared" si="21"/>
        <v>0.2497509960159362</v>
      </c>
      <c r="F31" s="33">
        <f t="shared" si="22"/>
        <v>9.4850448207171284E-2</v>
      </c>
      <c r="G31" s="34">
        <f t="shared" si="23"/>
        <v>0.10495034860557767</v>
      </c>
      <c r="H31" s="34">
        <f t="shared" si="24"/>
        <v>0.23402112549800791</v>
      </c>
      <c r="I31" s="35">
        <f t="shared" si="25"/>
        <v>0.26548086653386449</v>
      </c>
      <c r="J31" s="82">
        <f t="shared" si="26"/>
        <v>-5.3072046607975949</v>
      </c>
      <c r="K31" s="83">
        <f t="shared" si="27"/>
        <v>42.722093514516018</v>
      </c>
      <c r="L31" s="83">
        <f t="shared" si="28"/>
        <v>-48.465275868742253</v>
      </c>
      <c r="M31" s="83">
        <f t="shared" si="29"/>
        <v>4.6782957438090875</v>
      </c>
      <c r="N31" s="84">
        <f t="shared" si="30"/>
        <v>32.496588712026671</v>
      </c>
      <c r="O31" s="38">
        <f t="shared" si="32"/>
        <v>8.1241471780066674E-2</v>
      </c>
    </row>
    <row r="32" spans="1:15" x14ac:dyDescent="0.25">
      <c r="A32" s="7">
        <v>6</v>
      </c>
      <c r="B32" s="30" t="s">
        <v>39</v>
      </c>
      <c r="C32" s="14">
        <v>350</v>
      </c>
      <c r="D32" s="79">
        <f t="shared" si="31"/>
        <v>8.7456402590931709E-2</v>
      </c>
      <c r="E32" s="80">
        <f t="shared" si="21"/>
        <v>0.24987543597409059</v>
      </c>
      <c r="F32" s="33">
        <f t="shared" si="22"/>
        <v>8.2412674389636245E-2</v>
      </c>
      <c r="G32" s="34">
        <f t="shared" si="23"/>
        <v>9.2500130792227173E-2</v>
      </c>
      <c r="H32" s="34">
        <f t="shared" si="24"/>
        <v>0.23414550074738408</v>
      </c>
      <c r="I32" s="35">
        <f t="shared" si="25"/>
        <v>0.26560537120079714</v>
      </c>
      <c r="J32" s="82">
        <f>C32-(F32/(H32/1000))</f>
        <v>-1.9720606485195731</v>
      </c>
      <c r="K32" s="83">
        <f>C32-(F32/(I32/1000))</f>
        <v>39.717591112521461</v>
      </c>
      <c r="L32" s="83">
        <f>C32-(G32/(H32/1000))</f>
        <v>-45.054060389672486</v>
      </c>
      <c r="M32" s="83">
        <f>C32-(G32/(I32/1000))</f>
        <v>1.7384781262678075</v>
      </c>
      <c r="N32" s="84">
        <f>SQRT((J32^2+K32^2+L32^2+M32^2)/4)</f>
        <v>30.059385933409594</v>
      </c>
      <c r="O32" s="38">
        <f t="shared" si="32"/>
        <v>8.58839598097417E-2</v>
      </c>
    </row>
    <row r="33" spans="1:15" x14ac:dyDescent="0.25">
      <c r="A33" s="7">
        <v>5</v>
      </c>
      <c r="B33" s="30" t="s">
        <v>40</v>
      </c>
      <c r="C33" s="14">
        <v>300</v>
      </c>
      <c r="D33" s="79">
        <f t="shared" si="31"/>
        <v>7.4999999999999969E-2</v>
      </c>
      <c r="E33" s="80">
        <f t="shared" si="21"/>
        <v>0.24999999999999989</v>
      </c>
      <c r="F33" s="33">
        <f t="shared" si="22"/>
        <v>6.9962499999999969E-2</v>
      </c>
      <c r="G33" s="34">
        <f t="shared" si="23"/>
        <v>8.003749999999997E-2</v>
      </c>
      <c r="H33" s="34">
        <f t="shared" si="24"/>
        <v>0.23426999999999989</v>
      </c>
      <c r="I33" s="35">
        <f t="shared" si="25"/>
        <v>0.26572999999999991</v>
      </c>
      <c r="J33" s="82">
        <f t="shared" ref="J33:J38" si="33">C33-(F33/(H33/1000))</f>
        <v>1.3595424083322314</v>
      </c>
      <c r="K33" s="83">
        <f t="shared" ref="K33:K38" si="34">C33-(F33/(I33/1000))</f>
        <v>36.715839385842855</v>
      </c>
      <c r="L33" s="83">
        <f t="shared" ref="L33:L38" si="35">C33-(G33/(H33/1000))</f>
        <v>-41.646390916463929</v>
      </c>
      <c r="M33" s="83">
        <f t="shared" ref="M33:M38" si="36">C33-(G33/(I33/1000))</f>
        <v>-1.198585029917524</v>
      </c>
      <c r="N33" s="84">
        <f t="shared" ref="N33:N38" si="37">SQRT((J33^2+K33^2+L33^2+M33^2)/4)</f>
        <v>27.774807379205779</v>
      </c>
      <c r="O33" s="38">
        <f t="shared" si="32"/>
        <v>9.258269126401926E-2</v>
      </c>
    </row>
    <row r="34" spans="1:15" x14ac:dyDescent="0.25">
      <c r="A34" s="7">
        <v>4</v>
      </c>
      <c r="B34" s="30" t="s">
        <v>41</v>
      </c>
      <c r="C34" s="14">
        <v>250</v>
      </c>
      <c r="D34" s="79">
        <f t="shared" si="31"/>
        <v>6.2531172069825419E-2</v>
      </c>
      <c r="E34" s="80">
        <f t="shared" si="21"/>
        <v>0.25012468827930168</v>
      </c>
      <c r="F34" s="33">
        <f t="shared" si="22"/>
        <v>5.7499906483790504E-2</v>
      </c>
      <c r="G34" s="34">
        <f t="shared" si="23"/>
        <v>6.7562437655860327E-2</v>
      </c>
      <c r="H34" s="34">
        <f t="shared" si="24"/>
        <v>0.23439462344139644</v>
      </c>
      <c r="I34" s="35">
        <f t="shared" si="25"/>
        <v>0.26585475311720691</v>
      </c>
      <c r="J34" s="82">
        <f t="shared" si="33"/>
        <v>4.6876048623756787</v>
      </c>
      <c r="K34" s="83">
        <f t="shared" si="34"/>
        <v>33.716838575985065</v>
      </c>
      <c r="L34" s="83">
        <f t="shared" si="35"/>
        <v>-38.242267095995658</v>
      </c>
      <c r="M34" s="83">
        <f t="shared" si="36"/>
        <v>-4.1328934829093953</v>
      </c>
      <c r="N34" s="84">
        <f t="shared" si="37"/>
        <v>25.682438767022056</v>
      </c>
      <c r="O34" s="38">
        <f t="shared" si="32"/>
        <v>0.10272975506808822</v>
      </c>
    </row>
    <row r="35" spans="1:15" x14ac:dyDescent="0.25">
      <c r="A35" s="7">
        <v>3</v>
      </c>
      <c r="B35" s="30" t="s">
        <v>42</v>
      </c>
      <c r="C35" s="14">
        <v>200</v>
      </c>
      <c r="D35" s="79">
        <f t="shared" si="31"/>
        <v>5.0049900199600782E-2</v>
      </c>
      <c r="E35" s="80">
        <f t="shared" si="21"/>
        <v>0.25024950099800392</v>
      </c>
      <c r="F35" s="33">
        <f t="shared" si="22"/>
        <v>4.5024875249500981E-2</v>
      </c>
      <c r="G35" s="34">
        <f t="shared" si="23"/>
        <v>5.5074925149700582E-2</v>
      </c>
      <c r="H35" s="34">
        <f t="shared" si="24"/>
        <v>0.23451937125748495</v>
      </c>
      <c r="I35" s="35">
        <f t="shared" si="25"/>
        <v>0.26597963073852288</v>
      </c>
      <c r="J35" s="82">
        <f t="shared" si="33"/>
        <v>8.0121270661816766</v>
      </c>
      <c r="K35" s="83">
        <f t="shared" si="34"/>
        <v>30.720588924481689</v>
      </c>
      <c r="L35" s="83">
        <f t="shared" si="35"/>
        <v>-34.841688575194013</v>
      </c>
      <c r="M35" s="83">
        <f t="shared" si="36"/>
        <v>-7.0644469908419296</v>
      </c>
      <c r="N35" s="84">
        <f t="shared" si="37"/>
        <v>23.831693383228398</v>
      </c>
      <c r="O35" s="38">
        <f t="shared" si="32"/>
        <v>0.11915846691614199</v>
      </c>
    </row>
    <row r="36" spans="1:15" x14ac:dyDescent="0.25">
      <c r="A36" s="7">
        <v>2</v>
      </c>
      <c r="B36" s="30" t="s">
        <v>43</v>
      </c>
      <c r="C36" s="14">
        <v>150</v>
      </c>
      <c r="D36" s="79">
        <f t="shared" si="31"/>
        <v>3.7556165751372932E-2</v>
      </c>
      <c r="E36" s="80">
        <f t="shared" si="21"/>
        <v>0.25037443834248618</v>
      </c>
      <c r="F36" s="33">
        <f t="shared" si="22"/>
        <v>3.2537387668497245E-2</v>
      </c>
      <c r="G36" s="34">
        <f t="shared" si="23"/>
        <v>4.2574943834248619E-2</v>
      </c>
      <c r="H36" s="34">
        <f t="shared" si="24"/>
        <v>0.23464424363454808</v>
      </c>
      <c r="I36" s="35">
        <f t="shared" si="25"/>
        <v>0.26610463305042426</v>
      </c>
      <c r="J36" s="82">
        <f t="shared" si="33"/>
        <v>11.333109372274549</v>
      </c>
      <c r="K36" s="83">
        <f t="shared" si="34"/>
        <v>27.727090672894363</v>
      </c>
      <c r="L36" s="83">
        <f t="shared" si="35"/>
        <v>-31.444655001031748</v>
      </c>
      <c r="M36" s="83">
        <f t="shared" si="36"/>
        <v>-9.9932453118209139</v>
      </c>
      <c r="N36" s="84">
        <f t="shared" si="37"/>
        <v>22.281506935253418</v>
      </c>
      <c r="O36" s="38">
        <f t="shared" si="32"/>
        <v>0.14854337956835612</v>
      </c>
    </row>
    <row r="37" spans="1:15" x14ac:dyDescent="0.25">
      <c r="A37" s="7">
        <v>1</v>
      </c>
      <c r="B37" s="30" t="s">
        <v>44</v>
      </c>
      <c r="C37" s="14">
        <v>100</v>
      </c>
      <c r="D37" s="79">
        <f t="shared" si="31"/>
        <v>2.5049950049950042E-2</v>
      </c>
      <c r="E37" s="80">
        <f t="shared" si="21"/>
        <v>0.25049950049950043</v>
      </c>
      <c r="F37" s="33">
        <f t="shared" si="22"/>
        <v>2.0037425074925067E-2</v>
      </c>
      <c r="G37" s="34">
        <f t="shared" si="23"/>
        <v>3.0062475024975017E-2</v>
      </c>
      <c r="H37" s="34">
        <f t="shared" si="24"/>
        <v>0.23476924075924069</v>
      </c>
      <c r="I37" s="35">
        <f t="shared" si="25"/>
        <v>0.26622976023976019</v>
      </c>
      <c r="J37" s="82">
        <f t="shared" si="33"/>
        <v>14.650552133131697</v>
      </c>
      <c r="K37" s="83">
        <f t="shared" si="34"/>
        <v>24.736344062813117</v>
      </c>
      <c r="L37" s="83">
        <f t="shared" si="35"/>
        <v>-28.051166020528768</v>
      </c>
      <c r="M37" s="83">
        <f t="shared" si="36"/>
        <v>-12.919288203923813</v>
      </c>
      <c r="N37" s="84">
        <f t="shared" si="37"/>
        <v>21.096808515784989</v>
      </c>
      <c r="O37" s="38">
        <f t="shared" si="32"/>
        <v>0.2109680851578499</v>
      </c>
    </row>
    <row r="38" spans="1:15" ht="15.75" thickBot="1" x14ac:dyDescent="0.3">
      <c r="A38" s="20">
        <v>0</v>
      </c>
      <c r="B38" s="85" t="s">
        <v>49</v>
      </c>
      <c r="C38" s="86">
        <v>50</v>
      </c>
      <c r="D38" s="87">
        <f t="shared" si="31"/>
        <v>1.2531234382808589E-2</v>
      </c>
      <c r="E38" s="88">
        <f t="shared" si="21"/>
        <v>0.2506246876561718</v>
      </c>
      <c r="F38" s="43">
        <f t="shared" si="22"/>
        <v>7.524968765617185E-3</v>
      </c>
      <c r="G38" s="44">
        <f t="shared" si="23"/>
        <v>1.7537499999999994E-2</v>
      </c>
      <c r="H38" s="44">
        <f t="shared" si="24"/>
        <v>0.23489436281859058</v>
      </c>
      <c r="I38" s="45">
        <f t="shared" si="25"/>
        <v>0.26635501249375299</v>
      </c>
      <c r="J38" s="90">
        <f t="shared" si="33"/>
        <v>17.964455701183709</v>
      </c>
      <c r="K38" s="91">
        <f t="shared" si="34"/>
        <v>21.74834933585613</v>
      </c>
      <c r="L38" s="91">
        <f t="shared" si="35"/>
        <v>-24.661221280751818</v>
      </c>
      <c r="M38" s="91">
        <f t="shared" si="36"/>
        <v>-15.842575425199911</v>
      </c>
      <c r="N38" s="92">
        <f t="shared" si="37"/>
        <v>20.340079883296795</v>
      </c>
      <c r="O38" s="48">
        <f t="shared" si="32"/>
        <v>0.40680159766593588</v>
      </c>
    </row>
    <row r="39" spans="1:15" ht="15.75" thickBo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5" ht="15.75" thickBot="1" x14ac:dyDescent="0.3">
      <c r="A40" s="171" t="s">
        <v>51</v>
      </c>
      <c r="B40" s="172"/>
      <c r="C40" s="172"/>
      <c r="D40" s="172"/>
      <c r="E40" s="173"/>
      <c r="F40" s="186" t="s">
        <v>69</v>
      </c>
      <c r="G40" s="187"/>
      <c r="H40" s="187"/>
      <c r="I40" s="188"/>
      <c r="J40" s="200" t="s">
        <v>21</v>
      </c>
      <c r="K40" s="201"/>
      <c r="L40" s="201"/>
      <c r="M40" s="201"/>
      <c r="N40" s="201"/>
      <c r="O40" s="202"/>
    </row>
    <row r="41" spans="1:15" ht="33" x14ac:dyDescent="0.35">
      <c r="A41" s="1" t="s">
        <v>22</v>
      </c>
      <c r="B41" s="2" t="s">
        <v>23</v>
      </c>
      <c r="C41" s="2" t="s">
        <v>24</v>
      </c>
      <c r="D41" s="121" t="s">
        <v>25</v>
      </c>
      <c r="E41" s="122" t="s">
        <v>26</v>
      </c>
      <c r="F41" s="75" t="s">
        <v>27</v>
      </c>
      <c r="G41" s="76" t="s">
        <v>28</v>
      </c>
      <c r="H41" s="76" t="s">
        <v>29</v>
      </c>
      <c r="I41" s="96" t="s">
        <v>30</v>
      </c>
      <c r="J41" s="75" t="s">
        <v>31</v>
      </c>
      <c r="K41" s="76" t="s">
        <v>32</v>
      </c>
      <c r="L41" s="76" t="s">
        <v>33</v>
      </c>
      <c r="M41" s="76" t="s">
        <v>34</v>
      </c>
      <c r="N41" s="28" t="s">
        <v>35</v>
      </c>
      <c r="O41" s="29" t="s">
        <v>36</v>
      </c>
    </row>
    <row r="42" spans="1:15" x14ac:dyDescent="0.25">
      <c r="A42" s="7">
        <v>10</v>
      </c>
      <c r="B42" s="30" t="s">
        <v>52</v>
      </c>
      <c r="C42" s="78">
        <v>550</v>
      </c>
      <c r="D42" s="79">
        <f>C42*(E42/1000)</f>
        <v>0.13715846994535516</v>
      </c>
      <c r="E42" s="80">
        <f t="shared" ref="E42:E52" si="38">(B$4+J$9)/(B$7+J$8+C42)*1000</f>
        <v>0.24937903626428209</v>
      </c>
      <c r="F42" s="33">
        <f t="shared" ref="F42:F52" si="39">D42-((D42*I$6)+((H$6/1000)*J$6))</f>
        <v>0.13715366339890708</v>
      </c>
      <c r="G42" s="34">
        <f t="shared" ref="G42:G52" si="40">D42+((D42*I$6)+((H$6/1000)*J$6))</f>
        <v>0.13716327649180324</v>
      </c>
      <c r="H42" s="34">
        <f t="shared" ref="H42:H52" si="41">((E42/1000*J$8)-((E42/1000*J$8*I$7)+(H$7/1000*J$7)))/J$8*1000</f>
        <v>0.24936306110283152</v>
      </c>
      <c r="I42" s="35">
        <f t="shared" ref="I42:I52" si="42">((E42/1000*J$8)+((E42/1000*J$8*I$7)+(H$7/1000*J$7)))/J$8*1000</f>
        <v>0.24939501142573267</v>
      </c>
      <c r="J42" s="82">
        <f t="shared" ref="J42:J45" si="43">C42-(F42/(H42/1000))</f>
        <v>-1.5959831148052217E-2</v>
      </c>
      <c r="K42" s="83">
        <f t="shared" ref="K42:K45" si="44">C42-(F42/(I42/1000))</f>
        <v>5.4503436809682171E-2</v>
      </c>
      <c r="L42" s="83">
        <f t="shared" ref="L42:L45" si="45">C42-(G42/(H42/1000))</f>
        <v>-5.451042021138619E-2</v>
      </c>
      <c r="M42" s="83">
        <f t="shared" ref="M42:M45" si="46">C42-(G42/(I42/1000))</f>
        <v>1.5957786513013161E-2</v>
      </c>
      <c r="N42" s="84">
        <f t="shared" ref="N42:N45" si="47">SQRT((J42^2+K42^2+L42^2+M42^2)/4)</f>
        <v>4.0160234362980753E-2</v>
      </c>
      <c r="O42" s="38">
        <f>N42/C42</f>
        <v>7.3018607932692276E-5</v>
      </c>
    </row>
    <row r="43" spans="1:15" x14ac:dyDescent="0.25">
      <c r="A43" s="7">
        <v>9</v>
      </c>
      <c r="B43" s="30" t="s">
        <v>53</v>
      </c>
      <c r="C43" s="78">
        <v>500</v>
      </c>
      <c r="D43" s="79">
        <f t="shared" ref="D43:D52" si="48">C43*(E43/1000)</f>
        <v>0.1247514910536779</v>
      </c>
      <c r="E43" s="80">
        <f t="shared" si="38"/>
        <v>0.2495029821073558</v>
      </c>
      <c r="F43" s="33">
        <f t="shared" si="39"/>
        <v>0.12474711875149103</v>
      </c>
      <c r="G43" s="34">
        <f t="shared" si="40"/>
        <v>0.12475586335586478</v>
      </c>
      <c r="H43" s="34">
        <f t="shared" si="41"/>
        <v>0.2494870019880715</v>
      </c>
      <c r="I43" s="35">
        <f t="shared" si="42"/>
        <v>0.24951896222664011</v>
      </c>
      <c r="J43" s="82">
        <f t="shared" si="43"/>
        <v>-1.4500785317295595E-2</v>
      </c>
      <c r="K43" s="83">
        <f t="shared" si="44"/>
        <v>4.9544778956715163E-2</v>
      </c>
      <c r="L43" s="83">
        <f t="shared" si="45"/>
        <v>-4.9551125832294929E-2</v>
      </c>
      <c r="M43" s="83">
        <f t="shared" si="46"/>
        <v>1.4498927949205154E-2</v>
      </c>
      <c r="N43" s="84">
        <f t="shared" si="47"/>
        <v>3.6505105395041079E-2</v>
      </c>
      <c r="O43" s="38">
        <f t="shared" ref="O43:O52" si="49">N43/C43</f>
        <v>7.301021079008216E-5</v>
      </c>
    </row>
    <row r="44" spans="1:15" x14ac:dyDescent="0.25">
      <c r="A44" s="7">
        <v>8</v>
      </c>
      <c r="B44" s="30" t="s">
        <v>37</v>
      </c>
      <c r="C44" s="78">
        <v>450</v>
      </c>
      <c r="D44" s="79">
        <f t="shared" si="48"/>
        <v>0.11233217304823467</v>
      </c>
      <c r="E44" s="80">
        <f t="shared" si="38"/>
        <v>0.24962705121829928</v>
      </c>
      <c r="F44" s="33">
        <f t="shared" si="39"/>
        <v>0.11232823542217799</v>
      </c>
      <c r="G44" s="34">
        <f t="shared" si="40"/>
        <v>0.11233611067429136</v>
      </c>
      <c r="H44" s="34">
        <f t="shared" si="41"/>
        <v>0.24961106613625056</v>
      </c>
      <c r="I44" s="35">
        <f t="shared" si="42"/>
        <v>0.24964303630034801</v>
      </c>
      <c r="J44" s="82">
        <f t="shared" si="43"/>
        <v>-1.3042934817065088E-2</v>
      </c>
      <c r="K44" s="83">
        <f t="shared" si="44"/>
        <v>4.4587316127774557E-2</v>
      </c>
      <c r="L44" s="83">
        <f t="shared" si="45"/>
        <v>-4.4593026867403296E-2</v>
      </c>
      <c r="M44" s="83">
        <f t="shared" si="46"/>
        <v>1.3041264493040217E-2</v>
      </c>
      <c r="N44" s="84">
        <f t="shared" si="47"/>
        <v>3.2851025603832747E-2</v>
      </c>
      <c r="O44" s="38">
        <f t="shared" si="49"/>
        <v>7.300227911962832E-5</v>
      </c>
    </row>
    <row r="45" spans="1:15" x14ac:dyDescent="0.25">
      <c r="A45" s="7">
        <v>7</v>
      </c>
      <c r="B45" s="30" t="s">
        <v>38</v>
      </c>
      <c r="C45" s="78">
        <v>400</v>
      </c>
      <c r="D45" s="79">
        <f t="shared" si="48"/>
        <v>9.9900497512437791E-2</v>
      </c>
      <c r="E45" s="80">
        <f t="shared" si="38"/>
        <v>0.24975124378109448</v>
      </c>
      <c r="F45" s="33">
        <f t="shared" si="39"/>
        <v>9.9896994995024857E-2</v>
      </c>
      <c r="G45" s="34">
        <f t="shared" si="40"/>
        <v>9.9904000029850726E-2</v>
      </c>
      <c r="H45" s="34">
        <f t="shared" si="41"/>
        <v>0.24973525373134323</v>
      </c>
      <c r="I45" s="35">
        <f t="shared" si="42"/>
        <v>0.2497672338308457</v>
      </c>
      <c r="J45" s="82">
        <f t="shared" si="43"/>
        <v>-1.1586279647474385E-2</v>
      </c>
      <c r="K45" s="83">
        <f t="shared" si="44"/>
        <v>3.9631048322917195E-2</v>
      </c>
      <c r="L45" s="83">
        <f t="shared" si="45"/>
        <v>-3.9636123316711291E-2</v>
      </c>
      <c r="M45" s="83">
        <f t="shared" si="46"/>
        <v>1.158479614468888E-2</v>
      </c>
      <c r="N45" s="84">
        <f t="shared" si="47"/>
        <v>2.9197994967696071E-2</v>
      </c>
      <c r="O45" s="38">
        <f t="shared" si="49"/>
        <v>7.2994987419240176E-5</v>
      </c>
    </row>
    <row r="46" spans="1:15" x14ac:dyDescent="0.25">
      <c r="A46" s="7">
        <v>6</v>
      </c>
      <c r="B46" s="30" t="s">
        <v>39</v>
      </c>
      <c r="C46" s="14">
        <v>350</v>
      </c>
      <c r="D46" s="79">
        <f t="shared" si="48"/>
        <v>8.7456445993031331E-2</v>
      </c>
      <c r="E46" s="80">
        <f t="shared" si="38"/>
        <v>0.24987555998008953</v>
      </c>
      <c r="F46" s="33">
        <f t="shared" si="39"/>
        <v>8.7453379017421576E-2</v>
      </c>
      <c r="G46" s="34">
        <f t="shared" si="40"/>
        <v>8.7459512968641087E-2</v>
      </c>
      <c r="H46" s="34">
        <f t="shared" si="41"/>
        <v>0.24985956495769029</v>
      </c>
      <c r="I46" s="35">
        <f t="shared" si="42"/>
        <v>0.24989155500248872</v>
      </c>
      <c r="J46" s="82">
        <f>C46-(F46/(H46/1000))</f>
        <v>-1.0130819808352953E-2</v>
      </c>
      <c r="K46" s="83">
        <f>C46-(F46/(I46/1000))</f>
        <v>3.4675975542199922E-2</v>
      </c>
      <c r="L46" s="83">
        <f>C46-(G46/(H46/1000))</f>
        <v>-3.4680415180218915E-2</v>
      </c>
      <c r="M46" s="83">
        <f>C46-(G46/(I46/1000))</f>
        <v>1.0129522904207988E-2</v>
      </c>
      <c r="N46" s="84">
        <f>SQRT((J46^2+K46^2+L46^2+M46^2)/4)</f>
        <v>2.5546013491011647E-2</v>
      </c>
      <c r="O46" s="38">
        <f t="shared" si="49"/>
        <v>7.2988609974318993E-5</v>
      </c>
    </row>
    <row r="47" spans="1:15" x14ac:dyDescent="0.25">
      <c r="A47" s="7">
        <v>5</v>
      </c>
      <c r="B47" s="30" t="s">
        <v>40</v>
      </c>
      <c r="C47" s="14">
        <v>300</v>
      </c>
      <c r="D47" s="79">
        <f t="shared" si="48"/>
        <v>7.4999999999999983E-2</v>
      </c>
      <c r="E47" s="80">
        <f t="shared" si="38"/>
        <v>0.24999999999999994</v>
      </c>
      <c r="F47" s="33">
        <f t="shared" si="39"/>
        <v>7.499736899999998E-2</v>
      </c>
      <c r="G47" s="34">
        <f t="shared" si="40"/>
        <v>7.5002630999999986E-2</v>
      </c>
      <c r="H47" s="34">
        <f t="shared" si="41"/>
        <v>0.24998399999999993</v>
      </c>
      <c r="I47" s="35">
        <f t="shared" si="42"/>
        <v>0.2500159999999999</v>
      </c>
      <c r="J47" s="82">
        <f t="shared" ref="J47:J52" si="50">C47-(F47/(H47/1000))</f>
        <v>-8.6765552995871076E-3</v>
      </c>
      <c r="K47" s="83">
        <f t="shared" ref="K47:K52" si="51">C47-(F47/(I47/1000))</f>
        <v>2.9722097785736423E-2</v>
      </c>
      <c r="L47" s="83">
        <f t="shared" ref="L47:L52" si="52">C47-(G47/(H47/1000))</f>
        <v>-2.9725902457812481E-2</v>
      </c>
      <c r="M47" s="83">
        <f t="shared" ref="M47:M52" si="53">C47-(G47/(I47/1000))</f>
        <v>8.6754447714838534E-3</v>
      </c>
      <c r="N47" s="84">
        <f t="shared" ref="N47:N52" si="54">SQRT((J47^2+K47^2+L47^2+M47^2)/4)</f>
        <v>2.1895081225963287E-2</v>
      </c>
      <c r="O47" s="38">
        <f t="shared" si="49"/>
        <v>7.2983604086544285E-5</v>
      </c>
    </row>
    <row r="48" spans="1:15" x14ac:dyDescent="0.25">
      <c r="A48" s="7">
        <v>4</v>
      </c>
      <c r="B48" s="30" t="s">
        <v>41</v>
      </c>
      <c r="C48" s="14">
        <v>250</v>
      </c>
      <c r="D48" s="79">
        <f t="shared" si="48"/>
        <v>6.2531141006477317E-2</v>
      </c>
      <c r="E48" s="80">
        <f t="shared" si="38"/>
        <v>0.25012456402590927</v>
      </c>
      <c r="F48" s="33">
        <f t="shared" si="39"/>
        <v>6.2528946416542094E-2</v>
      </c>
      <c r="G48" s="34">
        <f t="shared" si="40"/>
        <v>6.253333559641254E-2</v>
      </c>
      <c r="H48" s="34">
        <f t="shared" si="41"/>
        <v>0.25010855904334822</v>
      </c>
      <c r="I48" s="35">
        <f t="shared" si="42"/>
        <v>0.25014056900847026</v>
      </c>
      <c r="J48" s="82">
        <f t="shared" si="50"/>
        <v>-7.2234861212052692E-3</v>
      </c>
      <c r="K48" s="83">
        <f t="shared" si="51"/>
        <v>2.4769415053441435E-2</v>
      </c>
      <c r="L48" s="83">
        <f t="shared" si="52"/>
        <v>-2.4772585149378301E-2</v>
      </c>
      <c r="M48" s="83">
        <f t="shared" si="53"/>
        <v>7.2225617467438497E-3</v>
      </c>
      <c r="N48" s="84">
        <f t="shared" si="54"/>
        <v>1.8245198320391193E-2</v>
      </c>
      <c r="O48" s="38">
        <f t="shared" si="49"/>
        <v>7.2980793281564768E-5</v>
      </c>
    </row>
    <row r="49" spans="1:15" x14ac:dyDescent="0.25">
      <c r="A49" s="7">
        <v>3</v>
      </c>
      <c r="B49" s="30" t="s">
        <v>42</v>
      </c>
      <c r="C49" s="14">
        <v>200</v>
      </c>
      <c r="D49" s="79">
        <f t="shared" si="48"/>
        <v>5.0049850448654024E-2</v>
      </c>
      <c r="E49" s="80">
        <f t="shared" si="38"/>
        <v>0.2502492522432701</v>
      </c>
      <c r="F49" s="33">
        <f t="shared" si="39"/>
        <v>5.0048092703888318E-2</v>
      </c>
      <c r="G49" s="34">
        <f t="shared" si="40"/>
        <v>5.0051608193419729E-2</v>
      </c>
      <c r="H49" s="34">
        <f t="shared" si="41"/>
        <v>0.25023324227318039</v>
      </c>
      <c r="I49" s="35">
        <f t="shared" si="42"/>
        <v>0.25026526221335987</v>
      </c>
      <c r="J49" s="82">
        <f t="shared" si="50"/>
        <v>-5.7716122730937514E-3</v>
      </c>
      <c r="K49" s="83">
        <f t="shared" si="51"/>
        <v>1.981792734554233E-2</v>
      </c>
      <c r="L49" s="83">
        <f t="shared" si="52"/>
        <v>-1.982046325497322E-2</v>
      </c>
      <c r="M49" s="83">
        <f t="shared" si="53"/>
        <v>5.7708738299027118E-3</v>
      </c>
      <c r="N49" s="84">
        <f t="shared" si="54"/>
        <v>1.4596365137479609E-2</v>
      </c>
      <c r="O49" s="38">
        <f t="shared" si="49"/>
        <v>7.298182568739805E-5</v>
      </c>
    </row>
    <row r="50" spans="1:15" x14ac:dyDescent="0.25">
      <c r="A50" s="7">
        <v>2</v>
      </c>
      <c r="B50" s="30" t="s">
        <v>43</v>
      </c>
      <c r="C50" s="14">
        <v>150</v>
      </c>
      <c r="D50" s="79">
        <f t="shared" si="48"/>
        <v>3.7556109725685773E-2</v>
      </c>
      <c r="E50" s="80">
        <f t="shared" si="38"/>
        <v>0.25037406483790514</v>
      </c>
      <c r="F50" s="33">
        <f t="shared" si="39"/>
        <v>3.7554789261845377E-2</v>
      </c>
      <c r="G50" s="34">
        <f t="shared" si="40"/>
        <v>3.7557430189526168E-2</v>
      </c>
      <c r="H50" s="34">
        <f t="shared" si="41"/>
        <v>0.25035804987531168</v>
      </c>
      <c r="I50" s="35">
        <f t="shared" si="42"/>
        <v>0.25039007980049865</v>
      </c>
      <c r="J50" s="82">
        <f t="shared" si="50"/>
        <v>-4.3209337553378191E-3</v>
      </c>
      <c r="K50" s="83">
        <f t="shared" si="51"/>
        <v>1.4867634661811735E-2</v>
      </c>
      <c r="L50" s="83">
        <f t="shared" si="52"/>
        <v>-1.4869536774511971E-2</v>
      </c>
      <c r="M50" s="83">
        <f t="shared" si="53"/>
        <v>4.320381021045705E-3</v>
      </c>
      <c r="N50" s="84">
        <f t="shared" si="54"/>
        <v>1.0948582613867186E-2</v>
      </c>
      <c r="O50" s="38">
        <f t="shared" si="49"/>
        <v>7.2990550759114575E-5</v>
      </c>
    </row>
    <row r="51" spans="1:15" x14ac:dyDescent="0.25">
      <c r="A51" s="7">
        <v>1</v>
      </c>
      <c r="B51" s="30" t="s">
        <v>44</v>
      </c>
      <c r="C51" s="14">
        <v>100</v>
      </c>
      <c r="D51" s="79">
        <f t="shared" si="48"/>
        <v>2.5049900199600791E-2</v>
      </c>
      <c r="E51" s="80">
        <f t="shared" si="38"/>
        <v>0.25049900199600789</v>
      </c>
      <c r="F51" s="33">
        <f t="shared" si="39"/>
        <v>2.5049017453093805E-2</v>
      </c>
      <c r="G51" s="34">
        <f t="shared" si="40"/>
        <v>2.5050782946107776E-2</v>
      </c>
      <c r="H51" s="34">
        <f t="shared" si="41"/>
        <v>0.25048298203592806</v>
      </c>
      <c r="I51" s="35">
        <f t="shared" si="42"/>
        <v>0.25051502195608777</v>
      </c>
      <c r="J51" s="82">
        <f t="shared" si="50"/>
        <v>-2.8714505678379965E-3</v>
      </c>
      <c r="K51" s="83">
        <f t="shared" si="51"/>
        <v>9.9185370025622888E-3</v>
      </c>
      <c r="L51" s="83">
        <f t="shared" si="52"/>
        <v>-9.9198057080513991E-3</v>
      </c>
      <c r="M51" s="83">
        <f t="shared" si="53"/>
        <v>2.8710833202012509E-3</v>
      </c>
      <c r="N51" s="84">
        <f t="shared" si="54"/>
        <v>7.301853691901828E-3</v>
      </c>
      <c r="O51" s="38">
        <f t="shared" si="49"/>
        <v>7.3018536919018277E-5</v>
      </c>
    </row>
    <row r="52" spans="1:15" ht="15.75" thickBot="1" x14ac:dyDescent="0.3">
      <c r="A52" s="20">
        <v>0</v>
      </c>
      <c r="B52" s="85" t="s">
        <v>49</v>
      </c>
      <c r="C52" s="86">
        <v>50</v>
      </c>
      <c r="D52" s="87">
        <f t="shared" si="48"/>
        <v>1.2531203195207185E-2</v>
      </c>
      <c r="E52" s="88">
        <f t="shared" si="38"/>
        <v>0.25062406390414371</v>
      </c>
      <c r="F52" s="43">
        <f t="shared" si="39"/>
        <v>1.2530758603095353E-2</v>
      </c>
      <c r="G52" s="44">
        <f t="shared" si="40"/>
        <v>1.2531647787319017E-2</v>
      </c>
      <c r="H52" s="44">
        <f t="shared" si="41"/>
        <v>0.25060803894158751</v>
      </c>
      <c r="I52" s="45">
        <f t="shared" si="42"/>
        <v>0.25064008886669986</v>
      </c>
      <c r="J52" s="90">
        <f t="shared" si="50"/>
        <v>-1.4231627105161238E-3</v>
      </c>
      <c r="K52" s="91">
        <f t="shared" si="51"/>
        <v>4.9706343676874098E-3</v>
      </c>
      <c r="L52" s="91">
        <f t="shared" si="52"/>
        <v>-4.9712700554351841E-3</v>
      </c>
      <c r="M52" s="91">
        <f t="shared" si="53"/>
        <v>1.4229807274190875E-3</v>
      </c>
      <c r="N52" s="92">
        <f t="shared" si="54"/>
        <v>3.6561933152020119E-3</v>
      </c>
      <c r="O52" s="48">
        <f t="shared" si="49"/>
        <v>7.3123866304040233E-5</v>
      </c>
    </row>
  </sheetData>
  <mergeCells count="16">
    <mergeCell ref="A1:B1"/>
    <mergeCell ref="D2:G2"/>
    <mergeCell ref="A8:C8"/>
    <mergeCell ref="D10:H10"/>
    <mergeCell ref="A12:E12"/>
    <mergeCell ref="F12:I12"/>
    <mergeCell ref="H2:K2"/>
    <mergeCell ref="A40:E40"/>
    <mergeCell ref="F40:I40"/>
    <mergeCell ref="J40:O40"/>
    <mergeCell ref="H8:I8"/>
    <mergeCell ref="H9:I9"/>
    <mergeCell ref="A26:E26"/>
    <mergeCell ref="F26:I26"/>
    <mergeCell ref="J26:O26"/>
    <mergeCell ref="J12:O12"/>
  </mergeCells>
  <pageMargins left="0.7" right="0.7" top="0.75" bottom="0.75" header="0.3" footer="0.3"/>
  <pageSetup paperSize="17" scale="70" orientation="landscape" r:id="rId1"/>
  <headerFooter>
    <oddHeader>&amp;L&amp;Z&amp;F&amp;R&amp;D&amp;T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opLeftCell="K1" zoomScaleNormal="100" workbookViewId="0">
      <selection activeCell="M9" sqref="M9"/>
    </sheetView>
  </sheetViews>
  <sheetFormatPr defaultRowHeight="15" x14ac:dyDescent="0.25"/>
  <cols>
    <col min="1" max="1" width="17.7109375" customWidth="1"/>
    <col min="2" max="3" width="10.5703125" bestFit="1" customWidth="1"/>
    <col min="4" max="4" width="14.5703125" bestFit="1" customWidth="1"/>
    <col min="5" max="5" width="10.7109375" bestFit="1" customWidth="1"/>
    <col min="6" max="6" width="11.42578125" bestFit="1" customWidth="1"/>
    <col min="7" max="7" width="10.7109375" bestFit="1" customWidth="1"/>
    <col min="8" max="8" width="10" bestFit="1" customWidth="1"/>
    <col min="9" max="9" width="11" bestFit="1" customWidth="1"/>
    <col min="10" max="15" width="9.140625" customWidth="1"/>
  </cols>
  <sheetData>
    <row r="1" spans="1:15" ht="21.75" thickBot="1" x14ac:dyDescent="0.4">
      <c r="A1" s="195">
        <v>8005465.0499999998</v>
      </c>
      <c r="B1" s="196"/>
    </row>
    <row r="2" spans="1:15" ht="15.75" thickBot="1" x14ac:dyDescent="0.3">
      <c r="A2" s="67" t="s">
        <v>51</v>
      </c>
      <c r="B2" s="68"/>
      <c r="C2" s="69"/>
      <c r="D2" s="197" t="s">
        <v>1</v>
      </c>
      <c r="E2" s="198"/>
      <c r="F2" s="198"/>
      <c r="G2" s="199"/>
      <c r="H2" s="211" t="s">
        <v>66</v>
      </c>
      <c r="I2" s="212"/>
      <c r="J2" s="212"/>
      <c r="K2" s="213"/>
      <c r="L2" s="130"/>
      <c r="M2" s="131"/>
      <c r="N2" s="131"/>
      <c r="O2" s="131"/>
    </row>
    <row r="3" spans="1:15" x14ac:dyDescent="0.25">
      <c r="A3" s="26" t="s">
        <v>2</v>
      </c>
      <c r="B3" s="26" t="s">
        <v>3</v>
      </c>
      <c r="C3" s="70"/>
      <c r="D3" s="1" t="s">
        <v>4</v>
      </c>
      <c r="E3" s="2" t="s">
        <v>5</v>
      </c>
      <c r="F3" s="2" t="s">
        <v>6</v>
      </c>
      <c r="G3" s="5" t="s">
        <v>7</v>
      </c>
      <c r="H3" s="1" t="s">
        <v>4</v>
      </c>
      <c r="I3" s="2" t="s">
        <v>5</v>
      </c>
      <c r="J3" s="2" t="s">
        <v>6</v>
      </c>
      <c r="K3" s="5" t="s">
        <v>7</v>
      </c>
      <c r="L3" s="6"/>
      <c r="M3" s="17"/>
      <c r="N3" s="17"/>
      <c r="O3" s="17"/>
    </row>
    <row r="4" spans="1:15" x14ac:dyDescent="0.25">
      <c r="A4" s="30" t="s">
        <v>8</v>
      </c>
      <c r="B4" s="8">
        <v>25.2</v>
      </c>
      <c r="C4" s="113" t="s">
        <v>9</v>
      </c>
      <c r="D4" s="7">
        <v>60</v>
      </c>
      <c r="E4" s="11">
        <v>5.1000000000000004E-4</v>
      </c>
      <c r="F4" s="11">
        <v>5.1000000000000004E-4</v>
      </c>
      <c r="G4" s="12" t="s">
        <v>9</v>
      </c>
      <c r="H4" s="7">
        <v>100</v>
      </c>
      <c r="I4" s="111">
        <v>4.0000000000000003E-5</v>
      </c>
      <c r="J4" s="111">
        <v>6.0000000000000002E-6</v>
      </c>
      <c r="K4" s="113" t="s">
        <v>9</v>
      </c>
      <c r="L4" s="116"/>
      <c r="M4" s="117"/>
      <c r="N4" s="117"/>
      <c r="O4" s="23"/>
    </row>
    <row r="5" spans="1:15" x14ac:dyDescent="0.25">
      <c r="A5" s="30" t="s">
        <v>10</v>
      </c>
      <c r="B5" s="8">
        <f>B4/B9*1000</f>
        <v>3.8181818181818183</v>
      </c>
      <c r="C5" s="113" t="s">
        <v>11</v>
      </c>
      <c r="D5" s="53">
        <v>10</v>
      </c>
      <c r="E5" s="11">
        <v>5.0000000000000001E-4</v>
      </c>
      <c r="F5" s="11">
        <v>5.0000000000000001E-4</v>
      </c>
      <c r="G5" s="12" t="s">
        <v>9</v>
      </c>
      <c r="H5" s="119">
        <v>10</v>
      </c>
      <c r="I5" s="111">
        <v>3.0000000000000001E-5</v>
      </c>
      <c r="J5" s="111">
        <v>3.9999999999999998E-6</v>
      </c>
      <c r="K5" s="113" t="s">
        <v>9</v>
      </c>
      <c r="L5" s="116"/>
      <c r="M5" s="117"/>
      <c r="N5" s="117"/>
      <c r="O5" s="23"/>
    </row>
    <row r="6" spans="1:15" x14ac:dyDescent="0.25">
      <c r="A6" s="30" t="s">
        <v>12</v>
      </c>
      <c r="B6" s="14">
        <v>600</v>
      </c>
      <c r="C6" s="113" t="s">
        <v>13</v>
      </c>
      <c r="D6" s="7">
        <v>300</v>
      </c>
      <c r="E6" s="11">
        <v>5.1000000000000004E-4</v>
      </c>
      <c r="F6" s="11">
        <v>5.1999999999999995E-4</v>
      </c>
      <c r="G6" s="12" t="s">
        <v>14</v>
      </c>
      <c r="H6" s="156">
        <v>1</v>
      </c>
      <c r="I6" s="111">
        <v>3.4999999999999997E-5</v>
      </c>
      <c r="J6" s="111">
        <v>6.0000000000000002E-6</v>
      </c>
      <c r="K6" s="113" t="s">
        <v>9</v>
      </c>
      <c r="L6" s="116"/>
      <c r="M6" s="117"/>
      <c r="N6" s="117"/>
      <c r="O6" s="23"/>
    </row>
    <row r="7" spans="1:15" ht="18.75" thickBot="1" x14ac:dyDescent="0.4">
      <c r="A7" s="30" t="s">
        <v>15</v>
      </c>
      <c r="B7" s="14">
        <v>6000</v>
      </c>
      <c r="C7" s="113" t="s">
        <v>13</v>
      </c>
      <c r="D7" s="124">
        <v>30</v>
      </c>
      <c r="E7" s="55">
        <v>5.1999999999999995E-4</v>
      </c>
      <c r="F7" s="55">
        <v>5.1999999999999995E-4</v>
      </c>
      <c r="G7" s="56" t="s">
        <v>16</v>
      </c>
      <c r="H7" s="20">
        <v>100</v>
      </c>
      <c r="I7" s="112">
        <v>4.0000000000000003E-5</v>
      </c>
      <c r="J7" s="112">
        <v>6.0000000000000002E-6</v>
      </c>
      <c r="K7" s="114" t="s">
        <v>14</v>
      </c>
      <c r="L7" s="116"/>
      <c r="M7" s="117"/>
      <c r="N7" s="117"/>
      <c r="O7" s="118"/>
    </row>
    <row r="8" spans="1:15" ht="18" x14ac:dyDescent="0.35">
      <c r="A8" s="207"/>
      <c r="B8" s="177"/>
      <c r="C8" s="208"/>
      <c r="D8" s="71"/>
      <c r="E8" s="72"/>
      <c r="F8" s="72"/>
      <c r="G8" s="72"/>
      <c r="H8" s="214" t="s">
        <v>68</v>
      </c>
      <c r="I8" s="215"/>
      <c r="J8" s="126">
        <v>50</v>
      </c>
      <c r="K8" s="30" t="s">
        <v>13</v>
      </c>
      <c r="L8" s="23"/>
      <c r="O8" s="118"/>
    </row>
    <row r="9" spans="1:15" ht="18" x14ac:dyDescent="0.35">
      <c r="A9" s="30" t="s">
        <v>17</v>
      </c>
      <c r="B9" s="14">
        <f>SUM(B6:B7)</f>
        <v>6600</v>
      </c>
      <c r="C9" s="30" t="s">
        <v>13</v>
      </c>
      <c r="D9" s="73"/>
      <c r="E9" s="74"/>
      <c r="F9" s="74"/>
      <c r="G9" s="74"/>
      <c r="H9" s="190" t="s">
        <v>70</v>
      </c>
      <c r="I9" s="191"/>
      <c r="J9" s="161">
        <v>0.2</v>
      </c>
      <c r="K9" s="30" t="s">
        <v>9</v>
      </c>
      <c r="L9" s="23"/>
      <c r="O9" s="118"/>
    </row>
    <row r="10" spans="1:15" x14ac:dyDescent="0.25">
      <c r="A10" s="30" t="s">
        <v>18</v>
      </c>
      <c r="B10" s="57">
        <f>((B5/1000)^2*B6)*1000</f>
        <v>8.7471074380165295</v>
      </c>
      <c r="C10" s="30" t="s">
        <v>19</v>
      </c>
      <c r="D10" s="52"/>
    </row>
    <row r="11" spans="1:15" ht="15.75" thickBot="1" x14ac:dyDescent="0.3"/>
    <row r="12" spans="1:15" ht="15.75" thickBot="1" x14ac:dyDescent="0.3">
      <c r="A12" s="171" t="s">
        <v>51</v>
      </c>
      <c r="B12" s="172"/>
      <c r="C12" s="172"/>
      <c r="D12" s="172"/>
      <c r="E12" s="173"/>
      <c r="F12" s="204" t="s">
        <v>67</v>
      </c>
      <c r="G12" s="205"/>
      <c r="H12" s="205"/>
      <c r="I12" s="206"/>
      <c r="J12" s="200" t="s">
        <v>21</v>
      </c>
      <c r="K12" s="201"/>
      <c r="L12" s="201"/>
      <c r="M12" s="201"/>
      <c r="N12" s="201"/>
      <c r="O12" s="202"/>
    </row>
    <row r="13" spans="1:15" ht="33" x14ac:dyDescent="0.35">
      <c r="A13" s="1" t="s">
        <v>22</v>
      </c>
      <c r="B13" s="2" t="s">
        <v>23</v>
      </c>
      <c r="C13" s="2" t="s">
        <v>24</v>
      </c>
      <c r="D13" s="120" t="s">
        <v>25</v>
      </c>
      <c r="E13" s="125" t="s">
        <v>26</v>
      </c>
      <c r="F13" s="75" t="s">
        <v>27</v>
      </c>
      <c r="G13" s="76" t="s">
        <v>28</v>
      </c>
      <c r="H13" s="76" t="s">
        <v>29</v>
      </c>
      <c r="I13" s="96" t="s">
        <v>30</v>
      </c>
      <c r="J13" s="75" t="s">
        <v>31</v>
      </c>
      <c r="K13" s="76" t="s">
        <v>32</v>
      </c>
      <c r="L13" s="76" t="s">
        <v>33</v>
      </c>
      <c r="M13" s="76" t="s">
        <v>34</v>
      </c>
      <c r="N13" s="28" t="s">
        <v>35</v>
      </c>
      <c r="O13" s="29" t="s">
        <v>36</v>
      </c>
    </row>
    <row r="14" spans="1:15" x14ac:dyDescent="0.25">
      <c r="A14" s="7">
        <v>10</v>
      </c>
      <c r="B14" s="30" t="s">
        <v>52</v>
      </c>
      <c r="C14" s="78">
        <v>550</v>
      </c>
      <c r="D14" s="79">
        <f>C14*(E14/1000)</f>
        <v>2.116030534351145</v>
      </c>
      <c r="E14" s="80">
        <f>B$4/(B$7+C14)*1000</f>
        <v>3.8473282442748094</v>
      </c>
      <c r="F14" s="33">
        <f>D14-((D14*E$5)+((D$5/1000)*F$5))</f>
        <v>2.1149675190839692</v>
      </c>
      <c r="G14" s="34">
        <f>D14+((D14*E$5)+((D$5/1000)*F$5))</f>
        <v>2.1170935496183207</v>
      </c>
      <c r="H14" s="34">
        <f t="shared" ref="H14" si="0">E14-((E14*E$7)+(D$7*F$7))</f>
        <v>3.8297276335877863</v>
      </c>
      <c r="I14" s="35">
        <f t="shared" ref="I14" si="1">E14+((E14*E$7)+(D$7*F$7))</f>
        <v>3.8649288549618324</v>
      </c>
      <c r="J14" s="82">
        <f t="shared" ref="J14:J17" si="2">C14-(F14/(H14/1000))</f>
        <v>-2.25011317648557</v>
      </c>
      <c r="K14" s="83">
        <f t="shared" ref="K14:K17" si="3">C14-(F14/(I14/1000))</f>
        <v>2.7797021751762259</v>
      </c>
      <c r="L14" s="83">
        <f t="shared" ref="L14:L17" si="4">C14-(G14/(H14/1000))</f>
        <v>-2.8052520108260524</v>
      </c>
      <c r="M14" s="83">
        <f t="shared" ref="M14:M17" si="5">C14-(G14/(I14/1000))</f>
        <v>2.2296194662480957</v>
      </c>
      <c r="N14" s="84">
        <f t="shared" ref="N14:N17" si="6">SQRT((J14^2+K14^2+L14^2+M14^2)/4)</f>
        <v>2.5313235321758794</v>
      </c>
      <c r="O14" s="38">
        <f>N14/C14</f>
        <v>4.6024064221379625E-3</v>
      </c>
    </row>
    <row r="15" spans="1:15" x14ac:dyDescent="0.25">
      <c r="A15" s="7">
        <v>9</v>
      </c>
      <c r="B15" s="30" t="s">
        <v>53</v>
      </c>
      <c r="C15" s="78">
        <v>500</v>
      </c>
      <c r="D15" s="79">
        <f t="shared" ref="D15:D24" si="7">C15*(E15/1000)</f>
        <v>1.9384615384615385</v>
      </c>
      <c r="E15" s="80">
        <f t="shared" ref="E15:E24" si="8">B$4/(B$7+C15)*1000</f>
        <v>3.8769230769230769</v>
      </c>
      <c r="F15" s="33">
        <f t="shared" ref="F15:F24" si="9">D15-((D15*E$5)+((D$5/1000)*F$5))</f>
        <v>1.9374873076923076</v>
      </c>
      <c r="G15" s="34">
        <f t="shared" ref="G15:G24" si="10">D15+((D15*E$5)+((D$5/1000)*F$5))</f>
        <v>1.9394357692307693</v>
      </c>
      <c r="H15" s="34">
        <f t="shared" ref="H15:H24" si="11">E15-((E15*E$7)+(D$7*F$7))</f>
        <v>3.8593070769230771</v>
      </c>
      <c r="I15" s="35">
        <f t="shared" ref="I15:I24" si="12">E15+((E15*E$7)+(D$7*F$7))</f>
        <v>3.8945390769230768</v>
      </c>
      <c r="J15" s="82">
        <f t="shared" si="2"/>
        <v>-2.0298382778638029</v>
      </c>
      <c r="K15" s="83">
        <f t="shared" si="3"/>
        <v>2.5117813882507676</v>
      </c>
      <c r="L15" s="83">
        <f t="shared" si="4"/>
        <v>-2.5347116915687025</v>
      </c>
      <c r="M15" s="83">
        <f t="shared" si="5"/>
        <v>2.0114753186551866</v>
      </c>
      <c r="N15" s="84">
        <f t="shared" si="6"/>
        <v>2.2858305653294875</v>
      </c>
      <c r="O15" s="38">
        <f t="shared" ref="O15:O24" si="13">N15/C15</f>
        <v>4.5716611306589753E-3</v>
      </c>
    </row>
    <row r="16" spans="1:15" x14ac:dyDescent="0.25">
      <c r="A16" s="7">
        <v>8</v>
      </c>
      <c r="B16" s="30" t="s">
        <v>37</v>
      </c>
      <c r="C16" s="78">
        <v>450</v>
      </c>
      <c r="D16" s="79">
        <f t="shared" si="7"/>
        <v>1.758139534883721</v>
      </c>
      <c r="E16" s="80">
        <f t="shared" si="8"/>
        <v>3.9069767441860463</v>
      </c>
      <c r="F16" s="33">
        <f t="shared" si="9"/>
        <v>1.7572554651162791</v>
      </c>
      <c r="G16" s="34">
        <f t="shared" si="10"/>
        <v>1.7590236046511629</v>
      </c>
      <c r="H16" s="34">
        <f t="shared" si="11"/>
        <v>3.8893451162790695</v>
      </c>
      <c r="I16" s="35">
        <f t="shared" si="12"/>
        <v>3.9246083720930232</v>
      </c>
      <c r="J16" s="82">
        <f t="shared" si="2"/>
        <v>-1.8126863469094019</v>
      </c>
      <c r="K16" s="83">
        <f t="shared" si="3"/>
        <v>2.2469254227469833</v>
      </c>
      <c r="L16" s="83">
        <f t="shared" si="4"/>
        <v>-2.2672974657538703</v>
      </c>
      <c r="M16" s="83">
        <f t="shared" si="5"/>
        <v>1.7963990600513853</v>
      </c>
      <c r="N16" s="84">
        <f t="shared" si="6"/>
        <v>2.0434158307125037</v>
      </c>
      <c r="O16" s="38">
        <f t="shared" si="13"/>
        <v>4.5409240682500081E-3</v>
      </c>
    </row>
    <row r="17" spans="1:15" x14ac:dyDescent="0.25">
      <c r="A17" s="7">
        <v>7</v>
      </c>
      <c r="B17" s="30" t="s">
        <v>38</v>
      </c>
      <c r="C17" s="78">
        <v>400</v>
      </c>
      <c r="D17" s="79">
        <f t="shared" si="7"/>
        <v>1.575</v>
      </c>
      <c r="E17" s="80">
        <f t="shared" si="8"/>
        <v>3.9375</v>
      </c>
      <c r="F17" s="33">
        <f t="shared" si="9"/>
        <v>1.5742075</v>
      </c>
      <c r="G17" s="34">
        <f t="shared" si="10"/>
        <v>1.5757924999999999</v>
      </c>
      <c r="H17" s="34">
        <f t="shared" si="11"/>
        <v>3.9198525000000002</v>
      </c>
      <c r="I17" s="35">
        <f t="shared" si="12"/>
        <v>3.9551474999999998</v>
      </c>
      <c r="J17" s="82">
        <f t="shared" si="2"/>
        <v>-1.5986570923267891</v>
      </c>
      <c r="K17" s="83">
        <f t="shared" si="3"/>
        <v>1.9851345619853191</v>
      </c>
      <c r="L17" s="83">
        <f t="shared" si="4"/>
        <v>-2.0030090417942574</v>
      </c>
      <c r="M17" s="83">
        <f t="shared" si="5"/>
        <v>1.5843909740407867</v>
      </c>
      <c r="N17" s="84">
        <f t="shared" si="6"/>
        <v>1.8040789691811476</v>
      </c>
      <c r="O17" s="38">
        <f t="shared" si="13"/>
        <v>4.5101974229528694E-3</v>
      </c>
    </row>
    <row r="18" spans="1:15" x14ac:dyDescent="0.25">
      <c r="A18" s="7">
        <v>6</v>
      </c>
      <c r="B18" s="30" t="s">
        <v>39</v>
      </c>
      <c r="C18" s="14">
        <v>350</v>
      </c>
      <c r="D18" s="79">
        <f t="shared" si="7"/>
        <v>1.388976377952756</v>
      </c>
      <c r="E18" s="80">
        <f t="shared" si="8"/>
        <v>3.9685039370078741</v>
      </c>
      <c r="F18" s="33">
        <f t="shared" si="9"/>
        <v>1.3882768897637796</v>
      </c>
      <c r="G18" s="34">
        <f t="shared" si="10"/>
        <v>1.3896758661417323</v>
      </c>
      <c r="H18" s="34">
        <f t="shared" si="11"/>
        <v>3.9508403149606299</v>
      </c>
      <c r="I18" s="35">
        <f t="shared" si="12"/>
        <v>3.9861675590551182</v>
      </c>
      <c r="J18" s="82">
        <f>C18-(F18/(H18/1000))</f>
        <v>-1.3877502228569938</v>
      </c>
      <c r="K18" s="83">
        <f>C18-(F18/(I18/1000))</f>
        <v>1.726409089321578</v>
      </c>
      <c r="L18" s="83">
        <f>C18-(G18/(H18/1000))</f>
        <v>-1.7418461281395139</v>
      </c>
      <c r="M18" s="83">
        <f>C18-(G18/(I18/1000))</f>
        <v>1.3754513442627285</v>
      </c>
      <c r="N18" s="84">
        <f>SQRT((J18^2+K18^2+L18^2+M18^2)/4)</f>
        <v>1.5678196132910636</v>
      </c>
      <c r="O18" s="38">
        <f t="shared" si="13"/>
        <v>4.479484609403039E-3</v>
      </c>
    </row>
    <row r="19" spans="1:15" x14ac:dyDescent="0.25">
      <c r="A19" s="7">
        <v>5</v>
      </c>
      <c r="B19" s="30" t="s">
        <v>40</v>
      </c>
      <c r="C19" s="14">
        <v>300</v>
      </c>
      <c r="D19" s="79">
        <f t="shared" si="7"/>
        <v>1.2</v>
      </c>
      <c r="E19" s="80">
        <f t="shared" si="8"/>
        <v>4</v>
      </c>
      <c r="F19" s="33">
        <f t="shared" si="9"/>
        <v>1.199395</v>
      </c>
      <c r="G19" s="34">
        <f t="shared" si="10"/>
        <v>1.2006049999999999</v>
      </c>
      <c r="H19" s="34">
        <f t="shared" si="11"/>
        <v>3.9823200000000001</v>
      </c>
      <c r="I19" s="35">
        <f t="shared" si="12"/>
        <v>4.0176800000000004</v>
      </c>
      <c r="J19" s="82">
        <f t="shared" ref="J19:J24" si="14">C19-(F19/(H19/1000))</f>
        <v>-1.1799654472769703</v>
      </c>
      <c r="K19" s="83">
        <f t="shared" ref="K19:K24" si="15">C19-(F19/(I19/1000))</f>
        <v>1.4707492881464077</v>
      </c>
      <c r="L19" s="83">
        <f t="shared" ref="L19:L24" si="16">C19-(G19/(H19/1000))</f>
        <v>-1.4838084332750441</v>
      </c>
      <c r="M19" s="83">
        <f t="shared" ref="M19:M24" si="17">C19-(G19/(I19/1000))</f>
        <v>1.1695804543916211</v>
      </c>
      <c r="N19" s="84">
        <f t="shared" ref="N19:N24" si="18">SQRT((J19^2+K19^2+L19^2+M19^2)/4)</f>
        <v>1.3346373881417901</v>
      </c>
      <c r="O19" s="38">
        <f t="shared" si="13"/>
        <v>4.4487912938059671E-3</v>
      </c>
    </row>
    <row r="20" spans="1:15" x14ac:dyDescent="0.25">
      <c r="A20" s="7">
        <v>4</v>
      </c>
      <c r="B20" s="30" t="s">
        <v>41</v>
      </c>
      <c r="C20" s="14">
        <v>250</v>
      </c>
      <c r="D20" s="79">
        <f t="shared" si="7"/>
        <v>1.008</v>
      </c>
      <c r="E20" s="80">
        <f t="shared" si="8"/>
        <v>4.032</v>
      </c>
      <c r="F20" s="33">
        <f t="shared" si="9"/>
        <v>1.0074909999999999</v>
      </c>
      <c r="G20" s="34">
        <f t="shared" si="10"/>
        <v>1.0085090000000001</v>
      </c>
      <c r="H20" s="34">
        <f t="shared" si="11"/>
        <v>4.0143033600000004</v>
      </c>
      <c r="I20" s="35">
        <f t="shared" si="12"/>
        <v>4.0496966399999996</v>
      </c>
      <c r="J20" s="82">
        <f t="shared" si="14"/>
        <v>-0.97530247439988216</v>
      </c>
      <c r="K20" s="83">
        <f t="shared" si="15"/>
        <v>1.2181554418851306</v>
      </c>
      <c r="L20" s="83">
        <f t="shared" si="16"/>
        <v>-1.2288956657226606</v>
      </c>
      <c r="M20" s="83">
        <f t="shared" si="17"/>
        <v>0.96677858813634998</v>
      </c>
      <c r="N20" s="84">
        <f t="shared" si="18"/>
        <v>1.1045319136262821</v>
      </c>
      <c r="O20" s="38">
        <f t="shared" si="13"/>
        <v>4.418127654505128E-3</v>
      </c>
    </row>
    <row r="21" spans="1:15" x14ac:dyDescent="0.25">
      <c r="A21" s="7">
        <v>3</v>
      </c>
      <c r="B21" s="30" t="s">
        <v>42</v>
      </c>
      <c r="C21" s="14">
        <v>200</v>
      </c>
      <c r="D21" s="79">
        <f t="shared" si="7"/>
        <v>0.81290322580645158</v>
      </c>
      <c r="E21" s="80">
        <f t="shared" si="8"/>
        <v>4.064516129032258</v>
      </c>
      <c r="F21" s="33">
        <f t="shared" si="9"/>
        <v>0.81249177419354834</v>
      </c>
      <c r="G21" s="34">
        <f t="shared" si="10"/>
        <v>0.81331467741935481</v>
      </c>
      <c r="H21" s="34">
        <f t="shared" si="11"/>
        <v>4.0468025806451609</v>
      </c>
      <c r="I21" s="35">
        <f t="shared" si="12"/>
        <v>4.0822296774193552</v>
      </c>
      <c r="J21" s="82">
        <f t="shared" si="14"/>
        <v>-0.77376101307541489</v>
      </c>
      <c r="K21" s="83">
        <f t="shared" si="15"/>
        <v>0.96862783399842556</v>
      </c>
      <c r="L21" s="83">
        <f t="shared" si="16"/>
        <v>-0.97710753404044226</v>
      </c>
      <c r="M21" s="83">
        <f t="shared" si="17"/>
        <v>0.76704602924149867</v>
      </c>
      <c r="N21" s="84">
        <f t="shared" si="18"/>
        <v>0.87750281056611412</v>
      </c>
      <c r="O21" s="38">
        <f t="shared" si="13"/>
        <v>4.387514052830571E-3</v>
      </c>
    </row>
    <row r="22" spans="1:15" x14ac:dyDescent="0.25">
      <c r="A22" s="7">
        <v>2</v>
      </c>
      <c r="B22" s="30" t="s">
        <v>43</v>
      </c>
      <c r="C22" s="14">
        <v>150</v>
      </c>
      <c r="D22" s="79">
        <f t="shared" si="7"/>
        <v>0.61463414634146341</v>
      </c>
      <c r="E22" s="80">
        <f t="shared" si="8"/>
        <v>4.0975609756097562</v>
      </c>
      <c r="F22" s="33">
        <f t="shared" si="9"/>
        <v>0.61432182926829271</v>
      </c>
      <c r="G22" s="34">
        <f t="shared" si="10"/>
        <v>0.6149464634146341</v>
      </c>
      <c r="H22" s="34">
        <f t="shared" si="11"/>
        <v>4.079830243902439</v>
      </c>
      <c r="I22" s="35">
        <f t="shared" si="12"/>
        <v>4.1152917073170734</v>
      </c>
      <c r="J22" s="82">
        <f t="shared" si="14"/>
        <v>-0.57534077218900848</v>
      </c>
      <c r="K22" s="83">
        <f t="shared" si="15"/>
        <v>0.72216674798147551</v>
      </c>
      <c r="L22" s="83">
        <f t="shared" si="16"/>
        <v>-0.7284437468225633</v>
      </c>
      <c r="M22" s="83">
        <f t="shared" si="17"/>
        <v>0.57038306148584184</v>
      </c>
      <c r="N22" s="84">
        <f t="shared" si="18"/>
        <v>0.65354971982781096</v>
      </c>
      <c r="O22" s="38">
        <f t="shared" si="13"/>
        <v>4.3569981321854067E-3</v>
      </c>
    </row>
    <row r="23" spans="1:15" x14ac:dyDescent="0.25">
      <c r="A23" s="7">
        <v>1</v>
      </c>
      <c r="B23" s="30" t="s">
        <v>44</v>
      </c>
      <c r="C23" s="14">
        <v>100</v>
      </c>
      <c r="D23" s="79">
        <f t="shared" si="7"/>
        <v>0.41311475409836068</v>
      </c>
      <c r="E23" s="80">
        <f t="shared" si="8"/>
        <v>4.1311475409836067</v>
      </c>
      <c r="F23" s="33">
        <f t="shared" si="9"/>
        <v>0.41290319672131148</v>
      </c>
      <c r="G23" s="34">
        <f t="shared" si="10"/>
        <v>0.41332631147540988</v>
      </c>
      <c r="H23" s="34">
        <f t="shared" si="11"/>
        <v>4.1133993442622954</v>
      </c>
      <c r="I23" s="35">
        <f t="shared" si="12"/>
        <v>4.148895737704918</v>
      </c>
      <c r="J23" s="82">
        <f t="shared" si="14"/>
        <v>-0.38004146066258215</v>
      </c>
      <c r="K23" s="83">
        <f t="shared" si="15"/>
        <v>0.47877246736480572</v>
      </c>
      <c r="L23" s="83">
        <f t="shared" si="16"/>
        <v>-0.48290401269964889</v>
      </c>
      <c r="M23" s="83">
        <f t="shared" si="17"/>
        <v>0.37678996868372394</v>
      </c>
      <c r="N23" s="84">
        <f t="shared" si="18"/>
        <v>0.43267237989939838</v>
      </c>
      <c r="O23" s="38">
        <f t="shared" si="13"/>
        <v>4.326723798993984E-3</v>
      </c>
    </row>
    <row r="24" spans="1:15" ht="15.75" thickBot="1" x14ac:dyDescent="0.3">
      <c r="A24" s="20">
        <v>0</v>
      </c>
      <c r="B24" s="85" t="s">
        <v>49</v>
      </c>
      <c r="C24" s="86">
        <v>50</v>
      </c>
      <c r="D24" s="87">
        <f t="shared" si="7"/>
        <v>0.20826446280991737</v>
      </c>
      <c r="E24" s="88">
        <f t="shared" si="8"/>
        <v>4.1652892561983474</v>
      </c>
      <c r="F24" s="43">
        <f t="shared" si="9"/>
        <v>0.2081553305785124</v>
      </c>
      <c r="G24" s="44">
        <f t="shared" si="10"/>
        <v>0.20837359504132233</v>
      </c>
      <c r="H24" s="44">
        <f t="shared" si="11"/>
        <v>4.147523305785124</v>
      </c>
      <c r="I24" s="45">
        <f t="shared" si="12"/>
        <v>4.1830552066115709</v>
      </c>
      <c r="J24" s="90">
        <f t="shared" si="14"/>
        <v>-0.18786278745423601</v>
      </c>
      <c r="K24" s="91">
        <f t="shared" si="15"/>
        <v>0.23844527571370833</v>
      </c>
      <c r="L24" s="91">
        <f t="shared" si="16"/>
        <v>-0.24048804033840554</v>
      </c>
      <c r="M24" s="91">
        <f t="shared" si="17"/>
        <v>0.18626703468429184</v>
      </c>
      <c r="N24" s="92">
        <f t="shared" si="18"/>
        <v>0.21487117197064129</v>
      </c>
      <c r="O24" s="48">
        <f t="shared" si="13"/>
        <v>4.2974234394128254E-3</v>
      </c>
    </row>
    <row r="25" spans="1:15" ht="15.75" thickBot="1" x14ac:dyDescent="0.3"/>
    <row r="26" spans="1:15" ht="15.75" thickBot="1" x14ac:dyDescent="0.3">
      <c r="A26" s="171" t="s">
        <v>51</v>
      </c>
      <c r="B26" s="172"/>
      <c r="C26" s="172"/>
      <c r="D26" s="172"/>
      <c r="E26" s="173"/>
      <c r="F26" s="186" t="s">
        <v>69</v>
      </c>
      <c r="G26" s="187"/>
      <c r="H26" s="187"/>
      <c r="I26" s="188"/>
      <c r="J26" s="200" t="s">
        <v>21</v>
      </c>
      <c r="K26" s="201"/>
      <c r="L26" s="201"/>
      <c r="M26" s="201"/>
      <c r="N26" s="201"/>
      <c r="O26" s="202"/>
    </row>
    <row r="27" spans="1:15" ht="33" x14ac:dyDescent="0.35">
      <c r="A27" s="1" t="s">
        <v>22</v>
      </c>
      <c r="B27" s="2" t="s">
        <v>23</v>
      </c>
      <c r="C27" s="2" t="s">
        <v>24</v>
      </c>
      <c r="D27" s="121" t="s">
        <v>25</v>
      </c>
      <c r="E27" s="122" t="s">
        <v>26</v>
      </c>
      <c r="F27" s="75" t="s">
        <v>27</v>
      </c>
      <c r="G27" s="76" t="s">
        <v>28</v>
      </c>
      <c r="H27" s="76" t="s">
        <v>29</v>
      </c>
      <c r="I27" s="96" t="s">
        <v>30</v>
      </c>
      <c r="J27" s="75" t="s">
        <v>31</v>
      </c>
      <c r="K27" s="76" t="s">
        <v>32</v>
      </c>
      <c r="L27" s="76" t="s">
        <v>33</v>
      </c>
      <c r="M27" s="76" t="s">
        <v>34</v>
      </c>
      <c r="N27" s="28" t="s">
        <v>35</v>
      </c>
      <c r="O27" s="29" t="s">
        <v>36</v>
      </c>
    </row>
    <row r="28" spans="1:15" x14ac:dyDescent="0.25">
      <c r="A28" s="7">
        <v>10</v>
      </c>
      <c r="B28" s="30" t="s">
        <v>52</v>
      </c>
      <c r="C28" s="78">
        <v>550</v>
      </c>
      <c r="D28" s="79">
        <f>C28*(E28/1000)</f>
        <v>2.1166666666666667</v>
      </c>
      <c r="E28" s="80">
        <f t="shared" ref="E28:E38" si="19">(B$4+J$9)/(B$7+C28+J$8)*1000</f>
        <v>3.8484848484848486</v>
      </c>
      <c r="F28" s="33">
        <f>D28-((D28*I$5)+((H$5/1000)*J$5))</f>
        <v>2.1166031266666665</v>
      </c>
      <c r="G28" s="34">
        <f>D28+((D28*I$5)+((H$5/1000)*J$5))</f>
        <v>2.1167302066666669</v>
      </c>
      <c r="H28" s="34">
        <f>((E28/1000*J$8)-((E28/1000*J$8*I$6)+(H$6*J$6)))/J$8*1000</f>
        <v>3.8482301515151511</v>
      </c>
      <c r="I28" s="35">
        <f>((E28/1000*J$8)+((E28/1000*J$8*I$6)+(H$6*J$6)))/J$8*1000</f>
        <v>3.8487395454545452</v>
      </c>
      <c r="J28" s="82">
        <f t="shared" ref="J28:J31" si="20">C28-(F28/(H28/1000))</f>
        <v>-1.9890528975565758E-2</v>
      </c>
      <c r="K28" s="83">
        <f t="shared" ref="K28:K31" si="21">C28-(F28/(I28/1000))</f>
        <v>5.290649858955021E-2</v>
      </c>
      <c r="L28" s="83">
        <f t="shared" ref="L28:L31" si="22">C28-(G28/(H28/1000))</f>
        <v>-5.2913501873945279E-2</v>
      </c>
      <c r="M28" s="83">
        <f t="shared" ref="M28:M31" si="23">C28-(G28/(I28/1000))</f>
        <v>1.9887896395403004E-2</v>
      </c>
      <c r="N28" s="84">
        <f t="shared" ref="N28:N31" si="24">SQRT((J28^2+K28^2+L28^2+M28^2)/4)</f>
        <v>3.9969043769935854E-2</v>
      </c>
      <c r="O28" s="38">
        <f>N28/C28</f>
        <v>7.2670988672610638E-5</v>
      </c>
    </row>
    <row r="29" spans="1:15" x14ac:dyDescent="0.25">
      <c r="A29" s="7">
        <v>9</v>
      </c>
      <c r="B29" s="30" t="s">
        <v>53</v>
      </c>
      <c r="C29" s="78">
        <v>500</v>
      </c>
      <c r="D29" s="79">
        <f t="shared" ref="D29:D38" si="25">C29*(E29/1000)</f>
        <v>1.9389312977099236</v>
      </c>
      <c r="E29" s="80">
        <f t="shared" si="19"/>
        <v>3.8778625954198471</v>
      </c>
      <c r="F29" s="33">
        <f t="shared" ref="F29:F38" si="26">D29-((D29*I$6)+((H$6/1000)*J$6))</f>
        <v>1.9388634291145037</v>
      </c>
      <c r="G29" s="34">
        <f t="shared" ref="G29:G38" si="27">D29+((D29*I$6)+((H$6/1000)*J$6))</f>
        <v>1.9389991663053434</v>
      </c>
      <c r="H29" s="34">
        <f t="shared" ref="H29:H38" si="28">((E29/1000*J$8)-((E29/1000*J$8*I$6)+(H$6*J$6)))/J$8*1000</f>
        <v>3.8776068702290072</v>
      </c>
      <c r="I29" s="35">
        <f t="shared" ref="I29:I38" si="29">((E29/1000*J$8)+((E29/1000*J$8*I$6)+(H$6*J$6)))/J$8*1000</f>
        <v>3.8781183206106866</v>
      </c>
      <c r="J29" s="82">
        <f t="shared" si="20"/>
        <v>-1.5471913994360875E-2</v>
      </c>
      <c r="K29" s="83">
        <f t="shared" si="21"/>
        <v>5.0470659907261961E-2</v>
      </c>
      <c r="L29" s="83">
        <f t="shared" si="22"/>
        <v>-5.0477316909677938E-2</v>
      </c>
      <c r="M29" s="83">
        <f t="shared" si="23"/>
        <v>1.5469873541803736E-2</v>
      </c>
      <c r="N29" s="84">
        <f t="shared" si="24"/>
        <v>3.7329425872637184E-2</v>
      </c>
      <c r="O29" s="38">
        <f t="shared" ref="O29:O38" si="30">N29/C29</f>
        <v>7.465885174527437E-5</v>
      </c>
    </row>
    <row r="30" spans="1:15" x14ac:dyDescent="0.25">
      <c r="A30" s="7">
        <v>8</v>
      </c>
      <c r="B30" s="30" t="s">
        <v>37</v>
      </c>
      <c r="C30" s="78">
        <v>450</v>
      </c>
      <c r="D30" s="79">
        <f t="shared" si="25"/>
        <v>1.7584615384615383</v>
      </c>
      <c r="E30" s="80">
        <f t="shared" si="19"/>
        <v>3.9076923076923071</v>
      </c>
      <c r="F30" s="33">
        <f t="shared" si="26"/>
        <v>1.7583999863076922</v>
      </c>
      <c r="G30" s="34">
        <f t="shared" si="27"/>
        <v>1.7585230906153844</v>
      </c>
      <c r="H30" s="34">
        <f t="shared" si="28"/>
        <v>3.9074355384615385</v>
      </c>
      <c r="I30" s="35">
        <f t="shared" si="29"/>
        <v>3.9079490769230762</v>
      </c>
      <c r="J30" s="82">
        <f t="shared" si="20"/>
        <v>-1.3818270184742687E-2</v>
      </c>
      <c r="K30" s="83">
        <f t="shared" si="21"/>
        <v>4.5317455321480793E-2</v>
      </c>
      <c r="L30" s="83">
        <f t="shared" si="22"/>
        <v>-4.5323411211484199E-2</v>
      </c>
      <c r="M30" s="83">
        <f t="shared" si="23"/>
        <v>1.3816454344009799E-2</v>
      </c>
      <c r="N30" s="84">
        <f t="shared" si="24"/>
        <v>3.3502695272911838E-2</v>
      </c>
      <c r="O30" s="38">
        <f t="shared" si="30"/>
        <v>7.4450433939804087E-5</v>
      </c>
    </row>
    <row r="31" spans="1:15" x14ac:dyDescent="0.25">
      <c r="A31" s="7">
        <v>7</v>
      </c>
      <c r="B31" s="30" t="s">
        <v>38</v>
      </c>
      <c r="C31" s="78">
        <v>400</v>
      </c>
      <c r="D31" s="79">
        <f t="shared" si="25"/>
        <v>1.5751937984496125</v>
      </c>
      <c r="E31" s="80">
        <f t="shared" si="19"/>
        <v>3.9379844961240309</v>
      </c>
      <c r="F31" s="33">
        <f t="shared" si="26"/>
        <v>1.5751386606666669</v>
      </c>
      <c r="G31" s="34">
        <f t="shared" si="27"/>
        <v>1.5752489362325581</v>
      </c>
      <c r="H31" s="34">
        <f t="shared" si="28"/>
        <v>3.9377266666666673</v>
      </c>
      <c r="I31" s="35">
        <f t="shared" si="29"/>
        <v>3.938242325581395</v>
      </c>
      <c r="J31" s="82">
        <f t="shared" si="20"/>
        <v>-1.2188250750455154E-2</v>
      </c>
      <c r="K31" s="83">
        <f t="shared" si="21"/>
        <v>4.0187868802036064E-2</v>
      </c>
      <c r="L31" s="83">
        <f t="shared" si="22"/>
        <v>-4.01931315423667E-2</v>
      </c>
      <c r="M31" s="83">
        <f t="shared" si="23"/>
        <v>1.2186654865843138E-2</v>
      </c>
      <c r="N31" s="84">
        <f t="shared" si="24"/>
        <v>2.9696888032278757E-2</v>
      </c>
      <c r="O31" s="38">
        <f t="shared" si="30"/>
        <v>7.4242220080696897E-5</v>
      </c>
    </row>
    <row r="32" spans="1:15" x14ac:dyDescent="0.25">
      <c r="A32" s="7">
        <v>6</v>
      </c>
      <c r="B32" s="30" t="s">
        <v>39</v>
      </c>
      <c r="C32" s="14">
        <v>350</v>
      </c>
      <c r="D32" s="79">
        <f t="shared" si="25"/>
        <v>1.3890625000000001</v>
      </c>
      <c r="E32" s="80">
        <f t="shared" si="19"/>
        <v>3.96875</v>
      </c>
      <c r="F32" s="33">
        <f t="shared" si="26"/>
        <v>1.3890138768125</v>
      </c>
      <c r="G32" s="34">
        <f t="shared" si="27"/>
        <v>1.3891111231875002</v>
      </c>
      <c r="H32" s="34">
        <f t="shared" si="28"/>
        <v>3.9684910937499991</v>
      </c>
      <c r="I32" s="35">
        <f t="shared" si="29"/>
        <v>3.96900890625</v>
      </c>
      <c r="J32" s="82">
        <f>C32-(F32/(H32/1000))</f>
        <v>-1.0581855674672624E-2</v>
      </c>
      <c r="K32" s="83">
        <f>C32-(F32/(I32/1000))</f>
        <v>3.508190036581027E-2</v>
      </c>
      <c r="L32" s="83">
        <f>C32-(G32/(H32/1000))</f>
        <v>-3.508647788567032E-2</v>
      </c>
      <c r="M32" s="83">
        <f>C32-(G32/(I32/1000))</f>
        <v>1.0580475124072564E-2</v>
      </c>
      <c r="N32" s="84">
        <f>SQRT((J32^2+K32^2+L32^2+M32^2)/4)</f>
        <v>2.5911979792506163E-2</v>
      </c>
      <c r="O32" s="38">
        <f t="shared" si="30"/>
        <v>7.403422797858904E-5</v>
      </c>
    </row>
    <row r="33" spans="1:15" x14ac:dyDescent="0.25">
      <c r="A33" s="7">
        <v>5</v>
      </c>
      <c r="B33" s="30" t="s">
        <v>40</v>
      </c>
      <c r="C33" s="14">
        <v>300</v>
      </c>
      <c r="D33" s="79">
        <f t="shared" si="25"/>
        <v>1.2</v>
      </c>
      <c r="E33" s="80">
        <f t="shared" si="19"/>
        <v>4</v>
      </c>
      <c r="F33" s="33">
        <f t="shared" si="26"/>
        <v>1.199957994</v>
      </c>
      <c r="G33" s="34">
        <f t="shared" si="27"/>
        <v>1.2000420059999999</v>
      </c>
      <c r="H33" s="34">
        <f t="shared" si="28"/>
        <v>3.9997400000000001</v>
      </c>
      <c r="I33" s="35">
        <f t="shared" si="29"/>
        <v>4.0002599999999999</v>
      </c>
      <c r="J33" s="82">
        <f t="shared" ref="J33:J38" si="31">C33-(F33/(H33/1000))</f>
        <v>-8.9990849405126028E-3</v>
      </c>
      <c r="K33" s="83">
        <f t="shared" ref="K33:K38" si="32">C33-(F33/(I33/1000))</f>
        <v>2.9999550029288002E-2</v>
      </c>
      <c r="L33" s="83">
        <f t="shared" ref="L33:L38" si="33">C33-(G33/(H33/1000))</f>
        <v>-3.0003450224228345E-2</v>
      </c>
      <c r="M33" s="83">
        <f t="shared" ref="M33:M38" si="34">C33-(G33/(I33/1000))</f>
        <v>8.9979151355805698E-3</v>
      </c>
      <c r="N33" s="84">
        <f t="shared" ref="N33:N38" si="35">SQRT((J33^2+K33^2+L33^2+M33^2)/4)</f>
        <v>2.2147945919831775E-2</v>
      </c>
      <c r="O33" s="38">
        <f t="shared" si="30"/>
        <v>7.3826486399439247E-5</v>
      </c>
    </row>
    <row r="34" spans="1:15" x14ac:dyDescent="0.25">
      <c r="A34" s="7">
        <v>4</v>
      </c>
      <c r="B34" s="30" t="s">
        <v>41</v>
      </c>
      <c r="C34" s="14">
        <v>250</v>
      </c>
      <c r="D34" s="79">
        <f t="shared" si="25"/>
        <v>1.0079365079365079</v>
      </c>
      <c r="E34" s="80">
        <f t="shared" si="19"/>
        <v>4.0317460317460316</v>
      </c>
      <c r="F34" s="33">
        <f t="shared" si="26"/>
        <v>1.0079012241587302</v>
      </c>
      <c r="G34" s="34">
        <f t="shared" si="27"/>
        <v>1.0079717917142856</v>
      </c>
      <c r="H34" s="34">
        <f t="shared" si="28"/>
        <v>4.0314849206349201</v>
      </c>
      <c r="I34" s="35">
        <f t="shared" si="29"/>
        <v>4.0320071428571422</v>
      </c>
      <c r="J34" s="82">
        <f t="shared" si="31"/>
        <v>-7.4399385314904976E-3</v>
      </c>
      <c r="K34" s="83">
        <f t="shared" si="32"/>
        <v>2.4940817809209648E-2</v>
      </c>
      <c r="L34" s="83">
        <f t="shared" si="33"/>
        <v>-2.4944048541755137E-2</v>
      </c>
      <c r="M34" s="83">
        <f t="shared" si="34"/>
        <v>7.4389749167949049E-3</v>
      </c>
      <c r="N34" s="84">
        <f t="shared" si="35"/>
        <v>1.8404761502194795E-2</v>
      </c>
      <c r="O34" s="38">
        <f t="shared" si="30"/>
        <v>7.3619046008779185E-5</v>
      </c>
    </row>
    <row r="35" spans="1:15" x14ac:dyDescent="0.25">
      <c r="A35" s="7">
        <v>3</v>
      </c>
      <c r="B35" s="30" t="s">
        <v>42</v>
      </c>
      <c r="C35" s="14">
        <v>200</v>
      </c>
      <c r="D35" s="79">
        <f t="shared" si="25"/>
        <v>0.81279999999999997</v>
      </c>
      <c r="E35" s="80">
        <f t="shared" si="19"/>
        <v>4.0640000000000001</v>
      </c>
      <c r="F35" s="33">
        <f t="shared" si="26"/>
        <v>0.81277154600000001</v>
      </c>
      <c r="G35" s="34">
        <f t="shared" si="27"/>
        <v>0.81282845399999992</v>
      </c>
      <c r="H35" s="34">
        <f t="shared" si="28"/>
        <v>4.0637377600000004</v>
      </c>
      <c r="I35" s="35">
        <f t="shared" si="29"/>
        <v>4.0642622399999997</v>
      </c>
      <c r="J35" s="82">
        <f t="shared" si="31"/>
        <v>-5.90441643066697E-3</v>
      </c>
      <c r="K35" s="83">
        <f t="shared" si="32"/>
        <v>1.9905703722486123E-2</v>
      </c>
      <c r="L35" s="83">
        <f t="shared" si="33"/>
        <v>-1.990827282119767E-2</v>
      </c>
      <c r="M35" s="83">
        <f t="shared" si="34"/>
        <v>5.9036544846549077E-3</v>
      </c>
      <c r="N35" s="84">
        <f t="shared" si="35"/>
        <v>1.468240134541649E-2</v>
      </c>
      <c r="O35" s="38">
        <f t="shared" si="30"/>
        <v>7.3412006727082454E-5</v>
      </c>
    </row>
    <row r="36" spans="1:15" x14ac:dyDescent="0.25">
      <c r="A36" s="7">
        <v>2</v>
      </c>
      <c r="B36" s="30" t="s">
        <v>43</v>
      </c>
      <c r="C36" s="14">
        <v>150</v>
      </c>
      <c r="D36" s="79">
        <f t="shared" si="25"/>
        <v>0.61451612903225794</v>
      </c>
      <c r="E36" s="80">
        <f t="shared" si="19"/>
        <v>4.096774193548387</v>
      </c>
      <c r="F36" s="33">
        <f t="shared" si="26"/>
        <v>0.61449461496774183</v>
      </c>
      <c r="G36" s="34">
        <f t="shared" si="27"/>
        <v>0.61453764309677406</v>
      </c>
      <c r="H36" s="34">
        <f t="shared" si="28"/>
        <v>4.0965108064516125</v>
      </c>
      <c r="I36" s="35">
        <f t="shared" si="29"/>
        <v>4.0970375806451607</v>
      </c>
      <c r="J36" s="82">
        <f t="shared" si="31"/>
        <v>-4.3925186213584766E-3</v>
      </c>
      <c r="K36" s="83">
        <f t="shared" si="32"/>
        <v>1.4894207785772551E-2</v>
      </c>
      <c r="L36" s="83">
        <f t="shared" si="33"/>
        <v>-1.4896123046014509E-2</v>
      </c>
      <c r="M36" s="83">
        <f t="shared" si="34"/>
        <v>4.3919538559009652E-3</v>
      </c>
      <c r="N36" s="84">
        <f t="shared" si="35"/>
        <v>1.0980839971048624E-2</v>
      </c>
      <c r="O36" s="38">
        <f t="shared" si="30"/>
        <v>7.3205599806990833E-5</v>
      </c>
    </row>
    <row r="37" spans="1:15" x14ac:dyDescent="0.25">
      <c r="A37" s="7">
        <v>1</v>
      </c>
      <c r="B37" s="30" t="s">
        <v>44</v>
      </c>
      <c r="C37" s="14">
        <v>100</v>
      </c>
      <c r="D37" s="79">
        <f t="shared" si="25"/>
        <v>0.41300813008130083</v>
      </c>
      <c r="E37" s="80">
        <f t="shared" si="19"/>
        <v>4.1300813008130079</v>
      </c>
      <c r="F37" s="33">
        <f t="shared" si="26"/>
        <v>0.41299366879674798</v>
      </c>
      <c r="G37" s="34">
        <f t="shared" si="27"/>
        <v>0.41302259136585368</v>
      </c>
      <c r="H37" s="34">
        <f t="shared" si="28"/>
        <v>4.129816747967479</v>
      </c>
      <c r="I37" s="35">
        <f t="shared" si="29"/>
        <v>4.1303458536585369</v>
      </c>
      <c r="J37" s="82">
        <f t="shared" si="31"/>
        <v>-2.9042450868956848E-3</v>
      </c>
      <c r="K37" s="83">
        <f t="shared" si="32"/>
        <v>9.9063300157951062E-3</v>
      </c>
      <c r="L37" s="83">
        <f t="shared" si="33"/>
        <v>-9.9075991993800017E-3</v>
      </c>
      <c r="M37" s="83">
        <f t="shared" si="34"/>
        <v>2.9038730471881991E-3</v>
      </c>
      <c r="N37" s="84">
        <f t="shared" si="35"/>
        <v>7.3000516175630928E-3</v>
      </c>
      <c r="O37" s="38">
        <f t="shared" si="30"/>
        <v>7.3000516175630924E-5</v>
      </c>
    </row>
    <row r="38" spans="1:15" ht="15.75" thickBot="1" x14ac:dyDescent="0.3">
      <c r="A38" s="20">
        <v>0</v>
      </c>
      <c r="B38" s="85" t="s">
        <v>49</v>
      </c>
      <c r="C38" s="86">
        <v>50</v>
      </c>
      <c r="D38" s="87">
        <f t="shared" si="25"/>
        <v>0.20819672131147537</v>
      </c>
      <c r="E38" s="88">
        <f t="shared" si="19"/>
        <v>4.1639344262295079</v>
      </c>
      <c r="F38" s="43">
        <f t="shared" si="26"/>
        <v>0.20818942842622948</v>
      </c>
      <c r="G38" s="44">
        <f t="shared" si="27"/>
        <v>0.20820401419672127</v>
      </c>
      <c r="H38" s="44">
        <f t="shared" si="28"/>
        <v>4.1636686885245897</v>
      </c>
      <c r="I38" s="45">
        <f t="shared" si="29"/>
        <v>4.1642001639344262</v>
      </c>
      <c r="J38" s="90">
        <f t="shared" si="31"/>
        <v>-1.439595810424521E-3</v>
      </c>
      <c r="K38" s="91">
        <f t="shared" si="32"/>
        <v>4.942070429287071E-3</v>
      </c>
      <c r="L38" s="91">
        <f t="shared" si="33"/>
        <v>-4.9427012645182344E-3</v>
      </c>
      <c r="M38" s="91">
        <f t="shared" si="34"/>
        <v>1.439412075320945E-3</v>
      </c>
      <c r="N38" s="92">
        <f t="shared" si="35"/>
        <v>3.6400102725911172E-3</v>
      </c>
      <c r="O38" s="48">
        <f t="shared" si="30"/>
        <v>7.2800205451822338E-5</v>
      </c>
    </row>
  </sheetData>
  <mergeCells count="12">
    <mergeCell ref="A12:E12"/>
    <mergeCell ref="F12:I12"/>
    <mergeCell ref="J12:O12"/>
    <mergeCell ref="A26:E26"/>
    <mergeCell ref="F26:I26"/>
    <mergeCell ref="J26:O26"/>
    <mergeCell ref="H8:I8"/>
    <mergeCell ref="H9:I9"/>
    <mergeCell ref="A1:B1"/>
    <mergeCell ref="D2:G2"/>
    <mergeCell ref="H2:K2"/>
    <mergeCell ref="A8:C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79"/>
  <sheetViews>
    <sheetView tabSelected="1" workbookViewId="0">
      <selection sqref="A1:AC74"/>
    </sheetView>
  </sheetViews>
  <sheetFormatPr defaultRowHeight="15" x14ac:dyDescent="0.25"/>
  <cols>
    <col min="1" max="1" width="17.7109375" customWidth="1"/>
    <col min="2" max="2" width="10.7109375" bestFit="1" customWidth="1"/>
    <col min="3" max="7" width="10.7109375" customWidth="1"/>
    <col min="8" max="9" width="11" bestFit="1" customWidth="1"/>
    <col min="10" max="10" width="9.85546875" bestFit="1" customWidth="1"/>
    <col min="11" max="11" width="9.5703125" bestFit="1" customWidth="1"/>
    <col min="12" max="12" width="9.85546875" bestFit="1" customWidth="1"/>
    <col min="13" max="13" width="9.28515625" bestFit="1" customWidth="1"/>
    <col min="14" max="15" width="10.7109375" customWidth="1"/>
    <col min="16" max="17" width="10.5703125" bestFit="1" customWidth="1"/>
  </cols>
  <sheetData>
    <row r="1" spans="1:13" ht="21.75" thickBot="1" x14ac:dyDescent="0.4">
      <c r="A1" s="216">
        <v>8005571.0499999998</v>
      </c>
      <c r="B1" s="216"/>
    </row>
    <row r="2" spans="1:13" ht="15.75" thickBot="1" x14ac:dyDescent="0.3">
      <c r="A2" s="67" t="s">
        <v>51</v>
      </c>
      <c r="B2" s="68"/>
      <c r="C2" s="69"/>
      <c r="D2" s="198" t="s">
        <v>1</v>
      </c>
      <c r="E2" s="198"/>
      <c r="F2" s="198"/>
      <c r="G2" s="199"/>
      <c r="H2" s="211" t="s">
        <v>66</v>
      </c>
      <c r="I2" s="212"/>
      <c r="J2" s="212"/>
      <c r="K2" s="213"/>
    </row>
    <row r="3" spans="1:13" x14ac:dyDescent="0.25">
      <c r="A3" s="25" t="s">
        <v>2</v>
      </c>
      <c r="B3" s="26" t="s">
        <v>3</v>
      </c>
      <c r="C3" s="93"/>
      <c r="D3" s="4" t="s">
        <v>4</v>
      </c>
      <c r="E3" s="2" t="s">
        <v>5</v>
      </c>
      <c r="F3" s="2" t="s">
        <v>6</v>
      </c>
      <c r="G3" s="5" t="s">
        <v>7</v>
      </c>
      <c r="H3" s="1" t="s">
        <v>4</v>
      </c>
      <c r="I3" s="2" t="s">
        <v>5</v>
      </c>
      <c r="J3" s="2" t="s">
        <v>6</v>
      </c>
      <c r="K3" s="5" t="s">
        <v>7</v>
      </c>
    </row>
    <row r="4" spans="1:13" x14ac:dyDescent="0.25">
      <c r="A4" s="7" t="s">
        <v>8</v>
      </c>
      <c r="B4" s="8">
        <v>28</v>
      </c>
      <c r="C4" s="9" t="s">
        <v>9</v>
      </c>
      <c r="D4" s="10">
        <v>60</v>
      </c>
      <c r="E4" s="11">
        <v>5.1000000000000004E-4</v>
      </c>
      <c r="F4" s="11">
        <v>5.1000000000000004E-4</v>
      </c>
      <c r="G4" s="12" t="s">
        <v>9</v>
      </c>
      <c r="H4" s="7">
        <v>100</v>
      </c>
      <c r="I4" s="111">
        <v>4.0000000000000003E-5</v>
      </c>
      <c r="J4" s="111">
        <v>6.0000000000000002E-6</v>
      </c>
      <c r="K4" s="12" t="s">
        <v>9</v>
      </c>
    </row>
    <row r="5" spans="1:13" x14ac:dyDescent="0.25">
      <c r="A5" s="7" t="s">
        <v>10</v>
      </c>
      <c r="B5" s="8">
        <v>15</v>
      </c>
      <c r="C5" s="9" t="s">
        <v>11</v>
      </c>
      <c r="D5" s="13">
        <v>10</v>
      </c>
      <c r="E5" s="11">
        <v>5.0000000000000001E-4</v>
      </c>
      <c r="F5" s="11">
        <v>5.0000000000000001E-4</v>
      </c>
      <c r="G5" s="12" t="s">
        <v>9</v>
      </c>
      <c r="H5" s="119">
        <v>10</v>
      </c>
      <c r="I5" s="111">
        <v>3.0000000000000001E-5</v>
      </c>
      <c r="J5" s="111">
        <v>3.9999999999999998E-6</v>
      </c>
      <c r="K5" s="12" t="s">
        <v>9</v>
      </c>
    </row>
    <row r="6" spans="1:13" ht="18" x14ac:dyDescent="0.35">
      <c r="A6" s="7" t="s">
        <v>54</v>
      </c>
      <c r="B6" s="14">
        <v>2400</v>
      </c>
      <c r="C6" s="9" t="s">
        <v>13</v>
      </c>
      <c r="D6" s="10">
        <v>300</v>
      </c>
      <c r="E6" s="11">
        <v>5.1000000000000004E-4</v>
      </c>
      <c r="F6" s="11">
        <v>5.1999999999999995E-4</v>
      </c>
      <c r="G6" s="12" t="s">
        <v>14</v>
      </c>
      <c r="H6" s="156">
        <v>1</v>
      </c>
      <c r="I6" s="111">
        <v>3.4999999999999997E-5</v>
      </c>
      <c r="J6" s="111">
        <v>6.0000000000000002E-6</v>
      </c>
      <c r="K6" s="12" t="s">
        <v>9</v>
      </c>
    </row>
    <row r="7" spans="1:13" ht="18.75" thickBot="1" x14ac:dyDescent="0.4">
      <c r="A7" s="7" t="s">
        <v>15</v>
      </c>
      <c r="B7" s="94">
        <v>4.7</v>
      </c>
      <c r="C7" s="9" t="s">
        <v>13</v>
      </c>
      <c r="D7" s="127">
        <v>30</v>
      </c>
      <c r="E7" s="55">
        <v>5.1999999999999995E-4</v>
      </c>
      <c r="F7" s="55">
        <v>5.1999999999999995E-4</v>
      </c>
      <c r="G7" s="56" t="s">
        <v>16</v>
      </c>
      <c r="H7" s="20">
        <v>100</v>
      </c>
      <c r="I7" s="112">
        <v>4.0000000000000003E-5</v>
      </c>
      <c r="J7" s="112">
        <v>6.0000000000000002E-6</v>
      </c>
      <c r="K7" s="56" t="s">
        <v>14</v>
      </c>
    </row>
    <row r="8" spans="1:13" ht="18.75" thickBot="1" x14ac:dyDescent="0.4">
      <c r="A8" s="228"/>
      <c r="B8" s="229"/>
      <c r="C8" s="230"/>
      <c r="D8" s="23"/>
      <c r="E8" s="137"/>
      <c r="F8" s="137"/>
      <c r="G8" s="23"/>
      <c r="H8" s="226" t="s">
        <v>68</v>
      </c>
      <c r="I8" s="227"/>
      <c r="J8" s="138">
        <v>50</v>
      </c>
      <c r="K8" s="139" t="s">
        <v>13</v>
      </c>
    </row>
    <row r="9" spans="1:13" ht="15.75" thickBot="1" x14ac:dyDescent="0.3">
      <c r="A9" s="231"/>
      <c r="B9" s="232"/>
      <c r="C9" s="233"/>
    </row>
    <row r="10" spans="1:13" ht="18" x14ac:dyDescent="0.35">
      <c r="A10" s="132" t="s">
        <v>55</v>
      </c>
      <c r="B10" s="133">
        <v>100</v>
      </c>
      <c r="C10" s="133">
        <v>200</v>
      </c>
      <c r="D10" s="133">
        <v>300</v>
      </c>
      <c r="E10" s="133">
        <v>400</v>
      </c>
      <c r="F10" s="133">
        <v>500</v>
      </c>
      <c r="G10" s="133">
        <v>600</v>
      </c>
      <c r="H10" s="133">
        <v>700</v>
      </c>
      <c r="I10" s="134">
        <v>800</v>
      </c>
      <c r="J10" s="134">
        <v>900</v>
      </c>
      <c r="K10" s="134">
        <v>1000</v>
      </c>
      <c r="L10" s="134">
        <v>1100</v>
      </c>
      <c r="M10" s="5" t="s">
        <v>13</v>
      </c>
    </row>
    <row r="11" spans="1:13" ht="18" x14ac:dyDescent="0.35">
      <c r="A11" s="7" t="s">
        <v>17</v>
      </c>
      <c r="B11" s="57">
        <f>1/((1/$B6)+(1/(B10+$B7)))</f>
        <v>100.32339202299677</v>
      </c>
      <c r="C11" s="57">
        <f t="shared" ref="C11:L11" si="0">1/((1/$B6)+(1/(C10+$B7)))</f>
        <v>188.61289207970208</v>
      </c>
      <c r="D11" s="57">
        <f t="shared" si="0"/>
        <v>270.37379376640661</v>
      </c>
      <c r="E11" s="57">
        <f t="shared" si="0"/>
        <v>346.30441758476837</v>
      </c>
      <c r="F11" s="57">
        <f t="shared" si="0"/>
        <v>417.00691981960267</v>
      </c>
      <c r="G11" s="57">
        <f t="shared" si="0"/>
        <v>483.00329483808707</v>
      </c>
      <c r="H11" s="57">
        <f t="shared" si="0"/>
        <v>544.74828485844046</v>
      </c>
      <c r="I11" s="57">
        <f t="shared" si="0"/>
        <v>602.639872686991</v>
      </c>
      <c r="J11" s="57">
        <f t="shared" si="0"/>
        <v>657.02786939812995</v>
      </c>
      <c r="K11" s="57">
        <f t="shared" si="0"/>
        <v>708.22098863335975</v>
      </c>
      <c r="L11" s="57">
        <f t="shared" si="0"/>
        <v>756.49270978971094</v>
      </c>
      <c r="M11" s="96" t="s">
        <v>13</v>
      </c>
    </row>
    <row r="12" spans="1:13" ht="18" x14ac:dyDescent="0.35">
      <c r="A12" s="7" t="s">
        <v>56</v>
      </c>
      <c r="B12" s="8">
        <f>$B5/1000*B11</f>
        <v>1.5048508803449514</v>
      </c>
      <c r="C12" s="8">
        <f t="shared" ref="C12:L12" si="1">$B5/1000*C11</f>
        <v>2.8291933811955312</v>
      </c>
      <c r="D12" s="8">
        <f t="shared" si="1"/>
        <v>4.0556069064960987</v>
      </c>
      <c r="E12" s="8">
        <f t="shared" si="1"/>
        <v>5.1945662637715255</v>
      </c>
      <c r="F12" s="8">
        <f t="shared" si="1"/>
        <v>6.2551037972940398</v>
      </c>
      <c r="G12" s="8">
        <f t="shared" si="1"/>
        <v>7.2450494225713058</v>
      </c>
      <c r="H12" s="8">
        <f t="shared" si="1"/>
        <v>8.1712242728766071</v>
      </c>
      <c r="I12" s="8">
        <f t="shared" si="1"/>
        <v>9.0395980903048638</v>
      </c>
      <c r="J12" s="8">
        <f t="shared" si="1"/>
        <v>9.8554180409719496</v>
      </c>
      <c r="K12" s="8">
        <f t="shared" si="1"/>
        <v>10.623314829500396</v>
      </c>
      <c r="L12" s="8">
        <f t="shared" si="1"/>
        <v>11.347390646845664</v>
      </c>
      <c r="M12" s="96" t="s">
        <v>9</v>
      </c>
    </row>
    <row r="13" spans="1:13" ht="18" x14ac:dyDescent="0.35">
      <c r="A13" s="7" t="s">
        <v>57</v>
      </c>
      <c r="B13" s="8">
        <f>B12/$B6*1000</f>
        <v>0.62702120014372975</v>
      </c>
      <c r="C13" s="8">
        <f t="shared" ref="C13:L13" si="2">C12/$B6*1000</f>
        <v>1.1788305754981379</v>
      </c>
      <c r="D13" s="8">
        <f t="shared" si="2"/>
        <v>1.6898362110400411</v>
      </c>
      <c r="E13" s="8">
        <f t="shared" si="2"/>
        <v>2.1644026099048022</v>
      </c>
      <c r="F13" s="8">
        <f t="shared" si="2"/>
        <v>2.6062932488725168</v>
      </c>
      <c r="G13" s="8">
        <f t="shared" si="2"/>
        <v>3.0187705927380439</v>
      </c>
      <c r="H13" s="8">
        <f t="shared" si="2"/>
        <v>3.4046767803652531</v>
      </c>
      <c r="I13" s="8">
        <f t="shared" si="2"/>
        <v>3.7664992042936931</v>
      </c>
      <c r="J13" s="8">
        <f t="shared" si="2"/>
        <v>4.1064241837383131</v>
      </c>
      <c r="K13" s="8">
        <f t="shared" si="2"/>
        <v>4.4263811789584979</v>
      </c>
      <c r="L13" s="8">
        <f t="shared" si="2"/>
        <v>4.728079436185693</v>
      </c>
      <c r="M13" s="96" t="s">
        <v>11</v>
      </c>
    </row>
    <row r="14" spans="1:13" ht="18" x14ac:dyDescent="0.35">
      <c r="A14" s="7" t="s">
        <v>58</v>
      </c>
      <c r="B14" s="57">
        <f>B12*(B13/1000)*1000</f>
        <v>0.94357340503123976</v>
      </c>
      <c r="C14" s="57">
        <f t="shared" ref="C14:L14" si="3">C12*(C13/1000)*1000</f>
        <v>3.3351396617502509</v>
      </c>
      <c r="D14" s="57">
        <f t="shared" si="3"/>
        <v>6.853311408341189</v>
      </c>
      <c r="E14" s="57">
        <f t="shared" si="3"/>
        <v>11.243132778630528</v>
      </c>
      <c r="F14" s="57">
        <f t="shared" si="3"/>
        <v>16.302634797884298</v>
      </c>
      <c r="G14" s="57">
        <f t="shared" si="3"/>
        <v>21.871142139792003</v>
      </c>
      <c r="H14" s="57">
        <f t="shared" si="3"/>
        <v>27.820377549019934</v>
      </c>
      <c r="I14" s="57">
        <f t="shared" si="3"/>
        <v>34.047639014268057</v>
      </c>
      <c r="J14" s="57">
        <f t="shared" si="3"/>
        <v>40.470526984298083</v>
      </c>
      <c r="K14" s="57">
        <f t="shared" si="3"/>
        <v>47.022840819451261</v>
      </c>
      <c r="L14" s="57">
        <f t="shared" si="3"/>
        <v>53.651364371716852</v>
      </c>
      <c r="M14" s="96" t="s">
        <v>19</v>
      </c>
    </row>
    <row r="15" spans="1:13" ht="18" x14ac:dyDescent="0.35">
      <c r="A15" s="7" t="s">
        <v>59</v>
      </c>
      <c r="B15" s="8">
        <f>$B5-B13</f>
        <v>14.37297879985627</v>
      </c>
      <c r="C15" s="8">
        <f t="shared" ref="C15:L15" si="4">$B5-C13</f>
        <v>13.821169424501862</v>
      </c>
      <c r="D15" s="8">
        <f t="shared" si="4"/>
        <v>13.310163788959958</v>
      </c>
      <c r="E15" s="8">
        <f t="shared" si="4"/>
        <v>12.835597390095199</v>
      </c>
      <c r="F15" s="8">
        <f t="shared" si="4"/>
        <v>12.393706751127484</v>
      </c>
      <c r="G15" s="8">
        <f t="shared" si="4"/>
        <v>11.981229407261957</v>
      </c>
      <c r="H15" s="8">
        <f t="shared" si="4"/>
        <v>11.595323219634746</v>
      </c>
      <c r="I15" s="8">
        <f t="shared" si="4"/>
        <v>11.233500795706307</v>
      </c>
      <c r="J15" s="8">
        <f t="shared" si="4"/>
        <v>10.893575816261688</v>
      </c>
      <c r="K15" s="8">
        <f t="shared" si="4"/>
        <v>10.573618821041503</v>
      </c>
      <c r="L15" s="8">
        <f t="shared" si="4"/>
        <v>10.271920563814307</v>
      </c>
      <c r="M15" s="96" t="s">
        <v>11</v>
      </c>
    </row>
    <row r="16" spans="1:13" ht="18" x14ac:dyDescent="0.35">
      <c r="A16" s="7" t="s">
        <v>60</v>
      </c>
      <c r="B16" s="8">
        <f>B15/1000*$B7</f>
        <v>6.7553000359324475E-2</v>
      </c>
      <c r="C16" s="8">
        <f t="shared" ref="C16:L16" si="5">C15/1000*$B7</f>
        <v>6.495949629515875E-2</v>
      </c>
      <c r="D16" s="8">
        <f t="shared" si="5"/>
        <v>6.2557769808111799E-2</v>
      </c>
      <c r="E16" s="8">
        <f t="shared" si="5"/>
        <v>6.0327307733447431E-2</v>
      </c>
      <c r="F16" s="8">
        <f t="shared" si="5"/>
        <v>5.8250421730299179E-2</v>
      </c>
      <c r="G16" s="8">
        <f t="shared" si="5"/>
        <v>5.6311778214131199E-2</v>
      </c>
      <c r="H16" s="8">
        <f t="shared" si="5"/>
        <v>5.4498019132283311E-2</v>
      </c>
      <c r="I16" s="8">
        <f t="shared" si="5"/>
        <v>5.2797453739819644E-2</v>
      </c>
      <c r="J16" s="8">
        <f t="shared" si="5"/>
        <v>5.1199806336429933E-2</v>
      </c>
      <c r="K16" s="8">
        <f t="shared" si="5"/>
        <v>4.9696008458895068E-2</v>
      </c>
      <c r="L16" s="8">
        <f t="shared" si="5"/>
        <v>4.8278026649927239E-2</v>
      </c>
      <c r="M16" s="96" t="s">
        <v>9</v>
      </c>
    </row>
    <row r="17" spans="1:17" ht="18" x14ac:dyDescent="0.35">
      <c r="A17" s="7" t="s">
        <v>61</v>
      </c>
      <c r="B17" s="57">
        <f>B16*(B15/1000)*1000</f>
        <v>0.97093784203125355</v>
      </c>
      <c r="C17" s="57">
        <f t="shared" ref="C17:L17" si="6">C16*(C15/1000)*1000</f>
        <v>0.89781620402569007</v>
      </c>
      <c r="D17" s="57">
        <f t="shared" si="6"/>
        <v>0.83265416241802226</v>
      </c>
      <c r="E17" s="57">
        <f t="shared" si="6"/>
        <v>0.77433703369490769</v>
      </c>
      <c r="F17" s="57">
        <f t="shared" si="6"/>
        <v>0.72193864505483196</v>
      </c>
      <c r="G17" s="57">
        <f t="shared" si="6"/>
        <v>0.67468433311436193</v>
      </c>
      <c r="H17" s="57">
        <f t="shared" si="6"/>
        <v>0.63192214666866331</v>
      </c>
      <c r="I17" s="57">
        <f t="shared" si="6"/>
        <v>0.59310023859753092</v>
      </c>
      <c r="J17" s="57">
        <f t="shared" si="6"/>
        <v>0.55774897210381502</v>
      </c>
      <c r="K17" s="57">
        <f t="shared" si="6"/>
        <v>0.52546665037161067</v>
      </c>
      <c r="L17" s="57">
        <f t="shared" si="6"/>
        <v>0.49590805472576277</v>
      </c>
      <c r="M17" s="96" t="s">
        <v>19</v>
      </c>
    </row>
    <row r="18" spans="1:17" ht="18" x14ac:dyDescent="0.35">
      <c r="A18" s="7" t="s">
        <v>62</v>
      </c>
      <c r="B18" s="8">
        <f>B12-B16</f>
        <v>1.4372978799856269</v>
      </c>
      <c r="C18" s="8">
        <f t="shared" ref="C18:L18" si="7">C12-C16</f>
        <v>2.7642338849003725</v>
      </c>
      <c r="D18" s="8">
        <f t="shared" si="7"/>
        <v>3.9930491366879868</v>
      </c>
      <c r="E18" s="8">
        <f t="shared" si="7"/>
        <v>5.1342389560380779</v>
      </c>
      <c r="F18" s="8">
        <f t="shared" si="7"/>
        <v>6.1968533755637409</v>
      </c>
      <c r="G18" s="8">
        <f t="shared" si="7"/>
        <v>7.1887376443571744</v>
      </c>
      <c r="H18" s="8">
        <f t="shared" si="7"/>
        <v>8.1167262537443232</v>
      </c>
      <c r="I18" s="8">
        <f t="shared" si="7"/>
        <v>8.9868006365650448</v>
      </c>
      <c r="J18" s="8">
        <f t="shared" si="7"/>
        <v>9.8042182346355204</v>
      </c>
      <c r="K18" s="8">
        <f t="shared" si="7"/>
        <v>10.573618821041501</v>
      </c>
      <c r="L18" s="8">
        <f t="shared" si="7"/>
        <v>11.299112620195737</v>
      </c>
      <c r="M18" s="96" t="s">
        <v>9</v>
      </c>
    </row>
    <row r="19" spans="1:17" ht="18.75" thickBot="1" x14ac:dyDescent="0.4">
      <c r="A19" s="20" t="s">
        <v>63</v>
      </c>
      <c r="B19" s="135">
        <f>B18*(B15/1000)*1000</f>
        <v>20.658251958111777</v>
      </c>
      <c r="C19" s="135">
        <f t="shared" ref="C19:L19" si="8">C18*(C15/1000)*1000</f>
        <v>38.204944852157027</v>
      </c>
      <c r="D19" s="135">
        <f t="shared" si="8"/>
        <v>53.148138026682268</v>
      </c>
      <c r="E19" s="135">
        <f t="shared" si="8"/>
        <v>65.901024144247444</v>
      </c>
      <c r="F19" s="135">
        <f t="shared" si="8"/>
        <v>76.801983516471481</v>
      </c>
      <c r="G19" s="135">
        <f t="shared" si="8"/>
        <v>86.129914865663224</v>
      </c>
      <c r="H19" s="135">
        <f t="shared" si="8"/>
        <v>94.116064397460505</v>
      </c>
      <c r="I19" s="135">
        <f t="shared" si="8"/>
        <v>100.95323210170737</v>
      </c>
      <c r="J19" s="135">
        <f t="shared" si="8"/>
        <v>106.80299465817735</v>
      </c>
      <c r="K19" s="135">
        <f t="shared" si="8"/>
        <v>111.80141497268309</v>
      </c>
      <c r="L19" s="135">
        <f t="shared" si="8"/>
        <v>116.06358727624234</v>
      </c>
      <c r="M19" s="136" t="s">
        <v>19</v>
      </c>
    </row>
    <row r="20" spans="1:17" ht="15.75" thickBot="1" x14ac:dyDescent="0.3">
      <c r="A20" s="23"/>
      <c r="B20" s="24"/>
      <c r="C20" s="24"/>
      <c r="D20" s="24"/>
      <c r="E20" s="95"/>
      <c r="F20" s="24"/>
      <c r="G20" s="24"/>
      <c r="H20" s="24"/>
      <c r="I20" s="24"/>
      <c r="J20" s="24"/>
      <c r="K20" s="24"/>
      <c r="L20" s="24"/>
    </row>
    <row r="21" spans="1:17" ht="15.75" thickBot="1" x14ac:dyDescent="0.3">
      <c r="A21" s="217" t="s">
        <v>51</v>
      </c>
      <c r="B21" s="218"/>
      <c r="C21" s="218"/>
      <c r="D21" s="218"/>
      <c r="E21" s="219"/>
      <c r="F21" s="204" t="s">
        <v>67</v>
      </c>
      <c r="G21" s="205"/>
      <c r="H21" s="205"/>
      <c r="I21" s="206"/>
      <c r="J21" s="200" t="s">
        <v>21</v>
      </c>
      <c r="K21" s="201"/>
      <c r="L21" s="201"/>
      <c r="M21" s="201"/>
      <c r="N21" s="201"/>
      <c r="O21" s="202"/>
    </row>
    <row r="22" spans="1:17" ht="33" x14ac:dyDescent="0.35">
      <c r="A22" s="1" t="s">
        <v>22</v>
      </c>
      <c r="B22" s="2" t="s">
        <v>23</v>
      </c>
      <c r="C22" s="2" t="s">
        <v>24</v>
      </c>
      <c r="D22" s="120" t="s">
        <v>25</v>
      </c>
      <c r="E22" s="128" t="s">
        <v>26</v>
      </c>
      <c r="F22" s="75" t="s">
        <v>27</v>
      </c>
      <c r="G22" s="76" t="s">
        <v>28</v>
      </c>
      <c r="H22" s="76" t="s">
        <v>29</v>
      </c>
      <c r="I22" s="96" t="s">
        <v>30</v>
      </c>
      <c r="J22" s="75" t="s">
        <v>31</v>
      </c>
      <c r="K22" s="76" t="s">
        <v>32</v>
      </c>
      <c r="L22" s="76" t="s">
        <v>33</v>
      </c>
      <c r="M22" s="76" t="s">
        <v>34</v>
      </c>
      <c r="N22" s="28" t="s">
        <v>64</v>
      </c>
      <c r="O22" s="29" t="s">
        <v>36</v>
      </c>
    </row>
    <row r="23" spans="1:17" x14ac:dyDescent="0.25">
      <c r="A23" s="97">
        <v>11</v>
      </c>
      <c r="B23" s="98" t="s">
        <v>65</v>
      </c>
      <c r="C23" s="99">
        <v>1100</v>
      </c>
      <c r="D23" s="100">
        <f>E23/1000*C23</f>
        <v>11.299112620195737</v>
      </c>
      <c r="E23" s="32">
        <f>((B$5/1000)*(1/((1/B$6)+(1/(C23+B$7))))/(C23+B$7))*1000</f>
        <v>10.271920563814307</v>
      </c>
      <c r="F23" s="33">
        <f>D23-((D23*E$5)+(D$5*F$5))</f>
        <v>11.28846306388564</v>
      </c>
      <c r="G23" s="34">
        <f>D23+((D23*E$5)+(D$5*F$5))</f>
        <v>11.309762176505835</v>
      </c>
      <c r="H23" s="34">
        <f>E23-((E23*E$7)+(D$7*F$7))</f>
        <v>10.250979165121123</v>
      </c>
      <c r="I23" s="35">
        <f>E23+((E23*E$7)+(D$7*F$7))</f>
        <v>10.292861962507491</v>
      </c>
      <c r="J23" s="82">
        <f t="shared" ref="J23:J27" si="9">C23-(F23/(H23/1000))</f>
        <v>-1.2082730881502357</v>
      </c>
      <c r="K23" s="83">
        <f t="shared" ref="K23:K27" si="10">C23-(F23/(I23/1000))</f>
        <v>3.2726655613666935</v>
      </c>
      <c r="L23" s="83">
        <f t="shared" ref="L23:L27" si="11">C23-(G23/(H23/1000))</f>
        <v>-3.2860368097528863</v>
      </c>
      <c r="M23" s="83">
        <f t="shared" ref="M23:M27" si="12">C23-(G23/(I23/1000))</f>
        <v>1.2033564908886092</v>
      </c>
      <c r="N23" s="101">
        <f t="shared" ref="N23:N27" si="13">SQRT((J23^2+K23^2+L23^2+M23^2)/4)</f>
        <v>2.4706460942088793</v>
      </c>
      <c r="O23" s="38">
        <f>N23/C23</f>
        <v>2.2460419038262537E-3</v>
      </c>
      <c r="P23" s="102"/>
      <c r="Q23" s="102"/>
    </row>
    <row r="24" spans="1:17" x14ac:dyDescent="0.25">
      <c r="A24" s="7">
        <v>10</v>
      </c>
      <c r="B24" s="30" t="s">
        <v>52</v>
      </c>
      <c r="C24" s="78">
        <v>1100</v>
      </c>
      <c r="D24" s="100">
        <f t="shared" ref="D24:D34" si="14">E24/1000*C24</f>
        <v>11.299112620195737</v>
      </c>
      <c r="E24" s="32">
        <f t="shared" ref="E24:E34" si="15">((B$5/1000)*(1/((1/B$6)+(1/(C24+B$7))))/(C24+B$7))*1000</f>
        <v>10.271920563814307</v>
      </c>
      <c r="F24" s="33">
        <f t="shared" ref="F24:F34" si="16">D24-((D24*E$5)+(D$5*F$5))</f>
        <v>11.28846306388564</v>
      </c>
      <c r="G24" s="34">
        <f t="shared" ref="G24:G34" si="17">D24+((D24*E$5)+(D$5*F$5))</f>
        <v>11.309762176505835</v>
      </c>
      <c r="H24" s="34">
        <f t="shared" ref="H24:H34" si="18">E24-((E24*E$7)+(D$7*F$7))</f>
        <v>10.250979165121123</v>
      </c>
      <c r="I24" s="35">
        <f t="shared" ref="I24:I34" si="19">E24+((E24*E$7)+(D$7*F$7))</f>
        <v>10.292861962507491</v>
      </c>
      <c r="J24" s="82">
        <f t="shared" si="9"/>
        <v>-1.2082730881502357</v>
      </c>
      <c r="K24" s="83">
        <f t="shared" si="10"/>
        <v>3.2726655613666935</v>
      </c>
      <c r="L24" s="83">
        <f t="shared" si="11"/>
        <v>-3.2860368097528863</v>
      </c>
      <c r="M24" s="83">
        <f t="shared" si="12"/>
        <v>1.2033564908886092</v>
      </c>
      <c r="N24" s="101">
        <f t="shared" si="13"/>
        <v>2.4706460942088793</v>
      </c>
      <c r="O24" s="38">
        <f t="shared" ref="O24:O34" si="20">N24/C24</f>
        <v>2.2460419038262537E-3</v>
      </c>
      <c r="P24" s="102"/>
    </row>
    <row r="25" spans="1:17" x14ac:dyDescent="0.25">
      <c r="A25" s="7">
        <v>9</v>
      </c>
      <c r="B25" s="30" t="s">
        <v>53</v>
      </c>
      <c r="C25" s="78">
        <v>1000</v>
      </c>
      <c r="D25" s="100">
        <f t="shared" si="14"/>
        <v>10.573618821041501</v>
      </c>
      <c r="E25" s="32">
        <f t="shared" si="15"/>
        <v>10.573618821041501</v>
      </c>
      <c r="F25" s="33">
        <f t="shared" si="16"/>
        <v>10.56333201163098</v>
      </c>
      <c r="G25" s="34">
        <f t="shared" si="17"/>
        <v>10.583905630452023</v>
      </c>
      <c r="H25" s="34">
        <f t="shared" si="18"/>
        <v>10.55252053925456</v>
      </c>
      <c r="I25" s="35">
        <f t="shared" si="19"/>
        <v>10.594717102828442</v>
      </c>
      <c r="J25" s="82">
        <f t="shared" si="9"/>
        <v>-1.0245393350528502</v>
      </c>
      <c r="K25" s="83">
        <f t="shared" si="10"/>
        <v>2.9623340475116038</v>
      </c>
      <c r="L25" s="83">
        <f t="shared" si="11"/>
        <v>-2.9741795887259741</v>
      </c>
      <c r="M25" s="83">
        <f t="shared" si="12"/>
        <v>1.0204588071098897</v>
      </c>
      <c r="N25" s="101">
        <f t="shared" si="13"/>
        <v>2.2199202835416951</v>
      </c>
      <c r="O25" s="38">
        <f t="shared" si="20"/>
        <v>2.2199202835416951E-3</v>
      </c>
      <c r="P25" s="102"/>
    </row>
    <row r="26" spans="1:17" x14ac:dyDescent="0.25">
      <c r="A26" s="7">
        <v>8</v>
      </c>
      <c r="B26" s="30" t="s">
        <v>37</v>
      </c>
      <c r="C26" s="78">
        <v>900</v>
      </c>
      <c r="D26" s="100">
        <f t="shared" si="14"/>
        <v>9.8042182346355187</v>
      </c>
      <c r="E26" s="32">
        <f t="shared" si="15"/>
        <v>10.893575816261688</v>
      </c>
      <c r="F26" s="33">
        <f t="shared" si="16"/>
        <v>9.7943161255182005</v>
      </c>
      <c r="G26" s="34">
        <f t="shared" si="17"/>
        <v>9.8141203437528368</v>
      </c>
      <c r="H26" s="34">
        <f t="shared" si="18"/>
        <v>10.872311156837231</v>
      </c>
      <c r="I26" s="35">
        <f t="shared" si="19"/>
        <v>10.914840475686145</v>
      </c>
      <c r="J26" s="82">
        <f t="shared" si="9"/>
        <v>-0.84950515409821037</v>
      </c>
      <c r="K26" s="83">
        <f t="shared" si="10"/>
        <v>2.6606254726324323</v>
      </c>
      <c r="L26" s="83">
        <f t="shared" si="11"/>
        <v>-2.6710330655930647</v>
      </c>
      <c r="M26" s="83">
        <f t="shared" si="12"/>
        <v>0.84619508505579688</v>
      </c>
      <c r="N26" s="101">
        <f t="shared" si="13"/>
        <v>1.9780704406013989</v>
      </c>
      <c r="O26" s="38">
        <f t="shared" si="20"/>
        <v>2.1978560451126655E-3</v>
      </c>
      <c r="P26" s="102"/>
    </row>
    <row r="27" spans="1:17" x14ac:dyDescent="0.25">
      <c r="A27" s="7">
        <v>7</v>
      </c>
      <c r="B27" s="30" t="s">
        <v>38</v>
      </c>
      <c r="C27" s="78">
        <v>800</v>
      </c>
      <c r="D27" s="100">
        <f t="shared" si="14"/>
        <v>8.9868006365650448</v>
      </c>
      <c r="E27" s="32">
        <f t="shared" si="15"/>
        <v>11.233500795706306</v>
      </c>
      <c r="F27" s="33">
        <f t="shared" si="16"/>
        <v>8.9773072362467623</v>
      </c>
      <c r="G27" s="34">
        <f t="shared" si="17"/>
        <v>8.9962940368833273</v>
      </c>
      <c r="H27" s="34">
        <f t="shared" si="18"/>
        <v>11.212059375292538</v>
      </c>
      <c r="I27" s="35">
        <f t="shared" si="19"/>
        <v>11.254942216120073</v>
      </c>
      <c r="J27" s="82">
        <f t="shared" si="9"/>
        <v>-0.68316941217869953</v>
      </c>
      <c r="K27" s="83">
        <f t="shared" si="10"/>
        <v>2.367540955575123</v>
      </c>
      <c r="L27" s="83">
        <f t="shared" si="11"/>
        <v>-2.3765961057980576</v>
      </c>
      <c r="M27" s="83">
        <f t="shared" si="12"/>
        <v>0.68056644500222774</v>
      </c>
      <c r="N27" s="101">
        <f t="shared" si="13"/>
        <v>1.7452328181520378</v>
      </c>
      <c r="O27" s="38">
        <f t="shared" si="20"/>
        <v>2.1815410226900473E-3</v>
      </c>
      <c r="P27" s="102"/>
    </row>
    <row r="28" spans="1:17" x14ac:dyDescent="0.25">
      <c r="A28" s="7">
        <v>6</v>
      </c>
      <c r="B28" s="30" t="s">
        <v>39</v>
      </c>
      <c r="C28" s="14">
        <v>700</v>
      </c>
      <c r="D28" s="100">
        <f t="shared" si="14"/>
        <v>8.1167262537443232</v>
      </c>
      <c r="E28" s="32">
        <f t="shared" si="15"/>
        <v>11.595323219634746</v>
      </c>
      <c r="F28" s="33">
        <f t="shared" si="16"/>
        <v>8.1076678906174511</v>
      </c>
      <c r="G28" s="34">
        <f t="shared" si="17"/>
        <v>8.1257846168711954</v>
      </c>
      <c r="H28" s="34">
        <f t="shared" si="18"/>
        <v>11.573693651560536</v>
      </c>
      <c r="I28" s="35">
        <f t="shared" si="19"/>
        <v>11.616952787708957</v>
      </c>
      <c r="J28" s="82">
        <f>C28-(F28/(H28/1000))</f>
        <v>-0.52553097638417512</v>
      </c>
      <c r="K28" s="83">
        <f>C28-(F28/(I28/1000))</f>
        <v>2.0830816153803653</v>
      </c>
      <c r="L28" s="83">
        <f>C28-(G28/(H28/1000))</f>
        <v>-2.0908675749817576</v>
      </c>
      <c r="M28" s="83">
        <f>C28-(G28/(I28/1000))</f>
        <v>0.52357400742039317</v>
      </c>
      <c r="N28" s="101">
        <f>SQRT((J28^2+K28^2+L28^2+M28^2)/4)</f>
        <v>1.5216166387128627</v>
      </c>
      <c r="O28" s="38">
        <f t="shared" si="20"/>
        <v>2.1737380553040896E-3</v>
      </c>
      <c r="P28" s="102"/>
    </row>
    <row r="29" spans="1:17" x14ac:dyDescent="0.25">
      <c r="A29" s="7">
        <v>5</v>
      </c>
      <c r="B29" s="30" t="s">
        <v>40</v>
      </c>
      <c r="C29" s="14">
        <v>600</v>
      </c>
      <c r="D29" s="100">
        <f t="shared" si="14"/>
        <v>7.1887376443571736</v>
      </c>
      <c r="E29" s="32">
        <f t="shared" si="15"/>
        <v>11.981229407261957</v>
      </c>
      <c r="F29" s="33">
        <f t="shared" si="16"/>
        <v>7.180143275534995</v>
      </c>
      <c r="G29" s="34">
        <f t="shared" si="17"/>
        <v>7.1973320131793521</v>
      </c>
      <c r="H29" s="34">
        <f t="shared" si="18"/>
        <v>11.959399167970179</v>
      </c>
      <c r="I29" s="35">
        <f t="shared" si="19"/>
        <v>12.003059646553734</v>
      </c>
      <c r="J29" s="82">
        <f t="shared" ref="J29:J34" si="21">C29-(F29/(H29/1000))</f>
        <v>-0.37658871400071803</v>
      </c>
      <c r="K29" s="83">
        <f t="shared" ref="K29:K34" si="22">C29-(F29/(I29/1000))</f>
        <v>1.8072485712818889</v>
      </c>
      <c r="L29" s="83">
        <f t="shared" ref="L29:L34" si="23">C29-(G29/(H29/1000))</f>
        <v>-1.8138463389817616</v>
      </c>
      <c r="M29" s="83">
        <f t="shared" ref="M29:M34" si="24">C29-(G29/(I29/1000))</f>
        <v>0.37521889297465805</v>
      </c>
      <c r="N29" s="101">
        <f t="shared" ref="N29:N34" si="25">SQRT((J29^2+K29^2+L29^2+M29^2)/4)</f>
        <v>1.3075544173184352</v>
      </c>
      <c r="O29" s="38">
        <f t="shared" si="20"/>
        <v>2.1792573621973923E-3</v>
      </c>
      <c r="P29" s="102"/>
    </row>
    <row r="30" spans="1:17" x14ac:dyDescent="0.25">
      <c r="A30" s="7">
        <v>4</v>
      </c>
      <c r="B30" s="30" t="s">
        <v>41</v>
      </c>
      <c r="C30" s="14">
        <v>500</v>
      </c>
      <c r="D30" s="100">
        <f t="shared" si="14"/>
        <v>6.1968533755637409</v>
      </c>
      <c r="E30" s="32">
        <f t="shared" si="15"/>
        <v>12.393706751127482</v>
      </c>
      <c r="F30" s="33">
        <f t="shared" si="16"/>
        <v>6.1887549488759594</v>
      </c>
      <c r="G30" s="34">
        <f t="shared" si="17"/>
        <v>6.2049518022515224</v>
      </c>
      <c r="H30" s="34">
        <f t="shared" si="18"/>
        <v>12.371662023616896</v>
      </c>
      <c r="I30" s="35">
        <f t="shared" si="19"/>
        <v>12.415751478638068</v>
      </c>
      <c r="J30" s="82">
        <f t="shared" si="21"/>
        <v>-0.23634149251171266</v>
      </c>
      <c r="K30" s="83">
        <f t="shared" si="22"/>
        <v>1.5400429427065205</v>
      </c>
      <c r="L30" s="83">
        <f t="shared" si="23"/>
        <v>-1.5455312638329701</v>
      </c>
      <c r="M30" s="83">
        <f t="shared" si="24"/>
        <v>0.23550222252288222</v>
      </c>
      <c r="N30" s="101">
        <f t="shared" si="25"/>
        <v>1.1035984041716871</v>
      </c>
      <c r="O30" s="38">
        <f t="shared" si="20"/>
        <v>2.2071968083433743E-3</v>
      </c>
      <c r="P30" s="102"/>
    </row>
    <row r="31" spans="1:17" x14ac:dyDescent="0.25">
      <c r="A31" s="7">
        <v>3</v>
      </c>
      <c r="B31" s="30" t="s">
        <v>42</v>
      </c>
      <c r="C31" s="14">
        <v>400</v>
      </c>
      <c r="D31" s="100">
        <f t="shared" si="14"/>
        <v>5.1342389560380788</v>
      </c>
      <c r="E31" s="32">
        <f t="shared" si="15"/>
        <v>12.835597390095197</v>
      </c>
      <c r="F31" s="33">
        <f t="shared" si="16"/>
        <v>5.1266718365600594</v>
      </c>
      <c r="G31" s="34">
        <f t="shared" si="17"/>
        <v>5.1418060755160981</v>
      </c>
      <c r="H31" s="34">
        <f t="shared" si="18"/>
        <v>12.813322879452347</v>
      </c>
      <c r="I31" s="35">
        <f t="shared" si="19"/>
        <v>12.857871900738047</v>
      </c>
      <c r="J31" s="82">
        <f t="shared" si="21"/>
        <v>-0.10478817959659636</v>
      </c>
      <c r="K31" s="83">
        <f t="shared" si="22"/>
        <v>1.2814658492758326</v>
      </c>
      <c r="L31" s="83">
        <f t="shared" si="23"/>
        <v>-1.2859212157669617</v>
      </c>
      <c r="M31" s="83">
        <f t="shared" si="24"/>
        <v>0.10442511711784164</v>
      </c>
      <c r="N31" s="101">
        <f t="shared" si="25"/>
        <v>0.91071857119640087</v>
      </c>
      <c r="O31" s="38">
        <f t="shared" si="20"/>
        <v>2.2767964279910022E-3</v>
      </c>
      <c r="P31" s="102"/>
    </row>
    <row r="32" spans="1:17" x14ac:dyDescent="0.25">
      <c r="A32" s="7">
        <v>2</v>
      </c>
      <c r="B32" s="30" t="s">
        <v>43</v>
      </c>
      <c r="C32" s="14">
        <v>300</v>
      </c>
      <c r="D32" s="100">
        <f t="shared" si="14"/>
        <v>3.9930491366879868</v>
      </c>
      <c r="E32" s="32">
        <f t="shared" si="15"/>
        <v>13.310163788959956</v>
      </c>
      <c r="F32" s="33">
        <f t="shared" si="16"/>
        <v>3.9860526121196429</v>
      </c>
      <c r="G32" s="34">
        <f t="shared" si="17"/>
        <v>4.0000456612563307</v>
      </c>
      <c r="H32" s="34">
        <f t="shared" si="18"/>
        <v>13.287642503789698</v>
      </c>
      <c r="I32" s="35">
        <f t="shared" si="19"/>
        <v>13.332685074130215</v>
      </c>
      <c r="J32" s="82">
        <f t="shared" si="21"/>
        <v>1.8072356868287898E-2</v>
      </c>
      <c r="K32" s="83">
        <f t="shared" si="22"/>
        <v>1.031518410804324</v>
      </c>
      <c r="L32" s="83">
        <f t="shared" si="23"/>
        <v>-1.0350150612118796</v>
      </c>
      <c r="M32" s="83">
        <f t="shared" si="24"/>
        <v>-1.8011301994420137E-2</v>
      </c>
      <c r="N32" s="101">
        <f t="shared" si="25"/>
        <v>0.7307423324685004</v>
      </c>
      <c r="O32" s="38">
        <f t="shared" si="20"/>
        <v>2.4358077748950014E-3</v>
      </c>
      <c r="P32" s="102"/>
    </row>
    <row r="33" spans="1:16" x14ac:dyDescent="0.25">
      <c r="A33" s="7">
        <v>1</v>
      </c>
      <c r="B33" s="30" t="s">
        <v>44</v>
      </c>
      <c r="C33" s="14">
        <v>200</v>
      </c>
      <c r="D33" s="100">
        <f t="shared" si="14"/>
        <v>2.7642338849003729</v>
      </c>
      <c r="E33" s="32">
        <f t="shared" si="15"/>
        <v>13.821169424501864</v>
      </c>
      <c r="F33" s="33">
        <f t="shared" si="16"/>
        <v>2.7578517679579226</v>
      </c>
      <c r="G33" s="34">
        <f t="shared" si="17"/>
        <v>2.7706160018428232</v>
      </c>
      <c r="H33" s="34">
        <f t="shared" si="18"/>
        <v>13.798382416401124</v>
      </c>
      <c r="I33" s="35">
        <f t="shared" si="19"/>
        <v>13.843956432602605</v>
      </c>
      <c r="J33" s="82">
        <f t="shared" si="21"/>
        <v>0.13224124880994736</v>
      </c>
      <c r="K33" s="83">
        <f t="shared" si="22"/>
        <v>0.7902017473007561</v>
      </c>
      <c r="L33" s="83">
        <f t="shared" si="23"/>
        <v>-0.7928116667933125</v>
      </c>
      <c r="M33" s="83">
        <f t="shared" si="24"/>
        <v>-0.13180591337351188</v>
      </c>
      <c r="N33" s="101">
        <f t="shared" si="25"/>
        <v>0.56741291999913923</v>
      </c>
      <c r="O33" s="38">
        <f t="shared" si="20"/>
        <v>2.8370645999956962E-3</v>
      </c>
      <c r="P33" s="102"/>
    </row>
    <row r="34" spans="1:16" ht="15.75" thickBot="1" x14ac:dyDescent="0.3">
      <c r="A34" s="20">
        <v>0</v>
      </c>
      <c r="B34" s="85" t="s">
        <v>49</v>
      </c>
      <c r="C34" s="86">
        <v>100</v>
      </c>
      <c r="D34" s="103">
        <f t="shared" si="14"/>
        <v>1.4372978799856269</v>
      </c>
      <c r="E34" s="42">
        <f t="shared" si="15"/>
        <v>14.37297879985627</v>
      </c>
      <c r="F34" s="43">
        <f t="shared" si="16"/>
        <v>1.4315792310456341</v>
      </c>
      <c r="G34" s="44">
        <f t="shared" si="17"/>
        <v>1.4430165289256196</v>
      </c>
      <c r="H34" s="44">
        <f t="shared" si="18"/>
        <v>14.349904850880344</v>
      </c>
      <c r="I34" s="45">
        <f t="shared" si="19"/>
        <v>14.396052748832195</v>
      </c>
      <c r="J34" s="90">
        <f t="shared" si="21"/>
        <v>0.23771962795913737</v>
      </c>
      <c r="K34" s="91">
        <f t="shared" si="22"/>
        <v>0.55751697896748453</v>
      </c>
      <c r="L34" s="91">
        <f t="shared" si="23"/>
        <v>-0.55930989933308695</v>
      </c>
      <c r="M34" s="91">
        <f t="shared" si="24"/>
        <v>-0.23695759538507843</v>
      </c>
      <c r="N34" s="104">
        <f t="shared" si="25"/>
        <v>0.4290431997062556</v>
      </c>
      <c r="O34" s="48">
        <f t="shared" si="20"/>
        <v>4.2904319970625557E-3</v>
      </c>
      <c r="P34" s="102"/>
    </row>
    <row r="35" spans="1:16" ht="15.75" thickBot="1" x14ac:dyDescent="0.3"/>
    <row r="36" spans="1:16" ht="15.75" thickBot="1" x14ac:dyDescent="0.3">
      <c r="A36" s="217" t="s">
        <v>51</v>
      </c>
      <c r="B36" s="218"/>
      <c r="C36" s="218"/>
      <c r="D36" s="218"/>
      <c r="E36" s="219"/>
      <c r="F36" s="223" t="s">
        <v>69</v>
      </c>
      <c r="G36" s="224"/>
      <c r="H36" s="224"/>
      <c r="I36" s="225"/>
      <c r="J36" s="220" t="s">
        <v>21</v>
      </c>
      <c r="K36" s="221"/>
      <c r="L36" s="221"/>
      <c r="M36" s="221"/>
      <c r="N36" s="221"/>
      <c r="O36" s="222"/>
    </row>
    <row r="37" spans="1:16" ht="33" x14ac:dyDescent="0.35">
      <c r="A37" s="1" t="s">
        <v>22</v>
      </c>
      <c r="B37" s="2" t="s">
        <v>23</v>
      </c>
      <c r="C37" s="2" t="s">
        <v>24</v>
      </c>
      <c r="D37" s="140" t="s">
        <v>25</v>
      </c>
      <c r="E37" s="141" t="s">
        <v>26</v>
      </c>
      <c r="F37" s="75" t="s">
        <v>27</v>
      </c>
      <c r="G37" s="76" t="s">
        <v>28</v>
      </c>
      <c r="H37" s="76" t="s">
        <v>29</v>
      </c>
      <c r="I37" s="96" t="s">
        <v>30</v>
      </c>
      <c r="J37" s="75" t="s">
        <v>31</v>
      </c>
      <c r="K37" s="76" t="s">
        <v>32</v>
      </c>
      <c r="L37" s="76" t="s">
        <v>33</v>
      </c>
      <c r="M37" s="76" t="s">
        <v>34</v>
      </c>
      <c r="N37" s="28" t="s">
        <v>64</v>
      </c>
      <c r="O37" s="29" t="s">
        <v>36</v>
      </c>
    </row>
    <row r="38" spans="1:16" x14ac:dyDescent="0.25">
      <c r="A38" s="97">
        <v>11</v>
      </c>
      <c r="B38" s="98" t="s">
        <v>65</v>
      </c>
      <c r="C38" s="99">
        <v>1100</v>
      </c>
      <c r="D38" s="100">
        <f t="shared" ref="D38:D49" si="26">E38/1000*C38</f>
        <v>11.299112620195737</v>
      </c>
      <c r="E38" s="32">
        <f t="shared" ref="E38:E49" si="27">((B$5/1000)*(1/((1/B$6)+(1/(C38+B$7))))/(C38+B$7))*1000</f>
        <v>10.271920563814307</v>
      </c>
      <c r="F38" s="33">
        <f>D38-((D38*I$5)+(H$5*J$5))</f>
        <v>11.298733646817132</v>
      </c>
      <c r="G38" s="34">
        <f>D38+((D38*I$5)+(H$5*J$5))</f>
        <v>11.299491593574343</v>
      </c>
      <c r="H38" s="34">
        <f>((E38/1000*J$8)-((E38/1000*J$8*I$6)+(H$6*J$6)))/J$8*1000</f>
        <v>10.271441046594575</v>
      </c>
      <c r="I38" s="35">
        <f>((E38/1000*J$8)+((E38/1000*J$8*I$6)+(H$6*J$6)))/J$8*1000</f>
        <v>10.272400081034041</v>
      </c>
      <c r="J38" s="82">
        <f t="shared" ref="J38:J49" si="28">C38-(F38/(H38/1000))</f>
        <v>-1.4457130447908639E-2</v>
      </c>
      <c r="K38" s="83">
        <f t="shared" ref="K38:K49" si="29">C38-(F38/(I38/1000))</f>
        <v>8.8240558502775457E-2</v>
      </c>
      <c r="L38" s="83">
        <f t="shared" ref="L38:L49" si="30">C38-(G38/(H38/1000))</f>
        <v>-8.8248797437472604E-2</v>
      </c>
      <c r="M38" s="83">
        <f t="shared" ref="M38:M49" si="31">C38-(G38/(I38/1000))</f>
        <v>1.4455780726166267E-2</v>
      </c>
      <c r="N38" s="101">
        <f>SQRT((J38^2+K38^2+L38^2+M38^2)/4)</f>
        <v>6.3230183914078281E-2</v>
      </c>
      <c r="O38" s="38">
        <f t="shared" ref="O38:O49" si="32">N38/C38</f>
        <v>5.74819853764348E-5</v>
      </c>
    </row>
    <row r="39" spans="1:16" x14ac:dyDescent="0.25">
      <c r="A39" s="7">
        <v>10</v>
      </c>
      <c r="B39" s="30" t="s">
        <v>52</v>
      </c>
      <c r="C39" s="78">
        <v>1000</v>
      </c>
      <c r="D39" s="100">
        <f t="shared" si="26"/>
        <v>10.573618821041501</v>
      </c>
      <c r="E39" s="32">
        <f t="shared" si="27"/>
        <v>10.573618821041501</v>
      </c>
      <c r="F39" s="33">
        <f t="shared" ref="F39:F49" si="33">D39-((D39*I$5)+(H$5*J$5))</f>
        <v>10.57326161247687</v>
      </c>
      <c r="G39" s="34">
        <f t="shared" ref="G39:G49" si="34">D39+((D39*I$5)+(H$5*J$5))</f>
        <v>10.573976029606133</v>
      </c>
      <c r="H39" s="34">
        <f t="shared" ref="H39:H49" si="35">((E39/1000*J$8)-((E39/1000*J$8*I$6)+(H$6*J$6)))/J$8*1000</f>
        <v>10.573128744382764</v>
      </c>
      <c r="I39" s="35">
        <f t="shared" ref="I39:I49" si="36">((E39/1000*J$8)+((E39/1000*J$8*I$6)+(H$6*J$6)))/J$8*1000</f>
        <v>10.574108897700238</v>
      </c>
      <c r="J39" s="82">
        <f t="shared" si="28"/>
        <v>-1.2566582448698682E-2</v>
      </c>
      <c r="K39" s="83">
        <f t="shared" si="29"/>
        <v>8.0128286134254267E-2</v>
      </c>
      <c r="L39" s="83">
        <f t="shared" si="30"/>
        <v>-8.0135714210427977E-2</v>
      </c>
      <c r="M39" s="83">
        <f t="shared" si="31"/>
        <v>1.2565417605628681E-2</v>
      </c>
      <c r="N39" s="101">
        <f t="shared" ref="N39:N49" si="37">SQRT((J39^2+K39^2+L39^2+M39^2)/4)</f>
        <v>5.7354345181668882E-2</v>
      </c>
      <c r="O39" s="38">
        <f t="shared" si="32"/>
        <v>5.7354345181668879E-5</v>
      </c>
    </row>
    <row r="40" spans="1:16" x14ac:dyDescent="0.25">
      <c r="A40" s="7">
        <v>9</v>
      </c>
      <c r="B40" s="30" t="s">
        <v>53</v>
      </c>
      <c r="C40" s="78">
        <v>900</v>
      </c>
      <c r="D40" s="100">
        <f t="shared" si="26"/>
        <v>9.8042182346355187</v>
      </c>
      <c r="E40" s="32">
        <f t="shared" si="27"/>
        <v>10.893575816261688</v>
      </c>
      <c r="F40" s="33">
        <f t="shared" si="33"/>
        <v>9.8038841080884804</v>
      </c>
      <c r="G40" s="34">
        <f t="shared" si="34"/>
        <v>9.8045523611825569</v>
      </c>
      <c r="H40" s="34">
        <f t="shared" si="35"/>
        <v>10.893074541108119</v>
      </c>
      <c r="I40" s="35">
        <f t="shared" si="36"/>
        <v>10.894077091415255</v>
      </c>
      <c r="J40" s="82">
        <f t="shared" si="28"/>
        <v>-1.0742705443817613E-2</v>
      </c>
      <c r="K40" s="83">
        <f t="shared" si="29"/>
        <v>7.2082671956536615E-2</v>
      </c>
      <c r="L40" s="83">
        <f t="shared" si="30"/>
        <v>-7.2089306126258634E-2</v>
      </c>
      <c r="M40" s="83">
        <f t="shared" si="31"/>
        <v>1.0741716823872594E-2</v>
      </c>
      <c r="N40" s="101">
        <f t="shared" si="37"/>
        <v>5.1535351591737485E-2</v>
      </c>
      <c r="O40" s="38">
        <f t="shared" si="32"/>
        <v>5.7261501768597205E-5</v>
      </c>
    </row>
    <row r="41" spans="1:16" x14ac:dyDescent="0.25">
      <c r="A41" s="7">
        <v>8</v>
      </c>
      <c r="B41" s="30" t="s">
        <v>37</v>
      </c>
      <c r="C41" s="78">
        <v>800</v>
      </c>
      <c r="D41" s="100">
        <f t="shared" si="26"/>
        <v>8.9868006365650448</v>
      </c>
      <c r="E41" s="32">
        <f t="shared" si="27"/>
        <v>11.233500795706306</v>
      </c>
      <c r="F41" s="33">
        <f t="shared" si="33"/>
        <v>8.9864910325459473</v>
      </c>
      <c r="G41" s="34">
        <f t="shared" si="34"/>
        <v>8.9871102405841423</v>
      </c>
      <c r="H41" s="34">
        <f t="shared" si="35"/>
        <v>11.232987623178456</v>
      </c>
      <c r="I41" s="35">
        <f t="shared" si="36"/>
        <v>11.234013968234155</v>
      </c>
      <c r="J41" s="82">
        <f t="shared" si="28"/>
        <v>-8.9854993674407524E-3</v>
      </c>
      <c r="K41" s="83">
        <f t="shared" si="29"/>
        <v>6.4103716037152481E-2</v>
      </c>
      <c r="L41" s="83">
        <f t="shared" si="30"/>
        <v>-6.4109573119367269E-2</v>
      </c>
      <c r="M41" s="83">
        <f t="shared" si="31"/>
        <v>8.9846784477458641E-3</v>
      </c>
      <c r="N41" s="101">
        <f t="shared" si="37"/>
        <v>4.5773320343326214E-2</v>
      </c>
      <c r="O41" s="38">
        <f t="shared" si="32"/>
        <v>5.7216650429157768E-5</v>
      </c>
    </row>
    <row r="42" spans="1:16" x14ac:dyDescent="0.25">
      <c r="A42" s="7">
        <v>7</v>
      </c>
      <c r="B42" s="30" t="s">
        <v>38</v>
      </c>
      <c r="C42" s="78">
        <v>700</v>
      </c>
      <c r="D42" s="100">
        <f t="shared" si="26"/>
        <v>8.1167262537443232</v>
      </c>
      <c r="E42" s="32">
        <f t="shared" si="27"/>
        <v>11.595323219634746</v>
      </c>
      <c r="F42" s="33">
        <f t="shared" si="33"/>
        <v>8.1164427519567113</v>
      </c>
      <c r="G42" s="34">
        <f t="shared" si="34"/>
        <v>8.1170097555319352</v>
      </c>
      <c r="H42" s="34">
        <f t="shared" si="35"/>
        <v>11.59479738332206</v>
      </c>
      <c r="I42" s="35">
        <f t="shared" si="36"/>
        <v>11.595849055947436</v>
      </c>
      <c r="J42" s="82">
        <f t="shared" si="28"/>
        <v>-7.2949641527202402E-3</v>
      </c>
      <c r="K42" s="83">
        <f t="shared" si="29"/>
        <v>5.6191418442040231E-2</v>
      </c>
      <c r="L42" s="83">
        <f t="shared" si="30"/>
        <v>-5.6196515122337587E-2</v>
      </c>
      <c r="M42" s="83">
        <f t="shared" si="31"/>
        <v>7.2943025440963538E-3</v>
      </c>
      <c r="N42" s="101">
        <f t="shared" si="37"/>
        <v>4.0068526208290531E-2</v>
      </c>
      <c r="O42" s="38">
        <f t="shared" si="32"/>
        <v>5.724075172612933E-5</v>
      </c>
    </row>
    <row r="43" spans="1:16" x14ac:dyDescent="0.25">
      <c r="A43" s="7">
        <v>6</v>
      </c>
      <c r="B43" s="30" t="s">
        <v>39</v>
      </c>
      <c r="C43" s="14">
        <v>600</v>
      </c>
      <c r="D43" s="100">
        <f t="shared" si="26"/>
        <v>7.1887376443571736</v>
      </c>
      <c r="E43" s="32">
        <f t="shared" si="27"/>
        <v>11.981229407261957</v>
      </c>
      <c r="F43" s="33">
        <f t="shared" si="33"/>
        <v>7.1884819822278425</v>
      </c>
      <c r="G43" s="34">
        <f t="shared" si="34"/>
        <v>7.1889933064865046</v>
      </c>
      <c r="H43" s="34">
        <f t="shared" si="35"/>
        <v>11.980690064232705</v>
      </c>
      <c r="I43" s="35">
        <f t="shared" si="36"/>
        <v>11.981768750291211</v>
      </c>
      <c r="J43" s="82">
        <f t="shared" si="28"/>
        <v>-5.6710997325808421E-3</v>
      </c>
      <c r="K43" s="83">
        <f t="shared" si="29"/>
        <v>4.8345779238161413E-2</v>
      </c>
      <c r="L43" s="83">
        <f t="shared" si="30"/>
        <v>-4.8350132068890161E-2</v>
      </c>
      <c r="M43" s="83">
        <f t="shared" si="31"/>
        <v>5.6705891790898022E-3</v>
      </c>
      <c r="N43" s="101">
        <f t="shared" si="37"/>
        <v>3.4421528855641523E-2</v>
      </c>
      <c r="O43" s="38">
        <f t="shared" si="32"/>
        <v>5.7369214759402535E-5</v>
      </c>
    </row>
    <row r="44" spans="1:16" x14ac:dyDescent="0.25">
      <c r="A44" s="7">
        <v>5</v>
      </c>
      <c r="B44" s="30" t="s">
        <v>40</v>
      </c>
      <c r="C44" s="14">
        <v>500</v>
      </c>
      <c r="D44" s="100">
        <f t="shared" si="26"/>
        <v>6.1968533755637409</v>
      </c>
      <c r="E44" s="32">
        <f t="shared" si="27"/>
        <v>12.393706751127482</v>
      </c>
      <c r="F44" s="33">
        <f t="shared" si="33"/>
        <v>6.1966274699624737</v>
      </c>
      <c r="G44" s="34">
        <f t="shared" si="34"/>
        <v>6.1970792811650082</v>
      </c>
      <c r="H44" s="34">
        <f t="shared" si="35"/>
        <v>12.393152971391192</v>
      </c>
      <c r="I44" s="35">
        <f t="shared" si="36"/>
        <v>12.394260530863772</v>
      </c>
      <c r="J44" s="82">
        <f t="shared" si="28"/>
        <v>-4.1139060411410355E-3</v>
      </c>
      <c r="K44" s="83">
        <f t="shared" si="29"/>
        <v>4.0566798491965983E-2</v>
      </c>
      <c r="L44" s="83">
        <f t="shared" si="30"/>
        <v>-4.0570423892347662E-2</v>
      </c>
      <c r="M44" s="83">
        <f t="shared" si="31"/>
        <v>4.1135384197446001E-3</v>
      </c>
      <c r="N44" s="101">
        <f t="shared" si="37"/>
        <v>2.8833443498559964E-2</v>
      </c>
      <c r="O44" s="38">
        <f t="shared" si="32"/>
        <v>5.7666886997119932E-5</v>
      </c>
    </row>
    <row r="45" spans="1:16" x14ac:dyDescent="0.25">
      <c r="A45" s="7">
        <v>4</v>
      </c>
      <c r="B45" s="30" t="s">
        <v>41</v>
      </c>
      <c r="C45" s="14">
        <v>400</v>
      </c>
      <c r="D45" s="100">
        <f t="shared" si="26"/>
        <v>5.1342389560380788</v>
      </c>
      <c r="E45" s="32">
        <f t="shared" si="27"/>
        <v>12.835597390095197</v>
      </c>
      <c r="F45" s="33">
        <f t="shared" si="33"/>
        <v>5.1340449288693977</v>
      </c>
      <c r="G45" s="34">
        <f t="shared" si="34"/>
        <v>5.1344329832067599</v>
      </c>
      <c r="H45" s="34">
        <f t="shared" si="35"/>
        <v>12.835028144186545</v>
      </c>
      <c r="I45" s="35">
        <f t="shared" si="36"/>
        <v>12.836166636003849</v>
      </c>
      <c r="J45" s="82">
        <f t="shared" si="28"/>
        <v>-2.6233830110413692E-3</v>
      </c>
      <c r="K45" s="83">
        <f t="shared" si="29"/>
        <v>3.2854476270131272E-2</v>
      </c>
      <c r="L45" s="83">
        <f t="shared" si="30"/>
        <v>-3.2857390525691699E-2</v>
      </c>
      <c r="M45" s="83">
        <f t="shared" si="31"/>
        <v>2.6231503325675476E-3</v>
      </c>
      <c r="N45" s="101">
        <f t="shared" si="37"/>
        <v>2.3306585867691472E-2</v>
      </c>
      <c r="O45" s="38">
        <f t="shared" si="32"/>
        <v>5.826646466922868E-5</v>
      </c>
    </row>
    <row r="46" spans="1:16" x14ac:dyDescent="0.25">
      <c r="A46" s="7">
        <v>3</v>
      </c>
      <c r="B46" s="30" t="s">
        <v>42</v>
      </c>
      <c r="C46" s="14">
        <v>300</v>
      </c>
      <c r="D46" s="100">
        <f t="shared" si="26"/>
        <v>3.9930491366879868</v>
      </c>
      <c r="E46" s="32">
        <f t="shared" si="27"/>
        <v>13.310163788959956</v>
      </c>
      <c r="F46" s="33">
        <f t="shared" si="33"/>
        <v>3.9928893452138863</v>
      </c>
      <c r="G46" s="34">
        <f t="shared" si="34"/>
        <v>3.9932089281620873</v>
      </c>
      <c r="H46" s="34">
        <f t="shared" si="35"/>
        <v>13.309577933227343</v>
      </c>
      <c r="I46" s="35">
        <f t="shared" si="36"/>
        <v>13.310749644692571</v>
      </c>
      <c r="J46" s="82">
        <f t="shared" si="28"/>
        <v>-1.1995305758887298E-3</v>
      </c>
      <c r="K46" s="83">
        <f t="shared" si="29"/>
        <v>2.5208812639561984E-2</v>
      </c>
      <c r="L46" s="83">
        <f t="shared" si="30"/>
        <v>-2.5211031902529157E-2</v>
      </c>
      <c r="M46" s="83">
        <f t="shared" si="31"/>
        <v>1.1994249842928184E-3</v>
      </c>
      <c r="N46" s="101">
        <f t="shared" si="37"/>
        <v>1.7846273127619116E-2</v>
      </c>
      <c r="O46" s="38">
        <f t="shared" si="32"/>
        <v>5.948757709206372E-5</v>
      </c>
    </row>
    <row r="47" spans="1:16" x14ac:dyDescent="0.25">
      <c r="A47" s="7">
        <v>2</v>
      </c>
      <c r="B47" s="30" t="s">
        <v>43</v>
      </c>
      <c r="C47" s="14">
        <v>200</v>
      </c>
      <c r="D47" s="100">
        <f t="shared" si="26"/>
        <v>2.7642338849003729</v>
      </c>
      <c r="E47" s="32">
        <f t="shared" si="27"/>
        <v>13.821169424501864</v>
      </c>
      <c r="F47" s="33">
        <f t="shared" si="33"/>
        <v>2.7641109578838261</v>
      </c>
      <c r="G47" s="34">
        <f t="shared" si="34"/>
        <v>2.7643568119169197</v>
      </c>
      <c r="H47" s="34">
        <f t="shared" si="35"/>
        <v>13.820565683572008</v>
      </c>
      <c r="I47" s="35">
        <f t="shared" si="36"/>
        <v>13.821773165431722</v>
      </c>
      <c r="J47" s="82">
        <f t="shared" si="28"/>
        <v>1.5765133102263462E-4</v>
      </c>
      <c r="K47" s="83">
        <f t="shared" si="29"/>
        <v>1.762980766662281E-2</v>
      </c>
      <c r="L47" s="83">
        <f t="shared" si="30"/>
        <v>-1.7631347956182708E-2</v>
      </c>
      <c r="M47" s="83">
        <f t="shared" si="31"/>
        <v>-1.5763755845910055E-4</v>
      </c>
      <c r="N47" s="101">
        <f t="shared" si="37"/>
        <v>1.2467199491627126E-2</v>
      </c>
      <c r="O47" s="38">
        <f t="shared" si="32"/>
        <v>6.2335997458135624E-5</v>
      </c>
    </row>
    <row r="48" spans="1:16" x14ac:dyDescent="0.25">
      <c r="A48" s="7">
        <v>1</v>
      </c>
      <c r="B48" s="30" t="s">
        <v>44</v>
      </c>
      <c r="C48" s="14">
        <v>100</v>
      </c>
      <c r="D48" s="100">
        <f t="shared" si="26"/>
        <v>1.4372978799856269</v>
      </c>
      <c r="E48" s="32">
        <f t="shared" si="27"/>
        <v>14.37297879985627</v>
      </c>
      <c r="F48" s="33">
        <f t="shared" si="33"/>
        <v>1.4372147610492272</v>
      </c>
      <c r="G48" s="34">
        <f t="shared" si="34"/>
        <v>1.4373809989220265</v>
      </c>
      <c r="H48" s="34">
        <f t="shared" si="35"/>
        <v>14.372355745598274</v>
      </c>
      <c r="I48" s="35">
        <f t="shared" si="36"/>
        <v>14.373601854114263</v>
      </c>
      <c r="J48" s="82">
        <f t="shared" si="28"/>
        <v>1.448162776412687E-3</v>
      </c>
      <c r="K48" s="83">
        <f t="shared" si="29"/>
        <v>1.0117461418175822E-2</v>
      </c>
      <c r="L48" s="83">
        <f t="shared" si="30"/>
        <v>-1.0118338619861333E-2</v>
      </c>
      <c r="M48" s="83">
        <f t="shared" si="31"/>
        <v>-1.4480372290393007E-3</v>
      </c>
      <c r="N48" s="101">
        <f t="shared" si="37"/>
        <v>7.2273402648921408E-3</v>
      </c>
      <c r="O48" s="38">
        <f t="shared" si="32"/>
        <v>7.2273402648921411E-5</v>
      </c>
    </row>
    <row r="49" spans="1:15" ht="15.75" thickBot="1" x14ac:dyDescent="0.3">
      <c r="A49" s="20">
        <v>0</v>
      </c>
      <c r="B49" s="85" t="s">
        <v>49</v>
      </c>
      <c r="C49" s="86">
        <v>100</v>
      </c>
      <c r="D49" s="103">
        <f t="shared" si="26"/>
        <v>1.4372978799856269</v>
      </c>
      <c r="E49" s="42">
        <f t="shared" si="27"/>
        <v>14.37297879985627</v>
      </c>
      <c r="F49" s="43">
        <f t="shared" si="33"/>
        <v>1.4372147610492272</v>
      </c>
      <c r="G49" s="44">
        <f t="shared" si="34"/>
        <v>1.4373809989220265</v>
      </c>
      <c r="H49" s="44">
        <f t="shared" si="35"/>
        <v>14.372355745598274</v>
      </c>
      <c r="I49" s="45">
        <f t="shared" si="36"/>
        <v>14.373601854114263</v>
      </c>
      <c r="J49" s="90">
        <f t="shared" si="28"/>
        <v>1.448162776412687E-3</v>
      </c>
      <c r="K49" s="91">
        <f t="shared" si="29"/>
        <v>1.0117461418175822E-2</v>
      </c>
      <c r="L49" s="91">
        <f t="shared" si="30"/>
        <v>-1.0118338619861333E-2</v>
      </c>
      <c r="M49" s="91">
        <f t="shared" si="31"/>
        <v>-1.4480372290393007E-3</v>
      </c>
      <c r="N49" s="104">
        <f t="shared" si="37"/>
        <v>7.2273402648921408E-3</v>
      </c>
      <c r="O49" s="48">
        <f t="shared" si="32"/>
        <v>7.2273402648921411E-5</v>
      </c>
    </row>
    <row r="51" spans="1:15" x14ac:dyDescent="0.25">
      <c r="A51" s="131"/>
      <c r="B51" s="131"/>
      <c r="C51" s="131"/>
      <c r="J51" s="131"/>
      <c r="K51" s="131"/>
      <c r="L51" s="131"/>
      <c r="M51" s="131"/>
      <c r="N51" s="131"/>
      <c r="O51" s="131"/>
    </row>
    <row r="52" spans="1:15" x14ac:dyDescent="0.25">
      <c r="A52" s="17"/>
      <c r="B52" s="17"/>
      <c r="C52" s="17"/>
      <c r="D52" s="23"/>
      <c r="E52" s="152"/>
      <c r="F52" s="153"/>
      <c r="G52" s="159"/>
      <c r="H52" s="152"/>
      <c r="I52" s="160"/>
      <c r="J52" s="17"/>
      <c r="K52" s="17"/>
      <c r="L52" s="17"/>
      <c r="M52" s="17"/>
      <c r="N52" s="148"/>
      <c r="O52" s="148"/>
    </row>
    <row r="53" spans="1:15" x14ac:dyDescent="0.25">
      <c r="A53" s="23"/>
      <c r="B53" s="23"/>
      <c r="C53" s="149"/>
      <c r="D53" s="147"/>
      <c r="E53" s="154"/>
      <c r="F53" s="158"/>
      <c r="G53" s="158"/>
      <c r="H53" s="155"/>
      <c r="I53" s="157"/>
      <c r="J53" s="151"/>
      <c r="K53" s="151"/>
      <c r="L53" s="151"/>
      <c r="M53" s="151"/>
      <c r="N53" s="145"/>
      <c r="O53" s="50"/>
    </row>
    <row r="54" spans="1:15" x14ac:dyDescent="0.25">
      <c r="A54" s="23"/>
      <c r="B54" s="23"/>
      <c r="C54" s="149"/>
      <c r="D54" s="147"/>
      <c r="E54" s="145"/>
      <c r="F54" s="150"/>
      <c r="G54" s="150"/>
      <c r="H54" s="150"/>
      <c r="I54" s="150"/>
      <c r="J54" s="151"/>
      <c r="K54" s="151"/>
      <c r="L54" s="151"/>
      <c r="M54" s="151"/>
      <c r="N54" s="145"/>
      <c r="O54" s="50"/>
    </row>
    <row r="55" spans="1:15" x14ac:dyDescent="0.25">
      <c r="A55" s="23"/>
      <c r="B55" s="23"/>
      <c r="C55" s="149"/>
      <c r="D55" s="147"/>
      <c r="E55" s="145"/>
      <c r="F55" s="150"/>
      <c r="G55" s="150"/>
      <c r="H55" s="150"/>
      <c r="I55" s="150"/>
      <c r="J55" s="151"/>
      <c r="K55" s="151"/>
      <c r="L55" s="151"/>
      <c r="M55" s="151"/>
      <c r="N55" s="145"/>
      <c r="O55" s="50"/>
    </row>
    <row r="56" spans="1:15" x14ac:dyDescent="0.25">
      <c r="A56" s="23"/>
      <c r="B56" s="23"/>
      <c r="C56" s="149"/>
      <c r="D56" s="147"/>
      <c r="E56" s="145"/>
      <c r="F56" s="150"/>
      <c r="G56" s="150"/>
      <c r="H56" s="150"/>
      <c r="I56" s="150"/>
      <c r="J56" s="151"/>
      <c r="K56" s="151"/>
      <c r="L56" s="151"/>
      <c r="M56" s="151"/>
      <c r="N56" s="145"/>
      <c r="O56" s="50"/>
    </row>
    <row r="57" spans="1:15" x14ac:dyDescent="0.25">
      <c r="A57" s="23"/>
      <c r="B57" s="23"/>
      <c r="C57" s="149"/>
      <c r="D57" s="147"/>
      <c r="E57" s="145"/>
      <c r="F57" s="150"/>
      <c r="G57" s="150"/>
      <c r="H57" s="150"/>
      <c r="I57" s="150"/>
      <c r="J57" s="151"/>
      <c r="K57" s="151"/>
      <c r="L57" s="151"/>
      <c r="M57" s="151"/>
      <c r="N57" s="145"/>
      <c r="O57" s="50"/>
    </row>
    <row r="58" spans="1:15" x14ac:dyDescent="0.25">
      <c r="A58" s="23"/>
      <c r="B58" s="23"/>
      <c r="C58" s="142"/>
      <c r="D58" s="147"/>
      <c r="E58" s="145"/>
      <c r="F58" s="150"/>
      <c r="G58" s="150"/>
      <c r="H58" s="150"/>
      <c r="I58" s="150"/>
      <c r="J58" s="151"/>
      <c r="K58" s="151"/>
      <c r="L58" s="151"/>
      <c r="M58" s="151"/>
      <c r="N58" s="145"/>
      <c r="O58" s="50"/>
    </row>
    <row r="59" spans="1:15" x14ac:dyDescent="0.25">
      <c r="A59" s="23"/>
      <c r="B59" s="23"/>
      <c r="C59" s="142"/>
      <c r="D59" s="147"/>
      <c r="E59" s="145"/>
      <c r="F59" s="150"/>
      <c r="G59" s="150"/>
      <c r="H59" s="150"/>
      <c r="I59" s="150"/>
      <c r="J59" s="151"/>
      <c r="K59" s="151"/>
      <c r="L59" s="151"/>
      <c r="M59" s="151"/>
      <c r="N59" s="145"/>
      <c r="O59" s="50"/>
    </row>
    <row r="60" spans="1:15" x14ac:dyDescent="0.25">
      <c r="A60" s="23"/>
      <c r="B60" s="23"/>
      <c r="C60" s="142"/>
      <c r="D60" s="147"/>
      <c r="E60" s="145"/>
      <c r="F60" s="150"/>
      <c r="G60" s="150"/>
      <c r="H60" s="150"/>
      <c r="I60" s="150"/>
      <c r="J60" s="151"/>
      <c r="K60" s="151"/>
      <c r="L60" s="151"/>
      <c r="M60" s="151"/>
      <c r="N60" s="145"/>
      <c r="O60" s="50"/>
    </row>
    <row r="61" spans="1:15" x14ac:dyDescent="0.25">
      <c r="A61" s="23"/>
      <c r="B61" s="23"/>
      <c r="C61" s="142"/>
      <c r="D61" s="147"/>
      <c r="E61" s="145"/>
      <c r="F61" s="150"/>
      <c r="G61" s="150"/>
      <c r="H61" s="150"/>
      <c r="I61" s="150"/>
      <c r="J61" s="151"/>
      <c r="K61" s="151"/>
      <c r="L61" s="151"/>
      <c r="M61" s="151"/>
      <c r="N61" s="145"/>
      <c r="O61" s="50"/>
    </row>
    <row r="62" spans="1:15" x14ac:dyDescent="0.25">
      <c r="A62" s="23"/>
      <c r="B62" s="23"/>
      <c r="C62" s="142"/>
      <c r="D62" s="147"/>
      <c r="E62" s="145"/>
      <c r="F62" s="150"/>
      <c r="G62" s="150"/>
      <c r="H62" s="150"/>
      <c r="I62" s="150"/>
      <c r="J62" s="151"/>
      <c r="K62" s="151"/>
      <c r="L62" s="151"/>
      <c r="M62" s="151"/>
      <c r="N62" s="145"/>
      <c r="O62" s="50"/>
    </row>
    <row r="63" spans="1:15" x14ac:dyDescent="0.25">
      <c r="A63" s="23"/>
      <c r="B63" s="23"/>
      <c r="C63" s="142"/>
      <c r="D63" s="147"/>
      <c r="E63" s="145"/>
      <c r="F63" s="150"/>
      <c r="G63" s="150"/>
      <c r="H63" s="150"/>
      <c r="I63" s="150"/>
      <c r="J63" s="151"/>
      <c r="K63" s="151"/>
      <c r="L63" s="151"/>
      <c r="M63" s="151"/>
      <c r="N63" s="145"/>
      <c r="O63" s="50"/>
    </row>
    <row r="64" spans="1:15" x14ac:dyDescent="0.25">
      <c r="A64" s="23"/>
      <c r="B64" s="23"/>
      <c r="C64" s="142"/>
      <c r="D64" s="147"/>
      <c r="E64" s="145"/>
      <c r="F64" s="150"/>
      <c r="G64" s="150"/>
      <c r="H64" s="150"/>
      <c r="I64" s="150"/>
      <c r="J64" s="151"/>
      <c r="K64" s="151"/>
      <c r="L64" s="151"/>
      <c r="M64" s="151"/>
      <c r="N64" s="145"/>
      <c r="O64" s="50"/>
    </row>
    <row r="65" spans="1:15" x14ac:dyDescent="0.25">
      <c r="A65" s="23"/>
      <c r="B65" s="23"/>
      <c r="C65" s="142"/>
      <c r="D65" s="143"/>
      <c r="E65" s="144"/>
      <c r="F65" s="145"/>
      <c r="G65" s="146"/>
      <c r="H65" s="147"/>
      <c r="I65" s="147"/>
    </row>
    <row r="66" spans="1:15" x14ac:dyDescent="0.2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48"/>
      <c r="O67" s="148"/>
    </row>
    <row r="68" spans="1:15" x14ac:dyDescent="0.25">
      <c r="A68" s="23"/>
      <c r="B68" s="23"/>
      <c r="C68" s="149"/>
      <c r="D68" s="147"/>
      <c r="E68" s="145"/>
      <c r="F68" s="150"/>
      <c r="G68" s="150"/>
      <c r="H68" s="150"/>
      <c r="I68" s="150"/>
      <c r="J68" s="151"/>
      <c r="K68" s="151"/>
      <c r="L68" s="151"/>
      <c r="M68" s="151"/>
      <c r="N68" s="145"/>
      <c r="O68" s="50"/>
    </row>
    <row r="69" spans="1:15" x14ac:dyDescent="0.25">
      <c r="A69" s="23"/>
      <c r="B69" s="23"/>
      <c r="C69" s="149"/>
      <c r="D69" s="147"/>
      <c r="E69" s="145"/>
      <c r="F69" s="150"/>
      <c r="G69" s="150"/>
      <c r="H69" s="150"/>
      <c r="I69" s="150"/>
      <c r="J69" s="151"/>
      <c r="K69" s="151"/>
      <c r="L69" s="151"/>
      <c r="M69" s="151"/>
      <c r="N69" s="145"/>
      <c r="O69" s="50"/>
    </row>
    <row r="70" spans="1:15" x14ac:dyDescent="0.25">
      <c r="A70" s="23"/>
      <c r="B70" s="23"/>
      <c r="C70" s="149"/>
      <c r="D70" s="147"/>
      <c r="E70" s="145"/>
      <c r="F70" s="150"/>
      <c r="G70" s="150"/>
      <c r="H70" s="150"/>
      <c r="I70" s="150"/>
      <c r="J70" s="151"/>
      <c r="K70" s="151"/>
      <c r="L70" s="151"/>
      <c r="M70" s="151"/>
      <c r="N70" s="145"/>
      <c r="O70" s="50"/>
    </row>
    <row r="71" spans="1:15" x14ac:dyDescent="0.25">
      <c r="A71" s="23"/>
      <c r="B71" s="23"/>
      <c r="C71" s="149"/>
      <c r="D71" s="147"/>
      <c r="E71" s="145"/>
      <c r="F71" s="150"/>
      <c r="G71" s="150"/>
      <c r="H71" s="150"/>
      <c r="I71" s="150"/>
      <c r="J71" s="151"/>
      <c r="K71" s="151"/>
      <c r="L71" s="151"/>
      <c r="M71" s="151"/>
      <c r="N71" s="145"/>
      <c r="O71" s="50"/>
    </row>
    <row r="72" spans="1:15" x14ac:dyDescent="0.25">
      <c r="A72" s="23"/>
      <c r="B72" s="23"/>
      <c r="C72" s="149"/>
      <c r="D72" s="147"/>
      <c r="E72" s="145"/>
      <c r="F72" s="150"/>
      <c r="G72" s="150"/>
      <c r="H72" s="150"/>
      <c r="I72" s="150"/>
      <c r="J72" s="151"/>
      <c r="K72" s="151"/>
      <c r="L72" s="151"/>
      <c r="M72" s="151"/>
      <c r="N72" s="145"/>
      <c r="O72" s="50"/>
    </row>
    <row r="73" spans="1:15" x14ac:dyDescent="0.25">
      <c r="A73" s="23"/>
      <c r="B73" s="23"/>
      <c r="C73" s="142"/>
      <c r="D73" s="147"/>
      <c r="E73" s="145"/>
      <c r="F73" s="150"/>
      <c r="G73" s="150"/>
      <c r="H73" s="150"/>
      <c r="I73" s="150"/>
      <c r="J73" s="151"/>
      <c r="K73" s="151"/>
      <c r="L73" s="151"/>
      <c r="M73" s="151"/>
      <c r="N73" s="145"/>
      <c r="O73" s="50"/>
    </row>
    <row r="74" spans="1:15" x14ac:dyDescent="0.25">
      <c r="A74" s="23"/>
      <c r="B74" s="23"/>
      <c r="C74" s="142"/>
      <c r="D74" s="147"/>
      <c r="E74" s="145"/>
      <c r="F74" s="150"/>
      <c r="G74" s="150"/>
      <c r="H74" s="150"/>
      <c r="I74" s="150"/>
      <c r="J74" s="151"/>
      <c r="K74" s="151"/>
      <c r="L74" s="151"/>
      <c r="M74" s="151"/>
      <c r="N74" s="145"/>
      <c r="O74" s="50"/>
    </row>
    <row r="75" spans="1:15" x14ac:dyDescent="0.25">
      <c r="A75" s="23"/>
      <c r="B75" s="23"/>
      <c r="C75" s="142"/>
      <c r="D75" s="147"/>
      <c r="E75" s="145"/>
      <c r="F75" s="150"/>
      <c r="G75" s="150"/>
      <c r="H75" s="150"/>
      <c r="I75" s="150"/>
      <c r="J75" s="151"/>
      <c r="K75" s="151"/>
      <c r="L75" s="151"/>
      <c r="M75" s="151"/>
      <c r="N75" s="145"/>
      <c r="O75" s="50"/>
    </row>
    <row r="76" spans="1:15" x14ac:dyDescent="0.25">
      <c r="A76" s="23"/>
      <c r="B76" s="23"/>
      <c r="C76" s="142"/>
      <c r="D76" s="147"/>
      <c r="E76" s="145"/>
      <c r="F76" s="150"/>
      <c r="G76" s="150"/>
      <c r="H76" s="150"/>
      <c r="I76" s="150"/>
      <c r="J76" s="151"/>
      <c r="K76" s="151"/>
      <c r="L76" s="151"/>
      <c r="M76" s="151"/>
      <c r="N76" s="145"/>
      <c r="O76" s="50"/>
    </row>
    <row r="77" spans="1:15" x14ac:dyDescent="0.25">
      <c r="A77" s="23"/>
      <c r="B77" s="23"/>
      <c r="C77" s="142"/>
      <c r="D77" s="147"/>
      <c r="E77" s="145"/>
      <c r="F77" s="150"/>
      <c r="G77" s="150"/>
      <c r="H77" s="150"/>
      <c r="I77" s="150"/>
      <c r="J77" s="151"/>
      <c r="K77" s="151"/>
      <c r="L77" s="151"/>
      <c r="M77" s="151"/>
      <c r="N77" s="145"/>
      <c r="O77" s="50"/>
    </row>
    <row r="78" spans="1:15" x14ac:dyDescent="0.25">
      <c r="A78" s="23"/>
      <c r="B78" s="23"/>
      <c r="C78" s="142"/>
      <c r="D78" s="147"/>
      <c r="E78" s="145"/>
      <c r="F78" s="150"/>
      <c r="G78" s="150"/>
      <c r="H78" s="150"/>
      <c r="I78" s="150"/>
      <c r="J78" s="151"/>
      <c r="K78" s="151"/>
      <c r="L78" s="151"/>
      <c r="M78" s="151"/>
      <c r="N78" s="145"/>
      <c r="O78" s="50"/>
    </row>
    <row r="79" spans="1:15" x14ac:dyDescent="0.25">
      <c r="A79" s="23"/>
      <c r="B79" s="23"/>
      <c r="C79" s="142"/>
      <c r="D79" s="147"/>
      <c r="E79" s="145"/>
      <c r="F79" s="150"/>
      <c r="G79" s="150"/>
      <c r="H79" s="150"/>
      <c r="I79" s="150"/>
      <c r="J79" s="151"/>
      <c r="K79" s="151"/>
      <c r="L79" s="151"/>
      <c r="M79" s="151"/>
      <c r="N79" s="145"/>
      <c r="O79" s="50"/>
    </row>
  </sheetData>
  <mergeCells count="11">
    <mergeCell ref="A1:B1"/>
    <mergeCell ref="D2:G2"/>
    <mergeCell ref="A21:E21"/>
    <mergeCell ref="F21:I21"/>
    <mergeCell ref="J36:O36"/>
    <mergeCell ref="F36:I36"/>
    <mergeCell ref="A36:E36"/>
    <mergeCell ref="H2:K2"/>
    <mergeCell ref="H8:I8"/>
    <mergeCell ref="A8:C9"/>
    <mergeCell ref="J21:O21"/>
  </mergeCells>
  <pageMargins left="0.7" right="0.7" top="0.75" bottom="0.75" header="0.3" footer="0.3"/>
  <pageSetup paperSize="17" scale="58" orientation="landscape" r:id="rId1"/>
  <headerFooter>
    <oddHeader>&amp;L&amp;F&amp;A&amp;R&amp;D
&amp;T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2"/>
  <sheetViews>
    <sheetView zoomScaleNormal="100" workbookViewId="0">
      <selection activeCell="M8" sqref="M8"/>
    </sheetView>
  </sheetViews>
  <sheetFormatPr defaultRowHeight="15" x14ac:dyDescent="0.25"/>
  <cols>
    <col min="1" max="1" width="17.7109375" customWidth="1"/>
    <col min="2" max="3" width="10.5703125" bestFit="1" customWidth="1"/>
    <col min="4" max="4" width="14.5703125" bestFit="1" customWidth="1"/>
    <col min="5" max="5" width="10.7109375" bestFit="1" customWidth="1"/>
    <col min="6" max="6" width="11.42578125" bestFit="1" customWidth="1"/>
    <col min="7" max="7" width="10.7109375" bestFit="1" customWidth="1"/>
    <col min="8" max="8" width="10" bestFit="1" customWidth="1"/>
    <col min="9" max="9" width="11" bestFit="1" customWidth="1"/>
    <col min="10" max="15" width="9.140625" customWidth="1"/>
  </cols>
  <sheetData>
    <row r="1" spans="1:15" ht="21.75" thickBot="1" x14ac:dyDescent="0.4">
      <c r="A1" s="195">
        <v>8005465.0499999998</v>
      </c>
      <c r="B1" s="196"/>
    </row>
    <row r="2" spans="1:15" ht="15.75" thickBot="1" x14ac:dyDescent="0.3">
      <c r="A2" s="67" t="s">
        <v>51</v>
      </c>
      <c r="B2" s="68"/>
      <c r="C2" s="69"/>
      <c r="D2" s="234" t="s">
        <v>1</v>
      </c>
      <c r="E2" s="174"/>
      <c r="F2" s="174"/>
      <c r="G2" s="175"/>
      <c r="H2" s="211" t="s">
        <v>66</v>
      </c>
      <c r="I2" s="212"/>
      <c r="J2" s="212"/>
      <c r="K2" s="213"/>
      <c r="L2" s="130"/>
      <c r="M2" s="131"/>
      <c r="N2" s="131"/>
      <c r="O2" s="131"/>
    </row>
    <row r="3" spans="1:15" x14ac:dyDescent="0.25">
      <c r="A3" s="26" t="s">
        <v>2</v>
      </c>
      <c r="B3" s="26" t="s">
        <v>3</v>
      </c>
      <c r="C3" s="70"/>
      <c r="D3" s="1" t="s">
        <v>4</v>
      </c>
      <c r="E3" s="2" t="s">
        <v>5</v>
      </c>
      <c r="F3" s="2" t="s">
        <v>6</v>
      </c>
      <c r="G3" s="5" t="s">
        <v>7</v>
      </c>
      <c r="H3" s="1" t="s">
        <v>4</v>
      </c>
      <c r="I3" s="2" t="s">
        <v>5</v>
      </c>
      <c r="J3" s="2" t="s">
        <v>6</v>
      </c>
      <c r="K3" s="5" t="s">
        <v>7</v>
      </c>
      <c r="L3" s="6"/>
      <c r="M3" s="17"/>
      <c r="N3" s="17"/>
      <c r="O3" s="17"/>
    </row>
    <row r="4" spans="1:15" x14ac:dyDescent="0.25">
      <c r="A4" s="30" t="s">
        <v>8</v>
      </c>
      <c r="B4" s="8">
        <v>25.074999999999992</v>
      </c>
      <c r="C4" s="113" t="s">
        <v>9</v>
      </c>
      <c r="D4" s="7">
        <v>60</v>
      </c>
      <c r="E4" s="11">
        <v>5.1000000000000004E-4</v>
      </c>
      <c r="F4" s="11">
        <v>5.1000000000000004E-4</v>
      </c>
      <c r="G4" s="12" t="s">
        <v>9</v>
      </c>
      <c r="H4" s="7">
        <v>100</v>
      </c>
      <c r="I4" s="111">
        <v>4.0000000000000003E-5</v>
      </c>
      <c r="J4" s="111">
        <v>6.0000000000000002E-6</v>
      </c>
      <c r="K4" s="113" t="s">
        <v>9</v>
      </c>
      <c r="L4" s="116"/>
      <c r="M4" s="117"/>
      <c r="N4" s="117"/>
      <c r="O4" s="23"/>
    </row>
    <row r="5" spans="1:15" x14ac:dyDescent="0.25">
      <c r="A5" s="30" t="s">
        <v>10</v>
      </c>
      <c r="B5" s="8">
        <f>B4/B9*1000</f>
        <v>0.24925447316103372</v>
      </c>
      <c r="C5" s="113" t="s">
        <v>11</v>
      </c>
      <c r="D5" s="7">
        <v>10</v>
      </c>
      <c r="E5" s="11">
        <v>5.0000000000000001E-4</v>
      </c>
      <c r="F5" s="11">
        <v>5.0000000000000001E-4</v>
      </c>
      <c r="G5" s="12" t="s">
        <v>9</v>
      </c>
      <c r="H5" s="7">
        <v>10</v>
      </c>
      <c r="I5" s="111">
        <v>3.0000000000000001E-5</v>
      </c>
      <c r="J5" s="111">
        <v>3.9999999999999998E-6</v>
      </c>
      <c r="K5" s="113" t="s">
        <v>9</v>
      </c>
      <c r="L5" s="116"/>
      <c r="M5" s="117"/>
      <c r="N5" s="117"/>
      <c r="O5" s="23"/>
    </row>
    <row r="6" spans="1:15" x14ac:dyDescent="0.25">
      <c r="A6" s="30" t="s">
        <v>12</v>
      </c>
      <c r="B6" s="14">
        <v>600</v>
      </c>
      <c r="C6" s="113" t="s">
        <v>13</v>
      </c>
      <c r="D6" s="53">
        <v>300</v>
      </c>
      <c r="E6" s="11">
        <v>5.1000000000000004E-4</v>
      </c>
      <c r="F6" s="11">
        <v>5.1999999999999995E-4</v>
      </c>
      <c r="G6" s="12" t="s">
        <v>14</v>
      </c>
      <c r="H6" s="119">
        <v>1</v>
      </c>
      <c r="I6" s="111">
        <v>3.4999999999999997E-5</v>
      </c>
      <c r="J6" s="111">
        <v>6.0000000000000002E-6</v>
      </c>
      <c r="K6" s="113" t="s">
        <v>9</v>
      </c>
      <c r="L6" s="116"/>
      <c r="M6" s="117"/>
      <c r="N6" s="117"/>
      <c r="O6" s="23"/>
    </row>
    <row r="7" spans="1:15" ht="18.75" thickBot="1" x14ac:dyDescent="0.4">
      <c r="A7" s="30" t="s">
        <v>15</v>
      </c>
      <c r="B7" s="14">
        <v>100000</v>
      </c>
      <c r="C7" s="113" t="s">
        <v>13</v>
      </c>
      <c r="D7" s="124">
        <v>30</v>
      </c>
      <c r="E7" s="55">
        <v>5.1999999999999995E-4</v>
      </c>
      <c r="F7" s="55">
        <v>5.1999999999999995E-4</v>
      </c>
      <c r="G7" s="56" t="s">
        <v>16</v>
      </c>
      <c r="H7" s="123">
        <v>100</v>
      </c>
      <c r="I7" s="112">
        <v>4.0000000000000003E-5</v>
      </c>
      <c r="J7" s="112">
        <v>6.0000000000000002E-6</v>
      </c>
      <c r="K7" s="114" t="s">
        <v>14</v>
      </c>
      <c r="L7" s="116"/>
      <c r="M7" s="117"/>
      <c r="N7" s="117"/>
      <c r="O7" s="118"/>
    </row>
    <row r="8" spans="1:15" x14ac:dyDescent="0.25">
      <c r="A8" s="207"/>
      <c r="B8" s="177"/>
      <c r="C8" s="208"/>
      <c r="D8" s="71"/>
      <c r="E8" s="72"/>
      <c r="F8" s="72"/>
      <c r="G8" s="72"/>
      <c r="H8" s="17"/>
      <c r="I8" s="115"/>
      <c r="J8" s="16"/>
      <c r="K8" s="16"/>
      <c r="L8" s="23"/>
      <c r="O8" s="118"/>
    </row>
    <row r="9" spans="1:15" ht="18" x14ac:dyDescent="0.35">
      <c r="A9" s="30" t="s">
        <v>17</v>
      </c>
      <c r="B9" s="14">
        <f>SUM(B6:B7)</f>
        <v>100600</v>
      </c>
      <c r="C9" s="30" t="s">
        <v>13</v>
      </c>
      <c r="D9" s="73"/>
      <c r="E9" s="74"/>
      <c r="F9" s="74"/>
      <c r="G9" s="74"/>
      <c r="H9" s="203" t="s">
        <v>68</v>
      </c>
      <c r="I9" s="203"/>
      <c r="J9" s="126">
        <v>100</v>
      </c>
      <c r="K9" s="30" t="s">
        <v>13</v>
      </c>
      <c r="L9" s="23"/>
      <c r="O9" s="118"/>
    </row>
    <row r="10" spans="1:15" x14ac:dyDescent="0.25">
      <c r="A10" s="30" t="s">
        <v>18</v>
      </c>
      <c r="B10" s="57">
        <f>((B5/1000)^2*B6)*1000</f>
        <v>3.7276675434470684E-2</v>
      </c>
      <c r="C10" s="30" t="s">
        <v>19</v>
      </c>
      <c r="D10" s="209"/>
      <c r="E10" s="179"/>
      <c r="F10" s="179"/>
      <c r="G10" s="179"/>
      <c r="H10" s="179"/>
      <c r="I10" s="23"/>
    </row>
    <row r="11" spans="1:15" ht="15.75" thickBot="1" x14ac:dyDescent="0.3"/>
    <row r="12" spans="1:15" ht="15.75" thickBot="1" x14ac:dyDescent="0.3">
      <c r="A12" s="171" t="s">
        <v>51</v>
      </c>
      <c r="B12" s="172"/>
      <c r="C12" s="172"/>
      <c r="D12" s="172"/>
      <c r="E12" s="173"/>
      <c r="F12" s="235" t="s">
        <v>67</v>
      </c>
      <c r="G12" s="236"/>
      <c r="H12" s="236"/>
      <c r="I12" s="237"/>
      <c r="J12" s="200" t="s">
        <v>21</v>
      </c>
      <c r="K12" s="201"/>
      <c r="L12" s="201"/>
      <c r="M12" s="201"/>
      <c r="N12" s="201"/>
      <c r="O12" s="202"/>
    </row>
    <row r="13" spans="1:15" ht="33" x14ac:dyDescent="0.35">
      <c r="A13" s="1" t="s">
        <v>22</v>
      </c>
      <c r="B13" s="2" t="s">
        <v>23</v>
      </c>
      <c r="C13" s="2" t="s">
        <v>24</v>
      </c>
      <c r="D13" s="120" t="s">
        <v>25</v>
      </c>
      <c r="E13" s="125" t="s">
        <v>26</v>
      </c>
      <c r="F13" s="75" t="s">
        <v>27</v>
      </c>
      <c r="G13" s="76" t="s">
        <v>28</v>
      </c>
      <c r="H13" s="76" t="s">
        <v>29</v>
      </c>
      <c r="I13" s="77" t="s">
        <v>30</v>
      </c>
      <c r="J13" s="75" t="s">
        <v>31</v>
      </c>
      <c r="K13" s="76" t="s">
        <v>32</v>
      </c>
      <c r="L13" s="76" t="s">
        <v>33</v>
      </c>
      <c r="M13" s="76" t="s">
        <v>34</v>
      </c>
      <c r="N13" s="28" t="s">
        <v>35</v>
      </c>
      <c r="O13" s="29" t="s">
        <v>36</v>
      </c>
    </row>
    <row r="14" spans="1:15" x14ac:dyDescent="0.25">
      <c r="A14" s="7">
        <v>10</v>
      </c>
      <c r="B14" s="30" t="s">
        <v>52</v>
      </c>
      <c r="C14" s="78">
        <v>550</v>
      </c>
      <c r="D14" s="79">
        <f>C14*(E14/1000)</f>
        <v>0.13715813028344104</v>
      </c>
      <c r="E14" s="80">
        <f>B$4/(B$7+C14)*1000</f>
        <v>0.24937841869716551</v>
      </c>
      <c r="F14" s="33">
        <f t="shared" ref="F14:F17" si="0">D14-((D14*E$6)+((D$6/1000)*F$6))</f>
        <v>0.13693217963699647</v>
      </c>
      <c r="G14" s="34">
        <f t="shared" ref="G14:G17" si="1">D14+((D14*E$6)+((D$6/1000)*F$6))</f>
        <v>0.1373840809298856</v>
      </c>
      <c r="H14" s="34">
        <f t="shared" ref="H14:H17" si="2">E14-((E14*E$7)+(D$7*F$7))</f>
        <v>0.23364874191944299</v>
      </c>
      <c r="I14" s="81">
        <f t="shared" ref="I14:I17" si="3">E14+((E14*E$7)+(D$7*F$7))</f>
        <v>0.26510809547488806</v>
      </c>
      <c r="J14" s="82">
        <f t="shared" ref="J14:J17" si="4">C14-(F14/(H14/1000))</f>
        <v>-36.059991216249387</v>
      </c>
      <c r="K14" s="83">
        <f t="shared" ref="K14:K17" si="5">C14-(F14/(I14/1000))</f>
        <v>33.485483943031227</v>
      </c>
      <c r="L14" s="83">
        <f t="shared" ref="L14:L17" si="6">C14-(G14/(H14/1000))</f>
        <v>-37.994096613850616</v>
      </c>
      <c r="M14" s="83">
        <f t="shared" ref="M14:M17" si="7">C14-(G14/(I14/1000))</f>
        <v>31.780891361353724</v>
      </c>
      <c r="N14" s="84">
        <f t="shared" ref="N14:N17" si="8">SQRT((J14^2+K14^2+L14^2+M14^2)/4)</f>
        <v>34.911233989361392</v>
      </c>
      <c r="O14" s="38">
        <f>N14/C14</f>
        <v>6.3474970889747989E-2</v>
      </c>
    </row>
    <row r="15" spans="1:15" x14ac:dyDescent="0.25">
      <c r="A15" s="7">
        <v>9</v>
      </c>
      <c r="B15" s="30" t="s">
        <v>53</v>
      </c>
      <c r="C15" s="78">
        <v>500</v>
      </c>
      <c r="D15" s="79">
        <f t="shared" ref="D15:D24" si="9">C15*(E15/1000)</f>
        <v>0.12475124378109449</v>
      </c>
      <c r="E15" s="80">
        <f t="shared" ref="E15:E24" si="10">B$4/(B$7+C15)*1000</f>
        <v>0.24950248756218898</v>
      </c>
      <c r="F15" s="33">
        <f t="shared" si="0"/>
        <v>0.12453162064676614</v>
      </c>
      <c r="G15" s="34">
        <f t="shared" si="1"/>
        <v>0.12497086691542285</v>
      </c>
      <c r="H15" s="34">
        <f t="shared" si="2"/>
        <v>0.23377274626865666</v>
      </c>
      <c r="I15" s="81">
        <f t="shared" si="3"/>
        <v>0.26523222885572134</v>
      </c>
      <c r="J15" s="82">
        <f t="shared" si="4"/>
        <v>-32.70375881905295</v>
      </c>
      <c r="K15" s="83">
        <f t="shared" si="5"/>
        <v>30.48081229032033</v>
      </c>
      <c r="L15" s="83">
        <f t="shared" si="6"/>
        <v>-34.582704400467833</v>
      </c>
      <c r="M15" s="83">
        <f t="shared" si="7"/>
        <v>28.824730484003908</v>
      </c>
      <c r="N15" s="84">
        <f t="shared" si="8"/>
        <v>31.723194550273966</v>
      </c>
      <c r="O15" s="38">
        <f t="shared" ref="O15:O24" si="11">N15/C15</f>
        <v>6.3446389100547937E-2</v>
      </c>
    </row>
    <row r="16" spans="1:15" x14ac:dyDescent="0.25">
      <c r="A16" s="7">
        <v>8</v>
      </c>
      <c r="B16" s="30" t="s">
        <v>37</v>
      </c>
      <c r="C16" s="78">
        <v>450</v>
      </c>
      <c r="D16" s="79">
        <f t="shared" si="9"/>
        <v>0.11233200597312093</v>
      </c>
      <c r="E16" s="80">
        <f t="shared" si="10"/>
        <v>0.24962667994026871</v>
      </c>
      <c r="F16" s="33">
        <f t="shared" si="0"/>
        <v>0.11211871665007464</v>
      </c>
      <c r="G16" s="34">
        <f t="shared" si="1"/>
        <v>0.11254529529616722</v>
      </c>
      <c r="H16" s="34">
        <f t="shared" si="2"/>
        <v>0.23389687406669979</v>
      </c>
      <c r="I16" s="81">
        <f t="shared" si="3"/>
        <v>0.26535648581383764</v>
      </c>
      <c r="J16" s="82">
        <f t="shared" si="4"/>
        <v>-29.351069130158749</v>
      </c>
      <c r="K16" s="83">
        <f t="shared" si="5"/>
        <v>27.478891061542868</v>
      </c>
      <c r="L16" s="83">
        <f t="shared" si="6"/>
        <v>-31.174858557848722</v>
      </c>
      <c r="M16" s="83">
        <f t="shared" si="7"/>
        <v>25.87132286970359</v>
      </c>
      <c r="N16" s="84">
        <f t="shared" si="8"/>
        <v>28.538447164245902</v>
      </c>
      <c r="O16" s="38">
        <f t="shared" si="11"/>
        <v>6.3418771476102004E-2</v>
      </c>
    </row>
    <row r="17" spans="1:15" x14ac:dyDescent="0.25">
      <c r="A17" s="7">
        <v>7</v>
      </c>
      <c r="B17" s="30" t="s">
        <v>38</v>
      </c>
      <c r="C17" s="78">
        <v>400</v>
      </c>
      <c r="D17" s="79">
        <f t="shared" si="9"/>
        <v>9.9900398406374477E-2</v>
      </c>
      <c r="E17" s="80">
        <f t="shared" si="10"/>
        <v>0.2497509960159362</v>
      </c>
      <c r="F17" s="33">
        <f t="shared" si="0"/>
        <v>9.969344920318722E-2</v>
      </c>
      <c r="G17" s="34">
        <f t="shared" si="1"/>
        <v>0.10010734760956173</v>
      </c>
      <c r="H17" s="34">
        <f t="shared" si="2"/>
        <v>0.23402112549800791</v>
      </c>
      <c r="I17" s="81">
        <f t="shared" si="3"/>
        <v>0.26548086653386449</v>
      </c>
      <c r="J17" s="82">
        <f t="shared" si="4"/>
        <v>-26.001921796739055</v>
      </c>
      <c r="K17" s="83">
        <f t="shared" si="5"/>
        <v>24.47972049816093</v>
      </c>
      <c r="L17" s="83">
        <f t="shared" si="6"/>
        <v>-27.770558732800794</v>
      </c>
      <c r="M17" s="83">
        <f t="shared" si="7"/>
        <v>22.920668760164176</v>
      </c>
      <c r="N17" s="84">
        <f t="shared" si="8"/>
        <v>25.357038675370386</v>
      </c>
      <c r="O17" s="38">
        <f t="shared" si="11"/>
        <v>6.3392596688425965E-2</v>
      </c>
    </row>
    <row r="18" spans="1:15" x14ac:dyDescent="0.25">
      <c r="A18" s="7">
        <v>6</v>
      </c>
      <c r="B18" s="30" t="s">
        <v>39</v>
      </c>
      <c r="C18" s="14">
        <v>350</v>
      </c>
      <c r="D18" s="79">
        <f t="shared" si="9"/>
        <v>8.7456402590931709E-2</v>
      </c>
      <c r="E18" s="80">
        <f t="shared" si="10"/>
        <v>0.24987543597409059</v>
      </c>
      <c r="F18" s="33">
        <f>D18-((D18*E$6)+((D$6/1000)*F$6))</f>
        <v>8.7255799825610339E-2</v>
      </c>
      <c r="G18" s="34">
        <f>D18+((D18*E$6)+((D$6/1000)*F$6))</f>
        <v>8.7657005356253079E-2</v>
      </c>
      <c r="H18" s="34">
        <f>E18-((E18*E$7)+(D$7*F$7))</f>
        <v>0.23414550074738408</v>
      </c>
      <c r="I18" s="81">
        <f>E18+((E18*E$7)+(D$7*F$7))</f>
        <v>0.26560537120079714</v>
      </c>
      <c r="J18" s="82">
        <f>C18-(F18/(H18/1000))</f>
        <v>-22.656316466013436</v>
      </c>
      <c r="K18" s="83">
        <f>C18-(F18/(I18/1000))</f>
        <v>21.483300841664345</v>
      </c>
      <c r="L18" s="83">
        <f>C18-(G18/(H18/1000))</f>
        <v>-24.369804572178623</v>
      </c>
      <c r="M18" s="83">
        <f>C18-(G18/(I18/1000))</f>
        <v>19.972768397124923</v>
      </c>
      <c r="N18" s="84">
        <f>SQRT((J18^2+K18^2+L18^2+M18^2)/4)</f>
        <v>22.179042716002069</v>
      </c>
      <c r="O18" s="38">
        <f t="shared" si="11"/>
        <v>6.3368693474291624E-2</v>
      </c>
    </row>
    <row r="19" spans="1:15" x14ac:dyDescent="0.25">
      <c r="A19" s="7">
        <v>5</v>
      </c>
      <c r="B19" s="30" t="s">
        <v>40</v>
      </c>
      <c r="C19" s="14">
        <v>300</v>
      </c>
      <c r="D19" s="79">
        <f t="shared" si="9"/>
        <v>7.4999999999999969E-2</v>
      </c>
      <c r="E19" s="80">
        <f t="shared" si="10"/>
        <v>0.24999999999999989</v>
      </c>
      <c r="F19" s="33">
        <f t="shared" ref="F19:F24" si="12">D19-((D19*E$6)+((D$6/1000)*F$6))</f>
        <v>7.4805749999999976E-2</v>
      </c>
      <c r="G19" s="34">
        <f t="shared" ref="G19:G24" si="13">D19+((D19*E$6)+((D$6/1000)*F$6))</f>
        <v>7.5194249999999963E-2</v>
      </c>
      <c r="H19" s="34">
        <f t="shared" ref="H19:H24" si="14">E19-((E19*E$7)+(D$7*F$7))</f>
        <v>0.23426999999999989</v>
      </c>
      <c r="I19" s="81">
        <f t="shared" ref="I19:I24" si="15">E19+((E19*E$7)+(D$7*F$7))</f>
        <v>0.26572999999999991</v>
      </c>
      <c r="J19" s="82">
        <f t="shared" ref="J19:J24" si="16">C19-(F19/(H19/1000))</f>
        <v>-19.314252785247845</v>
      </c>
      <c r="K19" s="83">
        <f t="shared" ref="K19:K24" si="17">C19-(F19/(I19/1000))</f>
        <v>18.489632333571706</v>
      </c>
      <c r="L19" s="83">
        <f t="shared" ref="L19:L24" si="18">C19-(G19/(H19/1000))</f>
        <v>-20.972595722883852</v>
      </c>
      <c r="M19" s="83">
        <f t="shared" ref="M19:M24" si="19">C19-(G19/(I19/1000))</f>
        <v>17.027622022353569</v>
      </c>
      <c r="N19" s="84">
        <f t="shared" ref="N19:N24" si="20">SQRT((J19^2+K19^2+L19^2+M19^2)/4)</f>
        <v>19.004581997341987</v>
      </c>
      <c r="O19" s="38">
        <f t="shared" si="11"/>
        <v>6.3348606657806616E-2</v>
      </c>
    </row>
    <row r="20" spans="1:15" x14ac:dyDescent="0.25">
      <c r="A20" s="7">
        <v>4</v>
      </c>
      <c r="B20" s="30" t="s">
        <v>41</v>
      </c>
      <c r="C20" s="14">
        <v>250</v>
      </c>
      <c r="D20" s="79">
        <f t="shared" si="9"/>
        <v>6.2531172069825419E-2</v>
      </c>
      <c r="E20" s="80">
        <f t="shared" si="10"/>
        <v>0.25012468827930168</v>
      </c>
      <c r="F20" s="33">
        <f t="shared" si="12"/>
        <v>6.234328117206981E-2</v>
      </c>
      <c r="G20" s="34">
        <f t="shared" si="13"/>
        <v>6.2719062967581035E-2</v>
      </c>
      <c r="H20" s="34">
        <f t="shared" si="14"/>
        <v>0.23439462344139644</v>
      </c>
      <c r="I20" s="81">
        <f t="shared" si="15"/>
        <v>0.26585475311720691</v>
      </c>
      <c r="J20" s="82">
        <f t="shared" si="16"/>
        <v>-15.9757304017553</v>
      </c>
      <c r="K20" s="83">
        <f t="shared" si="17"/>
        <v>15.49871521542957</v>
      </c>
      <c r="L20" s="83">
        <f t="shared" si="18"/>
        <v>-17.578931831864793</v>
      </c>
      <c r="M20" s="83">
        <f t="shared" si="19"/>
        <v>14.085229877646043</v>
      </c>
      <c r="N20" s="84">
        <f t="shared" si="20"/>
        <v>15.833877290907292</v>
      </c>
      <c r="O20" s="38">
        <f t="shared" si="11"/>
        <v>6.3335509163629164E-2</v>
      </c>
    </row>
    <row r="21" spans="1:15" x14ac:dyDescent="0.25">
      <c r="A21" s="7">
        <v>3</v>
      </c>
      <c r="B21" s="30" t="s">
        <v>42</v>
      </c>
      <c r="C21" s="14">
        <v>200</v>
      </c>
      <c r="D21" s="79">
        <f t="shared" si="9"/>
        <v>5.0049900199600782E-2</v>
      </c>
      <c r="E21" s="80">
        <f t="shared" si="10"/>
        <v>0.25024950099800392</v>
      </c>
      <c r="F21" s="33">
        <f t="shared" si="12"/>
        <v>4.9868374750498982E-2</v>
      </c>
      <c r="G21" s="34">
        <f t="shared" si="13"/>
        <v>5.0231425648702581E-2</v>
      </c>
      <c r="H21" s="34">
        <f t="shared" si="14"/>
        <v>0.23451937125748495</v>
      </c>
      <c r="I21" s="81">
        <f t="shared" si="15"/>
        <v>0.26597963073852288</v>
      </c>
      <c r="J21" s="82">
        <f t="shared" si="16"/>
        <v>-12.640748962895657</v>
      </c>
      <c r="K21" s="83">
        <f t="shared" si="17"/>
        <v>12.510549728812947</v>
      </c>
      <c r="L21" s="83">
        <f t="shared" si="18"/>
        <v>-14.188812546116651</v>
      </c>
      <c r="M21" s="83">
        <f t="shared" si="19"/>
        <v>11.145592204826812</v>
      </c>
      <c r="N21" s="84">
        <f t="shared" si="20"/>
        <v>12.667369655192655</v>
      </c>
      <c r="O21" s="38">
        <f t="shared" si="11"/>
        <v>6.3336848275963267E-2</v>
      </c>
    </row>
    <row r="22" spans="1:15" x14ac:dyDescent="0.25">
      <c r="A22" s="7">
        <v>2</v>
      </c>
      <c r="B22" s="30" t="s">
        <v>43</v>
      </c>
      <c r="C22" s="14">
        <v>150</v>
      </c>
      <c r="D22" s="79">
        <f t="shared" si="9"/>
        <v>3.7556165751372932E-2</v>
      </c>
      <c r="E22" s="80">
        <f t="shared" si="10"/>
        <v>0.25037443834248618</v>
      </c>
      <c r="F22" s="33">
        <f t="shared" si="12"/>
        <v>3.738101210683973E-2</v>
      </c>
      <c r="G22" s="34">
        <f t="shared" si="13"/>
        <v>3.7731319395906134E-2</v>
      </c>
      <c r="H22" s="34">
        <f t="shared" si="14"/>
        <v>0.23464424363454808</v>
      </c>
      <c r="I22" s="81">
        <f t="shared" si="15"/>
        <v>0.26610463305042426</v>
      </c>
      <c r="J22" s="82">
        <f t="shared" si="16"/>
        <v>-9.3093081160755844</v>
      </c>
      <c r="K22" s="83">
        <f t="shared" si="17"/>
        <v>9.52513611532504</v>
      </c>
      <c r="L22" s="83">
        <f t="shared" si="18"/>
        <v>-10.802237512681614</v>
      </c>
      <c r="M22" s="83">
        <f t="shared" si="19"/>
        <v>8.2087092457484232</v>
      </c>
      <c r="N22" s="84">
        <f t="shared" si="20"/>
        <v>9.5060859239899784</v>
      </c>
      <c r="O22" s="38">
        <f t="shared" si="11"/>
        <v>6.3373906159933185E-2</v>
      </c>
    </row>
    <row r="23" spans="1:15" x14ac:dyDescent="0.25">
      <c r="A23" s="7">
        <v>1</v>
      </c>
      <c r="B23" s="30" t="s">
        <v>44</v>
      </c>
      <c r="C23" s="14">
        <v>100</v>
      </c>
      <c r="D23" s="79">
        <f t="shared" si="9"/>
        <v>2.5049950049950042E-2</v>
      </c>
      <c r="E23" s="80">
        <f t="shared" si="10"/>
        <v>0.25049950049950043</v>
      </c>
      <c r="F23" s="33">
        <f t="shared" si="12"/>
        <v>2.4881174575424568E-2</v>
      </c>
      <c r="G23" s="34">
        <f t="shared" si="13"/>
        <v>2.5218725524475516E-2</v>
      </c>
      <c r="H23" s="34">
        <f t="shared" si="14"/>
        <v>0.23476924075924069</v>
      </c>
      <c r="I23" s="81">
        <f t="shared" si="15"/>
        <v>0.26622976023976019</v>
      </c>
      <c r="J23" s="82">
        <f t="shared" si="16"/>
        <v>-5.9814075087484753</v>
      </c>
      <c r="K23" s="83">
        <f t="shared" si="17"/>
        <v>6.5424746165974312</v>
      </c>
      <c r="L23" s="83">
        <f t="shared" si="18"/>
        <v>-7.419206378648596</v>
      </c>
      <c r="M23" s="83">
        <f t="shared" si="19"/>
        <v>5.2745812422918732</v>
      </c>
      <c r="N23" s="84">
        <f t="shared" si="20"/>
        <v>6.35309059562847</v>
      </c>
      <c r="O23" s="38">
        <f t="shared" si="11"/>
        <v>6.3530905956284703E-2</v>
      </c>
    </row>
    <row r="24" spans="1:15" ht="15.75" thickBot="1" x14ac:dyDescent="0.3">
      <c r="A24" s="20">
        <v>0</v>
      </c>
      <c r="B24" s="85" t="s">
        <v>49</v>
      </c>
      <c r="C24" s="86">
        <v>50</v>
      </c>
      <c r="D24" s="87">
        <f t="shared" si="9"/>
        <v>1.2531234382808589E-2</v>
      </c>
      <c r="E24" s="88">
        <f t="shared" si="10"/>
        <v>0.2506246876561718</v>
      </c>
      <c r="F24" s="43">
        <f t="shared" si="12"/>
        <v>1.2368843453273357E-2</v>
      </c>
      <c r="G24" s="44">
        <f t="shared" si="13"/>
        <v>1.2693625312343821E-2</v>
      </c>
      <c r="H24" s="44">
        <f t="shared" si="14"/>
        <v>0.23489436281859058</v>
      </c>
      <c r="I24" s="89">
        <f t="shared" si="15"/>
        <v>0.26635501249375299</v>
      </c>
      <c r="J24" s="90">
        <f t="shared" si="16"/>
        <v>-2.6570467884145899</v>
      </c>
      <c r="K24" s="91">
        <f t="shared" si="17"/>
        <v>3.5625654742898689</v>
      </c>
      <c r="L24" s="91">
        <f t="shared" si="18"/>
        <v>-4.0397187911535184</v>
      </c>
      <c r="M24" s="91">
        <f t="shared" si="19"/>
        <v>2.3432084363663535</v>
      </c>
      <c r="N24" s="92">
        <f t="shared" si="20"/>
        <v>3.2234191506180117</v>
      </c>
      <c r="O24" s="48">
        <f t="shared" si="11"/>
        <v>6.4468383012360228E-2</v>
      </c>
    </row>
    <row r="25" spans="1:15" ht="15.75" thickBot="1" x14ac:dyDescent="0.3"/>
    <row r="26" spans="1:15" ht="15.75" thickBot="1" x14ac:dyDescent="0.3">
      <c r="A26" s="171" t="s">
        <v>51</v>
      </c>
      <c r="B26" s="172"/>
      <c r="C26" s="172"/>
      <c r="D26" s="172"/>
      <c r="E26" s="173"/>
      <c r="F26" s="186" t="s">
        <v>69</v>
      </c>
      <c r="G26" s="187"/>
      <c r="H26" s="187"/>
      <c r="I26" s="188"/>
      <c r="J26" s="200" t="s">
        <v>21</v>
      </c>
      <c r="K26" s="201"/>
      <c r="L26" s="201"/>
      <c r="M26" s="201"/>
      <c r="N26" s="201"/>
      <c r="O26" s="202"/>
    </row>
    <row r="27" spans="1:15" ht="33" x14ac:dyDescent="0.35">
      <c r="A27" s="1" t="s">
        <v>22</v>
      </c>
      <c r="B27" s="2" t="s">
        <v>23</v>
      </c>
      <c r="C27" s="2" t="s">
        <v>24</v>
      </c>
      <c r="D27" s="121" t="s">
        <v>25</v>
      </c>
      <c r="E27" s="122" t="s">
        <v>26</v>
      </c>
      <c r="F27" s="75" t="s">
        <v>27</v>
      </c>
      <c r="G27" s="76" t="s">
        <v>28</v>
      </c>
      <c r="H27" s="76" t="s">
        <v>29</v>
      </c>
      <c r="I27" s="96" t="s">
        <v>30</v>
      </c>
      <c r="J27" s="75" t="s">
        <v>31</v>
      </c>
      <c r="K27" s="76" t="s">
        <v>32</v>
      </c>
      <c r="L27" s="76" t="s">
        <v>33</v>
      </c>
      <c r="M27" s="76" t="s">
        <v>34</v>
      </c>
      <c r="N27" s="28" t="s">
        <v>35</v>
      </c>
      <c r="O27" s="29" t="s">
        <v>36</v>
      </c>
    </row>
    <row r="28" spans="1:15" x14ac:dyDescent="0.25">
      <c r="A28" s="7">
        <v>10</v>
      </c>
      <c r="B28" s="30" t="s">
        <v>52</v>
      </c>
      <c r="C28" s="78">
        <v>550</v>
      </c>
      <c r="D28" s="79">
        <f>C28*(E28/1000)</f>
        <v>0.13715813028344104</v>
      </c>
      <c r="E28" s="80">
        <f>B$4/(B$7+C28)*1000</f>
        <v>0.24937841869716551</v>
      </c>
      <c r="F28" s="33">
        <f>D28-((D28*I$6)+((H$6/1000)*J$6))</f>
        <v>0.13715332374888112</v>
      </c>
      <c r="G28" s="34">
        <f>D28+((D28*I$6)+((H$6/1000)*J$6))</f>
        <v>0.13716293681800096</v>
      </c>
      <c r="H28" s="34">
        <f>((E28*J$9)-(((E28*J$9)*I$7)+(H$7*J$7)))/J$9</f>
        <v>0.24936244356041762</v>
      </c>
      <c r="I28" s="35">
        <f>((E28*J$9)-(((E28*J$9)*I$7)+(H$7*J$7)))/J$9</f>
        <v>0.24936244356041762</v>
      </c>
      <c r="J28" s="82">
        <f t="shared" ref="J28:J31" si="21">C28-(F28/(H28/1000))</f>
        <v>-1.5959863861667145E-2</v>
      </c>
      <c r="K28" s="83">
        <f t="shared" ref="K28:K31" si="22">C28-(F28/(I28/1000))</f>
        <v>-1.5959863861667145E-2</v>
      </c>
      <c r="L28" s="83">
        <f t="shared" ref="L28:L31" si="23">C28-(G28/(H28/1000))</f>
        <v>-5.4510453046532348E-2</v>
      </c>
      <c r="M28" s="83">
        <f t="shared" ref="M28:M31" si="24">C28-(G28/(I28/1000))</f>
        <v>-5.4510453046532348E-2</v>
      </c>
      <c r="N28" s="84">
        <f t="shared" ref="N28:N31" si="25">SQRT((J28^2+K28^2+L28^2+M28^2)/4)</f>
        <v>4.0162835717994047E-2</v>
      </c>
      <c r="O28" s="38">
        <f>N28/C28</f>
        <v>7.3023337669080084E-5</v>
      </c>
    </row>
    <row r="29" spans="1:15" x14ac:dyDescent="0.25">
      <c r="A29" s="7">
        <v>9</v>
      </c>
      <c r="B29" s="30" t="s">
        <v>53</v>
      </c>
      <c r="C29" s="78">
        <v>500</v>
      </c>
      <c r="D29" s="79">
        <f t="shared" ref="D29:D38" si="26">C29*(E29/1000)</f>
        <v>0.12475124378109449</v>
      </c>
      <c r="E29" s="80">
        <f t="shared" ref="E29:E38" si="27">B$4/(B$7+C29)*1000</f>
        <v>0.24950248756218898</v>
      </c>
      <c r="F29" s="33">
        <f t="shared" ref="F29:F38" si="28">D29-((D29*I$6)+((H$6/1000)*J$6))</f>
        <v>0.12474687148756215</v>
      </c>
      <c r="G29" s="34">
        <f t="shared" ref="G29:G38" si="29">D29+((D29*I$6)+((H$6/1000)*J$6))</f>
        <v>0.12475561607462683</v>
      </c>
      <c r="H29" s="34">
        <f t="shared" ref="H29:H38" si="30">((E29*J$9)-(((E29*J$9)*I$7)+(H$7*J$7)))/J$9</f>
        <v>0.24948650746268647</v>
      </c>
      <c r="I29" s="35">
        <f t="shared" ref="I29:I38" si="31">((E29*J$9)-(((E29*J$9)*I$7)+(H$7*J$7)))/J$9</f>
        <v>0.24948650746268647</v>
      </c>
      <c r="J29" s="82">
        <f t="shared" si="21"/>
        <v>-1.4500809104788459E-2</v>
      </c>
      <c r="K29" s="83">
        <f t="shared" si="22"/>
        <v>-1.4500809104788459E-2</v>
      </c>
      <c r="L29" s="83">
        <f t="shared" si="23"/>
        <v>-4.9551149716819509E-2</v>
      </c>
      <c r="M29" s="83">
        <f t="shared" si="24"/>
        <v>-4.9551149716819509E-2</v>
      </c>
      <c r="N29" s="84">
        <f t="shared" si="25"/>
        <v>3.650746432547855E-2</v>
      </c>
      <c r="O29" s="38">
        <f t="shared" ref="O29:O38" si="32">N29/C29</f>
        <v>7.3014928650957106E-5</v>
      </c>
    </row>
    <row r="30" spans="1:15" x14ac:dyDescent="0.25">
      <c r="A30" s="7">
        <v>8</v>
      </c>
      <c r="B30" s="30" t="s">
        <v>37</v>
      </c>
      <c r="C30" s="78">
        <v>450</v>
      </c>
      <c r="D30" s="79">
        <f t="shared" si="26"/>
        <v>0.11233200597312093</v>
      </c>
      <c r="E30" s="80">
        <f t="shared" si="27"/>
        <v>0.24962667994026871</v>
      </c>
      <c r="F30" s="33">
        <f t="shared" si="28"/>
        <v>0.11232806835291187</v>
      </c>
      <c r="G30" s="34">
        <f t="shared" si="29"/>
        <v>0.11233594359332999</v>
      </c>
      <c r="H30" s="34">
        <f t="shared" si="30"/>
        <v>0.24961069487307111</v>
      </c>
      <c r="I30" s="35">
        <f t="shared" si="31"/>
        <v>0.24961069487307111</v>
      </c>
      <c r="J30" s="82">
        <f t="shared" si="21"/>
        <v>-1.3042950870044479E-2</v>
      </c>
      <c r="K30" s="83">
        <f t="shared" si="22"/>
        <v>-1.3042950870044479E-2</v>
      </c>
      <c r="L30" s="83">
        <f t="shared" si="23"/>
        <v>-4.4593042992971732E-2</v>
      </c>
      <c r="M30" s="83">
        <f t="shared" si="24"/>
        <v>-4.4593042992971732E-2</v>
      </c>
      <c r="N30" s="84">
        <f t="shared" si="25"/>
        <v>3.2853143310583074E-2</v>
      </c>
      <c r="O30" s="38">
        <f t="shared" si="32"/>
        <v>7.3006985134629049E-5</v>
      </c>
    </row>
    <row r="31" spans="1:15" x14ac:dyDescent="0.25">
      <c r="A31" s="7">
        <v>7</v>
      </c>
      <c r="B31" s="30" t="s">
        <v>38</v>
      </c>
      <c r="C31" s="78">
        <v>400</v>
      </c>
      <c r="D31" s="79">
        <f t="shared" si="26"/>
        <v>9.9900398406374477E-2</v>
      </c>
      <c r="E31" s="80">
        <f t="shared" si="27"/>
        <v>0.2497509960159362</v>
      </c>
      <c r="F31" s="33">
        <f t="shared" si="28"/>
        <v>9.9896895892430254E-2</v>
      </c>
      <c r="G31" s="34">
        <f t="shared" si="29"/>
        <v>9.99039009203187E-2</v>
      </c>
      <c r="H31" s="34">
        <f t="shared" si="30"/>
        <v>0.24973500597609555</v>
      </c>
      <c r="I31" s="35">
        <f t="shared" si="31"/>
        <v>0.24973500597609555</v>
      </c>
      <c r="J31" s="82">
        <f t="shared" si="21"/>
        <v>-1.1586289157662577E-2</v>
      </c>
      <c r="K31" s="83">
        <f t="shared" si="22"/>
        <v>-1.1586289157662577E-2</v>
      </c>
      <c r="L31" s="83">
        <f t="shared" si="23"/>
        <v>-3.9636132875273233E-2</v>
      </c>
      <c r="M31" s="83">
        <f t="shared" si="24"/>
        <v>-3.9636132875273233E-2</v>
      </c>
      <c r="N31" s="84">
        <f t="shared" si="25"/>
        <v>2.9199872651702482E-2</v>
      </c>
      <c r="O31" s="38">
        <f t="shared" si="32"/>
        <v>7.2999681629256209E-5</v>
      </c>
    </row>
    <row r="32" spans="1:15" x14ac:dyDescent="0.25">
      <c r="A32" s="7">
        <v>6</v>
      </c>
      <c r="B32" s="30" t="s">
        <v>39</v>
      </c>
      <c r="C32" s="14">
        <v>350</v>
      </c>
      <c r="D32" s="79">
        <f t="shared" si="26"/>
        <v>8.7456402590931709E-2</v>
      </c>
      <c r="E32" s="80">
        <f t="shared" si="27"/>
        <v>0.24987543597409059</v>
      </c>
      <c r="F32" s="33">
        <f t="shared" si="28"/>
        <v>8.745333561684103E-2</v>
      </c>
      <c r="G32" s="34">
        <f t="shared" si="29"/>
        <v>8.7459469565022388E-2</v>
      </c>
      <c r="H32" s="34">
        <f t="shared" si="30"/>
        <v>0.24985944095665161</v>
      </c>
      <c r="I32" s="35">
        <f t="shared" si="31"/>
        <v>0.24985944095665161</v>
      </c>
      <c r="J32" s="82">
        <f>C32-(F32/(H32/1000))</f>
        <v>-1.0130823967529068E-2</v>
      </c>
      <c r="K32" s="83">
        <f>C32-(F32/(I32/1000))</f>
        <v>-1.0130823967529068E-2</v>
      </c>
      <c r="L32" s="83">
        <f>C32-(G32/(H32/1000))</f>
        <v>-3.4680419363553483E-2</v>
      </c>
      <c r="M32" s="83">
        <f>C32-(G32/(I32/1000))</f>
        <v>-3.4680419363553483E-2</v>
      </c>
      <c r="N32" s="84">
        <f>SQRT((J32^2+K32^2+L32^2+M32^2)/4)</f>
        <v>2.5547652352936434E-2</v>
      </c>
      <c r="O32" s="38">
        <f t="shared" si="32"/>
        <v>7.2993292436961241E-5</v>
      </c>
    </row>
    <row r="33" spans="1:15" x14ac:dyDescent="0.25">
      <c r="A33" s="7">
        <v>5</v>
      </c>
      <c r="B33" s="30" t="s">
        <v>40</v>
      </c>
      <c r="C33" s="14">
        <v>300</v>
      </c>
      <c r="D33" s="79">
        <f t="shared" si="26"/>
        <v>7.4999999999999969E-2</v>
      </c>
      <c r="E33" s="80">
        <f t="shared" si="27"/>
        <v>0.24999999999999989</v>
      </c>
      <c r="F33" s="33">
        <f t="shared" si="28"/>
        <v>7.4997368999999967E-2</v>
      </c>
      <c r="G33" s="34">
        <f t="shared" si="29"/>
        <v>7.5002630999999972E-2</v>
      </c>
      <c r="H33" s="34">
        <f t="shared" si="30"/>
        <v>0.2499839999999999</v>
      </c>
      <c r="I33" s="35">
        <f t="shared" si="31"/>
        <v>0.2499839999999999</v>
      </c>
      <c r="J33" s="82">
        <f t="shared" ref="J33:J38" si="33">C33-(F33/(H33/1000))</f>
        <v>-8.6765552995302642E-3</v>
      </c>
      <c r="K33" s="83">
        <f t="shared" ref="K33:K38" si="34">C33-(F33/(I33/1000))</f>
        <v>-8.6765552995302642E-3</v>
      </c>
      <c r="L33" s="83">
        <f t="shared" ref="L33:L38" si="35">C33-(G33/(H33/1000))</f>
        <v>-2.9725902457755637E-2</v>
      </c>
      <c r="M33" s="83">
        <f t="shared" ref="M33:M38" si="36">C33-(G33/(I33/1000))</f>
        <v>-2.9725902457755637E-2</v>
      </c>
      <c r="N33" s="84">
        <f t="shared" ref="N33:N38" si="37">SQRT((J33^2+K33^2+L33^2+M33^2)/4)</f>
        <v>2.1896482466298203E-2</v>
      </c>
      <c r="O33" s="38">
        <f t="shared" si="32"/>
        <v>7.2988274887660675E-5</v>
      </c>
    </row>
    <row r="34" spans="1:15" x14ac:dyDescent="0.25">
      <c r="A34" s="7">
        <v>4</v>
      </c>
      <c r="B34" s="30" t="s">
        <v>41</v>
      </c>
      <c r="C34" s="14">
        <v>250</v>
      </c>
      <c r="D34" s="79">
        <f t="shared" si="26"/>
        <v>6.2531172069825419E-2</v>
      </c>
      <c r="E34" s="80">
        <f t="shared" si="27"/>
        <v>0.25012468827930168</v>
      </c>
      <c r="F34" s="33">
        <f t="shared" si="28"/>
        <v>6.2528977478802969E-2</v>
      </c>
      <c r="G34" s="34">
        <f t="shared" si="29"/>
        <v>6.2533366660847869E-2</v>
      </c>
      <c r="H34" s="34">
        <f t="shared" si="30"/>
        <v>0.25010868329177049</v>
      </c>
      <c r="I34" s="35">
        <f t="shared" si="31"/>
        <v>0.25010868329177049</v>
      </c>
      <c r="J34" s="82">
        <f t="shared" si="33"/>
        <v>-7.2234831536377442E-3</v>
      </c>
      <c r="K34" s="83">
        <f t="shared" si="34"/>
        <v>-7.2234831536377442E-3</v>
      </c>
      <c r="L34" s="83">
        <f t="shared" si="35"/>
        <v>-2.4772582157851275E-2</v>
      </c>
      <c r="M34" s="83">
        <f t="shared" si="36"/>
        <v>-2.4772582157851275E-2</v>
      </c>
      <c r="N34" s="84">
        <f t="shared" si="37"/>
        <v>1.8246363139518783E-2</v>
      </c>
      <c r="O34" s="38">
        <f t="shared" si="32"/>
        <v>7.2985452558075128E-5</v>
      </c>
    </row>
    <row r="35" spans="1:15" x14ac:dyDescent="0.25">
      <c r="A35" s="7">
        <v>3</v>
      </c>
      <c r="B35" s="30" t="s">
        <v>42</v>
      </c>
      <c r="C35" s="14">
        <v>200</v>
      </c>
      <c r="D35" s="79">
        <f t="shared" si="26"/>
        <v>5.0049900199600782E-2</v>
      </c>
      <c r="E35" s="80">
        <f t="shared" si="27"/>
        <v>0.25024950099800392</v>
      </c>
      <c r="F35" s="33">
        <f t="shared" si="28"/>
        <v>5.0048142453093795E-2</v>
      </c>
      <c r="G35" s="34">
        <f t="shared" si="29"/>
        <v>5.0051657946107768E-2</v>
      </c>
      <c r="H35" s="34">
        <f t="shared" si="30"/>
        <v>0.25023349101796399</v>
      </c>
      <c r="I35" s="35">
        <f t="shared" si="31"/>
        <v>0.25023349101796399</v>
      </c>
      <c r="J35" s="82">
        <f t="shared" si="33"/>
        <v>-5.7716075299083514E-3</v>
      </c>
      <c r="K35" s="83">
        <f t="shared" si="34"/>
        <v>-5.7716075299083514E-3</v>
      </c>
      <c r="L35" s="83">
        <f t="shared" si="35"/>
        <v>-1.9820458463755131E-2</v>
      </c>
      <c r="M35" s="83">
        <f t="shared" si="36"/>
        <v>-1.9820458463755131E-2</v>
      </c>
      <c r="N35" s="84">
        <f t="shared" si="37"/>
        <v>1.459729473554496E-2</v>
      </c>
      <c r="O35" s="38">
        <f t="shared" si="32"/>
        <v>7.2986473677724806E-5</v>
      </c>
    </row>
    <row r="36" spans="1:15" x14ac:dyDescent="0.25">
      <c r="A36" s="7">
        <v>2</v>
      </c>
      <c r="B36" s="30" t="s">
        <v>43</v>
      </c>
      <c r="C36" s="14">
        <v>150</v>
      </c>
      <c r="D36" s="79">
        <f t="shared" si="26"/>
        <v>3.7556165751372932E-2</v>
      </c>
      <c r="E36" s="80">
        <f t="shared" si="27"/>
        <v>0.25037443834248618</v>
      </c>
      <c r="F36" s="33">
        <f t="shared" si="28"/>
        <v>3.7554845285571632E-2</v>
      </c>
      <c r="G36" s="34">
        <f t="shared" si="29"/>
        <v>3.7557486217174231E-2</v>
      </c>
      <c r="H36" s="34">
        <f t="shared" si="30"/>
        <v>0.25035842336495251</v>
      </c>
      <c r="I36" s="35">
        <f t="shared" si="31"/>
        <v>0.25035842336495251</v>
      </c>
      <c r="J36" s="82">
        <f t="shared" si="33"/>
        <v>-4.3209284281715554E-3</v>
      </c>
      <c r="K36" s="83">
        <f t="shared" si="34"/>
        <v>-4.3209284281715554E-3</v>
      </c>
      <c r="L36" s="83">
        <f t="shared" si="35"/>
        <v>-1.4869531375524048E-2</v>
      </c>
      <c r="M36" s="83">
        <f t="shared" si="36"/>
        <v>-1.4869531375524048E-2</v>
      </c>
      <c r="N36" s="84">
        <f t="shared" si="37"/>
        <v>1.0949278191028739E-2</v>
      </c>
      <c r="O36" s="38">
        <f t="shared" si="32"/>
        <v>7.2995187940191596E-5</v>
      </c>
    </row>
    <row r="37" spans="1:15" x14ac:dyDescent="0.25">
      <c r="A37" s="7">
        <v>1</v>
      </c>
      <c r="B37" s="30" t="s">
        <v>44</v>
      </c>
      <c r="C37" s="14">
        <v>100</v>
      </c>
      <c r="D37" s="79">
        <f t="shared" si="26"/>
        <v>2.5049950049950042E-2</v>
      </c>
      <c r="E37" s="80">
        <f t="shared" si="27"/>
        <v>0.25049950049950043</v>
      </c>
      <c r="F37" s="33">
        <f t="shared" si="28"/>
        <v>2.5049067301698293E-2</v>
      </c>
      <c r="G37" s="34">
        <f t="shared" si="29"/>
        <v>2.5050832798201791E-2</v>
      </c>
      <c r="H37" s="34">
        <f t="shared" si="30"/>
        <v>0.25048348051948044</v>
      </c>
      <c r="I37" s="35">
        <f t="shared" si="31"/>
        <v>0.25048348051948044</v>
      </c>
      <c r="J37" s="82">
        <f t="shared" si="33"/>
        <v>-2.871445848469989E-3</v>
      </c>
      <c r="K37" s="83">
        <f t="shared" si="34"/>
        <v>-2.871445848469989E-3</v>
      </c>
      <c r="L37" s="83">
        <f t="shared" si="35"/>
        <v>-9.9198008930301285E-3</v>
      </c>
      <c r="M37" s="83">
        <f t="shared" si="36"/>
        <v>-9.9198008930301285E-3</v>
      </c>
      <c r="N37" s="84">
        <f t="shared" si="37"/>
        <v>7.3023164481572853E-3</v>
      </c>
      <c r="O37" s="38">
        <f t="shared" si="32"/>
        <v>7.3023164481572848E-5</v>
      </c>
    </row>
    <row r="38" spans="1:15" ht="15.75" thickBot="1" x14ac:dyDescent="0.3">
      <c r="A38" s="20">
        <v>0</v>
      </c>
      <c r="B38" s="85" t="s">
        <v>49</v>
      </c>
      <c r="C38" s="86">
        <v>50</v>
      </c>
      <c r="D38" s="87">
        <f t="shared" si="26"/>
        <v>1.2531234382808589E-2</v>
      </c>
      <c r="E38" s="88">
        <f t="shared" si="27"/>
        <v>0.2506246876561718</v>
      </c>
      <c r="F38" s="43">
        <f t="shared" si="28"/>
        <v>1.2530789789605191E-2</v>
      </c>
      <c r="G38" s="44">
        <f t="shared" si="29"/>
        <v>1.2531678976011987E-2</v>
      </c>
      <c r="H38" s="44">
        <f t="shared" si="30"/>
        <v>0.25060866266866555</v>
      </c>
      <c r="I38" s="45">
        <f t="shared" si="31"/>
        <v>0.25060866266866555</v>
      </c>
      <c r="J38" s="90">
        <f t="shared" si="33"/>
        <v>-1.4231597907112814E-3</v>
      </c>
      <c r="K38" s="91">
        <f t="shared" si="34"/>
        <v>-1.4231597907112814E-3</v>
      </c>
      <c r="L38" s="91">
        <f t="shared" si="35"/>
        <v>-4.9712670162520567E-3</v>
      </c>
      <c r="M38" s="91">
        <f t="shared" si="36"/>
        <v>-4.9712670162520567E-3</v>
      </c>
      <c r="N38" s="92">
        <f t="shared" si="37"/>
        <v>3.6564244513440313E-3</v>
      </c>
      <c r="O38" s="48">
        <f t="shared" si="32"/>
        <v>7.3128489026880631E-5</v>
      </c>
    </row>
    <row r="39" spans="1:15" ht="15.75" thickBot="1" x14ac:dyDescent="0.3"/>
    <row r="40" spans="1:15" ht="15.75" thickBot="1" x14ac:dyDescent="0.3">
      <c r="A40" s="171" t="s">
        <v>51</v>
      </c>
      <c r="B40" s="172"/>
      <c r="C40" s="172"/>
      <c r="D40" s="172"/>
      <c r="E40" s="173"/>
      <c r="F40" s="186" t="s">
        <v>69</v>
      </c>
      <c r="G40" s="187"/>
      <c r="H40" s="187"/>
      <c r="I40" s="188"/>
      <c r="J40" s="200" t="s">
        <v>21</v>
      </c>
      <c r="K40" s="201"/>
      <c r="L40" s="201"/>
      <c r="M40" s="201"/>
      <c r="N40" s="201"/>
      <c r="O40" s="202"/>
    </row>
    <row r="41" spans="1:15" ht="33" x14ac:dyDescent="0.35">
      <c r="A41" s="1" t="s">
        <v>22</v>
      </c>
      <c r="B41" s="2" t="s">
        <v>23</v>
      </c>
      <c r="C41" s="2" t="s">
        <v>24</v>
      </c>
      <c r="D41" s="121" t="s">
        <v>25</v>
      </c>
      <c r="E41" s="122" t="s">
        <v>26</v>
      </c>
      <c r="F41" s="75" t="s">
        <v>27</v>
      </c>
      <c r="G41" s="76" t="s">
        <v>28</v>
      </c>
      <c r="H41" s="76" t="s">
        <v>29</v>
      </c>
      <c r="I41" s="96" t="s">
        <v>30</v>
      </c>
      <c r="J41" s="75" t="s">
        <v>31</v>
      </c>
      <c r="K41" s="76" t="s">
        <v>32</v>
      </c>
      <c r="L41" s="76" t="s">
        <v>33</v>
      </c>
      <c r="M41" s="76" t="s">
        <v>34</v>
      </c>
      <c r="N41" s="28" t="s">
        <v>35</v>
      </c>
      <c r="O41" s="29" t="s">
        <v>36</v>
      </c>
    </row>
    <row r="42" spans="1:15" x14ac:dyDescent="0.25">
      <c r="A42" s="7">
        <v>10</v>
      </c>
      <c r="B42" s="30" t="s">
        <v>52</v>
      </c>
      <c r="C42" s="78">
        <v>550</v>
      </c>
      <c r="D42" s="79">
        <f>C42*(E42/1000)</f>
        <v>0.13715813028344104</v>
      </c>
      <c r="E42" s="80">
        <f>B$4/(B$7+C42)*1000</f>
        <v>0.24937841869716551</v>
      </c>
      <c r="F42" s="33">
        <f>D42-((D42*I$6)+((H$6/1000)*J$6))</f>
        <v>0.13715332374888112</v>
      </c>
      <c r="G42" s="34">
        <f>D42+((D42*I$6)+((H$6/1000)*J$6))</f>
        <v>0.13716293681800096</v>
      </c>
      <c r="H42" s="34">
        <f>((E42*J$9)-(((E42*J$9)*I$7)+(H$7*J$7)))/J$9</f>
        <v>0.24936244356041762</v>
      </c>
      <c r="I42" s="35">
        <f>((E42*J$9)-(((E42*J$9)*I$7)+(H$7*J$7)))/J$9</f>
        <v>0.24936244356041762</v>
      </c>
      <c r="J42" s="82">
        <f t="shared" ref="J42:J45" si="38">C42-(F42/(H42/1000))</f>
        <v>-1.5959863861667145E-2</v>
      </c>
      <c r="K42" s="83">
        <f t="shared" ref="K42:K45" si="39">C42-(F42/(I42/1000))</f>
        <v>-1.5959863861667145E-2</v>
      </c>
      <c r="L42" s="83">
        <f t="shared" ref="L42:L45" si="40">C42-(G42/(H42/1000))</f>
        <v>-5.4510453046532348E-2</v>
      </c>
      <c r="M42" s="83">
        <f t="shared" ref="M42:M45" si="41">C42-(G42/(I42/1000))</f>
        <v>-5.4510453046532348E-2</v>
      </c>
      <c r="N42" s="84">
        <f t="shared" ref="N42:N45" si="42">SQRT((J42^2+K42^2+L42^2+M42^2)/4)</f>
        <v>4.0162835717994047E-2</v>
      </c>
      <c r="O42" s="38">
        <f>N42/C42</f>
        <v>7.3023337669080084E-5</v>
      </c>
    </row>
    <row r="43" spans="1:15" x14ac:dyDescent="0.25">
      <c r="A43" s="7">
        <v>9</v>
      </c>
      <c r="B43" s="30" t="s">
        <v>53</v>
      </c>
      <c r="C43" s="78">
        <v>500</v>
      </c>
      <c r="D43" s="79">
        <f t="shared" ref="D43:D52" si="43">C43*(E43/1000)</f>
        <v>0.12475124378109449</v>
      </c>
      <c r="E43" s="80">
        <f t="shared" ref="E43:E52" si="44">B$4/(B$7+C43)*1000</f>
        <v>0.24950248756218898</v>
      </c>
      <c r="F43" s="33">
        <f t="shared" ref="F43:F52" si="45">D43-((D43*I$6)+((H$6/1000)*J$6))</f>
        <v>0.12474687148756215</v>
      </c>
      <c r="G43" s="34">
        <f t="shared" ref="G43:G52" si="46">D43+((D43*I$6)+((H$6/1000)*J$6))</f>
        <v>0.12475561607462683</v>
      </c>
      <c r="H43" s="34">
        <f t="shared" ref="H43:H52" si="47">((E43*J$9)-(((E43*J$9)*I$7)+(H$7*J$7)))/J$9</f>
        <v>0.24948650746268647</v>
      </c>
      <c r="I43" s="35">
        <f t="shared" ref="I43:I52" si="48">((E43*J$9)-(((E43*J$9)*I$7)+(H$7*J$7)))/J$9</f>
        <v>0.24948650746268647</v>
      </c>
      <c r="J43" s="82">
        <f t="shared" si="38"/>
        <v>-1.4500809104788459E-2</v>
      </c>
      <c r="K43" s="83">
        <f t="shared" si="39"/>
        <v>-1.4500809104788459E-2</v>
      </c>
      <c r="L43" s="83">
        <f t="shared" si="40"/>
        <v>-4.9551149716819509E-2</v>
      </c>
      <c r="M43" s="83">
        <f t="shared" si="41"/>
        <v>-4.9551149716819509E-2</v>
      </c>
      <c r="N43" s="84">
        <f t="shared" si="42"/>
        <v>3.650746432547855E-2</v>
      </c>
      <c r="O43" s="38">
        <f t="shared" ref="O43:O52" si="49">N43/C43</f>
        <v>7.3014928650957106E-5</v>
      </c>
    </row>
    <row r="44" spans="1:15" x14ac:dyDescent="0.25">
      <c r="A44" s="7">
        <v>8</v>
      </c>
      <c r="B44" s="30" t="s">
        <v>37</v>
      </c>
      <c r="C44" s="78">
        <v>450</v>
      </c>
      <c r="D44" s="79">
        <f t="shared" si="43"/>
        <v>0.11233200597312093</v>
      </c>
      <c r="E44" s="80">
        <f t="shared" si="44"/>
        <v>0.24962667994026871</v>
      </c>
      <c r="F44" s="33">
        <f t="shared" si="45"/>
        <v>0.11232806835291187</v>
      </c>
      <c r="G44" s="34">
        <f t="shared" si="46"/>
        <v>0.11233594359332999</v>
      </c>
      <c r="H44" s="34">
        <f t="shared" si="47"/>
        <v>0.24961069487307111</v>
      </c>
      <c r="I44" s="35">
        <f t="shared" si="48"/>
        <v>0.24961069487307111</v>
      </c>
      <c r="J44" s="82">
        <f t="shared" si="38"/>
        <v>-1.3042950870044479E-2</v>
      </c>
      <c r="K44" s="83">
        <f t="shared" si="39"/>
        <v>-1.3042950870044479E-2</v>
      </c>
      <c r="L44" s="83">
        <f t="shared" si="40"/>
        <v>-4.4593042992971732E-2</v>
      </c>
      <c r="M44" s="83">
        <f t="shared" si="41"/>
        <v>-4.4593042992971732E-2</v>
      </c>
      <c r="N44" s="84">
        <f t="shared" si="42"/>
        <v>3.2853143310583074E-2</v>
      </c>
      <c r="O44" s="38">
        <f t="shared" si="49"/>
        <v>7.3006985134629049E-5</v>
      </c>
    </row>
    <row r="45" spans="1:15" x14ac:dyDescent="0.25">
      <c r="A45" s="7">
        <v>7</v>
      </c>
      <c r="B45" s="30" t="s">
        <v>38</v>
      </c>
      <c r="C45" s="78">
        <v>400</v>
      </c>
      <c r="D45" s="79">
        <f t="shared" si="43"/>
        <v>9.9900398406374477E-2</v>
      </c>
      <c r="E45" s="80">
        <f t="shared" si="44"/>
        <v>0.2497509960159362</v>
      </c>
      <c r="F45" s="33">
        <f t="shared" si="45"/>
        <v>9.9896895892430254E-2</v>
      </c>
      <c r="G45" s="34">
        <f t="shared" si="46"/>
        <v>9.99039009203187E-2</v>
      </c>
      <c r="H45" s="34">
        <f t="shared" si="47"/>
        <v>0.24973500597609555</v>
      </c>
      <c r="I45" s="35">
        <f t="shared" si="48"/>
        <v>0.24973500597609555</v>
      </c>
      <c r="J45" s="82">
        <f t="shared" si="38"/>
        <v>-1.1586289157662577E-2</v>
      </c>
      <c r="K45" s="83">
        <f t="shared" si="39"/>
        <v>-1.1586289157662577E-2</v>
      </c>
      <c r="L45" s="83">
        <f t="shared" si="40"/>
        <v>-3.9636132875273233E-2</v>
      </c>
      <c r="M45" s="83">
        <f t="shared" si="41"/>
        <v>-3.9636132875273233E-2</v>
      </c>
      <c r="N45" s="84">
        <f t="shared" si="42"/>
        <v>2.9199872651702482E-2</v>
      </c>
      <c r="O45" s="38">
        <f t="shared" si="49"/>
        <v>7.2999681629256209E-5</v>
      </c>
    </row>
    <row r="46" spans="1:15" x14ac:dyDescent="0.25">
      <c r="A46" s="7">
        <v>6</v>
      </c>
      <c r="B46" s="30" t="s">
        <v>39</v>
      </c>
      <c r="C46" s="14">
        <v>350</v>
      </c>
      <c r="D46" s="79">
        <f t="shared" si="43"/>
        <v>8.7456402590931709E-2</v>
      </c>
      <c r="E46" s="80">
        <f t="shared" si="44"/>
        <v>0.24987543597409059</v>
      </c>
      <c r="F46" s="33">
        <f t="shared" si="45"/>
        <v>8.745333561684103E-2</v>
      </c>
      <c r="G46" s="34">
        <f t="shared" si="46"/>
        <v>8.7459469565022388E-2</v>
      </c>
      <c r="H46" s="34">
        <f t="shared" si="47"/>
        <v>0.24985944095665161</v>
      </c>
      <c r="I46" s="35">
        <f t="shared" si="48"/>
        <v>0.24985944095665161</v>
      </c>
      <c r="J46" s="82">
        <f>C46-(F46/(H46/1000))</f>
        <v>-1.0130823967529068E-2</v>
      </c>
      <c r="K46" s="83">
        <f>C46-(F46/(I46/1000))</f>
        <v>-1.0130823967529068E-2</v>
      </c>
      <c r="L46" s="83">
        <f>C46-(G46/(H46/1000))</f>
        <v>-3.4680419363553483E-2</v>
      </c>
      <c r="M46" s="83">
        <f>C46-(G46/(I46/1000))</f>
        <v>-3.4680419363553483E-2</v>
      </c>
      <c r="N46" s="84">
        <f>SQRT((J46^2+K46^2+L46^2+M46^2)/4)</f>
        <v>2.5547652352936434E-2</v>
      </c>
      <c r="O46" s="38">
        <f t="shared" si="49"/>
        <v>7.2993292436961241E-5</v>
      </c>
    </row>
    <row r="47" spans="1:15" x14ac:dyDescent="0.25">
      <c r="A47" s="7">
        <v>5</v>
      </c>
      <c r="B47" s="30" t="s">
        <v>40</v>
      </c>
      <c r="C47" s="14">
        <v>300</v>
      </c>
      <c r="D47" s="79">
        <f t="shared" si="43"/>
        <v>7.4999999999999969E-2</v>
      </c>
      <c r="E47" s="80">
        <f t="shared" si="44"/>
        <v>0.24999999999999989</v>
      </c>
      <c r="F47" s="33">
        <f t="shared" si="45"/>
        <v>7.4997368999999967E-2</v>
      </c>
      <c r="G47" s="34">
        <f t="shared" si="46"/>
        <v>7.5002630999999972E-2</v>
      </c>
      <c r="H47" s="34">
        <f t="shared" si="47"/>
        <v>0.2499839999999999</v>
      </c>
      <c r="I47" s="35">
        <f t="shared" si="48"/>
        <v>0.2499839999999999</v>
      </c>
      <c r="J47" s="82">
        <f t="shared" ref="J47:J52" si="50">C47-(F47/(H47/1000))</f>
        <v>-8.6765552995302642E-3</v>
      </c>
      <c r="K47" s="83">
        <f t="shared" ref="K47:K52" si="51">C47-(F47/(I47/1000))</f>
        <v>-8.6765552995302642E-3</v>
      </c>
      <c r="L47" s="83">
        <f t="shared" ref="L47:L52" si="52">C47-(G47/(H47/1000))</f>
        <v>-2.9725902457755637E-2</v>
      </c>
      <c r="M47" s="83">
        <f t="shared" ref="M47:M52" si="53">C47-(G47/(I47/1000))</f>
        <v>-2.9725902457755637E-2</v>
      </c>
      <c r="N47" s="84">
        <f t="shared" ref="N47:N52" si="54">SQRT((J47^2+K47^2+L47^2+M47^2)/4)</f>
        <v>2.1896482466298203E-2</v>
      </c>
      <c r="O47" s="38">
        <f t="shared" si="49"/>
        <v>7.2988274887660675E-5</v>
      </c>
    </row>
    <row r="48" spans="1:15" x14ac:dyDescent="0.25">
      <c r="A48" s="7">
        <v>4</v>
      </c>
      <c r="B48" s="30" t="s">
        <v>41</v>
      </c>
      <c r="C48" s="14">
        <v>250</v>
      </c>
      <c r="D48" s="79">
        <f t="shared" si="43"/>
        <v>6.2531172069825419E-2</v>
      </c>
      <c r="E48" s="80">
        <f t="shared" si="44"/>
        <v>0.25012468827930168</v>
      </c>
      <c r="F48" s="33">
        <f t="shared" si="45"/>
        <v>6.2528977478802969E-2</v>
      </c>
      <c r="G48" s="34">
        <f t="shared" si="46"/>
        <v>6.2533366660847869E-2</v>
      </c>
      <c r="H48" s="34">
        <f t="shared" si="47"/>
        <v>0.25010868329177049</v>
      </c>
      <c r="I48" s="35">
        <f t="shared" si="48"/>
        <v>0.25010868329177049</v>
      </c>
      <c r="J48" s="82">
        <f t="shared" si="50"/>
        <v>-7.2234831536377442E-3</v>
      </c>
      <c r="K48" s="83">
        <f t="shared" si="51"/>
        <v>-7.2234831536377442E-3</v>
      </c>
      <c r="L48" s="83">
        <f t="shared" si="52"/>
        <v>-2.4772582157851275E-2</v>
      </c>
      <c r="M48" s="83">
        <f t="shared" si="53"/>
        <v>-2.4772582157851275E-2</v>
      </c>
      <c r="N48" s="84">
        <f t="shared" si="54"/>
        <v>1.8246363139518783E-2</v>
      </c>
      <c r="O48" s="38">
        <f t="shared" si="49"/>
        <v>7.2985452558075128E-5</v>
      </c>
    </row>
    <row r="49" spans="1:15" x14ac:dyDescent="0.25">
      <c r="A49" s="7">
        <v>3</v>
      </c>
      <c r="B49" s="30" t="s">
        <v>42</v>
      </c>
      <c r="C49" s="14">
        <v>200</v>
      </c>
      <c r="D49" s="79">
        <f t="shared" si="43"/>
        <v>5.0049900199600782E-2</v>
      </c>
      <c r="E49" s="80">
        <f t="shared" si="44"/>
        <v>0.25024950099800392</v>
      </c>
      <c r="F49" s="33">
        <f t="shared" si="45"/>
        <v>5.0048142453093795E-2</v>
      </c>
      <c r="G49" s="34">
        <f t="shared" si="46"/>
        <v>5.0051657946107768E-2</v>
      </c>
      <c r="H49" s="34">
        <f t="shared" si="47"/>
        <v>0.25023349101796399</v>
      </c>
      <c r="I49" s="35">
        <f t="shared" si="48"/>
        <v>0.25023349101796399</v>
      </c>
      <c r="J49" s="82">
        <f t="shared" si="50"/>
        <v>-5.7716075299083514E-3</v>
      </c>
      <c r="K49" s="83">
        <f t="shared" si="51"/>
        <v>-5.7716075299083514E-3</v>
      </c>
      <c r="L49" s="83">
        <f t="shared" si="52"/>
        <v>-1.9820458463755131E-2</v>
      </c>
      <c r="M49" s="83">
        <f t="shared" si="53"/>
        <v>-1.9820458463755131E-2</v>
      </c>
      <c r="N49" s="84">
        <f t="shared" si="54"/>
        <v>1.459729473554496E-2</v>
      </c>
      <c r="O49" s="38">
        <f t="shared" si="49"/>
        <v>7.2986473677724806E-5</v>
      </c>
    </row>
    <row r="50" spans="1:15" x14ac:dyDescent="0.25">
      <c r="A50" s="7">
        <v>2</v>
      </c>
      <c r="B50" s="30" t="s">
        <v>43</v>
      </c>
      <c r="C50" s="14">
        <v>150</v>
      </c>
      <c r="D50" s="79">
        <f t="shared" si="43"/>
        <v>3.7556165751372932E-2</v>
      </c>
      <c r="E50" s="80">
        <f t="shared" si="44"/>
        <v>0.25037443834248618</v>
      </c>
      <c r="F50" s="33">
        <f t="shared" si="45"/>
        <v>3.7554845285571632E-2</v>
      </c>
      <c r="G50" s="34">
        <f t="shared" si="46"/>
        <v>3.7557486217174231E-2</v>
      </c>
      <c r="H50" s="34">
        <f t="shared" si="47"/>
        <v>0.25035842336495251</v>
      </c>
      <c r="I50" s="35">
        <f t="shared" si="48"/>
        <v>0.25035842336495251</v>
      </c>
      <c r="J50" s="82">
        <f t="shared" si="50"/>
        <v>-4.3209284281715554E-3</v>
      </c>
      <c r="K50" s="83">
        <f t="shared" si="51"/>
        <v>-4.3209284281715554E-3</v>
      </c>
      <c r="L50" s="83">
        <f t="shared" si="52"/>
        <v>-1.4869531375524048E-2</v>
      </c>
      <c r="M50" s="83">
        <f t="shared" si="53"/>
        <v>-1.4869531375524048E-2</v>
      </c>
      <c r="N50" s="84">
        <f t="shared" si="54"/>
        <v>1.0949278191028739E-2</v>
      </c>
      <c r="O50" s="38">
        <f t="shared" si="49"/>
        <v>7.2995187940191596E-5</v>
      </c>
    </row>
    <row r="51" spans="1:15" x14ac:dyDescent="0.25">
      <c r="A51" s="7">
        <v>1</v>
      </c>
      <c r="B51" s="30" t="s">
        <v>44</v>
      </c>
      <c r="C51" s="14">
        <v>100</v>
      </c>
      <c r="D51" s="79">
        <f t="shared" si="43"/>
        <v>2.5049950049950042E-2</v>
      </c>
      <c r="E51" s="80">
        <f t="shared" si="44"/>
        <v>0.25049950049950043</v>
      </c>
      <c r="F51" s="33">
        <f t="shared" si="45"/>
        <v>2.5049067301698293E-2</v>
      </c>
      <c r="G51" s="34">
        <f t="shared" si="46"/>
        <v>2.5050832798201791E-2</v>
      </c>
      <c r="H51" s="34">
        <f t="shared" si="47"/>
        <v>0.25048348051948044</v>
      </c>
      <c r="I51" s="35">
        <f t="shared" si="48"/>
        <v>0.25048348051948044</v>
      </c>
      <c r="J51" s="82">
        <f t="shared" si="50"/>
        <v>-2.871445848469989E-3</v>
      </c>
      <c r="K51" s="83">
        <f t="shared" si="51"/>
        <v>-2.871445848469989E-3</v>
      </c>
      <c r="L51" s="83">
        <f t="shared" si="52"/>
        <v>-9.9198008930301285E-3</v>
      </c>
      <c r="M51" s="83">
        <f t="shared" si="53"/>
        <v>-9.9198008930301285E-3</v>
      </c>
      <c r="N51" s="84">
        <f t="shared" si="54"/>
        <v>7.3023164481572853E-3</v>
      </c>
      <c r="O51" s="38">
        <f t="shared" si="49"/>
        <v>7.3023164481572848E-5</v>
      </c>
    </row>
    <row r="52" spans="1:15" ht="15.75" thickBot="1" x14ac:dyDescent="0.3">
      <c r="A52" s="20">
        <v>0</v>
      </c>
      <c r="B52" s="85" t="s">
        <v>49</v>
      </c>
      <c r="C52" s="86">
        <v>50</v>
      </c>
      <c r="D52" s="87">
        <f t="shared" si="43"/>
        <v>1.2531234382808589E-2</v>
      </c>
      <c r="E52" s="88">
        <f t="shared" si="44"/>
        <v>0.2506246876561718</v>
      </c>
      <c r="F52" s="43">
        <f t="shared" si="45"/>
        <v>1.2530789789605191E-2</v>
      </c>
      <c r="G52" s="44">
        <f t="shared" si="46"/>
        <v>1.2531678976011987E-2</v>
      </c>
      <c r="H52" s="44">
        <f t="shared" si="47"/>
        <v>0.25060866266866555</v>
      </c>
      <c r="I52" s="45">
        <f t="shared" si="48"/>
        <v>0.25060866266866555</v>
      </c>
      <c r="J52" s="90">
        <f t="shared" si="50"/>
        <v>-1.4231597907112814E-3</v>
      </c>
      <c r="K52" s="91">
        <f t="shared" si="51"/>
        <v>-1.4231597907112814E-3</v>
      </c>
      <c r="L52" s="91">
        <f t="shared" si="52"/>
        <v>-4.9712670162520567E-3</v>
      </c>
      <c r="M52" s="91">
        <f t="shared" si="53"/>
        <v>-4.9712670162520567E-3</v>
      </c>
      <c r="N52" s="92">
        <f t="shared" si="54"/>
        <v>3.6564244513440313E-3</v>
      </c>
      <c r="O52" s="48">
        <f t="shared" si="49"/>
        <v>7.3128489026880631E-5</v>
      </c>
    </row>
  </sheetData>
  <mergeCells count="15">
    <mergeCell ref="A40:E40"/>
    <mergeCell ref="F40:I40"/>
    <mergeCell ref="J40:O40"/>
    <mergeCell ref="A12:E12"/>
    <mergeCell ref="F12:I12"/>
    <mergeCell ref="J12:O12"/>
    <mergeCell ref="A26:E26"/>
    <mergeCell ref="F26:I26"/>
    <mergeCell ref="J26:O26"/>
    <mergeCell ref="D10:H10"/>
    <mergeCell ref="A1:B1"/>
    <mergeCell ref="D2:G2"/>
    <mergeCell ref="H2:K2"/>
    <mergeCell ref="A8:C8"/>
    <mergeCell ref="H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8005553.05 DAQ Tolerances</vt:lpstr>
      <vt:lpstr>8005465.05 DAQ Tolerances .25mA</vt:lpstr>
      <vt:lpstr>8005465.05 DAQ Tolerances 4mA</vt:lpstr>
      <vt:lpstr>8005571.05 DAQ Tolerances</vt:lpstr>
      <vt:lpstr>PXD Tolerances</vt:lpstr>
      <vt:lpstr>'8005465.05 DAQ Tolerances .25mA'!Print_Area</vt:lpstr>
      <vt:lpstr>'8005553.05 DAQ Tolerances'!Print_Area</vt:lpstr>
      <vt:lpstr>'8005571.05 DAQ Tolerances'!Print_Area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Waples</dc:creator>
  <cp:lastModifiedBy>Thomas A. Waples</cp:lastModifiedBy>
  <cp:lastPrinted>2023-11-02T18:52:00Z</cp:lastPrinted>
  <dcterms:created xsi:type="dcterms:W3CDTF">2023-01-24T21:07:47Z</dcterms:created>
  <dcterms:modified xsi:type="dcterms:W3CDTF">2023-11-02T19:23:12Z</dcterms:modified>
</cp:coreProperties>
</file>