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AllenProjects\PM_Folder\_4 Validation\QA Gage R&amp;R\"/>
    </mc:Choice>
  </mc:AlternateContent>
  <xr:revisionPtr revIDLastSave="0" documentId="13_ncr:1_{6BC6B04A-21E6-4599-80EC-83309CDB4019}" xr6:coauthVersionLast="47" xr6:coauthVersionMax="47" xr10:uidLastSave="{00000000-0000-0000-0000-000000000000}"/>
  <bookViews>
    <workbookView xWindow="4620" yWindow="3750" windowWidth="19125" windowHeight="14040" activeTab="2" xr2:uid="{E8277EBF-8E94-4486-9664-CBE43E0BB732}"/>
  </bookViews>
  <sheets>
    <sheet name="Elevate Level" sheetId="1" r:id="rId1"/>
    <sheet name="Elevate Resistance" sheetId="2" r:id="rId2"/>
    <sheet name="Level R&amp;R" sheetId="3" r:id="rId3"/>
    <sheet name="Resistance ChA R&amp;R" sheetId="5" r:id="rId4"/>
    <sheet name="Resistance ChB R&amp;R" sheetId="6" r:id="rId5"/>
    <sheet name="Current Source Stability" sheetId="7" r:id="rId6"/>
    <sheet name="Switch Point Repeatability" sheetId="4" r:id="rId7"/>
  </sheets>
  <definedNames>
    <definedName name="_xlnm._FilterDatabase" localSheetId="0" hidden="1">'Elevate Level'!$A$252:$D$298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 i="3" l="1"/>
  <c r="I167" i="3"/>
  <c r="H167" i="3" s="1"/>
  <c r="I166" i="3"/>
  <c r="H166" i="3" s="1"/>
  <c r="I165" i="3"/>
  <c r="H165" i="3" s="1"/>
  <c r="I164" i="3"/>
  <c r="H164" i="3" s="1"/>
  <c r="I163" i="3"/>
  <c r="H163" i="3" s="1"/>
  <c r="I162" i="3"/>
  <c r="H162" i="3" s="1"/>
  <c r="I161" i="3"/>
  <c r="H161" i="3" s="1"/>
  <c r="I160" i="3"/>
  <c r="H160" i="3" s="1"/>
  <c r="I159" i="3"/>
  <c r="H159" i="3" s="1"/>
  <c r="I158" i="3"/>
  <c r="H158" i="3" s="1"/>
  <c r="I157" i="3"/>
  <c r="H157" i="3" s="1"/>
  <c r="I156" i="3"/>
  <c r="H156" i="3" s="1"/>
  <c r="I155" i="3"/>
  <c r="H155" i="3" s="1"/>
  <c r="I154" i="3"/>
  <c r="H154" i="3" s="1"/>
  <c r="I153" i="3"/>
  <c r="H153" i="3" s="1"/>
  <c r="I152" i="3"/>
  <c r="H152" i="3" s="1"/>
  <c r="I151" i="3"/>
  <c r="H151" i="3" s="1"/>
  <c r="I150" i="3"/>
  <c r="H150" i="3" s="1"/>
  <c r="I149" i="3"/>
  <c r="H149" i="3" s="1"/>
  <c r="I148" i="3"/>
  <c r="H148" i="3" s="1"/>
  <c r="I147" i="3"/>
  <c r="H147" i="3" s="1"/>
  <c r="I146" i="3"/>
  <c r="H146" i="3" s="1"/>
  <c r="I145" i="3"/>
  <c r="H145" i="3" s="1"/>
  <c r="I144" i="3"/>
  <c r="H144" i="3" s="1"/>
  <c r="I143" i="3"/>
  <c r="H143" i="3" s="1"/>
  <c r="I142" i="3"/>
  <c r="H142" i="3" s="1"/>
  <c r="I141" i="3"/>
  <c r="H141" i="3" s="1"/>
  <c r="I140" i="3"/>
  <c r="H140" i="3" s="1"/>
  <c r="I139" i="3"/>
  <c r="H139" i="3" s="1"/>
  <c r="I138" i="3"/>
  <c r="H138" i="3" s="1"/>
  <c r="I137" i="3"/>
  <c r="H137" i="3" s="1"/>
  <c r="I136" i="3"/>
  <c r="H136" i="3" s="1"/>
  <c r="I135" i="3"/>
  <c r="H135" i="3" s="1"/>
  <c r="I134" i="3"/>
  <c r="H134" i="3" s="1"/>
  <c r="I133" i="3"/>
  <c r="H133" i="3" s="1"/>
  <c r="I132" i="3"/>
  <c r="H132" i="3" s="1"/>
  <c r="I131" i="3"/>
  <c r="H131" i="3" s="1"/>
  <c r="I130" i="3"/>
  <c r="H130" i="3" s="1"/>
  <c r="I129" i="3"/>
  <c r="H129" i="3" s="1"/>
  <c r="I128" i="3"/>
  <c r="H128" i="3" s="1"/>
  <c r="I127" i="3"/>
  <c r="H127" i="3" s="1"/>
  <c r="I126" i="3"/>
  <c r="H126" i="3" s="1"/>
  <c r="I125" i="3"/>
  <c r="H125" i="3" s="1"/>
  <c r="I124" i="3"/>
  <c r="H124" i="3" s="1"/>
  <c r="I123" i="3"/>
  <c r="H123" i="3" s="1"/>
  <c r="I122" i="3"/>
  <c r="H122" i="3" s="1"/>
  <c r="I121" i="3"/>
  <c r="H121" i="3" s="1"/>
  <c r="I120" i="3"/>
  <c r="H120" i="3" s="1"/>
  <c r="I25" i="3" l="1"/>
  <c r="H25" i="3" s="1"/>
  <c r="I26" i="3"/>
  <c r="H26" i="3" s="1"/>
  <c r="I27" i="3"/>
  <c r="H27" i="3" s="1"/>
  <c r="I28" i="3"/>
  <c r="H28" i="3" s="1"/>
  <c r="I29" i="3"/>
  <c r="H29" i="3" s="1"/>
  <c r="I30" i="3"/>
  <c r="H30" i="3" s="1"/>
  <c r="I31" i="3"/>
  <c r="H31" i="3" s="1"/>
  <c r="I32" i="3"/>
  <c r="H32" i="3" s="1"/>
  <c r="I33" i="3"/>
  <c r="H33" i="3" s="1"/>
  <c r="H34" i="3"/>
  <c r="I35" i="3"/>
  <c r="H35" i="3" s="1"/>
  <c r="I36" i="3"/>
  <c r="H36" i="3" s="1"/>
  <c r="I37" i="3"/>
  <c r="H37" i="3" s="1"/>
  <c r="I38" i="3"/>
  <c r="H38" i="3" s="1"/>
  <c r="I39" i="3"/>
  <c r="H39" i="3" s="1"/>
  <c r="I40" i="3"/>
  <c r="H40" i="3" s="1"/>
  <c r="I41" i="3"/>
  <c r="H41" i="3" s="1"/>
  <c r="I42" i="3"/>
  <c r="H42" i="3" s="1"/>
  <c r="I43" i="3"/>
  <c r="H43" i="3" s="1"/>
  <c r="I44" i="3"/>
  <c r="H44" i="3" s="1"/>
  <c r="I45" i="3"/>
  <c r="H45" i="3" s="1"/>
  <c r="I46" i="3"/>
  <c r="H46" i="3" s="1"/>
  <c r="I47" i="3"/>
  <c r="H47" i="3" s="1"/>
  <c r="I48" i="3"/>
  <c r="H48" i="3" s="1"/>
  <c r="I49" i="3"/>
  <c r="H49" i="3" s="1"/>
  <c r="I50" i="3"/>
  <c r="H50" i="3" s="1"/>
  <c r="I51" i="3"/>
  <c r="H51" i="3" s="1"/>
  <c r="I52" i="3"/>
  <c r="H52" i="3" s="1"/>
  <c r="I53" i="3"/>
  <c r="H53" i="3" s="1"/>
  <c r="I54" i="3"/>
  <c r="H54" i="3" s="1"/>
  <c r="I55" i="3"/>
  <c r="H55" i="3" s="1"/>
  <c r="I56" i="3"/>
  <c r="H56" i="3" s="1"/>
  <c r="I57" i="3"/>
  <c r="H57" i="3" s="1"/>
  <c r="I58" i="3"/>
  <c r="H58" i="3" s="1"/>
  <c r="I59" i="3"/>
  <c r="H59" i="3" s="1"/>
  <c r="I60" i="3"/>
  <c r="H60" i="3" s="1"/>
  <c r="I61" i="3"/>
  <c r="H61" i="3" s="1"/>
  <c r="I62" i="3"/>
  <c r="H62" i="3" s="1"/>
  <c r="I63" i="3"/>
  <c r="H63" i="3" s="1"/>
  <c r="I64" i="3"/>
  <c r="H64" i="3" s="1"/>
  <c r="I65" i="3"/>
  <c r="H65" i="3" s="1"/>
  <c r="I66" i="3"/>
  <c r="H66" i="3" s="1"/>
  <c r="I67" i="3"/>
  <c r="H67" i="3" s="1"/>
  <c r="I68" i="3"/>
  <c r="H68" i="3" s="1"/>
  <c r="I69" i="3"/>
  <c r="H69" i="3" s="1"/>
  <c r="I70" i="3"/>
  <c r="H70" i="3" s="1"/>
  <c r="I71" i="3"/>
  <c r="H71" i="3" s="1"/>
  <c r="I72" i="3"/>
  <c r="H72" i="3" s="1"/>
  <c r="I73" i="3"/>
  <c r="H73" i="3" s="1"/>
  <c r="I74" i="3"/>
  <c r="H74" i="3" s="1"/>
  <c r="I75" i="3"/>
  <c r="H75" i="3" s="1"/>
  <c r="I76" i="3"/>
  <c r="H76" i="3" s="1"/>
  <c r="I77" i="3"/>
  <c r="H77" i="3" s="1"/>
  <c r="I78" i="3"/>
  <c r="H78" i="3" s="1"/>
  <c r="I79" i="3"/>
  <c r="H79" i="3" s="1"/>
  <c r="I80" i="3"/>
  <c r="H80" i="3" s="1"/>
  <c r="I81" i="3"/>
  <c r="H81" i="3" s="1"/>
  <c r="I82" i="3"/>
  <c r="H82" i="3" s="1"/>
  <c r="I83" i="3"/>
  <c r="H83" i="3" s="1"/>
  <c r="I84" i="3"/>
  <c r="H84" i="3" s="1"/>
  <c r="C38" i="7"/>
  <c r="B38" i="7"/>
  <c r="C37" i="7"/>
  <c r="B37" i="7"/>
  <c r="E26" i="7"/>
  <c r="D26" i="7"/>
  <c r="C25" i="7"/>
  <c r="C27" i="7" s="1"/>
  <c r="B25" i="7"/>
  <c r="B27" i="7" s="1"/>
  <c r="B15" i="7"/>
  <c r="B18" i="7" s="1"/>
  <c r="B5" i="7"/>
  <c r="B7" i="7" s="1"/>
  <c r="C28" i="7" l="1"/>
  <c r="B8" i="7"/>
  <c r="B28" i="7"/>
  <c r="B17" i="7"/>
  <c r="O8" i="6" a="1"/>
  <c r="O8" i="6" s="1"/>
  <c r="N8" i="6" a="1"/>
  <c r="N8" i="6" s="1"/>
  <c r="O7" i="6" a="1"/>
  <c r="O7" i="6" s="1"/>
  <c r="N7" i="6" a="1"/>
  <c r="N7" i="6" s="1"/>
  <c r="N4" i="6"/>
  <c r="N3" i="6"/>
  <c r="R2" i="6"/>
  <c r="N2" i="6"/>
  <c r="O8" i="5" a="1"/>
  <c r="O8" i="5" s="1"/>
  <c r="N8" i="5" a="1"/>
  <c r="N8" i="5" s="1"/>
  <c r="O7" i="5" a="1"/>
  <c r="O7" i="5" s="1"/>
  <c r="N7" i="5" a="1"/>
  <c r="N7" i="5" s="1"/>
  <c r="N4" i="5"/>
  <c r="N3" i="5"/>
  <c r="R2" i="5"/>
  <c r="N2" i="5"/>
  <c r="U2" i="3"/>
  <c r="Q8" i="3" a="1"/>
  <c r="Q8" i="3" s="1"/>
  <c r="Q7" i="3" a="1"/>
  <c r="Q7" i="3" s="1"/>
  <c r="P8" i="3" a="1"/>
  <c r="P8" i="3" s="1"/>
  <c r="P7" i="3" a="1"/>
  <c r="P7" i="3" s="1"/>
  <c r="P2" i="3"/>
  <c r="J13" i="3" l="1"/>
  <c r="J10" i="3"/>
  <c r="J11" i="3"/>
  <c r="J12" i="3"/>
  <c r="I13" i="3"/>
  <c r="I10" i="3"/>
  <c r="I11" i="3"/>
  <c r="I12" i="3"/>
  <c r="J9" i="3"/>
  <c r="I9" i="3"/>
  <c r="J6" i="3"/>
  <c r="I6" i="3"/>
  <c r="N9" i="6"/>
  <c r="N10" i="6"/>
  <c r="I4" i="6"/>
  <c r="I3" i="6"/>
  <c r="I5" i="6"/>
  <c r="O10" i="6"/>
  <c r="J4" i="6"/>
  <c r="J3" i="6"/>
  <c r="O9" i="6"/>
  <c r="J5" i="6"/>
  <c r="I5" i="5"/>
  <c r="I3" i="5"/>
  <c r="I4" i="5"/>
  <c r="N10" i="5"/>
  <c r="N9" i="5"/>
  <c r="J5" i="5"/>
  <c r="J4" i="5"/>
  <c r="O10" i="5"/>
  <c r="J3" i="5"/>
  <c r="O9" i="5"/>
  <c r="P9" i="3"/>
  <c r="Q10" i="3"/>
  <c r="P10" i="3"/>
  <c r="Q9" i="3"/>
  <c r="I2" i="3"/>
  <c r="J2" i="3"/>
  <c r="I3" i="3"/>
  <c r="J3" i="3"/>
  <c r="I4" i="3"/>
  <c r="J4" i="3"/>
  <c r="I5" i="3"/>
  <c r="J5" i="3"/>
  <c r="I8" i="3"/>
  <c r="J8" i="3"/>
  <c r="I7" i="3"/>
  <c r="J7" i="3"/>
  <c r="T7" i="6" l="1"/>
  <c r="T8" i="6"/>
  <c r="S7" i="6"/>
  <c r="W7" i="6" s="1"/>
  <c r="S8" i="6"/>
  <c r="W8" i="6" s="1"/>
  <c r="T7" i="5"/>
  <c r="T8" i="5"/>
  <c r="S7" i="5"/>
  <c r="S8" i="5"/>
  <c r="W8" i="5" s="1"/>
  <c r="U8" i="3"/>
  <c r="U7" i="3"/>
  <c r="T8" i="3"/>
  <c r="T7" i="3"/>
  <c r="V10" i="6" l="1"/>
  <c r="W7" i="5"/>
  <c r="V10" i="5" s="1"/>
  <c r="U8" i="6"/>
  <c r="V8" i="6" s="1"/>
  <c r="U7" i="6"/>
  <c r="V7" i="6" s="1"/>
  <c r="U8" i="5"/>
  <c r="V8" i="5" s="1"/>
  <c r="U7" i="5"/>
  <c r="V8" i="3"/>
  <c r="W8" i="3" s="1"/>
  <c r="V7" i="3"/>
  <c r="W7" i="3" l="1"/>
  <c r="W10" i="3" s="1"/>
  <c r="V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<sst xmlns="http://schemas.openxmlformats.org/spreadsheetml/2006/main" count="757" uniqueCount="134">
  <si>
    <t>Index</t>
  </si>
  <si>
    <t>Set Point</t>
  </si>
  <si>
    <t>Laser</t>
  </si>
  <si>
    <t>Measure</t>
  </si>
  <si>
    <t>Slope</t>
  </si>
  <si>
    <t>Offset</t>
  </si>
  <si>
    <t>Dragan</t>
  </si>
  <si>
    <t>George</t>
  </si>
  <si>
    <t>rick</t>
  </si>
  <si>
    <t>george</t>
  </si>
  <si>
    <t>rob</t>
  </si>
  <si>
    <t>Rick A</t>
  </si>
  <si>
    <t>Constant</t>
  </si>
  <si>
    <t xml:space="preserve">R100-A </t>
  </si>
  <si>
    <t xml:space="preserve">R100-B </t>
  </si>
  <si>
    <t xml:space="preserve">R1K-A </t>
  </si>
  <si>
    <t xml:space="preserve">R1K-B </t>
  </si>
  <si>
    <t>Tol = +/- 1LSD</t>
  </si>
  <si>
    <t>DataQ (Volts)</t>
  </si>
  <si>
    <t>ChA</t>
  </si>
  <si>
    <t>ChB</t>
  </si>
  <si>
    <r>
      <t>Fluke Meter (</t>
    </r>
    <r>
      <rPr>
        <sz val="10"/>
        <color theme="1"/>
        <rFont val="Symbol"/>
        <family val="1"/>
        <charset val="2"/>
      </rPr>
      <t>W</t>
    </r>
    <r>
      <rPr>
        <sz val="10"/>
        <color theme="1"/>
        <rFont val="Aptos Narrow"/>
        <family val="2"/>
      </rPr>
      <t>)</t>
    </r>
  </si>
  <si>
    <r>
      <t>Ref (</t>
    </r>
    <r>
      <rPr>
        <sz val="10"/>
        <color theme="1"/>
        <rFont val="Symbol"/>
        <family val="1"/>
        <charset val="2"/>
      </rPr>
      <t xml:space="preserve">W) </t>
    </r>
    <r>
      <rPr>
        <sz val="10"/>
        <color theme="1"/>
        <rFont val="Aptos Narrow"/>
        <family val="2"/>
      </rPr>
      <t>Default</t>
    </r>
  </si>
  <si>
    <t>Default</t>
  </si>
  <si>
    <t>Reference</t>
  </si>
  <si>
    <t>Fluke Meter</t>
  </si>
  <si>
    <t>DataQ</t>
  </si>
  <si>
    <t>R100-A</t>
  </si>
  <si>
    <t>R100-B</t>
  </si>
  <si>
    <t>R1K-A</t>
  </si>
  <si>
    <t>R1K-B</t>
  </si>
  <si>
    <t>Channel</t>
  </si>
  <si>
    <t>Intercept</t>
  </si>
  <si>
    <t>Ch A</t>
  </si>
  <si>
    <t>Ch B</t>
  </si>
  <si>
    <t>Goodness</t>
  </si>
  <si>
    <t>Camren</t>
  </si>
  <si>
    <t>Rick for Reference</t>
  </si>
  <si>
    <t>Gabby</t>
  </si>
  <si>
    <t>rick for reference</t>
  </si>
  <si>
    <t>Operator</t>
  </si>
  <si>
    <t>Date/Time</t>
  </si>
  <si>
    <t>Trial</t>
  </si>
  <si>
    <t>N</t>
  </si>
  <si>
    <t>CL</t>
  </si>
  <si>
    <t>Z-score</t>
  </si>
  <si>
    <t>Level</t>
  </si>
  <si>
    <t>LCLmin</t>
  </si>
  <si>
    <t>LCLmax</t>
  </si>
  <si>
    <t>MUI*</t>
  </si>
  <si>
    <t>OP</t>
  </si>
  <si>
    <t>Op</t>
  </si>
  <si>
    <t>Run ID</t>
  </si>
  <si>
    <t>CAL ID</t>
  </si>
  <si>
    <r>
      <t>N</t>
    </r>
    <r>
      <rPr>
        <vertAlign val="subscript"/>
        <sz val="11"/>
        <color theme="1"/>
        <rFont val="Aptos Narrow"/>
        <family val="2"/>
        <scheme val="minor"/>
      </rPr>
      <t>Testers</t>
    </r>
  </si>
  <si>
    <r>
      <t>N</t>
    </r>
    <r>
      <rPr>
        <vertAlign val="subscript"/>
        <sz val="11"/>
        <color theme="1"/>
        <rFont val="Aptos Narrow"/>
        <family val="2"/>
        <scheme val="minor"/>
      </rPr>
      <t>Replicates</t>
    </r>
  </si>
  <si>
    <t>exclude-&gt;</t>
  </si>
  <si>
    <t>Slope Dev</t>
  </si>
  <si>
    <t>Int Dev</t>
  </si>
  <si>
    <t>Average</t>
  </si>
  <si>
    <t>Std Dev</t>
  </si>
  <si>
    <t>UCL</t>
  </si>
  <si>
    <t>LCl</t>
  </si>
  <si>
    <t>Voltage</t>
  </si>
  <si>
    <r>
      <t xml:space="preserve">+/- </t>
    </r>
    <r>
      <rPr>
        <sz val="9"/>
        <color theme="1"/>
        <rFont val="Symbol"/>
        <family val="1"/>
        <charset val="2"/>
      </rPr>
      <t>W</t>
    </r>
  </si>
  <si>
    <t>W</t>
  </si>
  <si>
    <t>Fluke 0mA (Eng)</t>
  </si>
  <si>
    <t>3-Sigma</t>
  </si>
  <si>
    <r>
      <t xml:space="preserve">Rref </t>
    </r>
    <r>
      <rPr>
        <sz val="11"/>
        <color theme="1"/>
        <rFont val="Aptos Narrow"/>
        <family val="2"/>
      </rPr>
      <t>Ω</t>
    </r>
  </si>
  <si>
    <t>0.01% 15ppm</t>
  </si>
  <si>
    <t>Samples</t>
  </si>
  <si>
    <t>Duration hrs</t>
  </si>
  <si>
    <t>Average mA</t>
  </si>
  <si>
    <t>StDev</t>
  </si>
  <si>
    <t>99.7% +Tolerance</t>
  </si>
  <si>
    <t>99.7% -Tolerance</t>
  </si>
  <si>
    <t>Fluke 14mA (Prod)</t>
  </si>
  <si>
    <t>DataQ  (SF = 0.6, Res 1%)</t>
  </si>
  <si>
    <t>PicoScope</t>
  </si>
  <si>
    <t>CRASHED!!</t>
  </si>
  <si>
    <t>MLOI:\$Calibration\Current stability 2025032\Current Stability and Summary 20250401.xlsx</t>
  </si>
  <si>
    <t>MLOI:\$ReportFiles\Analysis Summary 250527.xlsx</t>
  </si>
  <si>
    <t>Set Point2</t>
  </si>
  <si>
    <t>Laser^2</t>
  </si>
  <si>
    <t>Op * Laser</t>
  </si>
  <si>
    <t>Op2</t>
  </si>
  <si>
    <t>SUMMARY OUTPUT</t>
  </si>
  <si>
    <t>Regression Statistics</t>
  </si>
  <si>
    <t>Multiple R</t>
  </si>
  <si>
    <t>R Square</t>
  </si>
  <si>
    <t>Adjusted R Square</t>
  </si>
  <si>
    <t>Standard Error</t>
  </si>
  <si>
    <t>Observations</t>
  </si>
  <si>
    <t>ANOVA</t>
  </si>
  <si>
    <t>Regression</t>
  </si>
  <si>
    <t>Residual</t>
  </si>
  <si>
    <t>Total</t>
  </si>
  <si>
    <t>Column1</t>
  </si>
  <si>
    <t>df</t>
  </si>
  <si>
    <t>SS</t>
  </si>
  <si>
    <t>MS</t>
  </si>
  <si>
    <t>F</t>
  </si>
  <si>
    <t>Significance F</t>
  </si>
  <si>
    <t>Column2</t>
  </si>
  <si>
    <t>Column3</t>
  </si>
  <si>
    <t>Column4</t>
  </si>
  <si>
    <t>Column5</t>
  </si>
  <si>
    <t>Column6</t>
  </si>
  <si>
    <t>Coefficients</t>
  </si>
  <si>
    <t>t Stat</t>
  </si>
  <si>
    <t>P-value</t>
  </si>
  <si>
    <t>Lower 95%</t>
  </si>
  <si>
    <t>Upper 95%</t>
  </si>
  <si>
    <t>Column7</t>
  </si>
  <si>
    <t>Lower 95.0%</t>
  </si>
  <si>
    <t>Upper 95.0%</t>
  </si>
  <si>
    <t>Column8</t>
  </si>
  <si>
    <t>Column9</t>
  </si>
  <si>
    <t>RESIDUAL OUTPUT</t>
  </si>
  <si>
    <t>Observation</t>
  </si>
  <si>
    <t>Predicted Measure</t>
  </si>
  <si>
    <t>Residuals</t>
  </si>
  <si>
    <t>Column10</t>
  </si>
  <si>
    <t>Column11</t>
  </si>
  <si>
    <t>Column12</t>
  </si>
  <si>
    <t>Column13</t>
  </si>
  <si>
    <t>AGGREGATE DATA SUMMARY OUTPUT</t>
  </si>
  <si>
    <t>OP(2)</t>
  </si>
  <si>
    <t>Column14</t>
  </si>
  <si>
    <t>Count</t>
  </si>
  <si>
    <r>
      <rPr>
        <b/>
        <sz val="11"/>
        <color theme="1"/>
        <rFont val="Symbol"/>
        <family val="1"/>
        <charset val="2"/>
      </rPr>
      <t>±</t>
    </r>
    <r>
      <rPr>
        <b/>
        <sz val="11"/>
        <color theme="1"/>
        <rFont val="Aptos Narrow"/>
        <family val="2"/>
        <scheme val="minor"/>
      </rPr>
      <t>Tolerance</t>
    </r>
    <r>
      <rPr>
        <b/>
        <sz val="11"/>
        <color theme="1"/>
        <rFont val="Aptos Narrow"/>
        <family val="1"/>
        <charset val="2"/>
        <scheme val="minor"/>
      </rPr>
      <t xml:space="preserve"> =</t>
    </r>
  </si>
  <si>
    <r>
      <rPr>
        <b/>
        <sz val="12"/>
        <color theme="1"/>
        <rFont val="Symbol"/>
        <family val="1"/>
        <charset val="2"/>
      </rPr>
      <t>±</t>
    </r>
    <r>
      <rPr>
        <b/>
        <sz val="12"/>
        <color theme="1"/>
        <rFont val="Aptos Narrow"/>
        <family val="2"/>
        <scheme val="minor"/>
      </rPr>
      <t xml:space="preserve"> inches</t>
    </r>
  </si>
  <si>
    <r>
      <rPr>
        <b/>
        <sz val="11"/>
        <color theme="1"/>
        <rFont val="Symbol"/>
        <family val="1"/>
        <charset val="2"/>
      </rPr>
      <t>±</t>
    </r>
    <r>
      <rPr>
        <b/>
        <sz val="11"/>
        <color theme="1"/>
        <rFont val="Aptos Narrow"/>
        <family val="2"/>
        <scheme val="minor"/>
      </rPr>
      <t>Tolerance =</t>
    </r>
  </si>
  <si>
    <r>
      <t xml:space="preserve">+/- </t>
    </r>
    <r>
      <rPr>
        <b/>
        <sz val="9"/>
        <color theme="1"/>
        <rFont val="Symbol"/>
        <family val="1"/>
        <charset val="2"/>
      </rPr>
      <t>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</si>
</sst>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m/d/yy\ h:mm;@"/>
    <numFmt numFmtId="166" formatCode="mm/dd/yy\ hh:mm\ AM/PM"/>
    <numFmt numFmtId="167" formatCode="0.0"/>
    <numFmt numFmtId="168" formatCode="0.0000"/>
    <numFmt numFmtId="169" formatCode="[$-409]m/d/yy\ h:mm\ AM/PM;@"/>
    <numFmt numFmtId="170" formatCode="0.000E+00"/>
    <numFmt numFmtId="171" formatCode="0.00000"/>
    <numFmt numFmtId="172" formatCode="0.000%"/>
  </numFmts>
  <fonts count="17" x14ac:knownFonts="1">
    <font>
      <sz val="11"/>
      <color theme="1"/>
      <name val="Aptos Narrow"/>
      <family val="2"/>
      <scheme val="minor"/>
    </font>
    <font>
      <sz val="10"/>
      <color theme="1"/>
      <name val="Aptos Narrow"/>
      <family val="2"/>
    </font>
    <font>
      <sz val="10"/>
      <color theme="1"/>
      <name val="Symbol"/>
      <family val="1"/>
      <charset val="2"/>
    </font>
    <font>
      <sz val="11"/>
      <color theme="1"/>
      <name val="Aptos Narrow"/>
      <family val="2"/>
      <scheme val="minor"/>
    </font>
    <font>
      <b/>
      <sz val="12"/>
      <color theme="1"/>
      <name val="Aptos Narrow"/>
      <family val="2"/>
      <scheme val="minor"/>
    </font>
    <font>
      <vertAlign val="subscript"/>
      <sz val="11"/>
      <color theme="1"/>
      <name val="Aptos Narrow"/>
      <family val="2"/>
      <scheme val="minor"/>
    </font>
    <font>
      <sz val="8"/>
      <name val="Aptos Narrow"/>
      <family val="2"/>
      <scheme val="minor"/>
    </font>
    <font>
      <b/>
      <sz val="11"/>
      <color theme="1"/>
      <name val="Aptos Narrow"/>
      <family val="2"/>
      <scheme val="minor"/>
    </font>
    <font>
      <sz val="9"/>
      <color theme="1"/>
      <name val="Symbol"/>
      <family val="1"/>
      <charset val="2"/>
    </font>
    <font>
      <sz val="11"/>
      <color theme="1"/>
      <name val="Aptos Narrow"/>
      <family val="2"/>
    </font>
    <font>
      <i/>
      <sz val="11"/>
      <color theme="1"/>
      <name val="Aptos Narrow"/>
      <family val="2"/>
      <scheme val="minor"/>
    </font>
    <font>
      <b/>
      <sz val="11"/>
      <color theme="1"/>
      <name val="Aptos Narrow"/>
      <family val="1"/>
      <charset val="2"/>
      <scheme val="minor"/>
    </font>
    <font>
      <b/>
      <sz val="11"/>
      <color theme="1"/>
      <name val="Symbol"/>
      <family val="1"/>
      <charset val="2"/>
    </font>
    <font>
      <b/>
      <sz val="9"/>
      <color theme="1"/>
      <name val="Symbol"/>
      <family val="1"/>
      <charset val="2"/>
    </font>
    <font>
      <b/>
      <sz val="9"/>
      <color theme="1"/>
      <name val="Aptos Narrow"/>
      <family val="2"/>
      <scheme val="minor"/>
    </font>
    <font>
      <b/>
      <sz val="12"/>
      <color theme="1"/>
      <name val="Aptos Narrow"/>
      <family val="1"/>
      <charset val="2"/>
      <scheme val="minor"/>
    </font>
    <font>
      <b/>
      <sz val="12"/>
      <color theme="1"/>
      <name val="Symbol"/>
      <family val="1"/>
      <charset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3" fillId="0" borderId="0" applyFont="0" applyFill="0" applyBorder="0" applyAlignment="0" applyProtection="0"/>
  </cellStyleXfs>
  <cellXfs count="84">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165" fontId="1" fillId="0" borderId="1" xfId="0" applyNumberFormat="1" applyFont="1" applyBorder="1"/>
    <xf numFmtId="166" fontId="1" fillId="0" borderId="1" xfId="0" applyNumberFormat="1" applyFont="1" applyBorder="1"/>
    <xf numFmtId="2" fontId="1" fillId="0" borderId="1" xfId="0" applyNumberFormat="1" applyFont="1" applyBorder="1"/>
    <xf numFmtId="167" fontId="1" fillId="0" borderId="1" xfId="0" applyNumberFormat="1" applyFont="1" applyBorder="1"/>
    <xf numFmtId="164" fontId="0" fillId="0" borderId="0" xfId="0" applyNumberFormat="1" applyAlignment="1">
      <alignment horizontal="center"/>
    </xf>
    <xf numFmtId="0" fontId="0" fillId="0" borderId="0" xfId="0" applyAlignment="1">
      <alignment horizontal="right" indent="1"/>
    </xf>
    <xf numFmtId="164" fontId="1" fillId="0" borderId="1" xfId="0" applyNumberFormat="1" applyFont="1" applyBorder="1" applyAlignment="1">
      <alignment horizontal="center"/>
    </xf>
    <xf numFmtId="164" fontId="1" fillId="2" borderId="1" xfId="0" applyNumberFormat="1" applyFont="1" applyFill="1" applyBorder="1"/>
    <xf numFmtId="168" fontId="0" fillId="0" borderId="0" xfId="0" applyNumberFormat="1"/>
    <xf numFmtId="9" fontId="0" fillId="0" borderId="0" xfId="0" applyNumberFormat="1"/>
    <xf numFmtId="0" fontId="0" fillId="0" borderId="0" xfId="0" applyAlignment="1">
      <alignment horizontal="center"/>
    </xf>
    <xf numFmtId="0" fontId="0" fillId="0" borderId="1" xfId="0" applyBorder="1"/>
    <xf numFmtId="168" fontId="4" fillId="0" borderId="1" xfId="0" applyNumberFormat="1" applyFont="1" applyBorder="1"/>
    <xf numFmtId="169" fontId="0" fillId="0" borderId="0" xfId="0" applyNumberFormat="1"/>
    <xf numFmtId="164" fontId="0" fillId="0" borderId="0" xfId="0" applyNumberFormat="1" applyAlignment="1">
      <alignment horizontal="right"/>
    </xf>
    <xf numFmtId="9" fontId="0" fillId="0" borderId="0" xfId="1" applyFont="1"/>
    <xf numFmtId="164" fontId="0" fillId="0" borderId="1" xfId="0" applyNumberFormat="1" applyBorder="1"/>
    <xf numFmtId="2" fontId="0" fillId="0" borderId="1" xfId="0" applyNumberFormat="1" applyBorder="1"/>
    <xf numFmtId="0" fontId="7" fillId="0" borderId="5" xfId="0" applyFont="1" applyBorder="1"/>
    <xf numFmtId="0" fontId="0" fillId="0" borderId="5" xfId="0" applyBorder="1" applyAlignment="1">
      <alignment horizontal="center"/>
    </xf>
    <xf numFmtId="0" fontId="0" fillId="0" borderId="5" xfId="0" applyBorder="1" applyAlignment="1">
      <alignment horizontal="left" indent="1"/>
    </xf>
    <xf numFmtId="0" fontId="0" fillId="0" borderId="0" xfId="0" applyAlignment="1">
      <alignment horizontal="left" indent="1"/>
    </xf>
    <xf numFmtId="170" fontId="0" fillId="0" borderId="0" xfId="0" applyNumberFormat="1"/>
    <xf numFmtId="0" fontId="0" fillId="0" borderId="6" xfId="0" applyBorder="1"/>
    <xf numFmtId="164" fontId="0" fillId="0" borderId="7" xfId="0" applyNumberFormat="1" applyBorder="1"/>
    <xf numFmtId="0" fontId="0" fillId="0" borderId="8" xfId="0" applyBorder="1"/>
    <xf numFmtId="164" fontId="0" fillId="0" borderId="9" xfId="0" applyNumberFormat="1" applyBorder="1"/>
    <xf numFmtId="164" fontId="0" fillId="0" borderId="10" xfId="0" applyNumberFormat="1" applyBorder="1"/>
    <xf numFmtId="164" fontId="0" fillId="0" borderId="11" xfId="0" applyNumberFormat="1" applyBorder="1"/>
    <xf numFmtId="0" fontId="7" fillId="0" borderId="0" xfId="0" applyFont="1"/>
    <xf numFmtId="0" fontId="0" fillId="0" borderId="11" xfId="0" applyBorder="1"/>
    <xf numFmtId="169" fontId="0" fillId="0" borderId="11" xfId="0" applyNumberFormat="1" applyBorder="1"/>
    <xf numFmtId="0" fontId="10" fillId="0" borderId="12" xfId="0" applyFont="1" applyBorder="1" applyAlignment="1">
      <alignment horizontal="center"/>
    </xf>
    <xf numFmtId="169" fontId="10" fillId="0" borderId="12" xfId="0" applyNumberFormat="1" applyFont="1" applyBorder="1" applyAlignment="1">
      <alignment horizontal="center"/>
    </xf>
    <xf numFmtId="164" fontId="10" fillId="0" borderId="12" xfId="0" applyNumberFormat="1" applyFont="1" applyBorder="1" applyAlignment="1">
      <alignment horizontal="center"/>
    </xf>
    <xf numFmtId="164" fontId="7" fillId="3" borderId="1" xfId="0" applyNumberFormat="1" applyFont="1" applyFill="1" applyBorder="1" applyAlignment="1">
      <alignment horizontal="center"/>
    </xf>
    <xf numFmtId="168" fontId="0" fillId="0" borderId="1" xfId="0" applyNumberFormat="1" applyBorder="1"/>
    <xf numFmtId="171" fontId="0" fillId="0" borderId="0" xfId="0" applyNumberFormat="1"/>
    <xf numFmtId="0" fontId="0" fillId="2" borderId="0" xfId="0" applyFill="1"/>
    <xf numFmtId="0" fontId="0" fillId="0" borderId="15" xfId="0" applyBorder="1"/>
    <xf numFmtId="0" fontId="0" fillId="0" borderId="1" xfId="0" applyBorder="1" applyAlignment="1">
      <alignment horizontal="left"/>
    </xf>
    <xf numFmtId="169" fontId="0" fillId="0" borderId="1" xfId="0" applyNumberFormat="1" applyBorder="1"/>
    <xf numFmtId="164" fontId="0" fillId="0" borderId="16" xfId="0" applyNumberFormat="1" applyBorder="1"/>
    <xf numFmtId="0" fontId="0" fillId="0" borderId="15" xfId="0" applyBorder="1" applyAlignment="1">
      <alignment horizontal="right"/>
    </xf>
    <xf numFmtId="169" fontId="0" fillId="0" borderId="1" xfId="0" applyNumberFormat="1" applyBorder="1" applyAlignment="1">
      <alignment horizontal="right"/>
    </xf>
    <xf numFmtId="0" fontId="0" fillId="0" borderId="1" xfId="0" applyBorder="1" applyAlignment="1">
      <alignment horizontal="right"/>
    </xf>
    <xf numFmtId="164" fontId="0" fillId="0" borderId="1" xfId="0" applyNumberFormat="1" applyBorder="1" applyAlignment="1">
      <alignment horizontal="right"/>
    </xf>
    <xf numFmtId="164" fontId="0" fillId="0" borderId="16" xfId="0" applyNumberFormat="1" applyBorder="1" applyAlignment="1">
      <alignment horizontal="right"/>
    </xf>
    <xf numFmtId="0" fontId="0" fillId="0" borderId="17" xfId="0" applyBorder="1"/>
    <xf numFmtId="0" fontId="0" fillId="0" borderId="18" xfId="0" applyBorder="1" applyAlignment="1">
      <alignment horizontal="left"/>
    </xf>
    <xf numFmtId="169" fontId="0" fillId="0" borderId="18" xfId="0" applyNumberFormat="1" applyBorder="1"/>
    <xf numFmtId="0" fontId="0" fillId="0" borderId="18" xfId="0" applyBorder="1"/>
    <xf numFmtId="164" fontId="0" fillId="0" borderId="18" xfId="0" applyNumberFormat="1" applyBorder="1"/>
    <xf numFmtId="164" fontId="0" fillId="0" borderId="19" xfId="0" applyNumberFormat="1" applyBorder="1"/>
    <xf numFmtId="0" fontId="7" fillId="3" borderId="13" xfId="0" applyFont="1" applyFill="1" applyBorder="1"/>
    <xf numFmtId="0" fontId="7" fillId="3" borderId="2" xfId="0" applyFont="1" applyFill="1" applyBorder="1"/>
    <xf numFmtId="169" fontId="7" fillId="3" borderId="2" xfId="0" applyNumberFormat="1" applyFont="1" applyFill="1" applyBorder="1"/>
    <xf numFmtId="0" fontId="7" fillId="3" borderId="14" xfId="0" applyFont="1" applyFill="1" applyBorder="1"/>
    <xf numFmtId="0" fontId="7" fillId="4" borderId="1" xfId="0" applyFont="1" applyFill="1" applyBorder="1"/>
    <xf numFmtId="0" fontId="7" fillId="3" borderId="1" xfId="0" applyFont="1" applyFill="1" applyBorder="1"/>
    <xf numFmtId="0" fontId="7" fillId="4" borderId="1" xfId="0" applyFont="1" applyFill="1" applyBorder="1" applyAlignment="1">
      <alignment horizontal="center"/>
    </xf>
    <xf numFmtId="9" fontId="0" fillId="0" borderId="1" xfId="0" applyNumberFormat="1" applyBorder="1"/>
    <xf numFmtId="0" fontId="11" fillId="2" borderId="3" xfId="0" applyFont="1" applyFill="1" applyBorder="1"/>
    <xf numFmtId="0" fontId="11" fillId="2" borderId="0" xfId="0" applyFont="1" applyFill="1"/>
    <xf numFmtId="10" fontId="0" fillId="2" borderId="0" xfId="1" applyNumberFormat="1" applyFont="1" applyFill="1" applyBorder="1" applyAlignment="1">
      <alignment horizontal="center"/>
    </xf>
    <xf numFmtId="49" fontId="15" fillId="4" borderId="1" xfId="0" applyNumberFormat="1" applyFont="1" applyFill="1" applyBorder="1" applyAlignment="1">
      <alignment horizontal="center"/>
    </xf>
    <xf numFmtId="172" fontId="0" fillId="0" borderId="0" xfId="1" applyNumberFormat="1" applyFont="1"/>
    <xf numFmtId="10" fontId="7" fillId="2" borderId="4" xfId="1" applyNumberFormat="1" applyFont="1" applyFill="1" applyBorder="1" applyAlignment="1">
      <alignment horizontal="center"/>
    </xf>
    <xf numFmtId="0" fontId="7" fillId="3" borderId="0" xfId="0" applyFont="1" applyFill="1"/>
    <xf numFmtId="169" fontId="7" fillId="3" borderId="0" xfId="0" applyNumberFormat="1" applyFont="1" applyFill="1"/>
    <xf numFmtId="0" fontId="12" fillId="3" borderId="1" xfId="0" applyFont="1" applyFill="1" applyBorder="1" applyAlignment="1">
      <alignment horizontal="center"/>
    </xf>
    <xf numFmtId="0" fontId="7" fillId="3" borderId="1" xfId="0" applyFont="1" applyFill="1" applyBorder="1" applyAlignment="1">
      <alignment horizontal="center"/>
    </xf>
    <xf numFmtId="49" fontId="14" fillId="3" borderId="1" xfId="0" applyNumberFormat="1" applyFont="1" applyFill="1" applyBorder="1" applyAlignment="1">
      <alignment horizontal="center"/>
    </xf>
    <xf numFmtId="0" fontId="1" fillId="0" borderId="1" xfId="0" applyFont="1" applyBorder="1" applyAlignment="1">
      <alignment horizontal="left"/>
    </xf>
    <xf numFmtId="169" fontId="1" fillId="0" borderId="1" xfId="0" applyNumberFormat="1" applyFont="1" applyBorder="1"/>
    <xf numFmtId="0" fontId="1" fillId="0" borderId="18" xfId="0" applyFont="1" applyBorder="1" applyAlignment="1">
      <alignment horizontal="left"/>
    </xf>
    <xf numFmtId="169" fontId="1" fillId="0" borderId="18" xfId="0" applyNumberFormat="1" applyFont="1" applyBorder="1"/>
    <xf numFmtId="164" fontId="1" fillId="0" borderId="18" xfId="0" applyNumberFormat="1" applyFont="1" applyBorder="1"/>
    <xf numFmtId="168" fontId="0" fillId="0" borderId="1" xfId="0" applyNumberFormat="1" applyBorder="1" applyAlignment="1">
      <alignment horizontal="right"/>
    </xf>
    <xf numFmtId="168" fontId="0" fillId="0" borderId="18" xfId="0" applyNumberFormat="1" applyBorder="1"/>
  </cellXfs>
  <cellStyles count="2">
    <cellStyle name="Normal" xfId="0" builtinId="0"/>
    <cellStyle name="Percent" xfId="1" builtinId="5"/>
  </cellStyles>
  <dxfs count="76">
    <dxf>
      <numFmt numFmtId="168" formatCode="0.0000"/>
      <border diagonalUp="0" diagonalDown="0" outline="0">
        <left style="thin">
          <color indexed="64"/>
        </left>
        <right style="thin">
          <color indexed="64"/>
        </right>
        <top style="thin">
          <color indexed="64"/>
        </top>
        <bottom style="thin">
          <color indexed="64"/>
        </bottom>
      </border>
    </dxf>
    <dxf>
      <numFmt numFmtId="164" formatCode="0.000"/>
      <border diagonalUp="0" diagonalDown="0" outline="0">
        <left style="thin">
          <color indexed="64"/>
        </left>
        <right style="thin">
          <color indexed="64"/>
        </right>
        <top style="thin">
          <color indexed="64"/>
        </top>
        <bottom style="thin">
          <color indexed="64"/>
        </bottom>
      </border>
    </dxf>
    <dxf>
      <numFmt numFmtId="164" formatCode="0.000"/>
      <border diagonalUp="0" diagonalDown="0" outline="0">
        <left style="thin">
          <color indexed="64"/>
        </left>
        <right style="thin">
          <color indexed="64"/>
        </right>
        <top style="thin">
          <color indexed="64"/>
        </top>
        <bottom style="thin">
          <color indexed="64"/>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fill>
        <patternFill patternType="none">
          <fgColor indexed="64"/>
          <bgColor indexed="65"/>
        </patternFill>
      </fill>
      <alignment horizontal="general" vertical="bottom" textRotation="0" wrapText="0" indent="0" justifyLastLine="0" shrinkToFit="0" readingOrder="0"/>
    </dxf>
    <dxf>
      <numFmt numFmtId="164" formatCode="0.000"/>
    </dxf>
    <dxf>
      <numFmt numFmtId="164" formatCode="0.000"/>
    </dxf>
    <dxf>
      <numFmt numFmtId="164" formatCode="0.000"/>
    </dxf>
    <dxf>
      <numFmt numFmtId="164" formatCode="0.000"/>
    </dxf>
    <dxf>
      <numFmt numFmtId="164" formatCode="0.000"/>
    </dxf>
    <dxf>
      <numFmt numFmtId="164" formatCode="0.000"/>
    </dxf>
    <dxf>
      <numFmt numFmtId="169" formatCode="[$-409]m/d/yy\ h:mm\ AM/PM;@"/>
    </dxf>
    <dxf>
      <numFmt numFmtId="164" formatCode="0.000"/>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219203849518811"/>
          <c:y val="0.17634259259259263"/>
          <c:w val="0.84255796150481188"/>
          <c:h val="0.72125801983085447"/>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Level'!$C$214:$C$218</c:f>
              <c:numCache>
                <c:formatCode>0.000</c:formatCode>
                <c:ptCount val="5"/>
                <c:pt idx="0">
                  <c:v>1.2070000000000001</c:v>
                </c:pt>
                <c:pt idx="1">
                  <c:v>1.2110000000000001</c:v>
                </c:pt>
                <c:pt idx="2">
                  <c:v>3.9649999999999999</c:v>
                </c:pt>
                <c:pt idx="3">
                  <c:v>5.4619999999999997</c:v>
                </c:pt>
                <c:pt idx="4">
                  <c:v>6.8789999999999996</c:v>
                </c:pt>
              </c:numCache>
            </c:numRef>
          </c:xVal>
          <c:yVal>
            <c:numRef>
              <c:f>'Elevate Level'!$D$214:$D$218</c:f>
              <c:numCache>
                <c:formatCode>0.000</c:formatCode>
                <c:ptCount val="5"/>
                <c:pt idx="0">
                  <c:v>8.3859999999999992</c:v>
                </c:pt>
                <c:pt idx="1">
                  <c:v>7.0629999999999997</c:v>
                </c:pt>
                <c:pt idx="2">
                  <c:v>5.6429999999999998</c:v>
                </c:pt>
                <c:pt idx="3">
                  <c:v>4.1550000000000002</c:v>
                </c:pt>
                <c:pt idx="4">
                  <c:v>2.746</c:v>
                </c:pt>
              </c:numCache>
            </c:numRef>
          </c:yVal>
          <c:smooth val="1"/>
          <c:extLst>
            <c:ext xmlns:c16="http://schemas.microsoft.com/office/drawing/2014/chart" uri="{C3380CC4-5D6E-409C-BE32-E72D297353CC}">
              <c16:uniqueId val="{00000000-A195-4C8E-BE3F-E8449DCBE058}"/>
            </c:ext>
          </c:extLst>
        </c:ser>
        <c:dLbls>
          <c:showLegendKey val="0"/>
          <c:showVal val="0"/>
          <c:showCatName val="0"/>
          <c:showSerName val="0"/>
          <c:showPercent val="0"/>
          <c:showBubbleSize val="0"/>
        </c:dLbls>
        <c:axId val="913370256"/>
        <c:axId val="913371336"/>
      </c:scatterChart>
      <c:valAx>
        <c:axId val="91337025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1336"/>
        <c:crosses val="autoZero"/>
        <c:crossBetween val="midCat"/>
      </c:valAx>
      <c:valAx>
        <c:axId val="9133713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0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Level'!$C$206:$C$210</c:f>
              <c:numCache>
                <c:formatCode>0.000</c:formatCode>
                <c:ptCount val="5"/>
                <c:pt idx="0">
                  <c:v>1.2070000000000001</c:v>
                </c:pt>
                <c:pt idx="1">
                  <c:v>1.2130000000000001</c:v>
                </c:pt>
                <c:pt idx="2">
                  <c:v>4.0039999999999996</c:v>
                </c:pt>
                <c:pt idx="3">
                  <c:v>4.0030000000000001</c:v>
                </c:pt>
                <c:pt idx="4">
                  <c:v>5.3710000000000004</c:v>
                </c:pt>
              </c:numCache>
            </c:numRef>
          </c:xVal>
          <c:yVal>
            <c:numRef>
              <c:f>'Elevate Level'!$D$206:$D$210</c:f>
              <c:numCache>
                <c:formatCode>0.000</c:formatCode>
                <c:ptCount val="5"/>
                <c:pt idx="0">
                  <c:v>8.3840000000000003</c:v>
                </c:pt>
                <c:pt idx="1">
                  <c:v>6.99</c:v>
                </c:pt>
                <c:pt idx="2">
                  <c:v>5.6120000000000001</c:v>
                </c:pt>
                <c:pt idx="3">
                  <c:v>4.2430000000000003</c:v>
                </c:pt>
                <c:pt idx="4">
                  <c:v>2.74</c:v>
                </c:pt>
              </c:numCache>
            </c:numRef>
          </c:yVal>
          <c:smooth val="1"/>
          <c:extLst>
            <c:ext xmlns:c16="http://schemas.microsoft.com/office/drawing/2014/chart" uri="{C3380CC4-5D6E-409C-BE32-E72D297353CC}">
              <c16:uniqueId val="{00000000-A618-4F61-8F4B-4A2C794591DF}"/>
            </c:ext>
          </c:extLst>
        </c:ser>
        <c:dLbls>
          <c:showLegendKey val="0"/>
          <c:showVal val="0"/>
          <c:showCatName val="0"/>
          <c:showSerName val="0"/>
          <c:showPercent val="0"/>
          <c:showBubbleSize val="0"/>
        </c:dLbls>
        <c:axId val="913433976"/>
        <c:axId val="913442256"/>
      </c:scatterChart>
      <c:valAx>
        <c:axId val="9134339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42256"/>
        <c:crosses val="autoZero"/>
        <c:crossBetween val="midCat"/>
      </c:valAx>
      <c:valAx>
        <c:axId val="91344225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33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Bad Spurious</a:t>
            </a:r>
            <a:r>
              <a:rPr lang="en-US" baseline="0"/>
              <a:t> Stop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332960799254928"/>
          <c:y val="0.35166666666666668"/>
          <c:w val="0.73660587587841841"/>
          <c:h val="0.47185730073214532"/>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Level'!$C$190:$C$194</c:f>
              <c:numCache>
                <c:formatCode>0.000</c:formatCode>
                <c:ptCount val="5"/>
                <c:pt idx="0">
                  <c:v>1.2090000000000001</c:v>
                </c:pt>
                <c:pt idx="1">
                  <c:v>2.6120000000000001</c:v>
                </c:pt>
                <c:pt idx="2">
                  <c:v>2.61</c:v>
                </c:pt>
                <c:pt idx="3">
                  <c:v>5.3819999999999997</c:v>
                </c:pt>
                <c:pt idx="4">
                  <c:v>6.8789999999999996</c:v>
                </c:pt>
              </c:numCache>
            </c:numRef>
          </c:xVal>
          <c:yVal>
            <c:numRef>
              <c:f>'Elevate Level'!$D$190:$D$194</c:f>
              <c:numCache>
                <c:formatCode>0.000</c:formatCode>
                <c:ptCount val="5"/>
                <c:pt idx="0">
                  <c:v>8.3840000000000003</c:v>
                </c:pt>
                <c:pt idx="1">
                  <c:v>7</c:v>
                </c:pt>
                <c:pt idx="2">
                  <c:v>5.6619999999999999</c:v>
                </c:pt>
                <c:pt idx="3">
                  <c:v>4.234</c:v>
                </c:pt>
                <c:pt idx="4">
                  <c:v>2.7469999999999999</c:v>
                </c:pt>
              </c:numCache>
            </c:numRef>
          </c:yVal>
          <c:smooth val="1"/>
          <c:extLst>
            <c:ext xmlns:c16="http://schemas.microsoft.com/office/drawing/2014/chart" uri="{C3380CC4-5D6E-409C-BE32-E72D297353CC}">
              <c16:uniqueId val="{00000000-E69A-4CC7-8F4E-BB3821D7B74A}"/>
            </c:ext>
          </c:extLst>
        </c:ser>
        <c:dLbls>
          <c:showLegendKey val="0"/>
          <c:showVal val="0"/>
          <c:showCatName val="0"/>
          <c:showSerName val="0"/>
          <c:showPercent val="0"/>
          <c:showBubbleSize val="0"/>
        </c:dLbls>
        <c:axId val="913403376"/>
        <c:axId val="913403736"/>
      </c:scatterChart>
      <c:valAx>
        <c:axId val="9134033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736"/>
        <c:crosses val="autoZero"/>
        <c:crossBetween val="midCat"/>
      </c:valAx>
      <c:valAx>
        <c:axId val="913403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Good Calibraion</a:t>
            </a:r>
          </a:p>
        </c:rich>
      </c:tx>
      <c:layout>
        <c:manualLayout>
          <c:xMode val="edge"/>
          <c:yMode val="edge"/>
          <c:x val="0.35991416355301148"/>
          <c:y val="5.33333333333333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Level'!$C$182:$C$186</c:f>
              <c:numCache>
                <c:formatCode>0.000</c:formatCode>
                <c:ptCount val="5"/>
                <c:pt idx="0">
                  <c:v>1.206</c:v>
                </c:pt>
                <c:pt idx="1">
                  <c:v>2.597</c:v>
                </c:pt>
                <c:pt idx="2">
                  <c:v>3.956</c:v>
                </c:pt>
                <c:pt idx="3">
                  <c:v>5.4160000000000004</c:v>
                </c:pt>
                <c:pt idx="4">
                  <c:v>6.88</c:v>
                </c:pt>
              </c:numCache>
            </c:numRef>
          </c:xVal>
          <c:yVal>
            <c:numRef>
              <c:f>'Elevate Level'!$D$182:$D$186</c:f>
              <c:numCache>
                <c:formatCode>0.000</c:formatCode>
                <c:ptCount val="5"/>
                <c:pt idx="0">
                  <c:v>8.4049999999999994</c:v>
                </c:pt>
                <c:pt idx="1">
                  <c:v>7.0229999999999997</c:v>
                </c:pt>
                <c:pt idx="2">
                  <c:v>5.6760000000000002</c:v>
                </c:pt>
                <c:pt idx="3">
                  <c:v>4.2240000000000002</c:v>
                </c:pt>
                <c:pt idx="4">
                  <c:v>2.7749999999999999</c:v>
                </c:pt>
              </c:numCache>
            </c:numRef>
          </c:yVal>
          <c:smooth val="1"/>
          <c:extLst>
            <c:ext xmlns:c16="http://schemas.microsoft.com/office/drawing/2014/chart" uri="{C3380CC4-5D6E-409C-BE32-E72D297353CC}">
              <c16:uniqueId val="{00000000-3E4C-4350-9202-FE9306DA9254}"/>
            </c:ext>
          </c:extLst>
        </c:ser>
        <c:dLbls>
          <c:showLegendKey val="0"/>
          <c:showVal val="0"/>
          <c:showCatName val="0"/>
          <c:showSerName val="0"/>
          <c:showPercent val="0"/>
          <c:showBubbleSize val="0"/>
        </c:dLbls>
        <c:axId val="913485096"/>
        <c:axId val="913484376"/>
      </c:scatterChart>
      <c:valAx>
        <c:axId val="91348509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4376"/>
        <c:crosses val="autoZero"/>
        <c:crossBetween val="midCat"/>
      </c:valAx>
      <c:valAx>
        <c:axId val="91348437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5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r>
              <a:rPr lang="en-US" baseline="0"/>
              <a:t> of 60 Measurements</a:t>
            </a:r>
            <a:endParaRPr lang="en-US"/>
          </a:p>
        </c:rich>
      </c:tx>
      <c:layout>
        <c:manualLayout>
          <c:xMode val="edge"/>
          <c:yMode val="edge"/>
          <c:x val="0.1522557376338961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'Level R&amp;R'!$L$24</c:f>
              <c:strCache>
                <c:ptCount val="1"/>
                <c:pt idx="0">
                  <c:v>Measure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7574803149606298E-2"/>
                  <c:y val="-0.3152511665208515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-0.997x + 9.5983</a:t>
                    </a:r>
                    <a:br>
                      <a:rPr lang="en-US" sz="1400" baseline="0"/>
                    </a:br>
                    <a:r>
                      <a:rPr lang="en-US" sz="1400" baseline="0"/>
                      <a:t>R² = 1</a:t>
                    </a:r>
                    <a:endParaRPr lang="en-US" sz="14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'Level R&amp;R'!$K$25:$K$167</c:f>
              <c:numCache>
                <c:formatCode>0.000</c:formatCode>
                <c:ptCount val="143"/>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R&amp;R'!$L$25:$L$167</c:f>
              <c:numCache>
                <c:formatCode>0.000</c:formatCode>
                <c:ptCount val="143"/>
                <c:pt idx="0">
                  <c:v>8.3930000000000007</c:v>
                </c:pt>
                <c:pt idx="1">
                  <c:v>6.9969999999999999</c:v>
                </c:pt>
                <c:pt idx="2">
                  <c:v>5.6020000000000003</c:v>
                </c:pt>
                <c:pt idx="3">
                  <c:v>4.2560000000000002</c:v>
                </c:pt>
                <c:pt idx="4">
                  <c:v>2.742</c:v>
                </c:pt>
                <c:pt idx="5">
                  <c:v>8.3949999999999996</c:v>
                </c:pt>
                <c:pt idx="6">
                  <c:v>6.9870000000000001</c:v>
                </c:pt>
                <c:pt idx="7">
                  <c:v>5.6109999999999998</c:v>
                </c:pt>
                <c:pt idx="8">
                  <c:v>4.2080000000000002</c:v>
                </c:pt>
                <c:pt idx="9">
                  <c:v>2.7429999999999999</c:v>
                </c:pt>
                <c:pt idx="10">
                  <c:v>8.3989999999999991</c:v>
                </c:pt>
                <c:pt idx="11">
                  <c:v>7.08</c:v>
                </c:pt>
                <c:pt idx="12">
                  <c:v>5.673</c:v>
                </c:pt>
                <c:pt idx="13">
                  <c:v>4.1609999999999996</c:v>
                </c:pt>
                <c:pt idx="14">
                  <c:v>2.7429999999999999</c:v>
                </c:pt>
                <c:pt idx="15">
                  <c:v>8.39</c:v>
                </c:pt>
                <c:pt idx="16">
                  <c:v>7.0590000000000002</c:v>
                </c:pt>
                <c:pt idx="17">
                  <c:v>5.64</c:v>
                </c:pt>
                <c:pt idx="18">
                  <c:v>4.24</c:v>
                </c:pt>
                <c:pt idx="19">
                  <c:v>2.74</c:v>
                </c:pt>
                <c:pt idx="20">
                  <c:v>8.3829999999999991</c:v>
                </c:pt>
                <c:pt idx="21">
                  <c:v>7.0519999999999996</c:v>
                </c:pt>
                <c:pt idx="22">
                  <c:v>5.6360000000000001</c:v>
                </c:pt>
                <c:pt idx="23">
                  <c:v>4.1669999999999998</c:v>
                </c:pt>
                <c:pt idx="24">
                  <c:v>2.738</c:v>
                </c:pt>
                <c:pt idx="25">
                  <c:v>8.3919999999999995</c:v>
                </c:pt>
                <c:pt idx="26">
                  <c:v>7.0339999999999998</c:v>
                </c:pt>
                <c:pt idx="27">
                  <c:v>5.6139999999999999</c:v>
                </c:pt>
                <c:pt idx="28">
                  <c:v>4.2510000000000003</c:v>
                </c:pt>
                <c:pt idx="29">
                  <c:v>2.7440000000000002</c:v>
                </c:pt>
                <c:pt idx="30">
                  <c:v>8.3879999999999999</c:v>
                </c:pt>
                <c:pt idx="31">
                  <c:v>7.056</c:v>
                </c:pt>
                <c:pt idx="32">
                  <c:v>5.6180000000000003</c:v>
                </c:pt>
                <c:pt idx="33">
                  <c:v>4.242</c:v>
                </c:pt>
                <c:pt idx="34">
                  <c:v>2.74</c:v>
                </c:pt>
                <c:pt idx="35">
                  <c:v>8.39</c:v>
                </c:pt>
                <c:pt idx="36">
                  <c:v>7.0490000000000004</c:v>
                </c:pt>
                <c:pt idx="37">
                  <c:v>5.62</c:v>
                </c:pt>
                <c:pt idx="38">
                  <c:v>4.26</c:v>
                </c:pt>
                <c:pt idx="39">
                  <c:v>2.7440000000000002</c:v>
                </c:pt>
                <c:pt idx="40">
                  <c:v>8.3930000000000007</c:v>
                </c:pt>
                <c:pt idx="41">
                  <c:v>7.0419999999999998</c:v>
                </c:pt>
                <c:pt idx="42">
                  <c:v>5.6539999999999999</c:v>
                </c:pt>
                <c:pt idx="43">
                  <c:v>4.16</c:v>
                </c:pt>
                <c:pt idx="44">
                  <c:v>2.7429999999999999</c:v>
                </c:pt>
                <c:pt idx="45">
                  <c:v>8.39</c:v>
                </c:pt>
                <c:pt idx="46">
                  <c:v>6.99</c:v>
                </c:pt>
                <c:pt idx="47">
                  <c:v>5.617</c:v>
                </c:pt>
                <c:pt idx="48">
                  <c:v>4.165</c:v>
                </c:pt>
                <c:pt idx="49">
                  <c:v>2.7450000000000001</c:v>
                </c:pt>
                <c:pt idx="50">
                  <c:v>8.39</c:v>
                </c:pt>
                <c:pt idx="51">
                  <c:v>7.06</c:v>
                </c:pt>
                <c:pt idx="52">
                  <c:v>5.5960000000000001</c:v>
                </c:pt>
                <c:pt idx="53">
                  <c:v>4.2279999999999998</c:v>
                </c:pt>
                <c:pt idx="54">
                  <c:v>2.746</c:v>
                </c:pt>
                <c:pt idx="55">
                  <c:v>8.3919999999999995</c:v>
                </c:pt>
                <c:pt idx="56">
                  <c:v>7.0119999999999996</c:v>
                </c:pt>
                <c:pt idx="57">
                  <c:v>5.6360000000000001</c:v>
                </c:pt>
                <c:pt idx="58">
                  <c:v>4.2050000000000001</c:v>
                </c:pt>
                <c:pt idx="59">
                  <c:v>2.7360000000000002</c:v>
                </c:pt>
              </c:numCache>
            </c:numRef>
          </c:yVal>
          <c:smooth val="0"/>
          <c:extLst>
            <c:ext xmlns:c16="http://schemas.microsoft.com/office/drawing/2014/chart" uri="{C3380CC4-5D6E-409C-BE32-E72D297353CC}">
              <c16:uniqueId val="{00000000-3F53-4C45-B949-A24FD3832188}"/>
            </c:ext>
          </c:extLst>
        </c:ser>
        <c:dLbls>
          <c:showLegendKey val="0"/>
          <c:showVal val="0"/>
          <c:showCatName val="0"/>
          <c:showSerName val="0"/>
          <c:showPercent val="0"/>
          <c:showBubbleSize val="0"/>
        </c:dLbls>
        <c:axId val="695658256"/>
        <c:axId val="695659336"/>
      </c:scatterChart>
      <c:valAx>
        <c:axId val="695658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Laser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9336"/>
        <c:crosses val="autoZero"/>
        <c:crossBetween val="midCat"/>
      </c:valAx>
      <c:valAx>
        <c:axId val="695659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Depth</a:t>
                </a:r>
                <a:r>
                  <a:rPr lang="en-US" baseline="0"/>
                  <a:t> Gage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8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'Level R&amp;R'!$I$1</c:f>
              <c:strCache>
                <c:ptCount val="1"/>
                <c:pt idx="0">
                  <c:v>Slope Dev</c:v>
                </c:pt>
              </c:strCache>
            </c:strRef>
          </c:tx>
          <c:spPr>
            <a:solidFill>
              <a:schemeClr val="accent1"/>
            </a:solidFill>
            <a:ln>
              <a:noFill/>
            </a:ln>
            <a:effectLst/>
          </c:spPr>
          <c:invertIfNegative val="0"/>
          <c:val>
            <c:numRef>
              <c:f>'Level R&amp;R'!$I$2:$I$13</c:f>
              <c:numCache>
                <c:formatCode>0.000</c:formatCode>
                <c:ptCount val="12"/>
                <c:pt idx="0">
                  <c:v>4.166666666667318E-4</c:v>
                </c:pt>
                <c:pt idx="1">
                  <c:v>4.166666666667318E-4</c:v>
                </c:pt>
                <c:pt idx="2">
                  <c:v>1.4166666666667327E-3</c:v>
                </c:pt>
                <c:pt idx="3">
                  <c:v>4.166666666667318E-4</c:v>
                </c:pt>
                <c:pt idx="4">
                  <c:v>4.166666666667318E-4</c:v>
                </c:pt>
                <c:pt idx="5">
                  <c:v>4.166666666667318E-4</c:v>
                </c:pt>
                <c:pt idx="6">
                  <c:v>4.166666666667318E-4</c:v>
                </c:pt>
                <c:pt idx="7">
                  <c:v>3.5833333333332718E-3</c:v>
                </c:pt>
                <c:pt idx="8">
                  <c:v>4.166666666667318E-4</c:v>
                </c:pt>
                <c:pt idx="9">
                  <c:v>1.58333333333327E-3</c:v>
                </c:pt>
                <c:pt idx="10">
                  <c:v>5.8333333333326909E-4</c:v>
                </c:pt>
                <c:pt idx="11">
                  <c:v>1.4166666666667327E-3</c:v>
                </c:pt>
              </c:numCache>
            </c:numRef>
          </c:val>
          <c:extLst>
            <c:ext xmlns:c16="http://schemas.microsoft.com/office/drawing/2014/chart" uri="{C3380CC4-5D6E-409C-BE32-E72D297353CC}">
              <c16:uniqueId val="{00000000-AD5C-4C97-97CD-6C5DD9A8B4CB}"/>
            </c:ext>
          </c:extLst>
        </c:ser>
        <c:ser>
          <c:idx val="1"/>
          <c:order val="1"/>
          <c:tx>
            <c:strRef>
              <c:f>'Level R&amp;R'!$J$1</c:f>
              <c:strCache>
                <c:ptCount val="1"/>
                <c:pt idx="0">
                  <c:v>Int Dev</c:v>
                </c:pt>
              </c:strCache>
            </c:strRef>
          </c:tx>
          <c:spPr>
            <a:solidFill>
              <a:schemeClr val="accent2"/>
            </a:solidFill>
            <a:ln>
              <a:noFill/>
            </a:ln>
            <a:effectLst/>
          </c:spPr>
          <c:invertIfNegative val="0"/>
          <c:val>
            <c:numRef>
              <c:f>'Level R&amp;R'!$J$2:$J$13</c:f>
              <c:numCache>
                <c:formatCode>0.000</c:formatCode>
                <c:ptCount val="12"/>
                <c:pt idx="0">
                  <c:v>2.4999999999995026E-3</c:v>
                </c:pt>
                <c:pt idx="1">
                  <c:v>1.5000000000000568E-3</c:v>
                </c:pt>
                <c:pt idx="2">
                  <c:v>9.4999999999991758E-3</c:v>
                </c:pt>
                <c:pt idx="3">
                  <c:v>2.4999999999995026E-3</c:v>
                </c:pt>
                <c:pt idx="4">
                  <c:v>2.500000000001279E-3</c:v>
                </c:pt>
                <c:pt idx="5">
                  <c:v>2.500000000001279E-3</c:v>
                </c:pt>
                <c:pt idx="6">
                  <c:v>5.0000000000061107E-4</c:v>
                </c:pt>
                <c:pt idx="7">
                  <c:v>9.5000000000009521E-3</c:v>
                </c:pt>
                <c:pt idx="8">
                  <c:v>3.4999999999989484E-3</c:v>
                </c:pt>
                <c:pt idx="9">
                  <c:v>6.5000000000008384E-3</c:v>
                </c:pt>
                <c:pt idx="10">
                  <c:v>1.5000000000000568E-3</c:v>
                </c:pt>
                <c:pt idx="11">
                  <c:v>3.4999999999989484E-3</c:v>
                </c:pt>
              </c:numCache>
            </c:numRef>
          </c:val>
          <c:extLst>
            <c:ext xmlns:c16="http://schemas.microsoft.com/office/drawing/2014/chart" uri="{C3380CC4-5D6E-409C-BE32-E72D297353CC}">
              <c16:uniqueId val="{00000001-AD5C-4C97-97CD-6C5DD9A8B4CB}"/>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 Laser  Residual Plot</a:t>
            </a:r>
          </a:p>
        </c:rich>
      </c:tx>
      <c:overlay val="0"/>
    </c:title>
    <c:autoTitleDeleted val="0"/>
    <c:plotArea>
      <c:layout/>
      <c:scatterChart>
        <c:scatterStyle val="lineMarker"/>
        <c:varyColors val="0"/>
        <c:ser>
          <c:idx val="0"/>
          <c:order val="0"/>
          <c:spPr>
            <a:ln w="38100">
              <a:noFill/>
            </a:ln>
          </c:spPr>
          <c:xVal>
            <c:numRef>
              <c:f>'Level R&amp;R'!$H$25:$H$84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2.9281999999999999</c:v>
                </c:pt>
                <c:pt idx="16">
                  <c:v>13.004999999999999</c:v>
                </c:pt>
                <c:pt idx="17">
                  <c:v>31.553567999999999</c:v>
                </c:pt>
                <c:pt idx="18">
                  <c:v>57.6738</c:v>
                </c:pt>
                <c:pt idx="19">
                  <c:v>94.613768000000007</c:v>
                </c:pt>
                <c:pt idx="20">
                  <c:v>2.9330420000000004</c:v>
                </c:pt>
                <c:pt idx="21">
                  <c:v>12.974418000000002</c:v>
                </c:pt>
                <c:pt idx="22">
                  <c:v>31.744512</c:v>
                </c:pt>
                <c:pt idx="23">
                  <c:v>59.274271999999996</c:v>
                </c:pt>
                <c:pt idx="24">
                  <c:v>94.53125</c:v>
                </c:pt>
                <c:pt idx="25">
                  <c:v>2.9185279999999998</c:v>
                </c:pt>
                <c:pt idx="26">
                  <c:v>13.209799999999998</c:v>
                </c:pt>
                <c:pt idx="27">
                  <c:v>31.776392000000005</c:v>
                </c:pt>
                <c:pt idx="28">
                  <c:v>57.480641999999996</c:v>
                </c:pt>
                <c:pt idx="29">
                  <c:v>94.558752000000013</c:v>
                </c:pt>
                <c:pt idx="30">
                  <c:v>4.3850430000000005</c:v>
                </c:pt>
                <c:pt idx="31">
                  <c:v>19.5075</c:v>
                </c:pt>
                <c:pt idx="32">
                  <c:v>47.832146999999999</c:v>
                </c:pt>
                <c:pt idx="33">
                  <c:v>86.446272000000008</c:v>
                </c:pt>
                <c:pt idx="34">
                  <c:v>141.796875</c:v>
                </c:pt>
                <c:pt idx="35">
                  <c:v>4.3922999999999996</c:v>
                </c:pt>
                <c:pt idx="36">
                  <c:v>19.354800000000001</c:v>
                </c:pt>
                <c:pt idx="37">
                  <c:v>47.976002999999999</c:v>
                </c:pt>
                <c:pt idx="38">
                  <c:v>86.704128000000011</c:v>
                </c:pt>
                <c:pt idx="39">
                  <c:v>141.96192299999998</c:v>
                </c:pt>
                <c:pt idx="40">
                  <c:v>4.3850430000000005</c:v>
                </c:pt>
                <c:pt idx="41">
                  <c:v>19.830123</c:v>
                </c:pt>
                <c:pt idx="42">
                  <c:v>46.949808000000004</c:v>
                </c:pt>
                <c:pt idx="43">
                  <c:v>89.303808000000018</c:v>
                </c:pt>
                <c:pt idx="44">
                  <c:v>141.92065200000002</c:v>
                </c:pt>
                <c:pt idx="45">
                  <c:v>5.8370559999999996</c:v>
                </c:pt>
                <c:pt idx="46">
                  <c:v>27.311076</c:v>
                </c:pt>
                <c:pt idx="47">
                  <c:v>63.776195999999999</c:v>
                </c:pt>
                <c:pt idx="48">
                  <c:v>118.98446399999999</c:v>
                </c:pt>
                <c:pt idx="49">
                  <c:v>189.50275600000001</c:v>
                </c:pt>
                <c:pt idx="50">
                  <c:v>5.8467240000000009</c:v>
                </c:pt>
                <c:pt idx="51">
                  <c:v>25.867396000000003</c:v>
                </c:pt>
                <c:pt idx="52">
                  <c:v>64.480899999999991</c:v>
                </c:pt>
                <c:pt idx="53">
                  <c:v>116.42409999999998</c:v>
                </c:pt>
                <c:pt idx="54">
                  <c:v>188.84256400000001</c:v>
                </c:pt>
                <c:pt idx="55">
                  <c:v>5.8370559999999996</c:v>
                </c:pt>
                <c:pt idx="56">
                  <c:v>27.019204000000006</c:v>
                </c:pt>
                <c:pt idx="57">
                  <c:v>63.170704000000008</c:v>
                </c:pt>
                <c:pt idx="58">
                  <c:v>116.94259599999999</c:v>
                </c:pt>
                <c:pt idx="59">
                  <c:v>189.33759999999998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0F0D-4BF1-9C18-D64DE5679037}"/>
            </c:ext>
          </c:extLst>
        </c:ser>
        <c:dLbls>
          <c:showLegendKey val="0"/>
          <c:showVal val="0"/>
          <c:showCatName val="0"/>
          <c:showSerName val="0"/>
          <c:showPercent val="0"/>
          <c:showBubbleSize val="0"/>
        </c:dLbls>
        <c:axId val="1141416224"/>
        <c:axId val="1141417664"/>
      </c:scatterChart>
      <c:valAx>
        <c:axId val="1141416224"/>
        <c:scaling>
          <c:orientation val="minMax"/>
        </c:scaling>
        <c:delete val="0"/>
        <c:axPos val="b"/>
        <c:title>
          <c:tx>
            <c:rich>
              <a:bodyPr/>
              <a:lstStyle/>
              <a:p>
                <a:pPr>
                  <a:defRPr/>
                </a:pPr>
                <a:r>
                  <a:rPr lang="en-US"/>
                  <a:t>Op * Laser</a:t>
                </a:r>
              </a:p>
            </c:rich>
          </c:tx>
          <c:overlay val="0"/>
        </c:title>
        <c:numFmt formatCode="0.000" sourceLinked="1"/>
        <c:majorTickMark val="out"/>
        <c:minorTickMark val="none"/>
        <c:tickLblPos val="nextTo"/>
        <c:crossAx val="1141417664"/>
        <c:crosses val="autoZero"/>
        <c:crossBetween val="midCat"/>
      </c:valAx>
      <c:valAx>
        <c:axId val="1141417664"/>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4141622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Laser^2  Residual Plot</a:t>
            </a:r>
          </a:p>
        </c:rich>
      </c:tx>
      <c:overlay val="0"/>
    </c:title>
    <c:autoTitleDeleted val="0"/>
    <c:plotArea>
      <c:layout/>
      <c:scatterChart>
        <c:scatterStyle val="lineMarker"/>
        <c:varyColors val="0"/>
        <c:ser>
          <c:idx val="0"/>
          <c:order val="0"/>
          <c:spPr>
            <a:ln w="38100">
              <a:noFill/>
            </a:ln>
          </c:spPr>
          <c:xVal>
            <c:numRef>
              <c:f>'Level R&amp;R'!$I$25:$I$84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1.4641</c:v>
                </c:pt>
                <c:pt idx="16">
                  <c:v>6.5024999999999995</c:v>
                </c:pt>
                <c:pt idx="17">
                  <c:v>15.776783999999999</c:v>
                </c:pt>
                <c:pt idx="18">
                  <c:v>28.8369</c:v>
                </c:pt>
                <c:pt idx="19">
                  <c:v>47.306884000000004</c:v>
                </c:pt>
                <c:pt idx="20">
                  <c:v>1.4665210000000002</c:v>
                </c:pt>
                <c:pt idx="21">
                  <c:v>6.4872090000000009</c:v>
                </c:pt>
                <c:pt idx="22">
                  <c:v>15.872256</c:v>
                </c:pt>
                <c:pt idx="23">
                  <c:v>29.637135999999998</c:v>
                </c:pt>
                <c:pt idx="24">
                  <c:v>47.265625</c:v>
                </c:pt>
                <c:pt idx="25">
                  <c:v>1.4592639999999999</c:v>
                </c:pt>
                <c:pt idx="26">
                  <c:v>6.6048999999999989</c:v>
                </c:pt>
                <c:pt idx="27">
                  <c:v>15.888196000000002</c:v>
                </c:pt>
                <c:pt idx="28">
                  <c:v>28.740320999999998</c:v>
                </c:pt>
                <c:pt idx="29">
                  <c:v>47.279376000000006</c:v>
                </c:pt>
                <c:pt idx="30">
                  <c:v>1.4616810000000002</c:v>
                </c:pt>
                <c:pt idx="31">
                  <c:v>6.5024999999999995</c:v>
                </c:pt>
                <c:pt idx="32">
                  <c:v>15.944049</c:v>
                </c:pt>
                <c:pt idx="33">
                  <c:v>28.815424000000004</c:v>
                </c:pt>
                <c:pt idx="34">
                  <c:v>47.265625</c:v>
                </c:pt>
                <c:pt idx="35">
                  <c:v>1.4641</c:v>
                </c:pt>
                <c:pt idx="36">
                  <c:v>6.4516</c:v>
                </c:pt>
                <c:pt idx="37">
                  <c:v>15.992001</c:v>
                </c:pt>
                <c:pt idx="38">
                  <c:v>28.901376000000003</c:v>
                </c:pt>
                <c:pt idx="39">
                  <c:v>47.320640999999995</c:v>
                </c:pt>
                <c:pt idx="40">
                  <c:v>1.4616810000000002</c:v>
                </c:pt>
                <c:pt idx="41">
                  <c:v>6.6100410000000007</c:v>
                </c:pt>
                <c:pt idx="42">
                  <c:v>15.649936</c:v>
                </c:pt>
                <c:pt idx="43">
                  <c:v>29.767936000000006</c:v>
                </c:pt>
                <c:pt idx="44">
                  <c:v>47.306884000000004</c:v>
                </c:pt>
                <c:pt idx="45">
                  <c:v>1.4592639999999999</c:v>
                </c:pt>
                <c:pt idx="46">
                  <c:v>6.827769</c:v>
                </c:pt>
                <c:pt idx="47">
                  <c:v>15.944049</c:v>
                </c:pt>
                <c:pt idx="48">
                  <c:v>29.746115999999997</c:v>
                </c:pt>
                <c:pt idx="49">
                  <c:v>47.375689000000001</c:v>
                </c:pt>
                <c:pt idx="50">
                  <c:v>1.4616810000000002</c:v>
                </c:pt>
                <c:pt idx="51">
                  <c:v>6.4668490000000007</c:v>
                </c:pt>
                <c:pt idx="52">
                  <c:v>16.120224999999998</c:v>
                </c:pt>
                <c:pt idx="53">
                  <c:v>29.106024999999995</c:v>
                </c:pt>
                <c:pt idx="54">
                  <c:v>47.210641000000003</c:v>
                </c:pt>
                <c:pt idx="55">
                  <c:v>1.4592639999999999</c:v>
                </c:pt>
                <c:pt idx="56">
                  <c:v>6.7548010000000014</c:v>
                </c:pt>
                <c:pt idx="57">
                  <c:v>15.792676000000002</c:v>
                </c:pt>
                <c:pt idx="58">
                  <c:v>29.235648999999999</c:v>
                </c:pt>
                <c:pt idx="59">
                  <c:v>47.334399999999995</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B43A-4FD2-B3C8-0B8C05813AFA}"/>
            </c:ext>
          </c:extLst>
        </c:ser>
        <c:dLbls>
          <c:showLegendKey val="0"/>
          <c:showVal val="0"/>
          <c:showCatName val="0"/>
          <c:showSerName val="0"/>
          <c:showPercent val="0"/>
          <c:showBubbleSize val="0"/>
        </c:dLbls>
        <c:axId val="1139888016"/>
        <c:axId val="1139886096"/>
      </c:scatterChart>
      <c:valAx>
        <c:axId val="1139888016"/>
        <c:scaling>
          <c:orientation val="minMax"/>
        </c:scaling>
        <c:delete val="0"/>
        <c:axPos val="b"/>
        <c:title>
          <c:tx>
            <c:rich>
              <a:bodyPr/>
              <a:lstStyle/>
              <a:p>
                <a:pPr>
                  <a:defRPr/>
                </a:pPr>
                <a:r>
                  <a:rPr lang="en-US"/>
                  <a:t>Laser^2</a:t>
                </a:r>
              </a:p>
            </c:rich>
          </c:tx>
          <c:overlay val="0"/>
        </c:title>
        <c:numFmt formatCode="0.000" sourceLinked="1"/>
        <c:majorTickMark val="out"/>
        <c:minorTickMark val="none"/>
        <c:tickLblPos val="nextTo"/>
        <c:crossAx val="1139886096"/>
        <c:crosses val="autoZero"/>
        <c:crossBetween val="midCat"/>
      </c:valAx>
      <c:valAx>
        <c:axId val="1139886096"/>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3988801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Residual Plot</a:t>
            </a:r>
          </a:p>
        </c:rich>
      </c:tx>
      <c:layout>
        <c:manualLayout>
          <c:xMode val="edge"/>
          <c:yMode val="edge"/>
          <c:x val="0.26910569772528431"/>
          <c:y val="6.8965517241379309E-3"/>
        </c:manualLayout>
      </c:layout>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7A9D-48D6-B9A0-7339B17DD653}"/>
            </c:ext>
          </c:extLst>
        </c:ser>
        <c:dLbls>
          <c:showLegendKey val="0"/>
          <c:showVal val="0"/>
          <c:showCatName val="0"/>
          <c:showSerName val="0"/>
          <c:showPercent val="0"/>
          <c:showBubbleSize val="0"/>
        </c:dLbls>
        <c:axId val="1444447808"/>
        <c:axId val="1444446848"/>
      </c:scatterChart>
      <c:valAx>
        <c:axId val="1444447808"/>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44446848"/>
        <c:crosses val="autoZero"/>
        <c:crossBetween val="midCat"/>
      </c:valAx>
      <c:valAx>
        <c:axId val="1444446848"/>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78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8ABD-4DF7-953F-1BD338F977C7}"/>
            </c:ext>
          </c:extLst>
        </c:ser>
        <c:dLbls>
          <c:showLegendKey val="0"/>
          <c:showVal val="0"/>
          <c:showCatName val="0"/>
          <c:showSerName val="0"/>
          <c:showPercent val="0"/>
          <c:showBubbleSize val="0"/>
        </c:dLbls>
        <c:axId val="1444448768"/>
        <c:axId val="1552929312"/>
      </c:scatterChart>
      <c:valAx>
        <c:axId val="1444448768"/>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552929312"/>
        <c:crosses val="autoZero"/>
        <c:crossBetween val="midCat"/>
      </c:valAx>
      <c:valAx>
        <c:axId val="1552929312"/>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87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R&amp;R'!$T$107:$T$166</c:f>
              <c:numCache>
                <c:formatCode>General</c:formatCode>
                <c:ptCount val="60"/>
                <c:pt idx="0">
                  <c:v>0</c:v>
                </c:pt>
                <c:pt idx="1">
                  <c:v>-4.1627221126816494E-4</c:v>
                </c:pt>
                <c:pt idx="2">
                  <c:v>-1.3320078290597337E-3</c:v>
                </c:pt>
                <c:pt idx="3">
                  <c:v>8.7171441558808738E-3</c:v>
                </c:pt>
                <c:pt idx="4">
                  <c:v>-1.9879170782903799E-3</c:v>
                </c:pt>
                <c:pt idx="5">
                  <c:v>-1.3250014633197083E-3</c:v>
                </c:pt>
                <c:pt idx="6">
                  <c:v>5.8723902845692066E-4</c:v>
                </c:pt>
                <c:pt idx="7">
                  <c:v>6.258572942172691E-4</c:v>
                </c:pt>
                <c:pt idx="8">
                  <c:v>-1.2161422893068874E-3</c:v>
                </c:pt>
                <c:pt idx="9">
                  <c:v>4.8189647367253841E-3</c:v>
                </c:pt>
                <c:pt idx="10">
                  <c:v>-3.3144677441385717E-3</c:v>
                </c:pt>
                <c:pt idx="11">
                  <c:v>4.5872390284564801E-3</c:v>
                </c:pt>
                <c:pt idx="12">
                  <c:v>3.9418688696457593E-3</c:v>
                </c:pt>
                <c:pt idx="13">
                  <c:v>1.1955908457315978E-2</c:v>
                </c:pt>
                <c:pt idx="14">
                  <c:v>2.6609589490105279E-3</c:v>
                </c:pt>
                <c:pt idx="15">
                  <c:v>-4.3109565044123777E-3</c:v>
                </c:pt>
                <c:pt idx="16">
                  <c:v>-1.0658883193048752E-3</c:v>
                </c:pt>
                <c:pt idx="17">
                  <c:v>3.2290504465235514E-3</c:v>
                </c:pt>
                <c:pt idx="18">
                  <c:v>1.2360675547391509E-3</c:v>
                </c:pt>
                <c:pt idx="19">
                  <c:v>-5.6726455835960365E-3</c:v>
                </c:pt>
                <c:pt idx="20">
                  <c:v>-2.9675950919019201E-3</c:v>
                </c:pt>
                <c:pt idx="21">
                  <c:v>-7.0693995590342951E-3</c:v>
                </c:pt>
                <c:pt idx="22">
                  <c:v>-6.7604158342957632E-3</c:v>
                </c:pt>
                <c:pt idx="23">
                  <c:v>9.1939326780154929E-3</c:v>
                </c:pt>
                <c:pt idx="24">
                  <c:v>-4.932477323394302E-3</c:v>
                </c:pt>
                <c:pt idx="25">
                  <c:v>-7.9570613727208972E-3</c:v>
                </c:pt>
                <c:pt idx="26">
                  <c:v>-1.0588658398518191E-3</c:v>
                </c:pt>
                <c:pt idx="27">
                  <c:v>-1.841174348016672E-3</c:v>
                </c:pt>
                <c:pt idx="28">
                  <c:v>-1.0813089801438025E-2</c:v>
                </c:pt>
                <c:pt idx="29">
                  <c:v>-3.6410444260530639E-3</c:v>
                </c:pt>
                <c:pt idx="30">
                  <c:v>-9.6057261244775205E-4</c:v>
                </c:pt>
                <c:pt idx="31">
                  <c:v>-3.7049707081635574E-3</c:v>
                </c:pt>
                <c:pt idx="32">
                  <c:v>5.8645681793922932E-4</c:v>
                </c:pt>
                <c:pt idx="33">
                  <c:v>5.1973789188863861E-4</c:v>
                </c:pt>
                <c:pt idx="34">
                  <c:v>-5.3082167327263008E-3</c:v>
                </c:pt>
                <c:pt idx="35">
                  <c:v>-5.5996550013048818E-3</c:v>
                </c:pt>
                <c:pt idx="36">
                  <c:v>-7.0848194788908359E-4</c:v>
                </c:pt>
                <c:pt idx="37">
                  <c:v>-1.6378430784789622E-2</c:v>
                </c:pt>
                <c:pt idx="38">
                  <c:v>8.4986704535268132E-3</c:v>
                </c:pt>
                <c:pt idx="39">
                  <c:v>2.0663693349457724E-2</c:v>
                </c:pt>
                <c:pt idx="40">
                  <c:v>2.3863000397867928E-3</c:v>
                </c:pt>
                <c:pt idx="41">
                  <c:v>1.2950292918372242E-3</c:v>
                </c:pt>
                <c:pt idx="42">
                  <c:v>7.5127207836729326E-3</c:v>
                </c:pt>
                <c:pt idx="43">
                  <c:v>-3.5034623821239563E-4</c:v>
                </c:pt>
                <c:pt idx="44">
                  <c:v>3.8279417129860605E-4</c:v>
                </c:pt>
                <c:pt idx="45">
                  <c:v>3.8981127951354111E-4</c:v>
                </c:pt>
                <c:pt idx="46">
                  <c:v>-2.3440530970191276E-3</c:v>
                </c:pt>
                <c:pt idx="47">
                  <c:v>-2.2773449134447787E-3</c:v>
                </c:pt>
                <c:pt idx="48">
                  <c:v>-1.2285573669590377E-4</c:v>
                </c:pt>
                <c:pt idx="49">
                  <c:v>3.7472230221675673E-3</c:v>
                </c:pt>
                <c:pt idx="50">
                  <c:v>7.7296614522950335E-3</c:v>
                </c:pt>
                <c:pt idx="51">
                  <c:v>-1.347564336747098E-3</c:v>
                </c:pt>
                <c:pt idx="52">
                  <c:v>-2.0315581325567322E-3</c:v>
                </c:pt>
                <c:pt idx="53">
                  <c:v>7.9989698931015596E-4</c:v>
                </c:pt>
                <c:pt idx="54">
                  <c:v>7.9543861660598125E-3</c:v>
                </c:pt>
                <c:pt idx="55">
                  <c:v>-3.228203670980978E-3</c:v>
                </c:pt>
                <c:pt idx="56">
                  <c:v>-3.4405309702023601E-4</c:v>
                </c:pt>
                <c:pt idx="57">
                  <c:v>5.7718124427319495E-3</c:v>
                </c:pt>
                <c:pt idx="58">
                  <c:v>-5.6142181882101738E-5</c:v>
                </c:pt>
                <c:pt idx="59">
                  <c:v>-3.0877487106639734E-3</c:v>
                </c:pt>
              </c:numCache>
            </c:numRef>
          </c:yVal>
          <c:smooth val="0"/>
          <c:extLst>
            <c:ext xmlns:c16="http://schemas.microsoft.com/office/drawing/2014/chart" uri="{C3380CC4-5D6E-409C-BE32-E72D297353CC}">
              <c16:uniqueId val="{00000001-1B41-4915-A572-0D23CD9577B2}"/>
            </c:ext>
          </c:extLst>
        </c:ser>
        <c:dLbls>
          <c:showLegendKey val="0"/>
          <c:showVal val="0"/>
          <c:showCatName val="0"/>
          <c:showSerName val="0"/>
          <c:showPercent val="0"/>
          <c:showBubbleSize val="0"/>
        </c:dLbls>
        <c:axId val="1346407920"/>
        <c:axId val="1346406960"/>
      </c:scatterChart>
      <c:valAx>
        <c:axId val="1346407920"/>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346406960"/>
        <c:crosses val="autoZero"/>
        <c:crossBetween val="midCat"/>
      </c:valAx>
      <c:valAx>
        <c:axId val="134640696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3464079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OP2  Residual Plot</a:t>
            </a:r>
          </a:p>
        </c:rich>
      </c:tx>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67A8-4A07-A252-19BE10E6AE71}"/>
            </c:ext>
          </c:extLst>
        </c:ser>
        <c:dLbls>
          <c:showLegendKey val="0"/>
          <c:showVal val="0"/>
          <c:showCatName val="0"/>
          <c:showSerName val="0"/>
          <c:showPercent val="0"/>
          <c:showBubbleSize val="0"/>
        </c:dLbls>
        <c:axId val="1469214832"/>
        <c:axId val="1469213392"/>
      </c:scatterChart>
      <c:valAx>
        <c:axId val="1469214832"/>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69213392"/>
        <c:crosses val="autoZero"/>
        <c:crossBetween val="midCat"/>
      </c:valAx>
      <c:valAx>
        <c:axId val="14692133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4692148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8261-466E-A481-0845F89C72E8}"/>
            </c:ext>
          </c:extLst>
        </c:ser>
        <c:dLbls>
          <c:showLegendKey val="0"/>
          <c:showVal val="0"/>
          <c:showCatName val="0"/>
          <c:showSerName val="0"/>
          <c:showPercent val="0"/>
          <c:showBubbleSize val="0"/>
        </c:dLbls>
        <c:axId val="953414191"/>
        <c:axId val="953415631"/>
      </c:scatterChart>
      <c:valAx>
        <c:axId val="953414191"/>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953415631"/>
        <c:crosses val="autoZero"/>
        <c:crossBetween val="midCat"/>
      </c:valAx>
      <c:valAx>
        <c:axId val="95341563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95341419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'Level R&amp;R'!$S$108:$S$166</c:f>
              <c:numCache>
                <c:formatCode>General</c:formatCode>
                <c:ptCount val="59"/>
                <c:pt idx="0">
                  <c:v>8.3934162722112688</c:v>
                </c:pt>
                <c:pt idx="1">
                  <c:v>6.9983320078290596</c:v>
                </c:pt>
                <c:pt idx="2">
                  <c:v>5.5932828558441194</c:v>
                </c:pt>
                <c:pt idx="3">
                  <c:v>4.2579879170782906</c:v>
                </c:pt>
                <c:pt idx="4">
                  <c:v>2.7433250014633197</c:v>
                </c:pt>
                <c:pt idx="5">
                  <c:v>8.3944127609715427</c:v>
                </c:pt>
                <c:pt idx="6">
                  <c:v>6.9863741427057828</c:v>
                </c:pt>
                <c:pt idx="7">
                  <c:v>5.6122161422893067</c:v>
                </c:pt>
                <c:pt idx="8">
                  <c:v>4.2031810352632748</c:v>
                </c:pt>
                <c:pt idx="9">
                  <c:v>2.7463144677441385</c:v>
                </c:pt>
                <c:pt idx="10">
                  <c:v>8.3944127609715427</c:v>
                </c:pt>
                <c:pt idx="11">
                  <c:v>7.0760581311303543</c:v>
                </c:pt>
                <c:pt idx="12">
                  <c:v>5.6610440915426841</c:v>
                </c:pt>
                <c:pt idx="13">
                  <c:v>4.1583390410509891</c:v>
                </c:pt>
                <c:pt idx="14">
                  <c:v>2.7473109565044123</c:v>
                </c:pt>
                <c:pt idx="15">
                  <c:v>8.3910658883193054</c:v>
                </c:pt>
                <c:pt idx="16">
                  <c:v>7.0557709495534766</c:v>
                </c:pt>
                <c:pt idx="17">
                  <c:v>5.6387639324452605</c:v>
                </c:pt>
                <c:pt idx="18">
                  <c:v>4.2456726455835962</c:v>
                </c:pt>
                <c:pt idx="19">
                  <c:v>2.7429675950919021</c:v>
                </c:pt>
                <c:pt idx="20">
                  <c:v>8.3900693995590334</c:v>
                </c:pt>
                <c:pt idx="21">
                  <c:v>7.0587604158342954</c:v>
                </c:pt>
                <c:pt idx="22">
                  <c:v>5.6268060673219846</c:v>
                </c:pt>
                <c:pt idx="23">
                  <c:v>4.1719324773233941</c:v>
                </c:pt>
                <c:pt idx="24">
                  <c:v>2.7459570613727209</c:v>
                </c:pt>
                <c:pt idx="25">
                  <c:v>8.3930588658398513</c:v>
                </c:pt>
                <c:pt idx="26">
                  <c:v>7.0358411743480165</c:v>
                </c:pt>
                <c:pt idx="27">
                  <c:v>5.6248130898014379</c:v>
                </c:pt>
                <c:pt idx="28">
                  <c:v>4.2546410444260534</c:v>
                </c:pt>
                <c:pt idx="29">
                  <c:v>2.744960572612448</c:v>
                </c:pt>
                <c:pt idx="30">
                  <c:v>8.3917049707081635</c:v>
                </c:pt>
                <c:pt idx="31">
                  <c:v>7.0554135431820608</c:v>
                </c:pt>
                <c:pt idx="32">
                  <c:v>5.6174802621081117</c:v>
                </c:pt>
                <c:pt idx="33">
                  <c:v>4.2473082167327263</c:v>
                </c:pt>
                <c:pt idx="34">
                  <c:v>2.7455996550013051</c:v>
                </c:pt>
                <c:pt idx="35">
                  <c:v>8.3907084819478897</c:v>
                </c:pt>
                <c:pt idx="36">
                  <c:v>7.06537843078479</c:v>
                </c:pt>
                <c:pt idx="37">
                  <c:v>5.6115013295464733</c:v>
                </c:pt>
                <c:pt idx="38">
                  <c:v>4.2393363066505421</c:v>
                </c:pt>
                <c:pt idx="39">
                  <c:v>2.7416136999602134</c:v>
                </c:pt>
                <c:pt idx="40">
                  <c:v>8.3917049707081635</c:v>
                </c:pt>
                <c:pt idx="41">
                  <c:v>7.0344872792163269</c:v>
                </c:pt>
                <c:pt idx="42">
                  <c:v>5.6543503462382123</c:v>
                </c:pt>
                <c:pt idx="43">
                  <c:v>4.1596172058287015</c:v>
                </c:pt>
                <c:pt idx="44">
                  <c:v>2.7426101887204863</c:v>
                </c:pt>
                <c:pt idx="45">
                  <c:v>8.3923440530970197</c:v>
                </c:pt>
                <c:pt idx="46">
                  <c:v>6.992277344913445</c:v>
                </c:pt>
                <c:pt idx="47">
                  <c:v>5.6171228557366959</c:v>
                </c:pt>
                <c:pt idx="48">
                  <c:v>4.1612527769778325</c:v>
                </c:pt>
                <c:pt idx="49">
                  <c:v>2.7372703385477051</c:v>
                </c:pt>
                <c:pt idx="50">
                  <c:v>8.3913475643367477</c:v>
                </c:pt>
                <c:pt idx="51">
                  <c:v>7.0620315581325563</c:v>
                </c:pt>
                <c:pt idx="52">
                  <c:v>5.5952001030106899</c:v>
                </c:pt>
                <c:pt idx="53">
                  <c:v>4.2200456138339399</c:v>
                </c:pt>
                <c:pt idx="54">
                  <c:v>2.749228203670981</c:v>
                </c:pt>
                <c:pt idx="55">
                  <c:v>8.3923440530970197</c:v>
                </c:pt>
                <c:pt idx="56">
                  <c:v>7.0062281875572676</c:v>
                </c:pt>
                <c:pt idx="57">
                  <c:v>5.6360561421818822</c:v>
                </c:pt>
                <c:pt idx="58">
                  <c:v>4.208087748710664</c:v>
                </c:pt>
              </c:numCache>
            </c:numRef>
          </c:xVal>
          <c:yVal>
            <c:numRef>
              <c:f>'Level R&amp;R'!$T$108:$T$166</c:f>
              <c:numCache>
                <c:formatCode>General</c:formatCode>
                <c:ptCount val="59"/>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numCache>
            </c:numRef>
          </c:yVal>
          <c:smooth val="0"/>
          <c:extLst>
            <c:ext xmlns:c16="http://schemas.microsoft.com/office/drawing/2014/chart" uri="{C3380CC4-5D6E-409C-BE32-E72D297353CC}">
              <c16:uniqueId val="{00000000-3E07-450C-A08C-B79B4FA7160C}"/>
            </c:ext>
          </c:extLst>
        </c:ser>
        <c:dLbls>
          <c:showLegendKey val="0"/>
          <c:showVal val="0"/>
          <c:showCatName val="0"/>
          <c:showSerName val="0"/>
          <c:showPercent val="0"/>
          <c:showBubbleSize val="0"/>
        </c:dLbls>
        <c:axId val="1351615584"/>
        <c:axId val="1351615104"/>
      </c:scatterChart>
      <c:valAx>
        <c:axId val="1351615584"/>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104"/>
        <c:crosses val="autoZero"/>
        <c:crossBetween val="midCat"/>
      </c:valAx>
      <c:valAx>
        <c:axId val="135161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5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ChA R&amp;R'!$I$1</c:f>
              <c:strCache>
                <c:ptCount val="1"/>
                <c:pt idx="0">
                  <c:v>Slope Dev</c:v>
                </c:pt>
              </c:strCache>
            </c:strRef>
          </c:tx>
          <c:spPr>
            <a:solidFill>
              <a:schemeClr val="accent1"/>
            </a:solidFill>
            <a:ln>
              <a:noFill/>
            </a:ln>
            <a:effectLst/>
          </c:spPr>
          <c:invertIfNegative val="0"/>
          <c:val>
            <c:numRef>
              <c:f>'Resistance ChA R&amp;R'!$I$2:$I$5</c:f>
              <c:numCache>
                <c:formatCode>0.000</c:formatCode>
                <c:ptCount val="3"/>
                <c:pt idx="0">
                  <c:v>1.5666666666675155E-2</c:v>
                </c:pt>
                <c:pt idx="1">
                  <c:v>9.3333333333163182E-3</c:v>
                </c:pt>
                <c:pt idx="2">
                  <c:v>6.3333333333162045E-3</c:v>
                </c:pt>
              </c:numCache>
            </c:numRef>
          </c:val>
          <c:extLst>
            <c:ext xmlns:c16="http://schemas.microsoft.com/office/drawing/2014/chart" uri="{C3380CC4-5D6E-409C-BE32-E72D297353CC}">
              <c16:uniqueId val="{00000000-D279-44FF-A99A-D8761305C130}"/>
            </c:ext>
          </c:extLst>
        </c:ser>
        <c:ser>
          <c:idx val="1"/>
          <c:order val="1"/>
          <c:tx>
            <c:strRef>
              <c:f>'Resistance ChA R&amp;R'!$J$1</c:f>
              <c:strCache>
                <c:ptCount val="1"/>
                <c:pt idx="0">
                  <c:v>Int Dev</c:v>
                </c:pt>
              </c:strCache>
            </c:strRef>
          </c:tx>
          <c:spPr>
            <a:solidFill>
              <a:schemeClr val="accent2"/>
            </a:solidFill>
            <a:ln>
              <a:noFill/>
            </a:ln>
            <a:effectLst/>
          </c:spPr>
          <c:invertIfNegative val="0"/>
          <c:val>
            <c:numRef>
              <c:f>'Resistance ChA R&amp;R'!$J$2:$J$5</c:f>
              <c:numCache>
                <c:formatCode>0.000</c:formatCode>
                <c:ptCount val="3"/>
                <c:pt idx="0">
                  <c:v>2.0333333333333328E-2</c:v>
                </c:pt>
                <c:pt idx="1">
                  <c:v>2.7666666666666673E-2</c:v>
                </c:pt>
                <c:pt idx="2">
                  <c:v>7.3333333333333306E-3</c:v>
                </c:pt>
              </c:numCache>
            </c:numRef>
          </c:val>
          <c:extLst>
            <c:ext xmlns:c16="http://schemas.microsoft.com/office/drawing/2014/chart" uri="{C3380CC4-5D6E-409C-BE32-E72D297353CC}">
              <c16:uniqueId val="{00000001-D279-44FF-A99A-D8761305C130}"/>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ChB R&amp;R'!$I$1</c:f>
              <c:strCache>
                <c:ptCount val="1"/>
                <c:pt idx="0">
                  <c:v>Slope Dev</c:v>
                </c:pt>
              </c:strCache>
            </c:strRef>
          </c:tx>
          <c:spPr>
            <a:solidFill>
              <a:schemeClr val="accent1"/>
            </a:solidFill>
            <a:ln>
              <a:noFill/>
            </a:ln>
            <a:effectLst/>
          </c:spPr>
          <c:invertIfNegative val="0"/>
          <c:val>
            <c:numRef>
              <c:f>'Resistance ChB R&amp;R'!$I$2:$I$5</c:f>
              <c:numCache>
                <c:formatCode>0.000</c:formatCode>
                <c:ptCount val="3"/>
                <c:pt idx="0">
                  <c:v>1.2000000000000455E-2</c:v>
                </c:pt>
                <c:pt idx="1">
                  <c:v>1.6999999999995907E-2</c:v>
                </c:pt>
                <c:pt idx="2">
                  <c:v>2.8999999999996362E-2</c:v>
                </c:pt>
              </c:numCache>
            </c:numRef>
          </c:val>
          <c:extLst>
            <c:ext xmlns:c16="http://schemas.microsoft.com/office/drawing/2014/chart" uri="{C3380CC4-5D6E-409C-BE32-E72D297353CC}">
              <c16:uniqueId val="{00000000-ACBC-407A-BB71-B3FC86D503FC}"/>
            </c:ext>
          </c:extLst>
        </c:ser>
        <c:ser>
          <c:idx val="1"/>
          <c:order val="1"/>
          <c:tx>
            <c:strRef>
              <c:f>'Resistance ChB R&amp;R'!$J$1</c:f>
              <c:strCache>
                <c:ptCount val="1"/>
                <c:pt idx="0">
                  <c:v>Int Dev</c:v>
                </c:pt>
              </c:strCache>
            </c:strRef>
          </c:tx>
          <c:spPr>
            <a:solidFill>
              <a:schemeClr val="accent2"/>
            </a:solidFill>
            <a:ln>
              <a:noFill/>
            </a:ln>
            <a:effectLst/>
          </c:spPr>
          <c:invertIfNegative val="0"/>
          <c:val>
            <c:numRef>
              <c:f>'Resistance ChB R&amp;R'!$J$2:$J$5</c:f>
              <c:numCache>
                <c:formatCode>0.000</c:formatCode>
                <c:ptCount val="3"/>
                <c:pt idx="0">
                  <c:v>4.3333333333333002E-3</c:v>
                </c:pt>
                <c:pt idx="1">
                  <c:v>3.4333333333333327E-2</c:v>
                </c:pt>
                <c:pt idx="2">
                  <c:v>3.8666666666666627E-2</c:v>
                </c:pt>
              </c:numCache>
            </c:numRef>
          </c:val>
          <c:extLst>
            <c:ext xmlns:c16="http://schemas.microsoft.com/office/drawing/2014/chart" uri="{C3380CC4-5D6E-409C-BE32-E72D297353CC}">
              <c16:uniqueId val="{00000001-ACBC-407A-BB71-B3FC86D503FC}"/>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8</xdr:col>
      <xdr:colOff>285750</xdr:colOff>
      <xdr:row>205</xdr:row>
      <xdr:rowOff>114300</xdr:rowOff>
    </xdr:from>
    <xdr:to>
      <xdr:col>12</xdr:col>
      <xdr:colOff>504825</xdr:colOff>
      <xdr:row>214</xdr:row>
      <xdr:rowOff>114300</xdr:rowOff>
    </xdr:to>
    <xdr:graphicFrame macro="">
      <xdr:nvGraphicFramePr>
        <xdr:cNvPr id="2" name="Chart 1">
          <a:extLst>
            <a:ext uri="{FF2B5EF4-FFF2-40B4-BE49-F238E27FC236}">
              <a16:creationId xmlns:a16="http://schemas.microsoft.com/office/drawing/2014/main" id="{7E7A43D8-05CE-2B96-1CBD-326AB3BA8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295275</xdr:colOff>
      <xdr:row>196</xdr:row>
      <xdr:rowOff>19050</xdr:rowOff>
    </xdr:from>
    <xdr:to>
      <xdr:col>12</xdr:col>
      <xdr:colOff>485775</xdr:colOff>
      <xdr:row>205</xdr:row>
      <xdr:rowOff>95249</xdr:rowOff>
    </xdr:to>
    <xdr:graphicFrame macro="">
      <xdr:nvGraphicFramePr>
        <xdr:cNvPr id="3" name="Chart 2">
          <a:extLst>
            <a:ext uri="{FF2B5EF4-FFF2-40B4-BE49-F238E27FC236}">
              <a16:creationId xmlns:a16="http://schemas.microsoft.com/office/drawing/2014/main" id="{E7A29782-54B2-338E-4413-E47C318D7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187</xdr:row>
      <xdr:rowOff>180975</xdr:rowOff>
    </xdr:from>
    <xdr:to>
      <xdr:col>12</xdr:col>
      <xdr:colOff>495300</xdr:colOff>
      <xdr:row>195</xdr:row>
      <xdr:rowOff>104775</xdr:rowOff>
    </xdr:to>
    <xdr:graphicFrame macro="">
      <xdr:nvGraphicFramePr>
        <xdr:cNvPr id="4" name="Chart 3">
          <a:extLst>
            <a:ext uri="{FF2B5EF4-FFF2-40B4-BE49-F238E27FC236}">
              <a16:creationId xmlns:a16="http://schemas.microsoft.com/office/drawing/2014/main" id="{FBAEFCDB-D0AF-86C1-996B-D96A165313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542925</xdr:colOff>
      <xdr:row>191</xdr:row>
      <xdr:rowOff>95250</xdr:rowOff>
    </xdr:from>
    <xdr:to>
      <xdr:col>10</xdr:col>
      <xdr:colOff>171450</xdr:colOff>
      <xdr:row>192</xdr:row>
      <xdr:rowOff>95250</xdr:rowOff>
    </xdr:to>
    <xdr:sp macro="" textlink="">
      <xdr:nvSpPr>
        <xdr:cNvPr id="5" name="Oval 4">
          <a:extLst>
            <a:ext uri="{FF2B5EF4-FFF2-40B4-BE49-F238E27FC236}">
              <a16:creationId xmlns:a16="http://schemas.microsoft.com/office/drawing/2014/main" id="{E2130D34-AFC4-F4D0-0AA0-2946DB9DBE1B}"/>
            </a:ext>
          </a:extLst>
        </xdr:cNvPr>
        <xdr:cNvSpPr/>
      </xdr:nvSpPr>
      <xdr:spPr>
        <a:xfrm>
          <a:off x="9010650" y="36480750"/>
          <a:ext cx="238125" cy="19050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190500</xdr:colOff>
      <xdr:row>199</xdr:row>
      <xdr:rowOff>38100</xdr:rowOff>
    </xdr:from>
    <xdr:to>
      <xdr:col>9</xdr:col>
      <xdr:colOff>428625</xdr:colOff>
      <xdr:row>200</xdr:row>
      <xdr:rowOff>133350</xdr:rowOff>
    </xdr:to>
    <xdr:sp macro="" textlink="">
      <xdr:nvSpPr>
        <xdr:cNvPr id="6" name="Oval 5">
          <a:extLst>
            <a:ext uri="{FF2B5EF4-FFF2-40B4-BE49-F238E27FC236}">
              <a16:creationId xmlns:a16="http://schemas.microsoft.com/office/drawing/2014/main" id="{891D1FB9-5008-4602-82B5-857F458F8FDE}"/>
            </a:ext>
          </a:extLst>
        </xdr:cNvPr>
        <xdr:cNvSpPr/>
      </xdr:nvSpPr>
      <xdr:spPr>
        <a:xfrm>
          <a:off x="8658225" y="3794760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9525</xdr:colOff>
      <xdr:row>200</xdr:row>
      <xdr:rowOff>85725</xdr:rowOff>
    </xdr:from>
    <xdr:to>
      <xdr:col>11</xdr:col>
      <xdr:colOff>247650</xdr:colOff>
      <xdr:row>201</xdr:row>
      <xdr:rowOff>180975</xdr:rowOff>
    </xdr:to>
    <xdr:sp macro="" textlink="">
      <xdr:nvSpPr>
        <xdr:cNvPr id="7" name="Oval 6">
          <a:extLst>
            <a:ext uri="{FF2B5EF4-FFF2-40B4-BE49-F238E27FC236}">
              <a16:creationId xmlns:a16="http://schemas.microsoft.com/office/drawing/2014/main" id="{98F0DC53-E73E-4F60-9FB5-0662A71D7303}"/>
            </a:ext>
          </a:extLst>
        </xdr:cNvPr>
        <xdr:cNvSpPr/>
      </xdr:nvSpPr>
      <xdr:spPr>
        <a:xfrm>
          <a:off x="9696450" y="38185725"/>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xdr:colOff>
      <xdr:row>207</xdr:row>
      <xdr:rowOff>133350</xdr:rowOff>
    </xdr:from>
    <xdr:to>
      <xdr:col>9</xdr:col>
      <xdr:colOff>295275</xdr:colOff>
      <xdr:row>209</xdr:row>
      <xdr:rowOff>38100</xdr:rowOff>
    </xdr:to>
    <xdr:sp macro="" textlink="">
      <xdr:nvSpPr>
        <xdr:cNvPr id="8" name="Oval 7">
          <a:extLst>
            <a:ext uri="{FF2B5EF4-FFF2-40B4-BE49-F238E27FC236}">
              <a16:creationId xmlns:a16="http://schemas.microsoft.com/office/drawing/2014/main" id="{6B18A7C2-9D2B-4D6C-8947-069248C78574}"/>
            </a:ext>
          </a:extLst>
        </xdr:cNvPr>
        <xdr:cNvSpPr/>
      </xdr:nvSpPr>
      <xdr:spPr>
        <a:xfrm>
          <a:off x="8524875" y="3956685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280987</xdr:colOff>
      <xdr:row>180</xdr:row>
      <xdr:rowOff>76200</xdr:rowOff>
    </xdr:from>
    <xdr:to>
      <xdr:col>12</xdr:col>
      <xdr:colOff>514350</xdr:colOff>
      <xdr:row>187</xdr:row>
      <xdr:rowOff>171450</xdr:rowOff>
    </xdr:to>
    <xdr:graphicFrame macro="">
      <xdr:nvGraphicFramePr>
        <xdr:cNvPr id="9" name="Chart 8">
          <a:extLst>
            <a:ext uri="{FF2B5EF4-FFF2-40B4-BE49-F238E27FC236}">
              <a16:creationId xmlns:a16="http://schemas.microsoft.com/office/drawing/2014/main" id="{3EB910C5-B7F7-87B3-E7A0-9455D73B69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15</xdr:col>
      <xdr:colOff>295275</xdr:colOff>
      <xdr:row>13</xdr:row>
      <xdr:rowOff>107949</xdr:rowOff>
    </xdr:from>
    <xdr:ext cx="3095625" cy="1343026"/>
    <xdr:sp macro="" textlink="">
      <xdr:nvSpPr>
        <xdr:cNvPr id="2" name="TextBox 1">
          <a:extLst>
            <a:ext uri="{FF2B5EF4-FFF2-40B4-BE49-F238E27FC236}">
              <a16:creationId xmlns:a16="http://schemas.microsoft.com/office/drawing/2014/main" id="{501DBA22-787B-F832-65C9-C987583E1FEC}"/>
            </a:ext>
          </a:extLst>
        </xdr:cNvPr>
        <xdr:cNvSpPr txBox="1"/>
      </xdr:nvSpPr>
      <xdr:spPr>
        <a:xfrm>
          <a:off x="11109325" y="26161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15</xdr:col>
      <xdr:colOff>477837</xdr:colOff>
      <xdr:row>16</xdr:row>
      <xdr:rowOff>17462</xdr:rowOff>
    </xdr:from>
    <xdr:to>
      <xdr:col>21</xdr:col>
      <xdr:colOff>865187</xdr:colOff>
      <xdr:row>30</xdr:row>
      <xdr:rowOff>93662</xdr:rowOff>
    </xdr:to>
    <xdr:graphicFrame macro="">
      <xdr:nvGraphicFramePr>
        <xdr:cNvPr id="4" name="Chart 3">
          <a:extLst>
            <a:ext uri="{FF2B5EF4-FFF2-40B4-BE49-F238E27FC236}">
              <a16:creationId xmlns:a16="http://schemas.microsoft.com/office/drawing/2014/main" id="{BF72649D-C52F-0FFE-0747-B4E80BDCD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952500</xdr:colOff>
      <xdr:row>14</xdr:row>
      <xdr:rowOff>63500</xdr:rowOff>
    </xdr:from>
    <xdr:to>
      <xdr:col>27</xdr:col>
      <xdr:colOff>0</xdr:colOff>
      <xdr:row>29</xdr:row>
      <xdr:rowOff>44450</xdr:rowOff>
    </xdr:to>
    <xdr:graphicFrame macro="">
      <xdr:nvGraphicFramePr>
        <xdr:cNvPr id="3" name="Chart 2">
          <a:extLst>
            <a:ext uri="{FF2B5EF4-FFF2-40B4-BE49-F238E27FC236}">
              <a16:creationId xmlns:a16="http://schemas.microsoft.com/office/drawing/2014/main" id="{4BDF9A08-3C41-8739-BF32-FCBD11C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495300</xdr:colOff>
      <xdr:row>59</xdr:row>
      <xdr:rowOff>155575</xdr:rowOff>
    </xdr:from>
    <xdr:to>
      <xdr:col>27</xdr:col>
      <xdr:colOff>215900</xdr:colOff>
      <xdr:row>69</xdr:row>
      <xdr:rowOff>155575</xdr:rowOff>
    </xdr:to>
    <xdr:graphicFrame macro="">
      <xdr:nvGraphicFramePr>
        <xdr:cNvPr id="5" name="Chart 4">
          <a:extLst>
            <a:ext uri="{FF2B5EF4-FFF2-40B4-BE49-F238E27FC236}">
              <a16:creationId xmlns:a16="http://schemas.microsoft.com/office/drawing/2014/main" id="{78D6464A-D0DB-9B84-7B27-11FFDBFD1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457200</xdr:colOff>
      <xdr:row>70</xdr:row>
      <xdr:rowOff>136525</xdr:rowOff>
    </xdr:from>
    <xdr:to>
      <xdr:col>27</xdr:col>
      <xdr:colOff>177800</xdr:colOff>
      <xdr:row>80</xdr:row>
      <xdr:rowOff>136525</xdr:rowOff>
    </xdr:to>
    <xdr:graphicFrame macro="">
      <xdr:nvGraphicFramePr>
        <xdr:cNvPr id="6" name="Chart 5">
          <a:extLst>
            <a:ext uri="{FF2B5EF4-FFF2-40B4-BE49-F238E27FC236}">
              <a16:creationId xmlns:a16="http://schemas.microsoft.com/office/drawing/2014/main" id="{270057C2-52DA-CFB6-4404-66D7DA043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501650</xdr:colOff>
      <xdr:row>59</xdr:row>
      <xdr:rowOff>161925</xdr:rowOff>
    </xdr:from>
    <xdr:to>
      <xdr:col>21</xdr:col>
      <xdr:colOff>400050</xdr:colOff>
      <xdr:row>69</xdr:row>
      <xdr:rowOff>161925</xdr:rowOff>
    </xdr:to>
    <xdr:graphicFrame macro="">
      <xdr:nvGraphicFramePr>
        <xdr:cNvPr id="7" name="Chart 6">
          <a:extLst>
            <a:ext uri="{FF2B5EF4-FFF2-40B4-BE49-F238E27FC236}">
              <a16:creationId xmlns:a16="http://schemas.microsoft.com/office/drawing/2014/main" id="{C248BAF7-3375-BA9F-2E04-908B68472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520700</xdr:colOff>
      <xdr:row>70</xdr:row>
      <xdr:rowOff>142875</xdr:rowOff>
    </xdr:from>
    <xdr:to>
      <xdr:col>21</xdr:col>
      <xdr:colOff>419100</xdr:colOff>
      <xdr:row>80</xdr:row>
      <xdr:rowOff>142875</xdr:rowOff>
    </xdr:to>
    <xdr:graphicFrame macro="">
      <xdr:nvGraphicFramePr>
        <xdr:cNvPr id="8" name="Chart 7">
          <a:extLst>
            <a:ext uri="{FF2B5EF4-FFF2-40B4-BE49-F238E27FC236}">
              <a16:creationId xmlns:a16="http://schemas.microsoft.com/office/drawing/2014/main" id="{1CC3377D-2733-3F37-0308-80E34D42C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19050</xdr:colOff>
      <xdr:row>12</xdr:row>
      <xdr:rowOff>63500</xdr:rowOff>
    </xdr:from>
    <xdr:to>
      <xdr:col>27</xdr:col>
      <xdr:colOff>82550</xdr:colOff>
      <xdr:row>22</xdr:row>
      <xdr:rowOff>63500</xdr:rowOff>
    </xdr:to>
    <xdr:graphicFrame macro="">
      <xdr:nvGraphicFramePr>
        <xdr:cNvPr id="11" name="Chart 10">
          <a:extLst>
            <a:ext uri="{FF2B5EF4-FFF2-40B4-BE49-F238E27FC236}">
              <a16:creationId xmlns:a16="http://schemas.microsoft.com/office/drawing/2014/main" id="{EAA81378-7444-D783-1F89-B8033FE48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806450</xdr:colOff>
      <xdr:row>17</xdr:row>
      <xdr:rowOff>63500</xdr:rowOff>
    </xdr:from>
    <xdr:to>
      <xdr:col>26</xdr:col>
      <xdr:colOff>146050</xdr:colOff>
      <xdr:row>27</xdr:row>
      <xdr:rowOff>57150</xdr:rowOff>
    </xdr:to>
    <xdr:graphicFrame macro="">
      <xdr:nvGraphicFramePr>
        <xdr:cNvPr id="12" name="Chart 11">
          <a:extLst>
            <a:ext uri="{FF2B5EF4-FFF2-40B4-BE49-F238E27FC236}">
              <a16:creationId xmlns:a16="http://schemas.microsoft.com/office/drawing/2014/main" id="{F5CA879B-A73B-EA99-99B6-F4FD652BF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546100</xdr:colOff>
      <xdr:row>19</xdr:row>
      <xdr:rowOff>63500</xdr:rowOff>
    </xdr:from>
    <xdr:to>
      <xdr:col>26</xdr:col>
      <xdr:colOff>755650</xdr:colOff>
      <xdr:row>29</xdr:row>
      <xdr:rowOff>57150</xdr:rowOff>
    </xdr:to>
    <xdr:graphicFrame macro="">
      <xdr:nvGraphicFramePr>
        <xdr:cNvPr id="13" name="Chart 12">
          <a:extLst>
            <a:ext uri="{FF2B5EF4-FFF2-40B4-BE49-F238E27FC236}">
              <a16:creationId xmlns:a16="http://schemas.microsoft.com/office/drawing/2014/main" id="{8118FB4A-3070-C363-3F03-5B5BC0A69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295275</xdr:colOff>
      <xdr:row>150</xdr:row>
      <xdr:rowOff>120650</xdr:rowOff>
    </xdr:from>
    <xdr:to>
      <xdr:col>26</xdr:col>
      <xdr:colOff>104775</xdr:colOff>
      <xdr:row>165</xdr:row>
      <xdr:rowOff>101600</xdr:rowOff>
    </xdr:to>
    <xdr:graphicFrame macro="">
      <xdr:nvGraphicFramePr>
        <xdr:cNvPr id="14" name="Chart 13">
          <a:extLst>
            <a:ext uri="{FF2B5EF4-FFF2-40B4-BE49-F238E27FC236}">
              <a16:creationId xmlns:a16="http://schemas.microsoft.com/office/drawing/2014/main" id="{D8F646AA-6A2E-13E2-2ABF-F5FB9A5B5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247650</xdr:colOff>
      <xdr:row>153</xdr:row>
      <xdr:rowOff>158750</xdr:rowOff>
    </xdr:from>
    <xdr:to>
      <xdr:col>22</xdr:col>
      <xdr:colOff>508000</xdr:colOff>
      <xdr:row>154</xdr:row>
      <xdr:rowOff>152400</xdr:rowOff>
    </xdr:to>
    <xdr:sp macro="" textlink="">
      <xdr:nvSpPr>
        <xdr:cNvPr id="15" name="Oval 14">
          <a:extLst>
            <a:ext uri="{FF2B5EF4-FFF2-40B4-BE49-F238E27FC236}">
              <a16:creationId xmlns:a16="http://schemas.microsoft.com/office/drawing/2014/main" id="{6EAFF4C7-30B6-07E1-4E5B-70944DDC3FC3}"/>
            </a:ext>
          </a:extLst>
        </xdr:cNvPr>
        <xdr:cNvSpPr/>
      </xdr:nvSpPr>
      <xdr:spPr>
        <a:xfrm>
          <a:off x="16103600" y="2845435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266700</xdr:colOff>
      <xdr:row>163</xdr:row>
      <xdr:rowOff>88900</xdr:rowOff>
    </xdr:from>
    <xdr:to>
      <xdr:col>24</xdr:col>
      <xdr:colOff>527050</xdr:colOff>
      <xdr:row>164</xdr:row>
      <xdr:rowOff>82550</xdr:rowOff>
    </xdr:to>
    <xdr:sp macro="" textlink="">
      <xdr:nvSpPr>
        <xdr:cNvPr id="16" name="Oval 15">
          <a:extLst>
            <a:ext uri="{FF2B5EF4-FFF2-40B4-BE49-F238E27FC236}">
              <a16:creationId xmlns:a16="http://schemas.microsoft.com/office/drawing/2014/main" id="{E284013A-5D6C-49E1-9934-DFD7D09B9D32}"/>
            </a:ext>
          </a:extLst>
        </xdr:cNvPr>
        <xdr:cNvSpPr/>
      </xdr:nvSpPr>
      <xdr:spPr>
        <a:xfrm>
          <a:off x="17633950" y="3022600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660400</xdr:colOff>
      <xdr:row>152</xdr:row>
      <xdr:rowOff>139700</xdr:rowOff>
    </xdr:from>
    <xdr:to>
      <xdr:col>23</xdr:col>
      <xdr:colOff>292100</xdr:colOff>
      <xdr:row>153</xdr:row>
      <xdr:rowOff>177800</xdr:rowOff>
    </xdr:to>
    <xdr:sp macro="" textlink="">
      <xdr:nvSpPr>
        <xdr:cNvPr id="17" name="Speech Bubble: Rectangle 16">
          <a:extLst>
            <a:ext uri="{FF2B5EF4-FFF2-40B4-BE49-F238E27FC236}">
              <a16:creationId xmlns:a16="http://schemas.microsoft.com/office/drawing/2014/main" id="{471B35E8-B19E-7F12-E2D0-6AEEA63558C6}"/>
            </a:ext>
          </a:extLst>
        </xdr:cNvPr>
        <xdr:cNvSpPr/>
      </xdr:nvSpPr>
      <xdr:spPr>
        <a:xfrm>
          <a:off x="16516350" y="2825115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#39</a:t>
          </a:r>
        </a:p>
      </xdr:txBody>
    </xdr:sp>
    <xdr:clientData/>
  </xdr:twoCellAnchor>
  <xdr:twoCellAnchor>
    <xdr:from>
      <xdr:col>24</xdr:col>
      <xdr:colOff>647700</xdr:colOff>
      <xdr:row>162</xdr:row>
      <xdr:rowOff>69850</xdr:rowOff>
    </xdr:from>
    <xdr:to>
      <xdr:col>25</xdr:col>
      <xdr:colOff>342900</xdr:colOff>
      <xdr:row>163</xdr:row>
      <xdr:rowOff>107950</xdr:rowOff>
    </xdr:to>
    <xdr:sp macro="" textlink="">
      <xdr:nvSpPr>
        <xdr:cNvPr id="18" name="Speech Bubble: Rectangle 17">
          <a:extLst>
            <a:ext uri="{FF2B5EF4-FFF2-40B4-BE49-F238E27FC236}">
              <a16:creationId xmlns:a16="http://schemas.microsoft.com/office/drawing/2014/main" id="{4EF628A8-4F9F-4880-802C-7C2C427009D9}"/>
            </a:ext>
          </a:extLst>
        </xdr:cNvPr>
        <xdr:cNvSpPr/>
      </xdr:nvSpPr>
      <xdr:spPr>
        <a:xfrm>
          <a:off x="18014950" y="3002280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#37</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14</xdr:col>
      <xdr:colOff>15875</xdr:colOff>
      <xdr:row>17</xdr:row>
      <xdr:rowOff>126999</xdr:rowOff>
    </xdr:from>
    <xdr:ext cx="3095625" cy="1343026"/>
    <xdr:sp macro="" textlink="">
      <xdr:nvSpPr>
        <xdr:cNvPr id="2" name="TextBox 1">
          <a:extLst>
            <a:ext uri="{FF2B5EF4-FFF2-40B4-BE49-F238E27FC236}">
              <a16:creationId xmlns:a16="http://schemas.microsoft.com/office/drawing/2014/main" id="{F1F9AB1A-23BE-4667-9B6C-D0D0ED7EB83E}"/>
            </a:ext>
          </a:extLst>
        </xdr:cNvPr>
        <xdr:cNvSpPr txBox="1"/>
      </xdr:nvSpPr>
      <xdr:spPr>
        <a:xfrm>
          <a:off x="9890125" y="337184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17</xdr:col>
      <xdr:colOff>31750</xdr:colOff>
      <xdr:row>14</xdr:row>
      <xdr:rowOff>50800</xdr:rowOff>
    </xdr:from>
    <xdr:to>
      <xdr:col>23</xdr:col>
      <xdr:colOff>298450</xdr:colOff>
      <xdr:row>28</xdr:row>
      <xdr:rowOff>31750</xdr:rowOff>
    </xdr:to>
    <xdr:graphicFrame macro="">
      <xdr:nvGraphicFramePr>
        <xdr:cNvPr id="4" name="Chart 3">
          <a:extLst>
            <a:ext uri="{FF2B5EF4-FFF2-40B4-BE49-F238E27FC236}">
              <a16:creationId xmlns:a16="http://schemas.microsoft.com/office/drawing/2014/main" id="{33FE8645-B9E4-41BF-B6DD-F308E521D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16</xdr:col>
      <xdr:colOff>358775</xdr:colOff>
      <xdr:row>14</xdr:row>
      <xdr:rowOff>133349</xdr:rowOff>
    </xdr:from>
    <xdr:ext cx="3095625" cy="1343026"/>
    <xdr:sp macro="" textlink="">
      <xdr:nvSpPr>
        <xdr:cNvPr id="2" name="TextBox 1">
          <a:extLst>
            <a:ext uri="{FF2B5EF4-FFF2-40B4-BE49-F238E27FC236}">
              <a16:creationId xmlns:a16="http://schemas.microsoft.com/office/drawing/2014/main" id="{FC7A9540-3227-4DFB-BD7C-F25D41A4AB35}"/>
            </a:ext>
          </a:extLst>
        </xdr:cNvPr>
        <xdr:cNvSpPr txBox="1"/>
      </xdr:nvSpPr>
      <xdr:spPr>
        <a:xfrm>
          <a:off x="11452225" y="26415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17</xdr:col>
      <xdr:colOff>31750</xdr:colOff>
      <xdr:row>14</xdr:row>
      <xdr:rowOff>50800</xdr:rowOff>
    </xdr:from>
    <xdr:to>
      <xdr:col>23</xdr:col>
      <xdr:colOff>298450</xdr:colOff>
      <xdr:row>29</xdr:row>
      <xdr:rowOff>31750</xdr:rowOff>
    </xdr:to>
    <xdr:graphicFrame macro="">
      <xdr:nvGraphicFramePr>
        <xdr:cNvPr id="3" name="Chart 2">
          <a:extLst>
            <a:ext uri="{FF2B5EF4-FFF2-40B4-BE49-F238E27FC236}">
              <a16:creationId xmlns:a16="http://schemas.microsoft.com/office/drawing/2014/main" id="{51C61038-522F-4856-BBC9-30106B07F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600075</xdr:colOff>
      <xdr:row>1</xdr:row>
      <xdr:rowOff>152400</xdr:rowOff>
    </xdr:from>
    <xdr:ext cx="4832990" cy="3364639"/>
    <xdr:sp macro="" textlink="">
      <xdr:nvSpPr>
        <xdr:cNvPr id="2" name="TextBox 1">
          <a:extLst>
            <a:ext uri="{FF2B5EF4-FFF2-40B4-BE49-F238E27FC236}">
              <a16:creationId xmlns:a16="http://schemas.microsoft.com/office/drawing/2014/main" id="{A22DB8B3-8170-4C4A-8E1A-725E8890227D}"/>
            </a:ext>
          </a:extLst>
        </xdr:cNvPr>
        <xdr:cNvSpPr txBox="1"/>
      </xdr:nvSpPr>
      <xdr:spPr>
        <a:xfrm>
          <a:off x="6543675" y="336550"/>
          <a:ext cx="4832990" cy="3364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Current Stability Test</a:t>
          </a:r>
        </a:p>
        <a:p>
          <a:endParaRPr lang="en-US" sz="1100"/>
        </a:p>
        <a:p>
          <a:r>
            <a:rPr lang="en-US" sz="1100"/>
            <a:t>This Test of the DataQ with</a:t>
          </a:r>
          <a:r>
            <a:rPr lang="en-US" sz="1100" baseline="0"/>
            <a:t> the breadboard PCB version Q01 which has 1% resistors.  The current is measured as the voltage accross a 100</a:t>
          </a:r>
          <a:r>
            <a:rPr lang="el-GR" sz="1100" baseline="0"/>
            <a:t>Ω</a:t>
          </a:r>
          <a:r>
            <a:rPr lang="en-US" sz="1100" baseline="0"/>
            <a:t> 0.01%  15ppm TCE reference metal film reference resistors with DataQ and PicoScope. The actual current is measured with the calibrated production Fluke (Fluke 14ma Prod) used as an ammeter on the mA scale.</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Engineering Fluke 0mA measurement was with the probes shorted on the mA scale.</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DataQ voltage data was colled using WinDaq recording software with a 0.6 scale factor to account for the 1K 1% over 1.5K 1%  scaler.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test was run in the Production Lab from 3/27 to 4/1 for a total of 115hours.   The 99.7% tolerance is  he +/- 3-sigma range where 99.7% of all measurement will fall within this range as shown below ref: </a:t>
          </a:r>
          <a:r>
            <a:rPr lang="en-US">
              <a:hlinkClick xmlns:r="http://schemas.openxmlformats.org/officeDocument/2006/relationships" r:id=""/>
            </a:rPr>
            <a:t>Five Flute - Engineering design review platform for modern hardware teams</a:t>
          </a:r>
          <a:endParaRPr lang="en-US"/>
        </a:p>
        <a:p>
          <a:endParaRPr lang="en-US"/>
        </a:p>
        <a:p>
          <a:r>
            <a:rPr lang="en-US"/>
            <a:t>The distribution</a:t>
          </a:r>
          <a:r>
            <a:rPr lang="en-US" baseline="0"/>
            <a:t> of measurements for the DataQ indicate a resolution of about 50</a:t>
          </a:r>
          <a:r>
            <a:rPr lang="el-GR" baseline="0">
              <a:latin typeface="Aptos Narrow" panose="020B0004020202020204" pitchFamily="34" charset="0"/>
            </a:rPr>
            <a:t>μ</a:t>
          </a:r>
          <a:r>
            <a:rPr lang="en-US" baseline="0">
              <a:latin typeface="Aptos Narrow" panose="020B0004020202020204" pitchFamily="34" charset="0"/>
            </a:rPr>
            <a:t>V </a:t>
          </a:r>
          <a:endParaRPr lang="en-US"/>
        </a:p>
      </xdr:txBody>
    </xdr:sp>
    <xdr:clientData/>
  </xdr:oneCellAnchor>
  <xdr:twoCellAnchor editAs="oneCell">
    <xdr:from>
      <xdr:col>7</xdr:col>
      <xdr:colOff>388780</xdr:colOff>
      <xdr:row>20</xdr:row>
      <xdr:rowOff>123825</xdr:rowOff>
    </xdr:from>
    <xdr:to>
      <xdr:col>14</xdr:col>
      <xdr:colOff>323850</xdr:colOff>
      <xdr:row>35</xdr:row>
      <xdr:rowOff>159960</xdr:rowOff>
    </xdr:to>
    <xdr:pic>
      <xdr:nvPicPr>
        <xdr:cNvPr id="3" name="Picture 2">
          <a:extLst>
            <a:ext uri="{FF2B5EF4-FFF2-40B4-BE49-F238E27FC236}">
              <a16:creationId xmlns:a16="http://schemas.microsoft.com/office/drawing/2014/main" id="{E2E51542-9891-4FEB-995D-AE6E273725E7}"/>
            </a:ext>
          </a:extLst>
        </xdr:cNvPr>
        <xdr:cNvPicPr>
          <a:picLocks noChangeAspect="1"/>
        </xdr:cNvPicPr>
      </xdr:nvPicPr>
      <xdr:blipFill>
        <a:blip xmlns:r="http://schemas.openxmlformats.org/officeDocument/2006/relationships" r:embed="rId1"/>
        <a:stretch>
          <a:fillRect/>
        </a:stretch>
      </xdr:blipFill>
      <xdr:spPr>
        <a:xfrm>
          <a:off x="6941980" y="3819525"/>
          <a:ext cx="4202270" cy="2811085"/>
        </a:xfrm>
        <a:prstGeom prst="rect">
          <a:avLst/>
        </a:prstGeom>
      </xdr:spPr>
    </xdr:pic>
    <xdr:clientData/>
  </xdr:twoCellAnchor>
  <xdr:twoCellAnchor editAs="oneCell">
    <xdr:from>
      <xdr:col>4</xdr:col>
      <xdr:colOff>623888</xdr:colOff>
      <xdr:row>12</xdr:row>
      <xdr:rowOff>69176</xdr:rowOff>
    </xdr:from>
    <xdr:to>
      <xdr:col>7</xdr:col>
      <xdr:colOff>442913</xdr:colOff>
      <xdr:row>18</xdr:row>
      <xdr:rowOff>16821</xdr:rowOff>
    </xdr:to>
    <xdr:pic>
      <xdr:nvPicPr>
        <xdr:cNvPr id="4" name="Picture 3">
          <a:extLst>
            <a:ext uri="{FF2B5EF4-FFF2-40B4-BE49-F238E27FC236}">
              <a16:creationId xmlns:a16="http://schemas.microsoft.com/office/drawing/2014/main" id="{09746737-B001-448A-B29C-A65429CFDC78}"/>
            </a:ext>
          </a:extLst>
        </xdr:cNvPr>
        <xdr:cNvPicPr>
          <a:picLocks noChangeAspect="1"/>
        </xdr:cNvPicPr>
      </xdr:nvPicPr>
      <xdr:blipFill>
        <a:blip xmlns:r="http://schemas.openxmlformats.org/officeDocument/2006/relationships" r:embed="rId2"/>
        <a:stretch>
          <a:fillRect/>
        </a:stretch>
      </xdr:blipFill>
      <xdr:spPr>
        <a:xfrm>
          <a:off x="5021263" y="2259926"/>
          <a:ext cx="1978025" cy="1058895"/>
        </a:xfrm>
        <a:prstGeom prst="rect">
          <a:avLst/>
        </a:prstGeom>
      </xdr:spPr>
    </xdr:pic>
    <xdr:clientData/>
  </xdr:twoCellAnchor>
  <xdr:twoCellAnchor editAs="oneCell">
    <xdr:from>
      <xdr:col>3</xdr:col>
      <xdr:colOff>95250</xdr:colOff>
      <xdr:row>21</xdr:row>
      <xdr:rowOff>83643</xdr:rowOff>
    </xdr:from>
    <xdr:to>
      <xdr:col>7</xdr:col>
      <xdr:colOff>514350</xdr:colOff>
      <xdr:row>26</xdr:row>
      <xdr:rowOff>129961</xdr:rowOff>
    </xdr:to>
    <xdr:pic>
      <xdr:nvPicPr>
        <xdr:cNvPr id="5" name="Picture 4">
          <a:extLst>
            <a:ext uri="{FF2B5EF4-FFF2-40B4-BE49-F238E27FC236}">
              <a16:creationId xmlns:a16="http://schemas.microsoft.com/office/drawing/2014/main" id="{D6F02D99-5DB0-442B-B323-518BB3BFE42B}"/>
            </a:ext>
          </a:extLst>
        </xdr:cNvPr>
        <xdr:cNvPicPr>
          <a:picLocks noChangeAspect="1"/>
        </xdr:cNvPicPr>
      </xdr:nvPicPr>
      <xdr:blipFill>
        <a:blip xmlns:r="http://schemas.openxmlformats.org/officeDocument/2006/relationships" r:embed="rId3"/>
        <a:stretch>
          <a:fillRect/>
        </a:stretch>
      </xdr:blipFill>
      <xdr:spPr>
        <a:xfrm>
          <a:off x="3651250" y="3963493"/>
          <a:ext cx="3416300" cy="9734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54</xdr:row>
      <xdr:rowOff>2122</xdr:rowOff>
    </xdr:from>
    <xdr:to>
      <xdr:col>30</xdr:col>
      <xdr:colOff>385666</xdr:colOff>
      <xdr:row>68</xdr:row>
      <xdr:rowOff>161363</xdr:rowOff>
    </xdr:to>
    <xdr:pic>
      <xdr:nvPicPr>
        <xdr:cNvPr id="3" name="Picture 2">
          <a:extLst>
            <a:ext uri="{FF2B5EF4-FFF2-40B4-BE49-F238E27FC236}">
              <a16:creationId xmlns:a16="http://schemas.microsoft.com/office/drawing/2014/main" id="{760ED09C-DB30-3D2B-6859-24C44E329818}"/>
            </a:ext>
          </a:extLst>
        </xdr:cNvPr>
        <xdr:cNvPicPr>
          <a:picLocks noChangeAspect="1"/>
        </xdr:cNvPicPr>
      </xdr:nvPicPr>
      <xdr:blipFill>
        <a:blip xmlns:r="http://schemas.openxmlformats.org/officeDocument/2006/relationships" r:embed="rId1"/>
        <a:stretch>
          <a:fillRect/>
        </a:stretch>
      </xdr:blipFill>
      <xdr:spPr>
        <a:xfrm>
          <a:off x="0" y="11622622"/>
          <a:ext cx="18800666" cy="2826241"/>
        </a:xfrm>
        <a:prstGeom prst="rect">
          <a:avLst/>
        </a:prstGeom>
      </xdr:spPr>
    </xdr:pic>
    <xdr:clientData/>
  </xdr:twoCellAnchor>
  <xdr:twoCellAnchor editAs="oneCell">
    <xdr:from>
      <xdr:col>0</xdr:col>
      <xdr:colOff>0</xdr:colOff>
      <xdr:row>39</xdr:row>
      <xdr:rowOff>21172</xdr:rowOff>
    </xdr:from>
    <xdr:to>
      <xdr:col>30</xdr:col>
      <xdr:colOff>307919</xdr:colOff>
      <xdr:row>54</xdr:row>
      <xdr:rowOff>22944</xdr:rowOff>
    </xdr:to>
    <xdr:pic>
      <xdr:nvPicPr>
        <xdr:cNvPr id="4" name="Picture 3">
          <a:extLst>
            <a:ext uri="{FF2B5EF4-FFF2-40B4-BE49-F238E27FC236}">
              <a16:creationId xmlns:a16="http://schemas.microsoft.com/office/drawing/2014/main" id="{2C84A1EE-3A24-268E-9696-43C593C71FC2}"/>
            </a:ext>
          </a:extLst>
        </xdr:cNvPr>
        <xdr:cNvPicPr>
          <a:picLocks noChangeAspect="1"/>
        </xdr:cNvPicPr>
      </xdr:nvPicPr>
      <xdr:blipFill>
        <a:blip xmlns:r="http://schemas.openxmlformats.org/officeDocument/2006/relationships" r:embed="rId2"/>
        <a:stretch>
          <a:fillRect/>
        </a:stretch>
      </xdr:blipFill>
      <xdr:spPr>
        <a:xfrm>
          <a:off x="0" y="8784172"/>
          <a:ext cx="18722919" cy="2859272"/>
        </a:xfrm>
        <a:prstGeom prst="rect">
          <a:avLst/>
        </a:prstGeom>
      </xdr:spPr>
    </xdr:pic>
    <xdr:clientData/>
  </xdr:twoCellAnchor>
  <xdr:twoCellAnchor editAs="oneCell">
    <xdr:from>
      <xdr:col>0</xdr:col>
      <xdr:colOff>0</xdr:colOff>
      <xdr:row>22</xdr:row>
      <xdr:rowOff>164047</xdr:rowOff>
    </xdr:from>
    <xdr:to>
      <xdr:col>30</xdr:col>
      <xdr:colOff>484719</xdr:colOff>
      <xdr:row>38</xdr:row>
      <xdr:rowOff>24091</xdr:rowOff>
    </xdr:to>
    <xdr:pic>
      <xdr:nvPicPr>
        <xdr:cNvPr id="5" name="Picture 4">
          <a:extLst>
            <a:ext uri="{FF2B5EF4-FFF2-40B4-BE49-F238E27FC236}">
              <a16:creationId xmlns:a16="http://schemas.microsoft.com/office/drawing/2014/main" id="{C8AE4882-337B-792A-3DDF-16569620050B}"/>
            </a:ext>
          </a:extLst>
        </xdr:cNvPr>
        <xdr:cNvPicPr>
          <a:picLocks noChangeAspect="1"/>
        </xdr:cNvPicPr>
      </xdr:nvPicPr>
      <xdr:blipFill>
        <a:blip xmlns:r="http://schemas.openxmlformats.org/officeDocument/2006/relationships" r:embed="rId3"/>
        <a:stretch>
          <a:fillRect/>
        </a:stretch>
      </xdr:blipFill>
      <xdr:spPr>
        <a:xfrm>
          <a:off x="0" y="5688547"/>
          <a:ext cx="18899719" cy="2908044"/>
        </a:xfrm>
        <a:prstGeom prst="rect">
          <a:avLst/>
        </a:prstGeom>
      </xdr:spPr>
    </xdr:pic>
    <xdr:clientData/>
  </xdr:twoCellAnchor>
  <xdr:twoCellAnchor editAs="oneCell">
    <xdr:from>
      <xdr:col>0</xdr:col>
      <xdr:colOff>169334</xdr:colOff>
      <xdr:row>9</xdr:row>
      <xdr:rowOff>0</xdr:rowOff>
    </xdr:from>
    <xdr:to>
      <xdr:col>30</xdr:col>
      <xdr:colOff>550412</xdr:colOff>
      <xdr:row>23</xdr:row>
      <xdr:rowOff>180079</xdr:rowOff>
    </xdr:to>
    <xdr:pic>
      <xdr:nvPicPr>
        <xdr:cNvPr id="7" name="Picture 6">
          <a:extLst>
            <a:ext uri="{FF2B5EF4-FFF2-40B4-BE49-F238E27FC236}">
              <a16:creationId xmlns:a16="http://schemas.microsoft.com/office/drawing/2014/main" id="{ABF3AD0F-552F-6371-84B7-2B375FABBCE9}"/>
            </a:ext>
          </a:extLst>
        </xdr:cNvPr>
        <xdr:cNvPicPr>
          <a:picLocks noChangeAspect="1"/>
        </xdr:cNvPicPr>
      </xdr:nvPicPr>
      <xdr:blipFill>
        <a:blip xmlns:r="http://schemas.openxmlformats.org/officeDocument/2006/relationships" r:embed="rId4"/>
        <a:stretch>
          <a:fillRect/>
        </a:stretch>
      </xdr:blipFill>
      <xdr:spPr>
        <a:xfrm>
          <a:off x="169334" y="3048000"/>
          <a:ext cx="18796078" cy="2847079"/>
        </a:xfrm>
        <a:prstGeom prst="rect">
          <a:avLst/>
        </a:prstGeom>
      </xdr:spPr>
    </xdr:pic>
    <xdr:clientData/>
  </xdr:twoCellAnchor>
  <xdr:oneCellAnchor>
    <xdr:from>
      <xdr:col>0</xdr:col>
      <xdr:colOff>52212</xdr:colOff>
      <xdr:row>2</xdr:row>
      <xdr:rowOff>139701</xdr:rowOff>
    </xdr:from>
    <xdr:ext cx="5537199" cy="953466"/>
    <xdr:sp macro="" textlink="">
      <xdr:nvSpPr>
        <xdr:cNvPr id="8" name="TextBox 7">
          <a:extLst>
            <a:ext uri="{FF2B5EF4-FFF2-40B4-BE49-F238E27FC236}">
              <a16:creationId xmlns:a16="http://schemas.microsoft.com/office/drawing/2014/main" id="{6D0DD237-0305-FF6B-3B96-9FD4E649016A}"/>
            </a:ext>
          </a:extLst>
        </xdr:cNvPr>
        <xdr:cNvSpPr txBox="1"/>
      </xdr:nvSpPr>
      <xdr:spPr>
        <a:xfrm>
          <a:off x="52212" y="506590"/>
          <a:ext cx="5537199"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is </a:t>
          </a:r>
          <a:r>
            <a:rPr lang="en-US" sz="1100" baseline="0"/>
            <a:t> MLOI Q2_01 Run on four different elevate OLS 6 times in succession. The  Switch point is determined from the raw data  as the time at witch the resistance first enters the switch band.</a:t>
          </a:r>
        </a:p>
        <a:p>
          <a:endParaRPr lang="en-US" sz="1100" baseline="0"/>
        </a:p>
        <a:p>
          <a:r>
            <a:rPr lang="en-US" sz="1100" baseline="0"/>
            <a:t>the Switch band is  the area between the upper tolerance of the current level resistor to the  lower tolerance of the next resistor value  on Draining, the opposite tolerance d for Filling.</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D874EF-83D9-4578-ADA6-780A68E381AC}" name="Table1" displayName="Table1" ref="A1:J13" totalsRowShown="0" headerRowDxfId="75" headerRowBorderDxfId="74" tableBorderDxfId="73" totalsRowBorderDxfId="72">
  <autoFilter ref="A1:J13" xr:uid="{36D874EF-83D9-4578-ADA6-780A68E381AC}"/>
  <tableColumns count="10">
    <tableColumn id="1" xr3:uid="{F2721F03-CD74-4299-9934-A97CA5605160}" name="CAL ID" dataDxfId="71"/>
    <tableColumn id="2" xr3:uid="{82E82C70-B493-4814-B426-9F482770C84C}" name="Operator" dataDxfId="70"/>
    <tableColumn id="3" xr3:uid="{17A80109-5FCF-423D-B8B1-46156C5CAE44}" name="Date/Time" dataDxfId="69"/>
    <tableColumn id="4" xr3:uid="{37901583-2E3D-497B-BB57-C01CCDA835B9}" name="OP" dataDxfId="68"/>
    <tableColumn id="5" xr3:uid="{7CF7A247-90CB-4603-8A3C-8BDD90341B3B}" name="Trial" dataDxfId="67"/>
    <tableColumn id="6" xr3:uid="{074E1160-B8F3-4818-B95B-B30B6EB2C33F}" name="Goodness" dataDxfId="2"/>
    <tableColumn id="7" xr3:uid="{ACA87EA0-C87C-4BA1-93F1-1A292C39F7F0}" name="Slope" dataDxfId="0"/>
    <tableColumn id="8" xr3:uid="{5659EEDD-9BC3-4597-B2FA-1CFF391D941B}" name="Intercept" dataDxfId="1"/>
    <tableColumn id="9" xr3:uid="{648B25B4-1EA1-4103-8B0C-02F9E4E8212A}" name="Slope Dev" dataDxfId="66">
      <calculatedColumnFormula>ABS(Table1[[#This Row],[Slope]]-$P$7)</calculatedColumnFormula>
    </tableColumn>
    <tableColumn id="10" xr3:uid="{A9701F3C-D887-4A06-BCBB-22C3CA97C5A5}" name="Int Dev" dataDxfId="65">
      <calculatedColumnFormula>ABS(Table1[[#This Row],[Intercept]]-$Q$7)</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D2797C-A4BA-4B63-9C82-9818068C1A38}" name="Table4" displayName="Table4" ref="A24:Z167" totalsRowShown="0">
  <autoFilter ref="A24:Z167" xr:uid="{5CD2797C-A4BA-4B63-9C82-9818068C1A38}"/>
  <tableColumns count="26">
    <tableColumn id="1" xr3:uid="{E357F212-1130-467F-A35D-F7A996DE25AB}" name="Run ID"/>
    <tableColumn id="2" xr3:uid="{8CBE0BDF-FD1F-459A-884F-CF8D5B16B006}" name="Operator"/>
    <tableColumn id="3" xr3:uid="{57E7B8AF-7C91-49AC-A6C4-80E90EC8426A}" name="Date/Time" dataDxfId="64"/>
    <tableColumn id="4" xr3:uid="{6D239A18-3677-4B0E-8CB6-D21D806EC8F5}" name="Op"/>
    <tableColumn id="5" xr3:uid="{7F9984A8-8CA3-48DA-950D-741DA5450FBC}" name="Trial"/>
    <tableColumn id="6" xr3:uid="{6F2B7BB7-D43C-4A46-A942-6CF43774305D}" name="Set Point"/>
    <tableColumn id="7" xr3:uid="{F5C7061A-2C5A-4683-8CAD-78DFFB9ADB70}" name="Set Point2" dataDxfId="63"/>
    <tableColumn id="11" xr3:uid="{09199FD2-A1C0-4BFE-AEF9-9B86C713A6E5}" name="Op * Laser" dataDxfId="62">
      <calculatedColumnFormula>Table4[[#This Row],[Op]]*Table4[[#This Row],[Laser^2]]</calculatedColumnFormula>
    </tableColumn>
    <tableColumn id="10" xr3:uid="{E506D6F6-5C86-471C-86BE-F0677880E48A}" name="Laser^2" dataDxfId="61">
      <calculatedColumnFormula>Table4[[#This Row],[Laser]]^2</calculatedColumnFormula>
    </tableColumn>
    <tableColumn id="13" xr3:uid="{6F033725-5949-4E6B-845C-A295270B9256}" name="OP(2)" dataDxfId="60"/>
    <tableColumn id="8" xr3:uid="{C4E8308E-5DE2-41C0-962D-DD8992DAE6D8}" name="Laser" dataDxfId="59"/>
    <tableColumn id="9" xr3:uid="{B1288E4D-EB2C-415E-B70B-F4983B4EF68E}" name="Measure" dataDxfId="58"/>
    <tableColumn id="28" xr3:uid="{BB6A6514-0BA8-4D00-ACBB-6EF40A4B2381}" name="Column14" dataDxfId="57"/>
    <tableColumn id="14" xr3:uid="{99B6E85A-410A-4A2A-AEE3-F06EFBEA7A07}" name="Column1" dataDxfId="56"/>
    <tableColumn id="15" xr3:uid="{C778E956-8BE5-430D-978D-BC020F6A644E}" name="Column2" dataDxfId="55"/>
    <tableColumn id="16" xr3:uid="{680FF82D-ED70-48EB-8400-F81966ECFB63}" name="Column3" dataDxfId="54"/>
    <tableColumn id="17" xr3:uid="{93B9B5E0-75A1-48CA-AA5B-F80D14FC663F}" name="Column4" dataDxfId="53"/>
    <tableColumn id="18" xr3:uid="{10FF20CC-1780-44AC-8429-3902FA89087F}" name="Column5" dataDxfId="52"/>
    <tableColumn id="19" xr3:uid="{D224446E-94C9-471A-8AA1-E2384C2B57A0}" name="Column6" dataDxfId="51"/>
    <tableColumn id="20" xr3:uid="{1F80C397-7C4B-4E4F-BC5A-49F8EBB37A29}" name="Column7" dataDxfId="50"/>
    <tableColumn id="21" xr3:uid="{05D840E5-C046-4567-88BB-CBC5854A0B27}" name="Column8" dataDxfId="49"/>
    <tableColumn id="22" xr3:uid="{F864F628-3FAA-4474-B999-BB4DD0D8443D}" name="Column9" dataDxfId="48"/>
    <tableColumn id="23" xr3:uid="{510EEA27-3978-4F79-9391-86C4AD5A1DF3}" name="Column10" dataDxfId="47"/>
    <tableColumn id="24" xr3:uid="{02B4D1BD-B6C6-4CDC-9158-533F313AAF6F}" name="Column11" dataDxfId="46"/>
    <tableColumn id="25" xr3:uid="{65DC09A2-59F1-494A-97C2-41EB80847CDE}" name="Column12" dataDxfId="45"/>
    <tableColumn id="26" xr3:uid="{A3D1B302-20BB-49FE-947E-D6D3356BA7EC}" name="Column13" dataDxfId="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D4D0B3-8575-433B-A8F1-8A4D99C086DD}" name="Table16" displayName="Table16" ref="A1:J5" totalsRowShown="0" headerRowDxfId="43">
  <autoFilter ref="A1:J5" xr:uid="{36D874EF-83D9-4578-ADA6-780A68E381AC}"/>
  <tableColumns count="10">
    <tableColumn id="1" xr3:uid="{748AF1BC-CC4F-4DE4-962E-47A4B6005190}" name="CAL ID" dataDxfId="42"/>
    <tableColumn id="2" xr3:uid="{43FDE7C9-F46F-4492-9EA1-0C87DBED3250}" name="Operator" dataDxfId="41"/>
    <tableColumn id="3" xr3:uid="{DAE0DEE9-625B-4277-A75B-9DD85D2CC808}" name="Date/Time" dataDxfId="40"/>
    <tableColumn id="4" xr3:uid="{26017869-FCA2-49A1-B10D-1237E22B6E41}" name="OP" dataDxfId="39"/>
    <tableColumn id="5" xr3:uid="{B692C333-02A3-4F2B-92FA-CF0271950F18}" name="Trial" dataDxfId="38"/>
    <tableColumn id="6" xr3:uid="{0A612A20-9D0C-4797-A149-C34AC5F0448C}" name="Channel" dataDxfId="37"/>
    <tableColumn id="7" xr3:uid="{137390AD-9DC3-4A0D-A5AF-0225BAD06578}" name="Slope" dataDxfId="36"/>
    <tableColumn id="8" xr3:uid="{FDBF0999-6CFE-4421-B7F9-1A6B03783DE6}" name="Intercept" dataDxfId="35"/>
    <tableColumn id="9" xr3:uid="{C7A592F7-AC00-4089-B6FD-28A373ADE946}" name="Slope Dev" dataDxfId="34">
      <calculatedColumnFormula>ABS(Table16[[#This Row],[Slope]]-$N$7)</calculatedColumnFormula>
    </tableColumn>
    <tableColumn id="10" xr3:uid="{857F8E7A-CE96-4142-BA0E-44FD74485E68}" name="Int Dev" dataDxfId="33">
      <calculatedColumnFormula>ABS(Table16[[#This Row],[Intercept]]-$O$7)</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D647EE-AC7A-401F-A5A8-C967E193F1CA}" name="Table163" displayName="Table163" ref="A18:J24" totalsRowShown="0" headerRowDxfId="32">
  <autoFilter ref="A18:J24" xr:uid="{0AD647EE-AC7A-401F-A5A8-C967E193F1CA}"/>
  <tableColumns count="10">
    <tableColumn id="1" xr3:uid="{0B5C75E3-D268-4C1B-A84E-5BE68FD2C4A6}" name="CAL ID" dataDxfId="31"/>
    <tableColumn id="2" xr3:uid="{34B28A9A-3E1F-4944-97CB-642C93A48C87}" name="Operator" dataDxfId="30"/>
    <tableColumn id="3" xr3:uid="{1B94585A-EDAC-4DAD-9B02-5EE26787484D}" name="Date/Time" dataDxfId="29"/>
    <tableColumn id="4" xr3:uid="{9F1223F8-2F08-4C80-8436-E66B30404C38}" name="OP" dataDxfId="28"/>
    <tableColumn id="5" xr3:uid="{7176B3AA-04AD-408B-97AD-033C927FB8EC}" name="Trial" dataDxfId="27"/>
    <tableColumn id="6" xr3:uid="{4076CFBD-9D1A-4DB5-B44E-69F81169D4D1}" name="Channel" dataDxfId="26"/>
    <tableColumn id="7" xr3:uid="{82CBCA22-9DC2-42D7-B863-E23C9F1E851F}" name="Slope" dataDxfId="25"/>
    <tableColumn id="8" xr3:uid="{124F70CE-D8D1-4C15-81B1-BFEF25BA4A72}" name="Intercept" dataDxfId="24"/>
    <tableColumn id="9" xr3:uid="{B403DA03-FFE2-445A-92CC-0A94240E1EE7}" name="Slope Dev" dataDxfId="23">
      <calculatedColumnFormula>ABS(Table168[[#This Row],[Slope]]-$N$7)</calculatedColumnFormula>
    </tableColumn>
    <tableColumn id="10" xr3:uid="{A0F621B6-2E07-4AC4-8A3D-309DF0B7CF82}" name="Int Dev" dataDxfId="22">
      <calculatedColumnFormula>ABS(Table168[[#This Row],[Intercept]]-$O$7)</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EB4358-1238-4D9D-8909-1E959DBB847D}" name="Table168" displayName="Table168" ref="A1:J5" totalsRowShown="0" headerRowDxfId="21">
  <autoFilter ref="A1:J5" xr:uid="{36D874EF-83D9-4578-ADA6-780A68E381AC}"/>
  <tableColumns count="10">
    <tableColumn id="1" xr3:uid="{093175AC-6E59-45ED-A43D-3CBFF671CE19}" name="CAL ID" dataDxfId="20"/>
    <tableColumn id="2" xr3:uid="{0955E3AF-324C-4B8D-BB11-5361CB097A2D}" name="Operator" dataDxfId="19"/>
    <tableColumn id="3" xr3:uid="{E7A8D6B8-6A38-46BF-AD04-DA50631B1FE6}" name="Date/Time" dataDxfId="18"/>
    <tableColumn id="4" xr3:uid="{55A3479B-0634-4800-803A-E6E508211B06}" name="OP" dataDxfId="17"/>
    <tableColumn id="5" xr3:uid="{7343A4B7-DB13-472B-889A-DFED38F7F37F}" name="Trial" dataDxfId="16"/>
    <tableColumn id="6" xr3:uid="{A33511BD-9E55-4845-ABFA-4BB044A1A540}" name="Channel" dataDxfId="15"/>
    <tableColumn id="7" xr3:uid="{C2039754-7142-44EE-A09B-E9768EA31EF8}" name="Slope" dataDxfId="14"/>
    <tableColumn id="8" xr3:uid="{A98267E6-3ACD-44E7-B07E-79AAA4D69EF8}" name="Intercept" dataDxfId="13"/>
    <tableColumn id="9" xr3:uid="{801CE742-1ED2-4742-B148-BA4115ADE492}" name="Slope Dev" dataDxfId="12">
      <calculatedColumnFormula>ABS(Table168[[#This Row],[Slope]]-$N$7)</calculatedColumnFormula>
    </tableColumn>
    <tableColumn id="10" xr3:uid="{565ADF9B-A304-49C3-A18E-26E9C384A956}" name="Int Dev" dataDxfId="11">
      <calculatedColumnFormula>ABS(Table168[[#This Row],[Intercept]]-$O$7)</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0EEA4-24B7-4406-9362-3B8CBBDD5496}">
  <dimension ref="A2:H354"/>
  <sheetViews>
    <sheetView topLeftCell="A342" workbookViewId="0">
      <selection activeCell="B348" sqref="B348"/>
    </sheetView>
  </sheetViews>
  <sheetFormatPr defaultRowHeight="15" x14ac:dyDescent="0.25"/>
  <cols>
    <col min="1" max="1" width="13.5703125" customWidth="1"/>
    <col min="2" max="2" width="16.140625" style="3" customWidth="1"/>
    <col min="3" max="4" width="13.5703125" style="3" customWidth="1"/>
    <col min="5" max="9" width="13.5703125" customWidth="1"/>
  </cols>
  <sheetData>
    <row r="2" spans="1:7" x14ac:dyDescent="0.25">
      <c r="A2" s="1" t="s">
        <v>6</v>
      </c>
      <c r="B2" s="4">
        <v>45602.553472222222</v>
      </c>
    </row>
    <row r="3" spans="1:7" x14ac:dyDescent="0.25">
      <c r="A3" s="1" t="s">
        <v>0</v>
      </c>
      <c r="B3" s="2" t="s">
        <v>1</v>
      </c>
      <c r="C3" s="2" t="s">
        <v>2</v>
      </c>
      <c r="D3" s="2" t="s">
        <v>3</v>
      </c>
      <c r="F3" s="1" t="s">
        <v>4</v>
      </c>
      <c r="G3" s="1" t="s">
        <v>5</v>
      </c>
    </row>
    <row r="4" spans="1:7" x14ac:dyDescent="0.25">
      <c r="A4" s="1">
        <v>1</v>
      </c>
      <c r="B4" s="2">
        <v>1.1000000000000001</v>
      </c>
      <c r="C4" s="2">
        <v>1.1020000000000001</v>
      </c>
      <c r="D4" s="2">
        <v>8.4949999999999992</v>
      </c>
      <c r="F4" s="1">
        <v>-0.996</v>
      </c>
      <c r="G4" s="1">
        <v>9.5909999999999993</v>
      </c>
    </row>
    <row r="5" spans="1:7" x14ac:dyDescent="0.25">
      <c r="A5" s="1">
        <v>2</v>
      </c>
      <c r="B5" s="2">
        <v>2.7</v>
      </c>
      <c r="C5" s="2">
        <v>2.6640000000000001</v>
      </c>
      <c r="D5" s="2">
        <v>6.9379999999999997</v>
      </c>
    </row>
    <row r="6" spans="1:7" x14ac:dyDescent="0.25">
      <c r="A6" s="1">
        <v>3</v>
      </c>
      <c r="B6" s="2">
        <v>4.3</v>
      </c>
      <c r="C6" s="2">
        <v>4.26</v>
      </c>
      <c r="D6" s="2">
        <v>5.3470000000000004</v>
      </c>
    </row>
    <row r="7" spans="1:7" x14ac:dyDescent="0.25">
      <c r="A7" s="1">
        <v>4</v>
      </c>
      <c r="B7" s="2">
        <v>5.8</v>
      </c>
      <c r="C7" s="2">
        <v>5.7560000000000002</v>
      </c>
      <c r="D7" s="2">
        <v>3.8570000000000002</v>
      </c>
    </row>
    <row r="8" spans="1:7" x14ac:dyDescent="0.25">
      <c r="A8" s="1">
        <v>5</v>
      </c>
      <c r="B8" s="2">
        <v>7.2</v>
      </c>
      <c r="C8" s="2">
        <v>7.2489999999999997</v>
      </c>
      <c r="D8" s="2">
        <v>2.3740000000000001</v>
      </c>
    </row>
    <row r="10" spans="1:7" x14ac:dyDescent="0.25">
      <c r="A10" s="1" t="s">
        <v>7</v>
      </c>
      <c r="B10" s="4">
        <v>45602.560416666667</v>
      </c>
    </row>
    <row r="11" spans="1:7" x14ac:dyDescent="0.25">
      <c r="A11" s="1" t="s">
        <v>0</v>
      </c>
      <c r="B11" s="2" t="s">
        <v>1</v>
      </c>
      <c r="C11" s="2" t="s">
        <v>2</v>
      </c>
      <c r="D11" s="2" t="s">
        <v>3</v>
      </c>
      <c r="F11" s="1" t="s">
        <v>4</v>
      </c>
      <c r="G11" s="1" t="s">
        <v>5</v>
      </c>
    </row>
    <row r="12" spans="1:7" x14ac:dyDescent="0.25">
      <c r="A12" s="1">
        <v>1</v>
      </c>
      <c r="B12" s="2">
        <v>1.1000000000000001</v>
      </c>
      <c r="C12" s="2">
        <v>1.1020000000000001</v>
      </c>
      <c r="D12" s="2">
        <v>8.4990000000000006</v>
      </c>
      <c r="F12" s="1">
        <v>-0.996</v>
      </c>
      <c r="G12" s="1">
        <v>9.5950000000000006</v>
      </c>
    </row>
    <row r="13" spans="1:7" x14ac:dyDescent="0.25">
      <c r="A13" s="1">
        <v>2</v>
      </c>
      <c r="B13" s="2">
        <v>2.7</v>
      </c>
      <c r="C13" s="2">
        <v>2.7349999999999999</v>
      </c>
      <c r="D13" s="2">
        <v>6.8760000000000003</v>
      </c>
    </row>
    <row r="14" spans="1:7" x14ac:dyDescent="0.25">
      <c r="A14" s="1">
        <v>3</v>
      </c>
      <c r="B14" s="2">
        <v>4.2</v>
      </c>
      <c r="C14" s="2">
        <v>4.1879999999999997</v>
      </c>
      <c r="D14" s="2">
        <v>5.4169999999999998</v>
      </c>
    </row>
    <row r="15" spans="1:7" x14ac:dyDescent="0.25">
      <c r="A15" s="1">
        <v>4</v>
      </c>
      <c r="B15" s="2">
        <v>5.8</v>
      </c>
      <c r="C15" s="2">
        <v>5.7930000000000001</v>
      </c>
      <c r="D15" s="2">
        <v>3.8220000000000001</v>
      </c>
    </row>
    <row r="16" spans="1:7" x14ac:dyDescent="0.25">
      <c r="A16" s="1">
        <v>5</v>
      </c>
      <c r="B16" s="2">
        <v>7.2</v>
      </c>
      <c r="C16" s="2">
        <v>7.2480000000000002</v>
      </c>
      <c r="D16" s="2">
        <v>2.3839999999999999</v>
      </c>
    </row>
    <row r="18" spans="1:7" x14ac:dyDescent="0.25">
      <c r="A18" s="1" t="s">
        <v>6</v>
      </c>
      <c r="B18" s="4">
        <v>45602.569444444445</v>
      </c>
    </row>
    <row r="19" spans="1:7" x14ac:dyDescent="0.25">
      <c r="A19" s="1" t="s">
        <v>0</v>
      </c>
      <c r="B19" s="2" t="s">
        <v>1</v>
      </c>
      <c r="C19" s="2" t="s">
        <v>2</v>
      </c>
      <c r="D19" s="2" t="s">
        <v>3</v>
      </c>
      <c r="F19" s="1" t="s">
        <v>4</v>
      </c>
      <c r="G19" s="1" t="s">
        <v>5</v>
      </c>
    </row>
    <row r="20" spans="1:7" x14ac:dyDescent="0.25">
      <c r="A20" s="1">
        <v>1</v>
      </c>
      <c r="B20" s="2">
        <v>1.1000000000000001</v>
      </c>
      <c r="C20" s="2">
        <v>1.1020000000000001</v>
      </c>
      <c r="D20" s="2">
        <v>8.5</v>
      </c>
      <c r="F20" s="1">
        <v>-0.995</v>
      </c>
      <c r="G20" s="1">
        <v>9.6010000000000009</v>
      </c>
    </row>
    <row r="21" spans="1:7" x14ac:dyDescent="0.25">
      <c r="A21" s="1">
        <v>2</v>
      </c>
      <c r="B21" s="2">
        <v>2.7</v>
      </c>
      <c r="C21" s="2">
        <v>2.722</v>
      </c>
      <c r="D21" s="2">
        <v>6.8970000000000002</v>
      </c>
    </row>
    <row r="22" spans="1:7" x14ac:dyDescent="0.25">
      <c r="A22" s="1">
        <v>3</v>
      </c>
      <c r="B22" s="2">
        <v>4.2</v>
      </c>
      <c r="C22" s="2">
        <v>4.2130000000000001</v>
      </c>
      <c r="D22" s="2">
        <v>5.4059999999999997</v>
      </c>
    </row>
    <row r="23" spans="1:7" x14ac:dyDescent="0.25">
      <c r="A23" s="1">
        <v>4</v>
      </c>
      <c r="B23" s="2">
        <v>5.7</v>
      </c>
      <c r="C23" s="2">
        <v>5.7380000000000004</v>
      </c>
      <c r="D23" s="2">
        <v>3.8879999999999999</v>
      </c>
    </row>
    <row r="24" spans="1:7" x14ac:dyDescent="0.25">
      <c r="A24" s="1">
        <v>5</v>
      </c>
      <c r="B24" s="2">
        <v>7.2</v>
      </c>
      <c r="C24" s="2">
        <v>7.2489999999999997</v>
      </c>
      <c r="D24" s="2">
        <v>2.3839999999999999</v>
      </c>
    </row>
    <row r="26" spans="1:7" x14ac:dyDescent="0.25">
      <c r="A26" s="1" t="s">
        <v>7</v>
      </c>
      <c r="B26" s="4">
        <v>45602.575694444444</v>
      </c>
    </row>
    <row r="27" spans="1:7" x14ac:dyDescent="0.25">
      <c r="A27" s="1" t="s">
        <v>0</v>
      </c>
      <c r="B27" s="2" t="s">
        <v>1</v>
      </c>
      <c r="C27" s="2" t="s">
        <v>2</v>
      </c>
      <c r="D27" s="2" t="s">
        <v>3</v>
      </c>
      <c r="F27" s="1" t="s">
        <v>4</v>
      </c>
      <c r="G27" s="1" t="s">
        <v>5</v>
      </c>
    </row>
    <row r="28" spans="1:7" x14ac:dyDescent="0.25">
      <c r="A28" s="1">
        <v>1</v>
      </c>
      <c r="B28" s="2">
        <v>1.1000000000000001</v>
      </c>
      <c r="C28" s="2">
        <v>1.1020000000000001</v>
      </c>
      <c r="D28" s="2">
        <v>8.5030000000000001</v>
      </c>
      <c r="F28" s="1">
        <v>-0.996</v>
      </c>
      <c r="G28" s="1">
        <v>9.6010000000000009</v>
      </c>
    </row>
    <row r="29" spans="1:7" x14ac:dyDescent="0.25">
      <c r="A29" s="1">
        <v>2</v>
      </c>
      <c r="B29" s="2">
        <v>2.7</v>
      </c>
      <c r="C29" s="2">
        <v>2.7029999999999998</v>
      </c>
      <c r="D29" s="2">
        <v>6.9089999999999998</v>
      </c>
    </row>
    <row r="30" spans="1:7" x14ac:dyDescent="0.25">
      <c r="A30" s="1">
        <v>3</v>
      </c>
      <c r="B30" s="2">
        <v>4.2</v>
      </c>
      <c r="C30" s="2">
        <v>4.1760000000000002</v>
      </c>
      <c r="D30" s="2">
        <v>5.444</v>
      </c>
    </row>
    <row r="31" spans="1:7" x14ac:dyDescent="0.25">
      <c r="A31" s="1">
        <v>4</v>
      </c>
      <c r="B31" s="2">
        <v>5.7</v>
      </c>
      <c r="C31" s="2">
        <v>5.7450000000000001</v>
      </c>
      <c r="D31" s="2">
        <v>3.8809999999999998</v>
      </c>
    </row>
    <row r="32" spans="1:7" x14ac:dyDescent="0.25">
      <c r="A32" s="1">
        <v>5</v>
      </c>
      <c r="B32" s="2">
        <v>7.2</v>
      </c>
      <c r="C32" s="2">
        <v>7.2480000000000002</v>
      </c>
      <c r="D32" s="2">
        <v>2.3820000000000001</v>
      </c>
    </row>
    <row r="34" spans="1:7" x14ac:dyDescent="0.25">
      <c r="A34" s="1" t="s">
        <v>6</v>
      </c>
      <c r="B34" s="4">
        <v>45602.582638888889</v>
      </c>
    </row>
    <row r="35" spans="1:7" x14ac:dyDescent="0.25">
      <c r="A35" s="1" t="s">
        <v>0</v>
      </c>
      <c r="B35" s="2" t="s">
        <v>1</v>
      </c>
      <c r="C35" s="2" t="s">
        <v>2</v>
      </c>
      <c r="D35" s="2" t="s">
        <v>3</v>
      </c>
      <c r="F35" s="1" t="s">
        <v>4</v>
      </c>
      <c r="G35" s="1" t="s">
        <v>5</v>
      </c>
    </row>
    <row r="36" spans="1:7" x14ac:dyDescent="0.25">
      <c r="A36" s="1">
        <v>1</v>
      </c>
      <c r="B36" s="2">
        <v>1.1000000000000001</v>
      </c>
      <c r="C36" s="2">
        <v>1.1020000000000001</v>
      </c>
      <c r="D36" s="2">
        <v>8.5039999999999996</v>
      </c>
      <c r="F36" s="1">
        <v>-0.996</v>
      </c>
      <c r="G36" s="1">
        <v>9.6020000000000003</v>
      </c>
    </row>
    <row r="37" spans="1:7" x14ac:dyDescent="0.25">
      <c r="A37" s="1">
        <v>2</v>
      </c>
      <c r="B37" s="2">
        <v>2.7</v>
      </c>
      <c r="C37" s="2">
        <v>2.6760000000000002</v>
      </c>
      <c r="D37" s="2">
        <v>6.9359999999999999</v>
      </c>
    </row>
    <row r="38" spans="1:7" x14ac:dyDescent="0.25">
      <c r="A38" s="1">
        <v>3</v>
      </c>
      <c r="B38" s="2">
        <v>4.2</v>
      </c>
      <c r="C38" s="2">
        <v>4.1779999999999999</v>
      </c>
      <c r="D38" s="2">
        <v>5.4420000000000002</v>
      </c>
    </row>
    <row r="39" spans="1:7" x14ac:dyDescent="0.25">
      <c r="A39" s="1">
        <v>4</v>
      </c>
      <c r="B39" s="2">
        <v>5.7</v>
      </c>
      <c r="C39" s="2">
        <v>5.7149999999999999</v>
      </c>
      <c r="D39" s="2">
        <v>3.9079999999999999</v>
      </c>
    </row>
    <row r="40" spans="1:7" x14ac:dyDescent="0.25">
      <c r="A40" s="1">
        <v>5</v>
      </c>
      <c r="B40" s="2">
        <v>7.2</v>
      </c>
      <c r="C40" s="2">
        <v>7.2489999999999997</v>
      </c>
      <c r="D40" s="2">
        <v>2.3809999999999998</v>
      </c>
    </row>
    <row r="42" spans="1:7" x14ac:dyDescent="0.25">
      <c r="A42" s="1">
        <v>8.5039999999999996</v>
      </c>
      <c r="B42" s="4">
        <v>45602.589583333334</v>
      </c>
    </row>
    <row r="43" spans="1:7" x14ac:dyDescent="0.25">
      <c r="A43" s="1" t="s">
        <v>0</v>
      </c>
      <c r="B43" s="2" t="s">
        <v>1</v>
      </c>
      <c r="C43" s="2" t="s">
        <v>2</v>
      </c>
      <c r="D43" s="2" t="s">
        <v>3</v>
      </c>
      <c r="F43" s="1" t="s">
        <v>4</v>
      </c>
      <c r="G43" s="1" t="s">
        <v>5</v>
      </c>
    </row>
    <row r="44" spans="1:7" x14ac:dyDescent="0.25">
      <c r="A44" s="1">
        <v>1</v>
      </c>
      <c r="B44" s="2">
        <v>1.1000000000000001</v>
      </c>
      <c r="C44" s="2">
        <v>1.101</v>
      </c>
      <c r="D44" s="2">
        <v>8.5039999999999996</v>
      </c>
      <c r="F44" s="1">
        <v>-0.996</v>
      </c>
      <c r="G44" s="1">
        <v>9.6020000000000003</v>
      </c>
    </row>
    <row r="45" spans="1:7" x14ac:dyDescent="0.25">
      <c r="A45" s="1">
        <v>2</v>
      </c>
      <c r="B45" s="2">
        <v>2.7</v>
      </c>
      <c r="C45" s="2">
        <v>2.7069999999999999</v>
      </c>
      <c r="D45" s="2">
        <v>6.907</v>
      </c>
    </row>
    <row r="46" spans="1:7" x14ac:dyDescent="0.25">
      <c r="A46" s="1">
        <v>3</v>
      </c>
      <c r="B46" s="2">
        <v>4.2</v>
      </c>
      <c r="C46" s="2">
        <v>4.1829999999999998</v>
      </c>
      <c r="D46" s="2">
        <v>5.4390000000000001</v>
      </c>
    </row>
    <row r="47" spans="1:7" x14ac:dyDescent="0.25">
      <c r="A47" s="1">
        <v>4</v>
      </c>
      <c r="B47" s="2">
        <v>5.7</v>
      </c>
      <c r="C47" s="2">
        <v>5.7160000000000002</v>
      </c>
      <c r="D47" s="2">
        <v>3.9060000000000001</v>
      </c>
    </row>
    <row r="48" spans="1:7" x14ac:dyDescent="0.25">
      <c r="A48" s="1">
        <v>5</v>
      </c>
      <c r="B48" s="2">
        <v>7.2</v>
      </c>
      <c r="C48" s="2">
        <v>7.2489999999999997</v>
      </c>
      <c r="D48" s="2">
        <v>2.383</v>
      </c>
    </row>
    <row r="50" spans="1:7" x14ac:dyDescent="0.25">
      <c r="A50" s="1" t="s">
        <v>8</v>
      </c>
      <c r="B50" s="4">
        <v>45613.379861111112</v>
      </c>
    </row>
    <row r="51" spans="1:7" x14ac:dyDescent="0.25">
      <c r="A51" s="1" t="s">
        <v>0</v>
      </c>
      <c r="B51" s="2" t="s">
        <v>1</v>
      </c>
      <c r="C51" s="2" t="s">
        <v>2</v>
      </c>
      <c r="D51" s="2" t="s">
        <v>3</v>
      </c>
      <c r="F51" s="1" t="s">
        <v>4</v>
      </c>
      <c r="G51" s="1" t="s">
        <v>5</v>
      </c>
    </row>
    <row r="52" spans="1:7" x14ac:dyDescent="0.25">
      <c r="A52" s="1">
        <v>1</v>
      </c>
      <c r="B52" s="2">
        <v>1</v>
      </c>
      <c r="C52" s="2">
        <v>1.002</v>
      </c>
      <c r="D52" s="2">
        <v>0</v>
      </c>
      <c r="F52" s="1">
        <v>0</v>
      </c>
      <c r="G52" s="1">
        <v>0</v>
      </c>
    </row>
    <row r="53" spans="1:7" x14ac:dyDescent="0.25">
      <c r="A53" s="1">
        <v>2</v>
      </c>
      <c r="B53" s="2">
        <v>2.5</v>
      </c>
      <c r="C53" s="2">
        <v>2.5299999999999998</v>
      </c>
      <c r="D53" s="2">
        <v>0</v>
      </c>
    </row>
    <row r="54" spans="1:7" x14ac:dyDescent="0.25">
      <c r="A54" s="1">
        <v>3</v>
      </c>
      <c r="B54" s="2">
        <v>4.0999999999999996</v>
      </c>
      <c r="C54" s="2">
        <v>4.0919999999999996</v>
      </c>
      <c r="D54" s="2">
        <v>0</v>
      </c>
    </row>
    <row r="55" spans="1:7" x14ac:dyDescent="0.25">
      <c r="A55" s="1">
        <v>4</v>
      </c>
      <c r="B55" s="2">
        <v>5.5</v>
      </c>
      <c r="C55" s="2">
        <v>5.5019999999999998</v>
      </c>
      <c r="D55" s="2">
        <v>0</v>
      </c>
    </row>
    <row r="56" spans="1:7" x14ac:dyDescent="0.25">
      <c r="A56" s="1">
        <v>5</v>
      </c>
      <c r="B56" s="2">
        <v>7</v>
      </c>
      <c r="C56" s="2">
        <v>7.0019999999999998</v>
      </c>
      <c r="D56" s="2">
        <v>0</v>
      </c>
    </row>
    <row r="58" spans="1:7" x14ac:dyDescent="0.25">
      <c r="A58" s="1" t="s">
        <v>9</v>
      </c>
      <c r="B58" s="2">
        <v>45613.651388888888</v>
      </c>
    </row>
    <row r="59" spans="1:7" x14ac:dyDescent="0.25">
      <c r="A59" s="1" t="s">
        <v>0</v>
      </c>
      <c r="B59" s="2" t="s">
        <v>1</v>
      </c>
      <c r="C59" s="2" t="s">
        <v>2</v>
      </c>
      <c r="D59" s="2" t="s">
        <v>3</v>
      </c>
      <c r="F59" s="1" t="s">
        <v>4</v>
      </c>
      <c r="G59" s="1" t="s">
        <v>5</v>
      </c>
    </row>
    <row r="60" spans="1:7" x14ac:dyDescent="0.25">
      <c r="A60" s="1">
        <v>1</v>
      </c>
      <c r="B60" s="2">
        <v>1.1000000000000001</v>
      </c>
      <c r="C60" s="2">
        <v>1.1020000000000001</v>
      </c>
      <c r="D60" s="2">
        <v>0</v>
      </c>
      <c r="F60" s="1">
        <v>0</v>
      </c>
      <c r="G60" s="1">
        <v>0</v>
      </c>
    </row>
    <row r="61" spans="1:7" x14ac:dyDescent="0.25">
      <c r="A61" s="1">
        <v>2</v>
      </c>
      <c r="B61" s="2">
        <v>2.7</v>
      </c>
      <c r="C61" s="2">
        <v>2.66</v>
      </c>
      <c r="D61" s="2">
        <v>0</v>
      </c>
    </row>
    <row r="62" spans="1:7" x14ac:dyDescent="0.25">
      <c r="A62" s="1">
        <v>3</v>
      </c>
      <c r="B62" s="2">
        <v>4.2</v>
      </c>
      <c r="C62" s="2">
        <v>4.2480000000000002</v>
      </c>
      <c r="D62" s="2">
        <v>0</v>
      </c>
    </row>
    <row r="63" spans="1:7" x14ac:dyDescent="0.25">
      <c r="A63" s="1">
        <v>4</v>
      </c>
      <c r="B63" s="2">
        <v>5.7</v>
      </c>
      <c r="C63" s="2">
        <v>5.7</v>
      </c>
      <c r="D63" s="2">
        <v>0</v>
      </c>
    </row>
    <row r="64" spans="1:7" x14ac:dyDescent="0.25">
      <c r="A64" s="1">
        <v>5</v>
      </c>
      <c r="B64" s="2">
        <v>7.2</v>
      </c>
      <c r="C64" s="2">
        <v>7.202</v>
      </c>
      <c r="D64" s="2">
        <v>0</v>
      </c>
    </row>
    <row r="66" spans="1:7" x14ac:dyDescent="0.25">
      <c r="A66" s="1" t="s">
        <v>10</v>
      </c>
      <c r="B66" s="5">
        <v>45613.663888888892</v>
      </c>
    </row>
    <row r="67" spans="1:7" x14ac:dyDescent="0.25">
      <c r="A67" s="1" t="s">
        <v>0</v>
      </c>
      <c r="B67" s="2" t="s">
        <v>1</v>
      </c>
      <c r="C67" s="2" t="s">
        <v>2</v>
      </c>
      <c r="D67" s="2" t="s">
        <v>3</v>
      </c>
      <c r="F67" s="1" t="s">
        <v>4</v>
      </c>
      <c r="G67" s="1" t="s">
        <v>5</v>
      </c>
    </row>
    <row r="68" spans="1:7" x14ac:dyDescent="0.25">
      <c r="A68" s="1">
        <v>1</v>
      </c>
      <c r="B68" s="2">
        <v>1.1000000000000001</v>
      </c>
      <c r="C68" s="2">
        <v>1.1020000000000001</v>
      </c>
      <c r="D68" s="2">
        <v>0</v>
      </c>
      <c r="F68" s="1">
        <v>0</v>
      </c>
      <c r="G68" s="1">
        <v>0</v>
      </c>
    </row>
    <row r="69" spans="1:7" x14ac:dyDescent="0.25">
      <c r="A69" s="1">
        <v>2</v>
      </c>
      <c r="B69" s="2">
        <v>2.7229999999999999</v>
      </c>
      <c r="C69" s="2">
        <v>2.7240000000000002</v>
      </c>
      <c r="D69" s="2">
        <v>0</v>
      </c>
    </row>
    <row r="70" spans="1:7" x14ac:dyDescent="0.25">
      <c r="A70" s="1">
        <v>3</v>
      </c>
      <c r="B70" s="2">
        <v>4.1749999999999998</v>
      </c>
      <c r="C70" s="2">
        <v>4.1740000000000004</v>
      </c>
      <c r="D70" s="2">
        <v>0</v>
      </c>
    </row>
    <row r="71" spans="1:7" x14ac:dyDescent="0.25">
      <c r="A71" s="1">
        <v>4</v>
      </c>
      <c r="B71" s="2">
        <v>5.6829999999999998</v>
      </c>
      <c r="C71" s="2">
        <v>5.6820000000000004</v>
      </c>
      <c r="D71" s="2">
        <v>0</v>
      </c>
    </row>
    <row r="72" spans="1:7" x14ac:dyDescent="0.25">
      <c r="A72" s="1">
        <v>5</v>
      </c>
      <c r="B72" s="2">
        <v>7.2</v>
      </c>
      <c r="C72" s="2">
        <v>7.2039999999999997</v>
      </c>
      <c r="D72" s="2">
        <v>0</v>
      </c>
    </row>
    <row r="74" spans="1:7" x14ac:dyDescent="0.25">
      <c r="A74" s="1"/>
      <c r="B74" s="5">
        <v>45613.686805555553</v>
      </c>
    </row>
    <row r="75" spans="1:7" x14ac:dyDescent="0.25">
      <c r="A75" s="1" t="s">
        <v>0</v>
      </c>
      <c r="B75" s="2" t="s">
        <v>1</v>
      </c>
      <c r="C75" s="2" t="s">
        <v>2</v>
      </c>
      <c r="D75" s="2" t="s">
        <v>3</v>
      </c>
      <c r="F75" s="1" t="s">
        <v>4</v>
      </c>
      <c r="G75" s="1" t="s">
        <v>5</v>
      </c>
    </row>
    <row r="76" spans="1:7" x14ac:dyDescent="0.25">
      <c r="A76" s="1">
        <v>1</v>
      </c>
      <c r="B76" s="2">
        <v>1.1000000000000001</v>
      </c>
      <c r="C76" s="2">
        <v>1.1020000000000001</v>
      </c>
      <c r="D76" s="2">
        <v>8</v>
      </c>
      <c r="F76" s="1">
        <v>-1.0029999999999999</v>
      </c>
      <c r="G76" s="1">
        <v>9.0660000000000007</v>
      </c>
    </row>
    <row r="77" spans="1:7" x14ac:dyDescent="0.25">
      <c r="A77" s="1">
        <v>2</v>
      </c>
      <c r="B77" s="2">
        <v>2.67</v>
      </c>
      <c r="C77" s="2">
        <v>2.67</v>
      </c>
      <c r="D77" s="2">
        <v>6.5</v>
      </c>
    </row>
    <row r="78" spans="1:7" x14ac:dyDescent="0.25">
      <c r="A78" s="1">
        <v>3</v>
      </c>
      <c r="B78" s="2">
        <v>4.165</v>
      </c>
      <c r="C78" s="2">
        <v>4.1660000000000004</v>
      </c>
      <c r="D78" s="2">
        <v>4.7</v>
      </c>
    </row>
    <row r="79" spans="1:7" x14ac:dyDescent="0.25">
      <c r="A79" s="1">
        <v>4</v>
      </c>
      <c r="B79" s="2">
        <v>5.7249999999999996</v>
      </c>
      <c r="C79" s="2">
        <v>5.7279999999999998</v>
      </c>
      <c r="D79" s="2">
        <v>3.2</v>
      </c>
    </row>
    <row r="80" spans="1:7" x14ac:dyDescent="0.25">
      <c r="A80" s="1">
        <v>5</v>
      </c>
      <c r="B80" s="2">
        <v>7.2</v>
      </c>
      <c r="C80" s="2">
        <v>7.202</v>
      </c>
      <c r="D80" s="2">
        <v>2</v>
      </c>
    </row>
    <row r="82" spans="1:8" x14ac:dyDescent="0.25">
      <c r="A82" s="1" t="s">
        <v>8</v>
      </c>
      <c r="B82" s="5">
        <v>45784.393055555556</v>
      </c>
    </row>
    <row r="83" spans="1:8" x14ac:dyDescent="0.25">
      <c r="A83" s="1" t="s">
        <v>0</v>
      </c>
      <c r="B83" s="2" t="s">
        <v>1</v>
      </c>
      <c r="C83" s="2" t="s">
        <v>2</v>
      </c>
      <c r="D83" s="2" t="s">
        <v>3</v>
      </c>
      <c r="F83" s="1" t="s">
        <v>35</v>
      </c>
      <c r="G83" s="1" t="s">
        <v>4</v>
      </c>
      <c r="H83" s="1" t="s">
        <v>32</v>
      </c>
    </row>
    <row r="84" spans="1:8" x14ac:dyDescent="0.25">
      <c r="A84" s="1">
        <v>1</v>
      </c>
      <c r="B84" s="2">
        <v>8.4</v>
      </c>
      <c r="C84" s="2">
        <v>1.206</v>
      </c>
      <c r="D84" s="2">
        <v>8.4030000000000005</v>
      </c>
      <c r="F84" s="1">
        <v>2E-3</v>
      </c>
      <c r="G84" s="1">
        <v>-0.99199999999999999</v>
      </c>
      <c r="H84" s="1">
        <v>9.5980000000000008</v>
      </c>
    </row>
    <row r="85" spans="1:8" x14ac:dyDescent="0.25">
      <c r="A85" s="1">
        <v>2</v>
      </c>
      <c r="B85" s="2">
        <v>7.032</v>
      </c>
      <c r="C85" s="2">
        <v>2.5750000000000002</v>
      </c>
      <c r="D85" s="2">
        <v>7.0439999999999996</v>
      </c>
    </row>
    <row r="86" spans="1:8" x14ac:dyDescent="0.25">
      <c r="A86" s="1">
        <v>3</v>
      </c>
      <c r="B86" s="2">
        <v>5.65</v>
      </c>
      <c r="C86" s="2">
        <v>3.9630000000000001</v>
      </c>
      <c r="D86" s="2">
        <v>5.6660000000000004</v>
      </c>
    </row>
    <row r="87" spans="1:8" x14ac:dyDescent="0.25">
      <c r="A87" s="1">
        <v>4</v>
      </c>
      <c r="B87" s="2">
        <v>4.2309999999999999</v>
      </c>
      <c r="C87" s="2">
        <v>5.3929999999999998</v>
      </c>
      <c r="D87" s="2">
        <v>4.2489999999999997</v>
      </c>
    </row>
    <row r="88" spans="1:8" x14ac:dyDescent="0.25">
      <c r="A88" s="1">
        <v>5</v>
      </c>
      <c r="B88" s="2">
        <v>2.75</v>
      </c>
      <c r="C88" s="2">
        <v>6.88</v>
      </c>
      <c r="D88" s="2">
        <v>2.7749999999999999</v>
      </c>
    </row>
    <row r="90" spans="1:8" x14ac:dyDescent="0.25">
      <c r="A90" s="1" t="s">
        <v>7</v>
      </c>
      <c r="B90" s="5">
        <v>45784.553472222222</v>
      </c>
    </row>
    <row r="91" spans="1:8" x14ac:dyDescent="0.25">
      <c r="A91" s="1" t="s">
        <v>0</v>
      </c>
      <c r="B91" s="2" t="s">
        <v>1</v>
      </c>
      <c r="C91" s="2" t="s">
        <v>2</v>
      </c>
      <c r="D91" s="2" t="s">
        <v>3</v>
      </c>
      <c r="F91" s="1" t="s">
        <v>35</v>
      </c>
      <c r="G91" s="1" t="s">
        <v>4</v>
      </c>
      <c r="H91" s="1" t="s">
        <v>32</v>
      </c>
    </row>
    <row r="92" spans="1:8" x14ac:dyDescent="0.25">
      <c r="A92" s="1">
        <v>1</v>
      </c>
      <c r="B92" s="2">
        <v>8.4</v>
      </c>
      <c r="C92" s="2">
        <v>1.206</v>
      </c>
      <c r="D92" s="2">
        <v>8.3879999999999999</v>
      </c>
      <c r="F92" s="1">
        <v>1.2E-2</v>
      </c>
      <c r="G92" s="1">
        <v>-0.996</v>
      </c>
      <c r="H92" s="1">
        <v>9.5950000000000006</v>
      </c>
    </row>
    <row r="93" spans="1:8" x14ac:dyDescent="0.25">
      <c r="A93" s="1">
        <v>2</v>
      </c>
      <c r="B93" s="2">
        <v>7.0549999999999997</v>
      </c>
      <c r="C93" s="2">
        <v>2.5539999999999998</v>
      </c>
      <c r="D93" s="2">
        <v>7.05</v>
      </c>
    </row>
    <row r="94" spans="1:8" x14ac:dyDescent="0.25">
      <c r="A94" s="1">
        <v>3</v>
      </c>
      <c r="B94" s="2">
        <v>5.6319999999999997</v>
      </c>
      <c r="C94" s="2">
        <v>3.9870000000000001</v>
      </c>
      <c r="D94" s="2">
        <v>5.6349999999999998</v>
      </c>
    </row>
    <row r="95" spans="1:8" x14ac:dyDescent="0.25">
      <c r="A95" s="1">
        <v>4</v>
      </c>
      <c r="B95" s="2">
        <v>4.2519999999999998</v>
      </c>
      <c r="C95" s="2">
        <v>5.3710000000000004</v>
      </c>
      <c r="D95" s="2">
        <v>4.2450000000000001</v>
      </c>
    </row>
    <row r="96" spans="1:8" x14ac:dyDescent="0.25">
      <c r="A96" s="1">
        <v>5</v>
      </c>
      <c r="B96" s="2">
        <v>2.75</v>
      </c>
      <c r="C96" s="2">
        <v>6.875</v>
      </c>
      <c r="D96" s="2">
        <v>2.7389999999999999</v>
      </c>
    </row>
    <row r="98" spans="1:8" x14ac:dyDescent="0.25">
      <c r="A98" s="1" t="s">
        <v>36</v>
      </c>
      <c r="B98" s="5">
        <v>45784.561111111114</v>
      </c>
    </row>
    <row r="99" spans="1:8" x14ac:dyDescent="0.25">
      <c r="A99" s="1" t="s">
        <v>0</v>
      </c>
      <c r="B99" s="2" t="s">
        <v>1</v>
      </c>
      <c r="C99" s="2" t="s">
        <v>2</v>
      </c>
      <c r="D99" s="2" t="s">
        <v>3</v>
      </c>
      <c r="F99" s="1" t="s">
        <v>35</v>
      </c>
      <c r="G99" s="1" t="s">
        <v>4</v>
      </c>
      <c r="H99" s="1" t="s">
        <v>32</v>
      </c>
    </row>
    <row r="100" spans="1:8" x14ac:dyDescent="0.25">
      <c r="A100" s="1">
        <v>1</v>
      </c>
      <c r="B100" s="2">
        <v>8.4</v>
      </c>
      <c r="C100" s="2">
        <v>1.2070000000000001</v>
      </c>
      <c r="D100" s="2">
        <v>8.3970000000000002</v>
      </c>
      <c r="F100" s="1">
        <v>0.76300000000000001</v>
      </c>
      <c r="G100" s="1">
        <v>-0.85899999999999999</v>
      </c>
      <c r="H100" s="1">
        <v>8.8049999999999997</v>
      </c>
    </row>
    <row r="101" spans="1:8" x14ac:dyDescent="0.25">
      <c r="A101" s="1">
        <v>2</v>
      </c>
      <c r="B101" s="2">
        <v>6.9980000000000002</v>
      </c>
      <c r="C101" s="2">
        <v>1.21</v>
      </c>
      <c r="D101" s="2">
        <v>7.0030000000000001</v>
      </c>
    </row>
    <row r="102" spans="1:8" x14ac:dyDescent="0.25">
      <c r="A102" s="1">
        <v>3</v>
      </c>
      <c r="B102" s="2">
        <v>5.6150000000000002</v>
      </c>
      <c r="C102" s="2">
        <v>4.0019999999999998</v>
      </c>
      <c r="D102" s="2">
        <v>5.6139999999999999</v>
      </c>
    </row>
    <row r="103" spans="1:8" x14ac:dyDescent="0.25">
      <c r="A103" s="1">
        <v>4</v>
      </c>
      <c r="B103" s="2">
        <v>4.1639999999999997</v>
      </c>
      <c r="C103" s="2">
        <v>5.4580000000000002</v>
      </c>
      <c r="D103" s="2">
        <v>4.16</v>
      </c>
    </row>
    <row r="104" spans="1:8" x14ac:dyDescent="0.25">
      <c r="A104" s="1">
        <v>5</v>
      </c>
      <c r="B104" s="2">
        <v>2.75</v>
      </c>
      <c r="C104" s="2">
        <v>6.8789999999999996</v>
      </c>
      <c r="D104" s="2">
        <v>2.7469999999999999</v>
      </c>
    </row>
    <row r="106" spans="1:8" x14ac:dyDescent="0.25">
      <c r="A106" s="1" t="s">
        <v>36</v>
      </c>
      <c r="B106" s="5">
        <v>45784.584722222222</v>
      </c>
    </row>
    <row r="107" spans="1:8" x14ac:dyDescent="0.25">
      <c r="A107" s="1" t="s">
        <v>0</v>
      </c>
      <c r="B107" s="2" t="s">
        <v>1</v>
      </c>
      <c r="C107" s="2" t="s">
        <v>2</v>
      </c>
      <c r="D107" s="2" t="s">
        <v>3</v>
      </c>
      <c r="F107" s="1" t="s">
        <v>35</v>
      </c>
      <c r="G107" s="1" t="s">
        <v>4</v>
      </c>
      <c r="H107" s="1" t="s">
        <v>32</v>
      </c>
    </row>
    <row r="108" spans="1:8" x14ac:dyDescent="0.25">
      <c r="A108" s="1">
        <v>1</v>
      </c>
      <c r="B108" s="2">
        <v>8.4</v>
      </c>
      <c r="C108" s="2">
        <v>1.2070000000000001</v>
      </c>
      <c r="D108" s="2">
        <v>8.3770000000000007</v>
      </c>
      <c r="F108" s="1">
        <v>1.135</v>
      </c>
      <c r="G108" s="1">
        <v>-1.012</v>
      </c>
      <c r="H108" s="1">
        <v>9.359</v>
      </c>
    </row>
    <row r="109" spans="1:8" x14ac:dyDescent="0.25">
      <c r="A109" s="1">
        <v>2</v>
      </c>
      <c r="B109" s="2">
        <v>7.0439999999999996</v>
      </c>
      <c r="C109" s="2">
        <v>2.5680000000000001</v>
      </c>
      <c r="D109" s="2">
        <v>7.0209999999999999</v>
      </c>
    </row>
    <row r="110" spans="1:8" x14ac:dyDescent="0.25">
      <c r="A110" s="1">
        <v>3</v>
      </c>
      <c r="B110" s="2">
        <v>5.6710000000000003</v>
      </c>
      <c r="C110" s="2">
        <v>3.944</v>
      </c>
      <c r="D110" s="2">
        <v>5.657</v>
      </c>
    </row>
    <row r="111" spans="1:8" x14ac:dyDescent="0.25">
      <c r="A111" s="1">
        <v>4</v>
      </c>
      <c r="B111" s="2">
        <v>4.2549999999999999</v>
      </c>
      <c r="C111" s="2">
        <v>3.9430000000000001</v>
      </c>
      <c r="D111" s="2">
        <v>4.2320000000000002</v>
      </c>
    </row>
    <row r="112" spans="1:8" x14ac:dyDescent="0.25">
      <c r="A112" s="1">
        <v>5</v>
      </c>
      <c r="B112" s="2">
        <v>2.75</v>
      </c>
      <c r="C112" s="2">
        <v>6.88</v>
      </c>
      <c r="D112" s="2">
        <v>2.74</v>
      </c>
    </row>
    <row r="114" spans="1:8" x14ac:dyDescent="0.25">
      <c r="A114" s="1" t="s">
        <v>36</v>
      </c>
      <c r="B114" s="5">
        <v>45784.59652777778</v>
      </c>
    </row>
    <row r="115" spans="1:8" x14ac:dyDescent="0.25">
      <c r="A115" s="1" t="s">
        <v>0</v>
      </c>
      <c r="B115" s="2" t="s">
        <v>1</v>
      </c>
      <c r="C115" s="2" t="s">
        <v>2</v>
      </c>
      <c r="D115" s="2" t="s">
        <v>3</v>
      </c>
      <c r="F115" s="1" t="s">
        <v>35</v>
      </c>
      <c r="G115" s="1" t="s">
        <v>4</v>
      </c>
      <c r="H115" s="1" t="s">
        <v>32</v>
      </c>
    </row>
    <row r="116" spans="1:8" x14ac:dyDescent="0.25">
      <c r="A116" s="1">
        <v>1</v>
      </c>
      <c r="B116" s="2">
        <v>8.4</v>
      </c>
      <c r="C116" s="2">
        <v>1.2070000000000001</v>
      </c>
      <c r="D116" s="2">
        <v>8.3930000000000007</v>
      </c>
      <c r="F116" s="1">
        <v>7.0000000000000001E-3</v>
      </c>
      <c r="G116" s="1">
        <v>-0.996</v>
      </c>
      <c r="H116" s="1">
        <v>9.5939999999999994</v>
      </c>
    </row>
    <row r="117" spans="1:8" x14ac:dyDescent="0.25">
      <c r="A117" s="1">
        <v>2</v>
      </c>
      <c r="B117" s="2">
        <v>7.0309999999999997</v>
      </c>
      <c r="C117" s="2">
        <v>2.5750000000000002</v>
      </c>
      <c r="D117" s="2">
        <v>7.0229999999999997</v>
      </c>
    </row>
    <row r="118" spans="1:8" x14ac:dyDescent="0.25">
      <c r="A118" s="1">
        <v>3</v>
      </c>
      <c r="B118" s="2">
        <v>5.63</v>
      </c>
      <c r="C118" s="2">
        <v>3.9889999999999999</v>
      </c>
      <c r="D118" s="2">
        <v>5.6269999999999998</v>
      </c>
    </row>
    <row r="119" spans="1:8" x14ac:dyDescent="0.25">
      <c r="A119" s="1">
        <v>4</v>
      </c>
      <c r="B119" s="2">
        <v>4.2050000000000001</v>
      </c>
      <c r="C119" s="2">
        <v>5.4130000000000003</v>
      </c>
      <c r="D119" s="2">
        <v>4.2</v>
      </c>
    </row>
    <row r="120" spans="1:8" x14ac:dyDescent="0.25">
      <c r="A120" s="1">
        <v>5</v>
      </c>
      <c r="B120" s="2">
        <v>2.75</v>
      </c>
      <c r="C120" s="2">
        <v>6.8780000000000001</v>
      </c>
      <c r="D120" s="2">
        <v>2.74</v>
      </c>
    </row>
    <row r="122" spans="1:8" x14ac:dyDescent="0.25">
      <c r="A122" s="1" t="s">
        <v>36</v>
      </c>
      <c r="B122" s="5">
        <v>45784.604861111111</v>
      </c>
    </row>
    <row r="123" spans="1:8" x14ac:dyDescent="0.25">
      <c r="A123" s="1" t="s">
        <v>0</v>
      </c>
      <c r="B123" s="2" t="s">
        <v>1</v>
      </c>
      <c r="C123" s="2" t="s">
        <v>2</v>
      </c>
      <c r="D123" s="2" t="s">
        <v>3</v>
      </c>
      <c r="F123" s="1" t="s">
        <v>35</v>
      </c>
      <c r="G123" s="1" t="s">
        <v>4</v>
      </c>
      <c r="H123" s="1" t="s">
        <v>32</v>
      </c>
    </row>
    <row r="124" spans="1:8" x14ac:dyDescent="0.25">
      <c r="A124" s="1">
        <v>1</v>
      </c>
      <c r="B124" s="2">
        <v>8.4</v>
      </c>
      <c r="C124" s="2">
        <v>1.2070000000000001</v>
      </c>
      <c r="D124" s="2">
        <v>8.3919999999999995</v>
      </c>
      <c r="F124" s="1">
        <v>8.0000000000000002E-3</v>
      </c>
      <c r="G124" s="1">
        <v>-0.996</v>
      </c>
      <c r="H124" s="1">
        <v>9.5950000000000006</v>
      </c>
    </row>
    <row r="125" spans="1:8" x14ac:dyDescent="0.25">
      <c r="A125" s="1">
        <v>2</v>
      </c>
      <c r="B125" s="2">
        <v>7.0570000000000004</v>
      </c>
      <c r="C125" s="2">
        <v>2.5550000000000002</v>
      </c>
      <c r="D125" s="2">
        <v>7.0579999999999998</v>
      </c>
    </row>
    <row r="126" spans="1:8" x14ac:dyDescent="0.25">
      <c r="A126" s="1">
        <v>3</v>
      </c>
      <c r="B126" s="2">
        <v>5.585</v>
      </c>
      <c r="C126" s="2">
        <v>4.0279999999999996</v>
      </c>
      <c r="D126" s="2">
        <v>5.577</v>
      </c>
    </row>
    <row r="127" spans="1:8" x14ac:dyDescent="0.25">
      <c r="A127" s="1">
        <v>4</v>
      </c>
      <c r="B127" s="2">
        <v>4.25</v>
      </c>
      <c r="C127" s="2">
        <v>5.3710000000000004</v>
      </c>
      <c r="D127" s="2">
        <v>4.2530000000000001</v>
      </c>
    </row>
    <row r="128" spans="1:8" x14ac:dyDescent="0.25">
      <c r="A128" s="1">
        <v>5</v>
      </c>
      <c r="B128" s="2">
        <v>2.75</v>
      </c>
      <c r="C128" s="2">
        <v>6.8769999999999998</v>
      </c>
      <c r="D128" s="2">
        <v>2.7480000000000002</v>
      </c>
    </row>
    <row r="130" spans="1:8" x14ac:dyDescent="0.25">
      <c r="A130" s="1" t="s">
        <v>7</v>
      </c>
      <c r="B130" s="5">
        <v>45784.645138888889</v>
      </c>
    </row>
    <row r="131" spans="1:8" x14ac:dyDescent="0.25">
      <c r="A131" s="1" t="s">
        <v>0</v>
      </c>
      <c r="B131" s="2" t="s">
        <v>1</v>
      </c>
      <c r="C131" s="2" t="s">
        <v>2</v>
      </c>
      <c r="D131" s="2" t="s">
        <v>3</v>
      </c>
      <c r="F131" s="1" t="s">
        <v>35</v>
      </c>
      <c r="G131" s="1" t="s">
        <v>4</v>
      </c>
      <c r="H131" s="1" t="s">
        <v>32</v>
      </c>
    </row>
    <row r="132" spans="1:8" x14ac:dyDescent="0.25">
      <c r="A132" s="1">
        <v>1</v>
      </c>
      <c r="B132" s="2">
        <v>8.4</v>
      </c>
      <c r="C132" s="2">
        <v>1.2070000000000001</v>
      </c>
      <c r="D132" s="2">
        <v>8.3829999999999991</v>
      </c>
      <c r="F132" s="1">
        <v>0.76300000000000001</v>
      </c>
      <c r="G132" s="1">
        <v>-1.3540000000000001</v>
      </c>
      <c r="H132" s="1">
        <v>9.8629999999999995</v>
      </c>
    </row>
    <row r="133" spans="1:8" x14ac:dyDescent="0.25">
      <c r="A133" s="1">
        <v>2</v>
      </c>
      <c r="B133" s="2">
        <v>7.0350000000000001</v>
      </c>
      <c r="C133" s="2">
        <v>2.58</v>
      </c>
      <c r="D133" s="2">
        <v>7.0350000000000001</v>
      </c>
    </row>
    <row r="134" spans="1:8" x14ac:dyDescent="0.25">
      <c r="A134" s="1">
        <v>3</v>
      </c>
      <c r="B134" s="2">
        <v>5.6289999999999996</v>
      </c>
      <c r="C134" s="2">
        <v>2.5710000000000002</v>
      </c>
      <c r="D134" s="2">
        <v>5.617</v>
      </c>
    </row>
    <row r="135" spans="1:8" x14ac:dyDescent="0.25">
      <c r="A135" s="1">
        <v>4</v>
      </c>
      <c r="B135" s="2">
        <v>4.21</v>
      </c>
      <c r="C135" s="2">
        <v>3.9870000000000001</v>
      </c>
      <c r="D135" s="2">
        <v>4.2039999999999997</v>
      </c>
    </row>
    <row r="136" spans="1:8" x14ac:dyDescent="0.25">
      <c r="A136" s="1">
        <v>5</v>
      </c>
      <c r="B136" s="2">
        <v>2.75</v>
      </c>
      <c r="C136" s="2">
        <v>5.41</v>
      </c>
      <c r="D136" s="2">
        <v>2.738</v>
      </c>
    </row>
    <row r="138" spans="1:8" x14ac:dyDescent="0.25">
      <c r="A138" s="1" t="s">
        <v>7</v>
      </c>
      <c r="B138" s="5">
        <v>45784.656944444447</v>
      </c>
    </row>
    <row r="139" spans="1:8" x14ac:dyDescent="0.25">
      <c r="A139" s="1" t="s">
        <v>0</v>
      </c>
      <c r="B139" s="2" t="s">
        <v>1</v>
      </c>
      <c r="C139" s="2" t="s">
        <v>2</v>
      </c>
      <c r="D139" s="2" t="s">
        <v>3</v>
      </c>
      <c r="F139" s="1" t="s">
        <v>35</v>
      </c>
      <c r="G139" s="1" t="s">
        <v>4</v>
      </c>
      <c r="H139" s="1" t="s">
        <v>32</v>
      </c>
    </row>
    <row r="140" spans="1:8" x14ac:dyDescent="0.25">
      <c r="A140" s="1">
        <v>1</v>
      </c>
      <c r="B140" s="2">
        <v>8.4</v>
      </c>
      <c r="C140" s="2">
        <v>1.2090000000000001</v>
      </c>
      <c r="D140" s="2">
        <v>8.3789999999999996</v>
      </c>
      <c r="F140" s="1">
        <v>4.0000000000000001E-3</v>
      </c>
      <c r="G140" s="1">
        <v>-0.99399999999999999</v>
      </c>
      <c r="H140" s="1">
        <v>9.5850000000000009</v>
      </c>
    </row>
    <row r="141" spans="1:8" x14ac:dyDescent="0.25">
      <c r="A141" s="1">
        <v>2</v>
      </c>
      <c r="B141" s="2">
        <v>7.0670000000000002</v>
      </c>
      <c r="C141" s="2">
        <v>2.544</v>
      </c>
      <c r="D141" s="2">
        <v>7.0590000000000002</v>
      </c>
    </row>
    <row r="142" spans="1:8" x14ac:dyDescent="0.25">
      <c r="A142" s="1">
        <v>3</v>
      </c>
      <c r="B142" s="2">
        <v>5.6219999999999999</v>
      </c>
      <c r="C142" s="2">
        <v>3.996</v>
      </c>
      <c r="D142" s="2">
        <v>5.6150000000000002</v>
      </c>
    </row>
    <row r="143" spans="1:8" x14ac:dyDescent="0.25">
      <c r="A143" s="1">
        <v>4</v>
      </c>
      <c r="B143" s="2">
        <v>4.2389999999999999</v>
      </c>
      <c r="C143" s="2">
        <v>5.383</v>
      </c>
      <c r="D143" s="2">
        <v>4.234</v>
      </c>
    </row>
    <row r="144" spans="1:8" x14ac:dyDescent="0.25">
      <c r="A144" s="1">
        <v>5</v>
      </c>
      <c r="B144" s="2">
        <v>2.75</v>
      </c>
      <c r="C144" s="2">
        <v>6.8789999999999996</v>
      </c>
      <c r="D144" s="2">
        <v>2.7429999999999999</v>
      </c>
    </row>
    <row r="146" spans="1:8" x14ac:dyDescent="0.25">
      <c r="A146" s="1" t="s">
        <v>7</v>
      </c>
      <c r="B146" s="5">
        <v>45784.668749999997</v>
      </c>
    </row>
    <row r="147" spans="1:8" x14ac:dyDescent="0.25">
      <c r="A147" s="1" t="s">
        <v>0</v>
      </c>
      <c r="B147" s="2" t="s">
        <v>1</v>
      </c>
      <c r="C147" s="2" t="s">
        <v>2</v>
      </c>
      <c r="D147" s="2" t="s">
        <v>3</v>
      </c>
      <c r="F147" s="1" t="s">
        <v>35</v>
      </c>
      <c r="G147" s="1" t="s">
        <v>4</v>
      </c>
      <c r="H147" s="1" t="s">
        <v>32</v>
      </c>
    </row>
    <row r="148" spans="1:8" x14ac:dyDescent="0.25">
      <c r="A148" s="1">
        <v>1</v>
      </c>
      <c r="B148" s="2">
        <v>8.4</v>
      </c>
      <c r="C148" s="2">
        <v>1.2050000000000001</v>
      </c>
      <c r="D148" s="2">
        <v>8.3879999999999999</v>
      </c>
      <c r="F148" s="1">
        <v>5.0000000000000001E-3</v>
      </c>
      <c r="G148" s="1">
        <v>-0.996</v>
      </c>
      <c r="H148" s="1">
        <v>9.5909999999999993</v>
      </c>
    </row>
    <row r="149" spans="1:8" x14ac:dyDescent="0.25">
      <c r="A149" s="1">
        <v>2</v>
      </c>
      <c r="B149" s="2">
        <v>6.9909999999999997</v>
      </c>
      <c r="C149" s="2">
        <v>2.6190000000000002</v>
      </c>
      <c r="D149" s="2">
        <v>6.9820000000000002</v>
      </c>
    </row>
    <row r="150" spans="1:8" x14ac:dyDescent="0.25">
      <c r="A150" s="1">
        <v>3</v>
      </c>
      <c r="B150" s="2">
        <v>5.65</v>
      </c>
      <c r="C150" s="2">
        <v>3.964</v>
      </c>
      <c r="D150" s="2">
        <v>5.641</v>
      </c>
    </row>
    <row r="151" spans="1:8" x14ac:dyDescent="0.25">
      <c r="A151" s="1">
        <v>4</v>
      </c>
      <c r="B151" s="2">
        <v>4.2089999999999996</v>
      </c>
      <c r="C151" s="2">
        <v>5.41</v>
      </c>
      <c r="D151" s="2">
        <v>4.2050000000000001</v>
      </c>
    </row>
    <row r="152" spans="1:8" x14ac:dyDescent="0.25">
      <c r="A152" s="1">
        <v>5</v>
      </c>
      <c r="B152" s="2">
        <v>2.75</v>
      </c>
      <c r="C152" s="2">
        <v>6.8760000000000003</v>
      </c>
      <c r="D152" s="2">
        <v>2.7360000000000002</v>
      </c>
    </row>
    <row r="154" spans="1:8" x14ac:dyDescent="0.25">
      <c r="A154" s="1" t="s">
        <v>7</v>
      </c>
      <c r="B154" s="5">
        <v>45785.320833333331</v>
      </c>
    </row>
    <row r="155" spans="1:8" x14ac:dyDescent="0.25">
      <c r="A155" s="1" t="s">
        <v>0</v>
      </c>
      <c r="B155" s="2" t="s">
        <v>1</v>
      </c>
      <c r="C155" s="2" t="s">
        <v>2</v>
      </c>
      <c r="D155" s="2" t="s">
        <v>3</v>
      </c>
      <c r="F155" s="1" t="s">
        <v>35</v>
      </c>
      <c r="G155" s="1" t="s">
        <v>4</v>
      </c>
      <c r="H155" s="1" t="s">
        <v>32</v>
      </c>
    </row>
    <row r="156" spans="1:8" x14ac:dyDescent="0.25">
      <c r="A156" s="1">
        <v>1</v>
      </c>
      <c r="B156" s="2">
        <v>8.4</v>
      </c>
      <c r="C156" s="2">
        <v>1.208</v>
      </c>
      <c r="D156" s="2">
        <v>8.3840000000000003</v>
      </c>
      <c r="F156" s="1">
        <v>4.0000000000000001E-3</v>
      </c>
      <c r="G156" s="1">
        <v>-0.997</v>
      </c>
      <c r="H156" s="1">
        <v>9.593</v>
      </c>
    </row>
    <row r="157" spans="1:8" x14ac:dyDescent="0.25">
      <c r="A157" s="1">
        <v>2</v>
      </c>
      <c r="B157" s="2">
        <v>7.06</v>
      </c>
      <c r="C157" s="2">
        <v>2.552</v>
      </c>
      <c r="D157" s="2">
        <v>7.0510000000000002</v>
      </c>
    </row>
    <row r="158" spans="1:8" x14ac:dyDescent="0.25">
      <c r="A158" s="1">
        <v>3</v>
      </c>
      <c r="B158" s="2">
        <v>5.6680000000000001</v>
      </c>
      <c r="C158" s="2">
        <v>3.9470000000000001</v>
      </c>
      <c r="D158" s="2">
        <v>5.6580000000000004</v>
      </c>
    </row>
    <row r="159" spans="1:8" x14ac:dyDescent="0.25">
      <c r="A159" s="1">
        <v>4</v>
      </c>
      <c r="B159" s="2">
        <v>4.2510000000000003</v>
      </c>
      <c r="C159" s="2">
        <v>5.3689999999999998</v>
      </c>
      <c r="D159" s="2">
        <v>4.24</v>
      </c>
    </row>
    <row r="160" spans="1:8" x14ac:dyDescent="0.25">
      <c r="A160" s="1">
        <v>5</v>
      </c>
      <c r="B160" s="2">
        <v>2.75</v>
      </c>
      <c r="C160" s="2">
        <v>6.8710000000000004</v>
      </c>
      <c r="D160" s="2">
        <v>2.7360000000000002</v>
      </c>
    </row>
    <row r="162" spans="1:8" x14ac:dyDescent="0.25">
      <c r="A162" s="1" t="s">
        <v>7</v>
      </c>
      <c r="B162" s="5">
        <v>45785.331250000003</v>
      </c>
    </row>
    <row r="163" spans="1:8" x14ac:dyDescent="0.25">
      <c r="A163" s="1" t="s">
        <v>0</v>
      </c>
      <c r="B163" s="2" t="s">
        <v>1</v>
      </c>
      <c r="C163" s="2" t="s">
        <v>2</v>
      </c>
      <c r="D163" s="2" t="s">
        <v>3</v>
      </c>
      <c r="F163" s="1" t="s">
        <v>35</v>
      </c>
      <c r="G163" s="1" t="s">
        <v>4</v>
      </c>
      <c r="H163" s="1" t="s">
        <v>32</v>
      </c>
    </row>
    <row r="164" spans="1:8" x14ac:dyDescent="0.25">
      <c r="A164" s="1">
        <v>1</v>
      </c>
      <c r="B164" s="2">
        <v>8.4</v>
      </c>
      <c r="C164" s="2">
        <v>1.206</v>
      </c>
      <c r="D164" s="2">
        <v>8.3879999999999999</v>
      </c>
      <c r="F164" s="1">
        <v>3.0000000000000001E-3</v>
      </c>
      <c r="G164" s="1">
        <v>-0.996</v>
      </c>
      <c r="H164" s="1">
        <v>9.5909999999999993</v>
      </c>
    </row>
    <row r="165" spans="1:8" x14ac:dyDescent="0.25">
      <c r="A165" s="1">
        <v>2</v>
      </c>
      <c r="B165" s="2">
        <v>7.0620000000000003</v>
      </c>
      <c r="C165" s="2">
        <v>2.5499999999999998</v>
      </c>
      <c r="D165" s="2">
        <v>7.0529999999999999</v>
      </c>
    </row>
    <row r="166" spans="1:8" x14ac:dyDescent="0.25">
      <c r="A166" s="1">
        <v>3</v>
      </c>
      <c r="B166" s="2">
        <v>5.5949999999999998</v>
      </c>
      <c r="C166" s="2">
        <v>4.0190000000000001</v>
      </c>
      <c r="D166" s="2">
        <v>5.5869999999999997</v>
      </c>
    </row>
    <row r="167" spans="1:8" x14ac:dyDescent="0.25">
      <c r="A167" s="1">
        <v>4</v>
      </c>
      <c r="B167" s="2">
        <v>4.18</v>
      </c>
      <c r="C167" s="2">
        <v>5.4429999999999996</v>
      </c>
      <c r="D167" s="2">
        <v>4.17</v>
      </c>
    </row>
    <row r="168" spans="1:8" x14ac:dyDescent="0.25">
      <c r="A168" s="1">
        <v>5</v>
      </c>
      <c r="B168" s="2">
        <v>2.75</v>
      </c>
      <c r="C168" s="2">
        <v>6.88</v>
      </c>
      <c r="D168" s="2">
        <v>2.7360000000000002</v>
      </c>
    </row>
    <row r="172" spans="1:8" x14ac:dyDescent="0.25">
      <c r="A172" s="1" t="s">
        <v>37</v>
      </c>
      <c r="B172" s="5">
        <v>45785.456250000003</v>
      </c>
    </row>
    <row r="173" spans="1:8" x14ac:dyDescent="0.25">
      <c r="A173" s="1" t="s">
        <v>0</v>
      </c>
      <c r="B173" s="2" t="s">
        <v>1</v>
      </c>
      <c r="C173" s="2" t="s">
        <v>2</v>
      </c>
      <c r="D173" s="2" t="s">
        <v>3</v>
      </c>
      <c r="F173" s="1" t="s">
        <v>35</v>
      </c>
      <c r="G173" s="1" t="s">
        <v>4</v>
      </c>
      <c r="H173" s="1" t="s">
        <v>32</v>
      </c>
    </row>
    <row r="174" spans="1:8" x14ac:dyDescent="0.25">
      <c r="A174" s="1">
        <v>1</v>
      </c>
      <c r="B174" s="2">
        <v>8.4</v>
      </c>
      <c r="C174" s="2">
        <v>1.2090000000000001</v>
      </c>
      <c r="D174" s="2">
        <v>8.4030000000000005</v>
      </c>
      <c r="F174" s="1">
        <v>4.0000000000000001E-3</v>
      </c>
      <c r="G174" s="1">
        <v>-0.99199999999999999</v>
      </c>
      <c r="H174" s="1">
        <v>9.6010000000000009</v>
      </c>
    </row>
    <row r="175" spans="1:8" x14ac:dyDescent="0.25">
      <c r="A175" s="1">
        <v>2</v>
      </c>
      <c r="B175" s="2">
        <v>7.08</v>
      </c>
      <c r="C175" s="2">
        <v>2.528</v>
      </c>
      <c r="D175" s="2">
        <v>7.0880000000000001</v>
      </c>
    </row>
    <row r="176" spans="1:8" x14ac:dyDescent="0.25">
      <c r="A176" s="1">
        <v>3</v>
      </c>
      <c r="B176" s="2">
        <v>5.6109999999999998</v>
      </c>
      <c r="C176" s="2">
        <v>4.0069999999999997</v>
      </c>
      <c r="D176" s="2">
        <v>5.6269999999999998</v>
      </c>
    </row>
    <row r="177" spans="1:8" x14ac:dyDescent="0.25">
      <c r="A177" s="1">
        <v>4</v>
      </c>
      <c r="B177" s="2">
        <v>4.2370000000000001</v>
      </c>
      <c r="C177" s="2">
        <v>5.3860000000000001</v>
      </c>
      <c r="D177" s="2">
        <v>4.2539999999999996</v>
      </c>
    </row>
    <row r="178" spans="1:8" x14ac:dyDescent="0.25">
      <c r="A178" s="1">
        <v>5</v>
      </c>
      <c r="B178" s="2">
        <v>2.75</v>
      </c>
      <c r="C178" s="2">
        <v>6.8789999999999996</v>
      </c>
      <c r="D178" s="2">
        <v>2.7749999999999999</v>
      </c>
    </row>
    <row r="180" spans="1:8" x14ac:dyDescent="0.25">
      <c r="A180" s="1" t="s">
        <v>37</v>
      </c>
      <c r="B180" s="5">
        <v>45785.465277777781</v>
      </c>
    </row>
    <row r="181" spans="1:8" x14ac:dyDescent="0.25">
      <c r="A181" s="1" t="s">
        <v>0</v>
      </c>
      <c r="B181" s="2" t="s">
        <v>1</v>
      </c>
      <c r="C181" s="2" t="s">
        <v>2</v>
      </c>
      <c r="D181" s="2" t="s">
        <v>3</v>
      </c>
      <c r="F181" s="1" t="s">
        <v>35</v>
      </c>
      <c r="G181" s="1" t="s">
        <v>4</v>
      </c>
      <c r="H181" s="1" t="s">
        <v>32</v>
      </c>
    </row>
    <row r="182" spans="1:8" x14ac:dyDescent="0.25">
      <c r="A182" s="1">
        <v>1</v>
      </c>
      <c r="B182" s="2">
        <v>8.4</v>
      </c>
      <c r="C182" s="2">
        <v>1.206</v>
      </c>
      <c r="D182" s="2">
        <v>8.4049999999999994</v>
      </c>
      <c r="F182" s="1">
        <v>3.0000000000000001E-3</v>
      </c>
      <c r="G182" s="1">
        <v>-0.99199999999999999</v>
      </c>
      <c r="H182" s="1">
        <v>9.6010000000000009</v>
      </c>
    </row>
    <row r="183" spans="1:8" x14ac:dyDescent="0.25">
      <c r="A183" s="1">
        <v>2</v>
      </c>
      <c r="B183" s="2">
        <v>7.0119999999999996</v>
      </c>
      <c r="C183" s="2">
        <v>2.597</v>
      </c>
      <c r="D183" s="2">
        <v>7.0229999999999997</v>
      </c>
    </row>
    <row r="184" spans="1:8" x14ac:dyDescent="0.25">
      <c r="A184" s="1">
        <v>3</v>
      </c>
      <c r="B184" s="2">
        <v>5.66</v>
      </c>
      <c r="C184" s="2">
        <v>3.956</v>
      </c>
      <c r="D184" s="2">
        <v>5.6760000000000002</v>
      </c>
    </row>
    <row r="185" spans="1:8" x14ac:dyDescent="0.25">
      <c r="A185" s="1">
        <v>4</v>
      </c>
      <c r="B185" s="2">
        <v>4.2069999999999999</v>
      </c>
      <c r="C185" s="2">
        <v>5.4160000000000004</v>
      </c>
      <c r="D185" s="2">
        <v>4.2240000000000002</v>
      </c>
    </row>
    <row r="186" spans="1:8" x14ac:dyDescent="0.25">
      <c r="A186" s="1">
        <v>5</v>
      </c>
      <c r="B186" s="2">
        <v>2.75</v>
      </c>
      <c r="C186" s="2">
        <v>6.88</v>
      </c>
      <c r="D186" s="2">
        <v>2.7749999999999999</v>
      </c>
    </row>
    <row r="188" spans="1:8" x14ac:dyDescent="0.25">
      <c r="A188" s="1" t="s">
        <v>38</v>
      </c>
      <c r="B188" s="5">
        <v>45785.581250000003</v>
      </c>
    </row>
    <row r="189" spans="1:8" x14ac:dyDescent="0.25">
      <c r="A189" s="1" t="s">
        <v>0</v>
      </c>
      <c r="B189" s="2" t="s">
        <v>1</v>
      </c>
      <c r="C189" s="2" t="s">
        <v>2</v>
      </c>
      <c r="D189" s="2" t="s">
        <v>3</v>
      </c>
      <c r="F189" s="1" t="s">
        <v>35</v>
      </c>
      <c r="G189" s="1" t="s">
        <v>4</v>
      </c>
      <c r="H189" s="1" t="s">
        <v>32</v>
      </c>
    </row>
    <row r="190" spans="1:8" x14ac:dyDescent="0.25">
      <c r="A190" s="1">
        <v>1</v>
      </c>
      <c r="B190" s="2">
        <v>8.4</v>
      </c>
      <c r="C190" s="11">
        <v>1.2090000000000001</v>
      </c>
      <c r="D190" s="11">
        <v>8.3840000000000003</v>
      </c>
      <c r="F190" s="1">
        <v>0.98699999999999999</v>
      </c>
      <c r="G190" s="1">
        <v>-0.92500000000000004</v>
      </c>
      <c r="H190" s="1">
        <v>9.0640000000000001</v>
      </c>
    </row>
    <row r="191" spans="1:8" x14ac:dyDescent="0.25">
      <c r="A191" s="1">
        <v>2</v>
      </c>
      <c r="B191" s="2">
        <v>7</v>
      </c>
      <c r="C191" s="11">
        <v>2.6120000000000001</v>
      </c>
      <c r="D191" s="11">
        <v>7</v>
      </c>
    </row>
    <row r="192" spans="1:8" x14ac:dyDescent="0.25">
      <c r="A192" s="1">
        <v>3</v>
      </c>
      <c r="B192" s="2">
        <v>5.665</v>
      </c>
      <c r="C192" s="11">
        <v>2.61</v>
      </c>
      <c r="D192" s="11">
        <v>5.6619999999999999</v>
      </c>
    </row>
    <row r="193" spans="1:8" x14ac:dyDescent="0.25">
      <c r="A193" s="1">
        <v>4</v>
      </c>
      <c r="B193" s="2">
        <v>4.2409999999999997</v>
      </c>
      <c r="C193" s="11">
        <v>5.3819999999999997</v>
      </c>
      <c r="D193" s="11">
        <v>4.234</v>
      </c>
    </row>
    <row r="194" spans="1:8" x14ac:dyDescent="0.25">
      <c r="A194" s="1">
        <v>5</v>
      </c>
      <c r="B194" s="2">
        <v>2.75</v>
      </c>
      <c r="C194" s="11">
        <v>6.8789999999999996</v>
      </c>
      <c r="D194" s="11">
        <v>2.7469999999999999</v>
      </c>
    </row>
    <row r="196" spans="1:8" x14ac:dyDescent="0.25">
      <c r="A196" s="1" t="s">
        <v>38</v>
      </c>
      <c r="B196" s="5">
        <v>45785.590277777781</v>
      </c>
    </row>
    <row r="197" spans="1:8" x14ac:dyDescent="0.25">
      <c r="A197" s="1" t="s">
        <v>0</v>
      </c>
      <c r="B197" s="2" t="s">
        <v>1</v>
      </c>
      <c r="C197" s="2" t="s">
        <v>2</v>
      </c>
      <c r="D197" s="2" t="s">
        <v>3</v>
      </c>
      <c r="F197" s="1" t="s">
        <v>35</v>
      </c>
      <c r="G197" s="1" t="s">
        <v>4</v>
      </c>
      <c r="H197" s="1" t="s">
        <v>32</v>
      </c>
    </row>
    <row r="198" spans="1:8" x14ac:dyDescent="0.25">
      <c r="A198" s="1">
        <v>1</v>
      </c>
      <c r="B198" s="2">
        <v>8.4</v>
      </c>
      <c r="C198" s="2">
        <v>1.206</v>
      </c>
      <c r="D198" s="2">
        <v>8.3870000000000005</v>
      </c>
      <c r="F198" s="1">
        <v>8.0000000000000002E-3</v>
      </c>
      <c r="G198" s="1">
        <v>-0.995</v>
      </c>
      <c r="H198" s="1">
        <v>9.593</v>
      </c>
    </row>
    <row r="199" spans="1:8" x14ac:dyDescent="0.25">
      <c r="A199" s="1">
        <v>2</v>
      </c>
      <c r="B199" s="2">
        <v>7.0679999999999996</v>
      </c>
      <c r="C199" s="2">
        <v>2.544</v>
      </c>
      <c r="D199" s="2">
        <v>7.0670000000000002</v>
      </c>
    </row>
    <row r="200" spans="1:8" x14ac:dyDescent="0.25">
      <c r="A200" s="1">
        <v>3</v>
      </c>
      <c r="B200" s="2">
        <v>5.5890000000000004</v>
      </c>
      <c r="C200" s="2">
        <v>4.0289999999999999</v>
      </c>
      <c r="D200" s="2">
        <v>5.5810000000000004</v>
      </c>
    </row>
    <row r="201" spans="1:8" x14ac:dyDescent="0.25">
      <c r="A201" s="1">
        <v>4</v>
      </c>
      <c r="B201" s="2">
        <v>4.1870000000000003</v>
      </c>
      <c r="C201" s="2">
        <v>5.4370000000000003</v>
      </c>
      <c r="D201" s="2">
        <v>4.1829999999999998</v>
      </c>
    </row>
    <row r="202" spans="1:8" x14ac:dyDescent="0.25">
      <c r="A202" s="1">
        <v>5</v>
      </c>
      <c r="B202" s="2">
        <v>2.75</v>
      </c>
      <c r="C202" s="2">
        <v>6.88</v>
      </c>
      <c r="D202" s="2">
        <v>2.7410000000000001</v>
      </c>
    </row>
    <row r="204" spans="1:8" x14ac:dyDescent="0.25">
      <c r="A204" s="1" t="s">
        <v>38</v>
      </c>
      <c r="B204" s="5">
        <v>45785.597916666666</v>
      </c>
    </row>
    <row r="205" spans="1:8" x14ac:dyDescent="0.25">
      <c r="A205" s="1" t="s">
        <v>0</v>
      </c>
      <c r="B205" s="2" t="s">
        <v>1</v>
      </c>
      <c r="C205" s="2" t="s">
        <v>2</v>
      </c>
      <c r="D205" s="2" t="s">
        <v>3</v>
      </c>
      <c r="F205" s="1" t="s">
        <v>35</v>
      </c>
      <c r="G205" s="1" t="s">
        <v>4</v>
      </c>
      <c r="H205" s="1" t="s">
        <v>32</v>
      </c>
    </row>
    <row r="206" spans="1:8" x14ac:dyDescent="0.25">
      <c r="A206" s="1">
        <v>1</v>
      </c>
      <c r="B206" s="2">
        <v>8.4</v>
      </c>
      <c r="C206" s="11">
        <v>1.2070000000000001</v>
      </c>
      <c r="D206" s="11">
        <v>8.3840000000000003</v>
      </c>
      <c r="F206" s="1">
        <v>0.96499999999999997</v>
      </c>
      <c r="G206" s="1">
        <v>-1.121</v>
      </c>
      <c r="H206" s="1">
        <v>9.1359999999999992</v>
      </c>
    </row>
    <row r="207" spans="1:8" x14ac:dyDescent="0.25">
      <c r="A207" s="1">
        <v>2</v>
      </c>
      <c r="B207" s="2">
        <v>6.9969999999999999</v>
      </c>
      <c r="C207" s="11">
        <v>1.2130000000000001</v>
      </c>
      <c r="D207" s="11">
        <v>6.99</v>
      </c>
    </row>
    <row r="208" spans="1:8" x14ac:dyDescent="0.25">
      <c r="A208" s="1">
        <v>3</v>
      </c>
      <c r="B208" s="2">
        <v>5.6120000000000001</v>
      </c>
      <c r="C208" s="11">
        <v>4.0039999999999996</v>
      </c>
      <c r="D208" s="11">
        <v>5.6120000000000001</v>
      </c>
    </row>
    <row r="209" spans="1:8" x14ac:dyDescent="0.25">
      <c r="A209" s="1">
        <v>4</v>
      </c>
      <c r="B209" s="2">
        <v>4.25</v>
      </c>
      <c r="C209" s="11">
        <v>4.0030000000000001</v>
      </c>
      <c r="D209" s="11">
        <v>4.2430000000000003</v>
      </c>
    </row>
    <row r="210" spans="1:8" x14ac:dyDescent="0.25">
      <c r="A210" s="1">
        <v>5</v>
      </c>
      <c r="B210" s="2">
        <v>2.75</v>
      </c>
      <c r="C210" s="11">
        <v>5.3710000000000004</v>
      </c>
      <c r="D210" s="11">
        <v>2.74</v>
      </c>
    </row>
    <row r="212" spans="1:8" x14ac:dyDescent="0.25">
      <c r="A212" s="1" t="s">
        <v>6</v>
      </c>
      <c r="B212" s="5">
        <v>45785.606944444444</v>
      </c>
    </row>
    <row r="213" spans="1:8" x14ac:dyDescent="0.25">
      <c r="A213" s="1" t="s">
        <v>0</v>
      </c>
      <c r="B213" s="2" t="s">
        <v>1</v>
      </c>
      <c r="C213" s="2" t="s">
        <v>2</v>
      </c>
      <c r="D213" s="2" t="s">
        <v>3</v>
      </c>
      <c r="F213" s="1" t="s">
        <v>35</v>
      </c>
      <c r="G213" s="1" t="s">
        <v>4</v>
      </c>
      <c r="H213" s="1" t="s">
        <v>32</v>
      </c>
    </row>
    <row r="214" spans="1:8" x14ac:dyDescent="0.25">
      <c r="A214" s="1">
        <v>1</v>
      </c>
      <c r="B214" s="2">
        <v>8.4</v>
      </c>
      <c r="C214" s="2">
        <v>1.2070000000000001</v>
      </c>
      <c r="D214" s="2">
        <v>8.3859999999999992</v>
      </c>
      <c r="F214" s="1">
        <v>1.054</v>
      </c>
      <c r="G214" s="1">
        <v>-0.56799999999999995</v>
      </c>
      <c r="H214" s="1">
        <v>7.125</v>
      </c>
    </row>
    <row r="215" spans="1:8" x14ac:dyDescent="0.25">
      <c r="A215" s="1">
        <v>2</v>
      </c>
      <c r="B215" s="2">
        <v>7.0650000000000004</v>
      </c>
      <c r="C215" s="2">
        <v>1.2110000000000001</v>
      </c>
      <c r="D215" s="2">
        <v>7.0629999999999997</v>
      </c>
    </row>
    <row r="216" spans="1:8" x14ac:dyDescent="0.25">
      <c r="A216" s="1">
        <v>3</v>
      </c>
      <c r="B216" s="2">
        <v>5.6529999999999996</v>
      </c>
      <c r="C216" s="2">
        <v>3.9649999999999999</v>
      </c>
      <c r="D216" s="2">
        <v>5.6429999999999998</v>
      </c>
    </row>
    <row r="217" spans="1:8" x14ac:dyDescent="0.25">
      <c r="A217" s="1">
        <v>4</v>
      </c>
      <c r="B217" s="2">
        <v>4.1630000000000003</v>
      </c>
      <c r="C217" s="2">
        <v>5.4619999999999997</v>
      </c>
      <c r="D217" s="2">
        <v>4.1550000000000002</v>
      </c>
    </row>
    <row r="218" spans="1:8" x14ac:dyDescent="0.25">
      <c r="A218" s="1">
        <v>5</v>
      </c>
      <c r="B218" s="2">
        <v>2.75</v>
      </c>
      <c r="C218" s="2">
        <v>6.8789999999999996</v>
      </c>
      <c r="D218" s="2">
        <v>2.746</v>
      </c>
    </row>
    <row r="220" spans="1:8" x14ac:dyDescent="0.25">
      <c r="A220" s="1" t="s">
        <v>6</v>
      </c>
      <c r="B220" s="5">
        <v>45785.612500000003</v>
      </c>
    </row>
    <row r="221" spans="1:8" x14ac:dyDescent="0.25">
      <c r="A221" s="1" t="s">
        <v>0</v>
      </c>
      <c r="B221" s="2" t="s">
        <v>1</v>
      </c>
      <c r="C221" s="2" t="s">
        <v>2</v>
      </c>
      <c r="D221" s="2" t="s">
        <v>3</v>
      </c>
      <c r="F221" s="1" t="s">
        <v>35</v>
      </c>
      <c r="G221" s="1" t="s">
        <v>4</v>
      </c>
      <c r="H221" s="1" t="s">
        <v>32</v>
      </c>
    </row>
    <row r="222" spans="1:8" x14ac:dyDescent="0.25">
      <c r="A222" s="1">
        <v>1</v>
      </c>
      <c r="B222" s="2">
        <v>8.4</v>
      </c>
      <c r="C222" s="2">
        <v>1.2070000000000001</v>
      </c>
      <c r="D222" s="2">
        <v>8.3870000000000005</v>
      </c>
      <c r="F222" s="1">
        <v>5.0000000000000001E-3</v>
      </c>
      <c r="G222" s="1">
        <v>-0.99399999999999999</v>
      </c>
      <c r="H222" s="1">
        <v>9.5890000000000004</v>
      </c>
    </row>
    <row r="223" spans="1:8" x14ac:dyDescent="0.25">
      <c r="A223" s="1">
        <v>2</v>
      </c>
      <c r="B223" s="2">
        <v>6.99</v>
      </c>
      <c r="C223" s="2">
        <v>2.621</v>
      </c>
      <c r="D223" s="2">
        <v>6.9859999999999998</v>
      </c>
    </row>
    <row r="224" spans="1:8" x14ac:dyDescent="0.25">
      <c r="A224" s="1">
        <v>3</v>
      </c>
      <c r="B224" s="2">
        <v>5.6310000000000002</v>
      </c>
      <c r="C224" s="2">
        <v>3.9860000000000002</v>
      </c>
      <c r="D224" s="2">
        <v>5.6230000000000002</v>
      </c>
    </row>
    <row r="225" spans="1:8" x14ac:dyDescent="0.25">
      <c r="A225" s="1">
        <v>4</v>
      </c>
      <c r="B225" s="2">
        <v>4.2229999999999999</v>
      </c>
      <c r="C225" s="2">
        <v>5.4009999999999998</v>
      </c>
      <c r="D225" s="2">
        <v>4.2249999999999996</v>
      </c>
    </row>
    <row r="226" spans="1:8" x14ac:dyDescent="0.25">
      <c r="A226" s="1">
        <v>5</v>
      </c>
      <c r="B226" s="2">
        <v>2.75</v>
      </c>
      <c r="C226" s="2">
        <v>6.8810000000000002</v>
      </c>
      <c r="D226" s="2">
        <v>2.7450000000000001</v>
      </c>
    </row>
    <row r="228" spans="1:8" x14ac:dyDescent="0.25">
      <c r="A228" s="1" t="s">
        <v>6</v>
      </c>
      <c r="B228" s="5">
        <v>45785.618055555555</v>
      </c>
    </row>
    <row r="229" spans="1:8" x14ac:dyDescent="0.25">
      <c r="A229" s="1" t="s">
        <v>0</v>
      </c>
      <c r="B229" s="2" t="s">
        <v>1</v>
      </c>
      <c r="C229" s="2" t="s">
        <v>2</v>
      </c>
      <c r="D229" s="2" t="s">
        <v>3</v>
      </c>
      <c r="F229" s="1" t="s">
        <v>35</v>
      </c>
      <c r="G229" s="1" t="s">
        <v>4</v>
      </c>
      <c r="H229" s="1" t="s">
        <v>32</v>
      </c>
    </row>
    <row r="230" spans="1:8" x14ac:dyDescent="0.25">
      <c r="A230" s="1">
        <v>1</v>
      </c>
      <c r="B230" s="2">
        <v>8.4</v>
      </c>
      <c r="C230" s="2">
        <v>1.2070000000000001</v>
      </c>
      <c r="D230" s="2">
        <v>8.3859999999999992</v>
      </c>
      <c r="F230" s="1">
        <v>0.01</v>
      </c>
      <c r="G230" s="1">
        <v>-0.995</v>
      </c>
      <c r="H230" s="1">
        <v>9.5960000000000001</v>
      </c>
    </row>
    <row r="231" spans="1:8" x14ac:dyDescent="0.25">
      <c r="A231" s="1">
        <v>2</v>
      </c>
      <c r="B231" s="2">
        <v>7.0780000000000003</v>
      </c>
      <c r="C231" s="2">
        <v>2.5299999999999998</v>
      </c>
      <c r="D231" s="2">
        <v>7.0869999999999997</v>
      </c>
    </row>
    <row r="232" spans="1:8" x14ac:dyDescent="0.25">
      <c r="A232" s="1">
        <v>3</v>
      </c>
      <c r="B232" s="2">
        <v>5.6689999999999996</v>
      </c>
      <c r="C232" s="2">
        <v>3.9489999999999998</v>
      </c>
      <c r="D232" s="2">
        <v>5.6669999999999998</v>
      </c>
    </row>
    <row r="233" spans="1:8" x14ac:dyDescent="0.25">
      <c r="A233" s="1">
        <v>4</v>
      </c>
      <c r="B233" s="2">
        <v>4.2050000000000001</v>
      </c>
      <c r="C233" s="2">
        <v>5.4189999999999996</v>
      </c>
      <c r="D233" s="2">
        <v>4.2050000000000001</v>
      </c>
    </row>
    <row r="234" spans="1:8" x14ac:dyDescent="0.25">
      <c r="A234" s="1">
        <v>5</v>
      </c>
      <c r="B234" s="2">
        <v>2.75</v>
      </c>
      <c r="C234" s="2">
        <v>6.8789999999999996</v>
      </c>
      <c r="D234" s="2">
        <v>2.7429999999999999</v>
      </c>
    </row>
    <row r="236" spans="1:8" x14ac:dyDescent="0.25">
      <c r="A236" s="1" t="s">
        <v>39</v>
      </c>
      <c r="B236" s="5">
        <v>45790.675000000003</v>
      </c>
    </row>
    <row r="237" spans="1:8" x14ac:dyDescent="0.25">
      <c r="A237" s="1" t="s">
        <v>0</v>
      </c>
      <c r="B237" s="2" t="s">
        <v>1</v>
      </c>
      <c r="C237" s="2" t="s">
        <v>2</v>
      </c>
      <c r="D237" s="2" t="s">
        <v>3</v>
      </c>
      <c r="F237" s="1" t="s">
        <v>35</v>
      </c>
      <c r="G237" s="1" t="s">
        <v>4</v>
      </c>
      <c r="H237" s="1" t="s">
        <v>32</v>
      </c>
    </row>
    <row r="238" spans="1:8" x14ac:dyDescent="0.25">
      <c r="A238" s="1">
        <v>1</v>
      </c>
      <c r="B238" s="2">
        <v>8.4</v>
      </c>
      <c r="C238" s="2">
        <v>1.208</v>
      </c>
      <c r="D238" s="2">
        <v>8.4039999999999999</v>
      </c>
      <c r="F238" s="1">
        <v>0</v>
      </c>
      <c r="G238" s="1">
        <v>-0.99299999999999999</v>
      </c>
      <c r="H238" s="1">
        <v>9.6029999999999998</v>
      </c>
    </row>
    <row r="239" spans="1:8" x14ac:dyDescent="0.25">
      <c r="A239" s="1">
        <v>2</v>
      </c>
      <c r="B239" s="2">
        <v>7.0010000000000003</v>
      </c>
      <c r="C239" s="2">
        <v>2.6080000000000001</v>
      </c>
      <c r="D239" s="2">
        <v>7.0129999999999999</v>
      </c>
    </row>
    <row r="240" spans="1:8" x14ac:dyDescent="0.25">
      <c r="A240" s="1">
        <v>3</v>
      </c>
      <c r="B240" s="2">
        <v>5.6710000000000003</v>
      </c>
      <c r="C240" s="2">
        <v>3.9449999999999998</v>
      </c>
      <c r="D240" s="2">
        <v>5.6849999999999996</v>
      </c>
    </row>
    <row r="241" spans="1:8" x14ac:dyDescent="0.25">
      <c r="A241" s="1">
        <v>4</v>
      </c>
      <c r="B241" s="2">
        <v>4.2549999999999999</v>
      </c>
      <c r="C241" s="2">
        <v>5.3680000000000003</v>
      </c>
      <c r="D241" s="2">
        <v>4.2720000000000002</v>
      </c>
    </row>
    <row r="242" spans="1:8" x14ac:dyDescent="0.25">
      <c r="A242" s="1">
        <v>5</v>
      </c>
      <c r="B242" s="2">
        <v>2.75</v>
      </c>
      <c r="C242" s="2">
        <v>6.8789999999999996</v>
      </c>
      <c r="D242" s="2">
        <v>2.7730000000000001</v>
      </c>
    </row>
    <row r="244" spans="1:8" x14ac:dyDescent="0.25">
      <c r="A244" s="1" t="s">
        <v>39</v>
      </c>
      <c r="B244" s="5">
        <v>45790.681944444441</v>
      </c>
    </row>
    <row r="245" spans="1:8" x14ac:dyDescent="0.25">
      <c r="A245" s="1" t="s">
        <v>0</v>
      </c>
      <c r="B245" s="2" t="s">
        <v>1</v>
      </c>
      <c r="C245" s="2" t="s">
        <v>2</v>
      </c>
      <c r="D245" s="2" t="s">
        <v>3</v>
      </c>
      <c r="F245" s="1" t="s">
        <v>35</v>
      </c>
      <c r="G245" s="1" t="s">
        <v>4</v>
      </c>
      <c r="H245" s="1" t="s">
        <v>32</v>
      </c>
    </row>
    <row r="246" spans="1:8" x14ac:dyDescent="0.25">
      <c r="A246" s="1">
        <v>1</v>
      </c>
      <c r="B246" s="2">
        <v>8.4</v>
      </c>
      <c r="C246" s="2">
        <v>1.202</v>
      </c>
      <c r="D246" s="2">
        <v>8.4079999999999995</v>
      </c>
      <c r="F246" s="1">
        <v>0</v>
      </c>
      <c r="G246" s="1">
        <v>-0.99299999999999999</v>
      </c>
      <c r="H246" s="1">
        <v>9.6020000000000003</v>
      </c>
    </row>
    <row r="247" spans="1:8" x14ac:dyDescent="0.25">
      <c r="A247" s="1">
        <v>2</v>
      </c>
      <c r="B247" s="2">
        <v>7.0330000000000004</v>
      </c>
      <c r="C247" s="2">
        <v>2.5790000000000002</v>
      </c>
      <c r="D247" s="2">
        <v>7.0419999999999998</v>
      </c>
    </row>
    <row r="248" spans="1:8" x14ac:dyDescent="0.25">
      <c r="A248" s="1">
        <v>3</v>
      </c>
      <c r="B248" s="2">
        <v>5.6710000000000003</v>
      </c>
      <c r="C248" s="2">
        <v>3.944</v>
      </c>
      <c r="D248" s="2">
        <v>5.6859999999999999</v>
      </c>
    </row>
    <row r="249" spans="1:8" x14ac:dyDescent="0.25">
      <c r="A249" s="1">
        <v>4</v>
      </c>
      <c r="B249" s="2">
        <v>4.2229999999999999</v>
      </c>
      <c r="C249" s="2">
        <v>5.3979999999999997</v>
      </c>
      <c r="D249" s="2">
        <v>4.242</v>
      </c>
    </row>
    <row r="250" spans="1:8" x14ac:dyDescent="0.25">
      <c r="A250" s="1">
        <v>5</v>
      </c>
      <c r="B250" s="2">
        <v>2.75</v>
      </c>
      <c r="C250" s="2">
        <v>6.8780000000000001</v>
      </c>
      <c r="D250" s="2">
        <v>2.7730000000000001</v>
      </c>
    </row>
    <row r="251" spans="1:8" ht="13.5" customHeight="1" x14ac:dyDescent="0.25"/>
    <row r="252" spans="1:8" x14ac:dyDescent="0.25">
      <c r="A252" s="1" t="s">
        <v>7</v>
      </c>
      <c r="B252" s="5">
        <v>45791.396527777775</v>
      </c>
    </row>
    <row r="253" spans="1:8" x14ac:dyDescent="0.25">
      <c r="A253" s="1" t="s">
        <v>0</v>
      </c>
      <c r="B253" s="2" t="s">
        <v>1</v>
      </c>
      <c r="C253" s="2" t="s">
        <v>2</v>
      </c>
      <c r="D253" s="2" t="s">
        <v>3</v>
      </c>
      <c r="F253" s="1" t="s">
        <v>35</v>
      </c>
      <c r="G253" s="1" t="s">
        <v>4</v>
      </c>
      <c r="H253" s="1" t="s">
        <v>32</v>
      </c>
    </row>
    <row r="254" spans="1:8" x14ac:dyDescent="0.25">
      <c r="A254" s="1">
        <v>1</v>
      </c>
      <c r="B254" s="2">
        <v>8.4</v>
      </c>
      <c r="C254" s="2">
        <v>1.208</v>
      </c>
      <c r="D254" s="2">
        <v>8.3930000000000007</v>
      </c>
      <c r="F254" s="1">
        <v>8.0000000000000002E-3</v>
      </c>
      <c r="G254" s="1">
        <v>-0.997</v>
      </c>
      <c r="H254" s="1">
        <v>9.5990000000000002</v>
      </c>
    </row>
    <row r="255" spans="1:8" x14ac:dyDescent="0.25">
      <c r="A255" s="1">
        <v>2</v>
      </c>
      <c r="B255" s="2">
        <v>7.0019999999999998</v>
      </c>
      <c r="C255" s="2">
        <v>2.6080000000000001</v>
      </c>
      <c r="D255" s="2">
        <v>6.9969999999999999</v>
      </c>
    </row>
    <row r="256" spans="1:8" x14ac:dyDescent="0.25">
      <c r="A256" s="1">
        <v>3</v>
      </c>
      <c r="B256" s="2">
        <v>5.5970000000000004</v>
      </c>
      <c r="C256" s="2">
        <v>4.0179999999999998</v>
      </c>
      <c r="D256" s="2">
        <v>5.6020000000000003</v>
      </c>
    </row>
    <row r="257" spans="1:8" x14ac:dyDescent="0.25">
      <c r="A257" s="1">
        <v>4</v>
      </c>
      <c r="B257" s="2">
        <v>4.2619999999999996</v>
      </c>
      <c r="C257" s="2">
        <v>5.3579999999999997</v>
      </c>
      <c r="D257" s="2">
        <v>4.2560000000000002</v>
      </c>
    </row>
    <row r="258" spans="1:8" x14ac:dyDescent="0.25">
      <c r="A258" s="1">
        <v>5</v>
      </c>
      <c r="B258" s="2">
        <v>2.75</v>
      </c>
      <c r="C258" s="2">
        <v>6.8780000000000001</v>
      </c>
      <c r="D258" s="2">
        <v>2.742</v>
      </c>
    </row>
    <row r="260" spans="1:8" x14ac:dyDescent="0.25">
      <c r="A260" s="1" t="s">
        <v>7</v>
      </c>
      <c r="B260" s="5">
        <v>45791.404861111114</v>
      </c>
    </row>
    <row r="261" spans="1:8" x14ac:dyDescent="0.25">
      <c r="A261" s="1" t="s">
        <v>0</v>
      </c>
      <c r="B261" s="2" t="s">
        <v>1</v>
      </c>
      <c r="C261" s="2" t="s">
        <v>2</v>
      </c>
      <c r="D261" s="2" t="s">
        <v>3</v>
      </c>
      <c r="F261" s="1" t="s">
        <v>35</v>
      </c>
      <c r="G261" s="1" t="s">
        <v>4</v>
      </c>
      <c r="H261" s="1" t="s">
        <v>32</v>
      </c>
    </row>
    <row r="262" spans="1:8" x14ac:dyDescent="0.25">
      <c r="A262" s="1">
        <v>1</v>
      </c>
      <c r="B262" s="2">
        <v>8.4</v>
      </c>
      <c r="C262" s="2">
        <v>1.2070000000000001</v>
      </c>
      <c r="D262" s="2">
        <v>8.3949999999999996</v>
      </c>
      <c r="F262" s="1">
        <v>5.0000000000000001E-3</v>
      </c>
      <c r="G262" s="1">
        <v>-0.997</v>
      </c>
      <c r="H262" s="1">
        <v>9.5980000000000008</v>
      </c>
    </row>
    <row r="263" spans="1:8" x14ac:dyDescent="0.25">
      <c r="A263" s="1">
        <v>2</v>
      </c>
      <c r="B263" s="2">
        <v>6.99</v>
      </c>
      <c r="C263" s="2">
        <v>2.62</v>
      </c>
      <c r="D263" s="2">
        <v>6.9870000000000001</v>
      </c>
    </row>
    <row r="264" spans="1:8" x14ac:dyDescent="0.25">
      <c r="A264" s="1">
        <v>3</v>
      </c>
      <c r="B264" s="2">
        <v>5.6130000000000004</v>
      </c>
      <c r="C264" s="2">
        <v>3.9990000000000001</v>
      </c>
      <c r="D264" s="2">
        <v>5.6109999999999998</v>
      </c>
    </row>
    <row r="265" spans="1:8" x14ac:dyDescent="0.25">
      <c r="A265" s="1">
        <v>4</v>
      </c>
      <c r="B265" s="2">
        <v>4.2050000000000001</v>
      </c>
      <c r="C265" s="2">
        <v>5.4130000000000003</v>
      </c>
      <c r="D265" s="2">
        <v>4.2080000000000002</v>
      </c>
    </row>
    <row r="266" spans="1:8" x14ac:dyDescent="0.25">
      <c r="A266" s="1">
        <v>5</v>
      </c>
      <c r="B266" s="2">
        <v>2.75</v>
      </c>
      <c r="C266" s="2">
        <v>6.875</v>
      </c>
      <c r="D266" s="2">
        <v>2.7429999999999999</v>
      </c>
    </row>
    <row r="268" spans="1:8" x14ac:dyDescent="0.25">
      <c r="A268" s="1" t="s">
        <v>7</v>
      </c>
      <c r="B268" s="5">
        <v>45791.570833333331</v>
      </c>
    </row>
    <row r="269" spans="1:8" x14ac:dyDescent="0.25">
      <c r="A269" s="1" t="s">
        <v>0</v>
      </c>
      <c r="B269" s="2" t="s">
        <v>1</v>
      </c>
      <c r="C269" s="2" t="s">
        <v>2</v>
      </c>
      <c r="D269" s="2" t="s">
        <v>3</v>
      </c>
      <c r="F269" s="1" t="s">
        <v>35</v>
      </c>
      <c r="G269" s="1" t="s">
        <v>4</v>
      </c>
      <c r="H269" s="1" t="s">
        <v>32</v>
      </c>
    </row>
    <row r="270" spans="1:8" x14ac:dyDescent="0.25">
      <c r="A270" s="1">
        <v>1</v>
      </c>
      <c r="B270" s="2">
        <v>8.4</v>
      </c>
      <c r="C270" s="2">
        <v>1.2070000000000001</v>
      </c>
      <c r="D270" s="2">
        <v>8.3989999999999991</v>
      </c>
      <c r="F270" s="1">
        <v>8.0000000000000002E-3</v>
      </c>
      <c r="G270" s="1">
        <v>-0.998</v>
      </c>
      <c r="H270" s="1">
        <v>9.6059999999999999</v>
      </c>
    </row>
    <row r="271" spans="1:8" x14ac:dyDescent="0.25">
      <c r="A271" s="1">
        <v>2</v>
      </c>
      <c r="B271" s="2">
        <v>7.0830000000000002</v>
      </c>
      <c r="C271" s="2">
        <v>2.5299999999999998</v>
      </c>
      <c r="D271" s="2">
        <v>7.08</v>
      </c>
    </row>
    <row r="272" spans="1:8" x14ac:dyDescent="0.25">
      <c r="A272" s="1">
        <v>3</v>
      </c>
      <c r="B272" s="2">
        <v>5.6660000000000004</v>
      </c>
      <c r="C272" s="2">
        <v>3.95</v>
      </c>
      <c r="D272" s="2">
        <v>5.673</v>
      </c>
    </row>
    <row r="273" spans="1:8" x14ac:dyDescent="0.25">
      <c r="A273" s="1">
        <v>4</v>
      </c>
      <c r="B273" s="2">
        <v>4.1639999999999997</v>
      </c>
      <c r="C273" s="2">
        <v>5.4580000000000002</v>
      </c>
      <c r="D273" s="2">
        <v>4.1609999999999996</v>
      </c>
    </row>
    <row r="274" spans="1:8" x14ac:dyDescent="0.25">
      <c r="A274" s="1">
        <v>5</v>
      </c>
      <c r="B274" s="2">
        <v>2.75</v>
      </c>
      <c r="C274" s="2">
        <v>6.8739999999999997</v>
      </c>
      <c r="D274" s="2">
        <v>2.7429999999999999</v>
      </c>
    </row>
    <row r="276" spans="1:8" x14ac:dyDescent="0.25">
      <c r="A276" s="1" t="s">
        <v>36</v>
      </c>
      <c r="B276" s="5">
        <v>45791.585416666669</v>
      </c>
    </row>
    <row r="277" spans="1:8" x14ac:dyDescent="0.25">
      <c r="A277" s="1" t="s">
        <v>0</v>
      </c>
      <c r="B277" s="2" t="s">
        <v>1</v>
      </c>
      <c r="C277" s="2" t="s">
        <v>2</v>
      </c>
      <c r="D277" s="2" t="s">
        <v>3</v>
      </c>
      <c r="F277" s="1" t="s">
        <v>35</v>
      </c>
      <c r="G277" s="1" t="s">
        <v>4</v>
      </c>
      <c r="H277" s="1" t="s">
        <v>32</v>
      </c>
    </row>
    <row r="278" spans="1:8" x14ac:dyDescent="0.25">
      <c r="A278" s="1">
        <v>1</v>
      </c>
      <c r="B278" s="2">
        <v>8.4</v>
      </c>
      <c r="C278" s="2">
        <v>1.21</v>
      </c>
      <c r="D278" s="2">
        <v>8.39</v>
      </c>
      <c r="F278" s="1">
        <v>3.0000000000000001E-3</v>
      </c>
      <c r="G278" s="1">
        <v>-0.997</v>
      </c>
      <c r="H278" s="1">
        <v>9.5990000000000002</v>
      </c>
    </row>
    <row r="279" spans="1:8" x14ac:dyDescent="0.25">
      <c r="A279" s="1">
        <v>2</v>
      </c>
      <c r="B279" s="2">
        <v>7.06</v>
      </c>
      <c r="C279" s="2">
        <v>2.5499999999999998</v>
      </c>
      <c r="D279" s="2">
        <v>7.0590000000000002</v>
      </c>
    </row>
    <row r="280" spans="1:8" x14ac:dyDescent="0.25">
      <c r="A280" s="1">
        <v>3</v>
      </c>
      <c r="B280" s="2">
        <v>5.6379999999999999</v>
      </c>
      <c r="C280" s="2">
        <v>3.972</v>
      </c>
      <c r="D280" s="2">
        <v>5.64</v>
      </c>
    </row>
    <row r="281" spans="1:8" x14ac:dyDescent="0.25">
      <c r="A281" s="1">
        <v>4</v>
      </c>
      <c r="B281" s="2">
        <v>4.2430000000000003</v>
      </c>
      <c r="C281" s="2">
        <v>5.37</v>
      </c>
      <c r="D281" s="2">
        <v>4.24</v>
      </c>
    </row>
    <row r="282" spans="1:8" x14ac:dyDescent="0.25">
      <c r="A282" s="1">
        <v>5</v>
      </c>
      <c r="B282" s="2">
        <v>2.75</v>
      </c>
      <c r="C282" s="2">
        <v>6.8780000000000001</v>
      </c>
      <c r="D282" s="2">
        <v>2.74</v>
      </c>
    </row>
    <row r="284" spans="1:8" x14ac:dyDescent="0.25">
      <c r="A284" s="1" t="s">
        <v>36</v>
      </c>
      <c r="B284" s="5">
        <v>45791.595833333333</v>
      </c>
    </row>
    <row r="285" spans="1:8" x14ac:dyDescent="0.25">
      <c r="A285" s="1" t="s">
        <v>0</v>
      </c>
      <c r="B285" s="2" t="s">
        <v>1</v>
      </c>
      <c r="C285" s="2" t="s">
        <v>2</v>
      </c>
      <c r="D285" s="2" t="s">
        <v>3</v>
      </c>
      <c r="F285" s="1" t="s">
        <v>35</v>
      </c>
      <c r="G285" s="1" t="s">
        <v>4</v>
      </c>
      <c r="H285" s="1" t="s">
        <v>32</v>
      </c>
    </row>
    <row r="286" spans="1:8" x14ac:dyDescent="0.25">
      <c r="A286" s="1">
        <v>1</v>
      </c>
      <c r="B286" s="2">
        <v>8.4</v>
      </c>
      <c r="C286" s="2">
        <v>1.2110000000000001</v>
      </c>
      <c r="D286" s="2">
        <v>8.3829999999999991</v>
      </c>
      <c r="F286" s="1">
        <v>1.2999999999999999E-2</v>
      </c>
      <c r="G286" s="1">
        <v>-0.997</v>
      </c>
      <c r="H286" s="1">
        <v>9.5939999999999994</v>
      </c>
    </row>
    <row r="287" spans="1:8" x14ac:dyDescent="0.25">
      <c r="A287" s="1">
        <v>2</v>
      </c>
      <c r="B287" s="2">
        <v>7.0640000000000001</v>
      </c>
      <c r="C287" s="2">
        <v>2.5470000000000002</v>
      </c>
      <c r="D287" s="2">
        <v>7.0519999999999996</v>
      </c>
    </row>
    <row r="288" spans="1:8" x14ac:dyDescent="0.25">
      <c r="A288" s="1">
        <v>3</v>
      </c>
      <c r="B288" s="2">
        <v>5.63</v>
      </c>
      <c r="C288" s="2">
        <v>3.984</v>
      </c>
      <c r="D288" s="2">
        <v>5.6360000000000001</v>
      </c>
    </row>
    <row r="289" spans="1:8" x14ac:dyDescent="0.25">
      <c r="A289" s="1">
        <v>4</v>
      </c>
      <c r="B289" s="2">
        <v>4.1760000000000002</v>
      </c>
      <c r="C289" s="2">
        <v>5.444</v>
      </c>
      <c r="D289" s="2">
        <v>4.1669999999999998</v>
      </c>
    </row>
    <row r="290" spans="1:8" x14ac:dyDescent="0.25">
      <c r="A290" s="1">
        <v>5</v>
      </c>
      <c r="B290" s="2">
        <v>2.75</v>
      </c>
      <c r="C290" s="2">
        <v>6.875</v>
      </c>
      <c r="D290" s="2">
        <v>2.738</v>
      </c>
    </row>
    <row r="292" spans="1:8" x14ac:dyDescent="0.25">
      <c r="A292" s="1" t="s">
        <v>36</v>
      </c>
      <c r="B292" s="5">
        <v>45791.602777777778</v>
      </c>
    </row>
    <row r="293" spans="1:8" x14ac:dyDescent="0.25">
      <c r="A293" s="1" t="s">
        <v>0</v>
      </c>
      <c r="B293" s="2" t="s">
        <v>1</v>
      </c>
      <c r="C293" s="2" t="s">
        <v>2</v>
      </c>
      <c r="D293" s="2" t="s">
        <v>3</v>
      </c>
      <c r="F293" s="1" t="s">
        <v>35</v>
      </c>
      <c r="G293" s="1" t="s">
        <v>4</v>
      </c>
      <c r="H293" s="1" t="s">
        <v>32</v>
      </c>
    </row>
    <row r="294" spans="1:8" x14ac:dyDescent="0.25">
      <c r="A294" s="1">
        <v>1</v>
      </c>
      <c r="B294" s="2">
        <v>8.4</v>
      </c>
      <c r="C294" s="2">
        <v>1.208</v>
      </c>
      <c r="D294" s="2">
        <v>8.3919999999999995</v>
      </c>
      <c r="F294" s="1">
        <v>8.0000000000000002E-3</v>
      </c>
      <c r="G294" s="1">
        <v>-0.997</v>
      </c>
      <c r="H294" s="1">
        <v>9.5939999999999994</v>
      </c>
    </row>
    <row r="295" spans="1:8" x14ac:dyDescent="0.25">
      <c r="A295" s="1">
        <v>2</v>
      </c>
      <c r="B295" s="2">
        <v>7.0330000000000004</v>
      </c>
      <c r="C295" s="2">
        <v>2.57</v>
      </c>
      <c r="D295" s="2">
        <v>7.0339999999999998</v>
      </c>
    </row>
    <row r="296" spans="1:8" x14ac:dyDescent="0.25">
      <c r="A296" s="1">
        <v>3</v>
      </c>
      <c r="B296" s="2">
        <v>5.6280000000000001</v>
      </c>
      <c r="C296" s="2">
        <v>3.9860000000000002</v>
      </c>
      <c r="D296" s="2">
        <v>5.6139999999999999</v>
      </c>
    </row>
    <row r="297" spans="1:8" x14ac:dyDescent="0.25">
      <c r="A297" s="1">
        <v>4</v>
      </c>
      <c r="B297" s="2">
        <v>4.2560000000000002</v>
      </c>
      <c r="C297" s="2">
        <v>5.3609999999999998</v>
      </c>
      <c r="D297" s="2">
        <v>4.2510000000000003</v>
      </c>
    </row>
    <row r="298" spans="1:8" x14ac:dyDescent="0.25">
      <c r="A298" s="1">
        <v>5</v>
      </c>
      <c r="B298" s="2">
        <v>2.75</v>
      </c>
      <c r="C298" s="2">
        <v>6.8760000000000003</v>
      </c>
      <c r="D298" s="2">
        <v>2.7440000000000002</v>
      </c>
    </row>
    <row r="300" spans="1:8" x14ac:dyDescent="0.25">
      <c r="A300" s="1" t="s">
        <v>39</v>
      </c>
      <c r="B300" s="5">
        <v>45792.619444444441</v>
      </c>
    </row>
    <row r="301" spans="1:8" x14ac:dyDescent="0.25">
      <c r="A301" s="1" t="s">
        <v>0</v>
      </c>
      <c r="B301" s="2" t="s">
        <v>1</v>
      </c>
      <c r="C301" s="2" t="s">
        <v>2</v>
      </c>
      <c r="D301" s="2" t="s">
        <v>3</v>
      </c>
      <c r="F301" s="1" t="s">
        <v>35</v>
      </c>
      <c r="G301" s="1" t="s">
        <v>4</v>
      </c>
      <c r="H301" s="1" t="s">
        <v>32</v>
      </c>
    </row>
    <row r="302" spans="1:8" x14ac:dyDescent="0.25">
      <c r="A302" s="1">
        <v>1</v>
      </c>
      <c r="B302" s="2">
        <v>8.4</v>
      </c>
      <c r="C302" s="2">
        <v>1.206</v>
      </c>
      <c r="D302" s="2">
        <v>8.4060000000000006</v>
      </c>
      <c r="F302" s="1">
        <v>0</v>
      </c>
      <c r="G302" s="1">
        <v>-0.99299999999999999</v>
      </c>
      <c r="H302" s="1">
        <v>9.6029999999999998</v>
      </c>
    </row>
    <row r="303" spans="1:8" x14ac:dyDescent="0.25">
      <c r="A303" s="1">
        <v>2</v>
      </c>
      <c r="B303" s="2">
        <v>7.0739999999999998</v>
      </c>
      <c r="C303" s="2">
        <v>2.524</v>
      </c>
      <c r="D303" s="2">
        <v>7.0960000000000001</v>
      </c>
    </row>
    <row r="304" spans="1:8" x14ac:dyDescent="0.25">
      <c r="A304" s="1">
        <v>3</v>
      </c>
      <c r="B304" s="2">
        <v>5.6559999999999997</v>
      </c>
      <c r="C304" s="2">
        <v>3.9590000000000001</v>
      </c>
      <c r="D304" s="2">
        <v>5.6710000000000003</v>
      </c>
    </row>
    <row r="305" spans="1:8" x14ac:dyDescent="0.25">
      <c r="A305" s="1">
        <v>4</v>
      </c>
      <c r="B305" s="2">
        <v>4.1859999999999999</v>
      </c>
      <c r="C305" s="2">
        <v>5.4370000000000003</v>
      </c>
      <c r="D305" s="2">
        <v>4.2039999999999997</v>
      </c>
    </row>
    <row r="306" spans="1:8" x14ac:dyDescent="0.25">
      <c r="A306" s="1">
        <v>5</v>
      </c>
      <c r="B306" s="2">
        <v>2.75</v>
      </c>
      <c r="C306" s="2">
        <v>6.8769999999999998</v>
      </c>
      <c r="D306" s="2">
        <v>2.774</v>
      </c>
    </row>
    <row r="308" spans="1:8" x14ac:dyDescent="0.25">
      <c r="A308" s="1" t="s">
        <v>38</v>
      </c>
      <c r="B308" s="5">
        <v>45796.407638888886</v>
      </c>
    </row>
    <row r="309" spans="1:8" x14ac:dyDescent="0.25">
      <c r="A309" s="1" t="s">
        <v>0</v>
      </c>
      <c r="B309" s="2" t="s">
        <v>1</v>
      </c>
      <c r="C309" s="2" t="s">
        <v>2</v>
      </c>
      <c r="D309" s="2" t="s">
        <v>3</v>
      </c>
      <c r="F309" s="1" t="s">
        <v>35</v>
      </c>
      <c r="G309" s="1" t="s">
        <v>4</v>
      </c>
      <c r="H309" s="1" t="s">
        <v>32</v>
      </c>
    </row>
    <row r="310" spans="1:8" x14ac:dyDescent="0.25">
      <c r="A310" s="1">
        <v>1</v>
      </c>
      <c r="B310" s="2">
        <v>8.4</v>
      </c>
      <c r="C310" s="2">
        <v>1.2090000000000001</v>
      </c>
      <c r="D310" s="2">
        <v>8.3879999999999999</v>
      </c>
      <c r="F310" s="1">
        <v>3.0000000000000001E-3</v>
      </c>
      <c r="G310" s="1">
        <v>-0.997</v>
      </c>
      <c r="H310" s="1">
        <v>9.5960000000000001</v>
      </c>
    </row>
    <row r="311" spans="1:8" x14ac:dyDescent="0.25">
      <c r="A311" s="1">
        <v>2</v>
      </c>
      <c r="B311" s="2">
        <v>7.0519999999999996</v>
      </c>
      <c r="C311" s="2">
        <v>2.5499999999999998</v>
      </c>
      <c r="D311" s="2">
        <v>7.056</v>
      </c>
    </row>
    <row r="312" spans="1:8" x14ac:dyDescent="0.25">
      <c r="A312" s="1">
        <v>3</v>
      </c>
      <c r="B312" s="2">
        <v>5.6219999999999999</v>
      </c>
      <c r="C312" s="2">
        <v>3.9929999999999999</v>
      </c>
      <c r="D312" s="2">
        <v>5.6180000000000003</v>
      </c>
    </row>
    <row r="313" spans="1:8" x14ac:dyDescent="0.25">
      <c r="A313" s="1">
        <v>4</v>
      </c>
      <c r="B313" s="2">
        <v>4.2530000000000001</v>
      </c>
      <c r="C313" s="2">
        <v>5.3680000000000003</v>
      </c>
      <c r="D313" s="2">
        <v>4.242</v>
      </c>
    </row>
    <row r="314" spans="1:8" x14ac:dyDescent="0.25">
      <c r="A314" s="1">
        <v>5</v>
      </c>
      <c r="B314" s="2">
        <v>2.75</v>
      </c>
      <c r="C314" s="2">
        <v>6.875</v>
      </c>
      <c r="D314" s="2">
        <v>2.74</v>
      </c>
    </row>
    <row r="316" spans="1:8" x14ac:dyDescent="0.25">
      <c r="A316" s="1" t="s">
        <v>38</v>
      </c>
      <c r="B316" s="5">
        <v>45796.415277777778</v>
      </c>
    </row>
    <row r="317" spans="1:8" x14ac:dyDescent="0.25">
      <c r="A317" s="1" t="s">
        <v>0</v>
      </c>
      <c r="B317" s="2" t="s">
        <v>1</v>
      </c>
      <c r="C317" s="2" t="s">
        <v>2</v>
      </c>
      <c r="D317" s="2" t="s">
        <v>3</v>
      </c>
      <c r="F317" s="1" t="s">
        <v>35</v>
      </c>
      <c r="G317" s="1" t="s">
        <v>4</v>
      </c>
      <c r="H317" s="1" t="s">
        <v>32</v>
      </c>
    </row>
    <row r="318" spans="1:8" x14ac:dyDescent="0.25">
      <c r="A318" s="1">
        <v>1</v>
      </c>
      <c r="B318" s="2">
        <v>8.4</v>
      </c>
      <c r="C318" s="2">
        <v>1.21</v>
      </c>
      <c r="D318" s="2">
        <v>8.39</v>
      </c>
      <c r="F318" s="1">
        <v>1.4999999999999999E-2</v>
      </c>
      <c r="G318" s="1">
        <v>-0.99299999999999999</v>
      </c>
      <c r="H318" s="1">
        <v>9.5869999999999997</v>
      </c>
    </row>
    <row r="319" spans="1:8" x14ac:dyDescent="0.25">
      <c r="A319" s="1">
        <v>2</v>
      </c>
      <c r="B319" s="2">
        <v>7.0659999999999998</v>
      </c>
      <c r="C319" s="2">
        <v>2.54</v>
      </c>
      <c r="D319" s="2">
        <v>7.0490000000000004</v>
      </c>
    </row>
    <row r="320" spans="1:8" x14ac:dyDescent="0.25">
      <c r="A320" s="1">
        <v>3</v>
      </c>
      <c r="B320" s="2">
        <v>5.6180000000000003</v>
      </c>
      <c r="C320" s="2">
        <v>3.9990000000000001</v>
      </c>
      <c r="D320" s="2">
        <v>5.62</v>
      </c>
    </row>
    <row r="321" spans="1:8" x14ac:dyDescent="0.25">
      <c r="A321" s="1">
        <v>4</v>
      </c>
      <c r="B321" s="2">
        <v>4.2450000000000001</v>
      </c>
      <c r="C321" s="2">
        <v>5.3760000000000003</v>
      </c>
      <c r="D321" s="2">
        <v>4.26</v>
      </c>
    </row>
    <row r="322" spans="1:8" x14ac:dyDescent="0.25">
      <c r="A322" s="1">
        <v>5</v>
      </c>
      <c r="B322" s="2">
        <v>2.75</v>
      </c>
      <c r="C322" s="2">
        <v>6.8789999999999996</v>
      </c>
      <c r="D322" s="2">
        <v>2.7440000000000002</v>
      </c>
    </row>
    <row r="324" spans="1:8" x14ac:dyDescent="0.25">
      <c r="A324" s="1" t="s">
        <v>38</v>
      </c>
      <c r="B324" s="5">
        <v>45796.422222222223</v>
      </c>
    </row>
    <row r="325" spans="1:8" x14ac:dyDescent="0.25">
      <c r="A325" s="1" t="s">
        <v>0</v>
      </c>
      <c r="B325" s="2" t="s">
        <v>1</v>
      </c>
      <c r="C325" s="2" t="s">
        <v>2</v>
      </c>
      <c r="D325" s="2" t="s">
        <v>3</v>
      </c>
      <c r="F325" s="1" t="s">
        <v>35</v>
      </c>
      <c r="G325" s="1" t="s">
        <v>4</v>
      </c>
      <c r="H325" s="1" t="s">
        <v>32</v>
      </c>
    </row>
    <row r="326" spans="1:8" x14ac:dyDescent="0.25">
      <c r="A326" s="1">
        <v>1</v>
      </c>
      <c r="B326" s="2">
        <v>8.4</v>
      </c>
      <c r="C326" s="2">
        <v>1.2090000000000001</v>
      </c>
      <c r="D326" s="2">
        <v>8.3930000000000007</v>
      </c>
      <c r="F326" s="1">
        <v>5.0000000000000001E-3</v>
      </c>
      <c r="G326" s="1">
        <v>-0.997</v>
      </c>
      <c r="H326" s="1">
        <v>9.6</v>
      </c>
    </row>
    <row r="327" spans="1:8" x14ac:dyDescent="0.25">
      <c r="A327" s="1">
        <v>2</v>
      </c>
      <c r="B327" s="2">
        <v>7.0380000000000003</v>
      </c>
      <c r="C327" s="2">
        <v>2.5710000000000002</v>
      </c>
      <c r="D327" s="2">
        <v>7.0419999999999998</v>
      </c>
    </row>
    <row r="328" spans="1:8" x14ac:dyDescent="0.25">
      <c r="A328" s="1">
        <v>3</v>
      </c>
      <c r="B328" s="2">
        <v>5.66</v>
      </c>
      <c r="C328" s="2">
        <v>3.956</v>
      </c>
      <c r="D328" s="2">
        <v>5.6539999999999999</v>
      </c>
    </row>
    <row r="329" spans="1:8" x14ac:dyDescent="0.25">
      <c r="A329" s="1">
        <v>4</v>
      </c>
      <c r="B329" s="2">
        <v>4.1669999999999998</v>
      </c>
      <c r="C329" s="2">
        <v>5.4560000000000004</v>
      </c>
      <c r="D329" s="2">
        <v>4.16</v>
      </c>
    </row>
    <row r="330" spans="1:8" x14ac:dyDescent="0.25">
      <c r="A330" s="1">
        <v>5</v>
      </c>
      <c r="B330" s="2">
        <v>2.75</v>
      </c>
      <c r="C330" s="2">
        <v>6.8780000000000001</v>
      </c>
      <c r="D330" s="2">
        <v>2.7429999999999999</v>
      </c>
    </row>
    <row r="332" spans="1:8" x14ac:dyDescent="0.25">
      <c r="A332" s="1" t="s">
        <v>6</v>
      </c>
      <c r="B332" s="5">
        <v>45796.427777777775</v>
      </c>
    </row>
    <row r="333" spans="1:8" x14ac:dyDescent="0.25">
      <c r="A333" s="1" t="s">
        <v>0</v>
      </c>
      <c r="B333" s="2" t="s">
        <v>1</v>
      </c>
      <c r="C333" s="2" t="s">
        <v>2</v>
      </c>
      <c r="D333" s="2" t="s">
        <v>3</v>
      </c>
      <c r="F333" s="1" t="s">
        <v>35</v>
      </c>
      <c r="G333" s="1" t="s">
        <v>4</v>
      </c>
      <c r="H333" s="1" t="s">
        <v>32</v>
      </c>
    </row>
    <row r="334" spans="1:8" x14ac:dyDescent="0.25">
      <c r="A334" s="1">
        <v>1</v>
      </c>
      <c r="B334" s="2">
        <v>8.4</v>
      </c>
      <c r="C334" s="2">
        <v>1.208</v>
      </c>
      <c r="D334" s="2">
        <v>8.39</v>
      </c>
      <c r="F334" s="1">
        <v>2E-3</v>
      </c>
      <c r="G334" s="1">
        <v>-0.995</v>
      </c>
      <c r="H334" s="1">
        <v>9.59</v>
      </c>
    </row>
    <row r="335" spans="1:8" x14ac:dyDescent="0.25">
      <c r="A335" s="1">
        <v>2</v>
      </c>
      <c r="B335" s="2">
        <v>6.9980000000000002</v>
      </c>
      <c r="C335" s="2">
        <v>2.613</v>
      </c>
      <c r="D335" s="2">
        <v>6.99</v>
      </c>
    </row>
    <row r="336" spans="1:8" x14ac:dyDescent="0.25">
      <c r="A336" s="1">
        <v>3</v>
      </c>
      <c r="B336" s="2">
        <v>5.6180000000000003</v>
      </c>
      <c r="C336" s="2">
        <v>3.9929999999999999</v>
      </c>
      <c r="D336" s="2">
        <v>5.617</v>
      </c>
    </row>
    <row r="337" spans="1:8" x14ac:dyDescent="0.25">
      <c r="A337" s="1">
        <v>4</v>
      </c>
      <c r="B337" s="2">
        <v>4.1669999999999998</v>
      </c>
      <c r="C337" s="2">
        <v>5.4539999999999997</v>
      </c>
      <c r="D337" s="2">
        <v>4.165</v>
      </c>
    </row>
    <row r="338" spans="1:8" x14ac:dyDescent="0.25">
      <c r="A338" s="1">
        <v>5</v>
      </c>
      <c r="B338" s="2">
        <v>2.75</v>
      </c>
      <c r="C338" s="2">
        <v>6.883</v>
      </c>
      <c r="D338" s="2">
        <v>2.7450000000000001</v>
      </c>
    </row>
    <row r="340" spans="1:8" x14ac:dyDescent="0.25">
      <c r="A340" s="1" t="s">
        <v>6</v>
      </c>
      <c r="B340" s="5">
        <v>45796.43472222222</v>
      </c>
    </row>
    <row r="341" spans="1:8" x14ac:dyDescent="0.25">
      <c r="A341" s="1" t="s">
        <v>0</v>
      </c>
      <c r="B341" s="2" t="s">
        <v>1</v>
      </c>
      <c r="C341" s="2" t="s">
        <v>2</v>
      </c>
      <c r="D341" s="2" t="s">
        <v>3</v>
      </c>
      <c r="F341" s="1" t="s">
        <v>35</v>
      </c>
      <c r="G341" s="1" t="s">
        <v>4</v>
      </c>
      <c r="H341" s="1" t="s">
        <v>32</v>
      </c>
    </row>
    <row r="342" spans="1:8" x14ac:dyDescent="0.25">
      <c r="A342" s="1">
        <v>1</v>
      </c>
      <c r="B342" s="2">
        <v>8.4</v>
      </c>
      <c r="C342" s="2">
        <v>1.2090000000000001</v>
      </c>
      <c r="D342" s="2">
        <v>8.39</v>
      </c>
      <c r="F342" s="1">
        <v>6.0000000000000001E-3</v>
      </c>
      <c r="G342" s="1">
        <v>-0.996</v>
      </c>
      <c r="H342" s="1">
        <v>9.5950000000000006</v>
      </c>
    </row>
    <row r="343" spans="1:8" x14ac:dyDescent="0.25">
      <c r="A343" s="1">
        <v>2</v>
      </c>
      <c r="B343" s="2">
        <v>7.0670000000000002</v>
      </c>
      <c r="C343" s="2">
        <v>2.5430000000000001</v>
      </c>
      <c r="D343" s="2">
        <v>7.06</v>
      </c>
    </row>
    <row r="344" spans="1:8" x14ac:dyDescent="0.25">
      <c r="A344" s="1">
        <v>3</v>
      </c>
      <c r="B344" s="2">
        <v>5.5960000000000001</v>
      </c>
      <c r="C344" s="2">
        <v>4.0149999999999997</v>
      </c>
      <c r="D344" s="2">
        <v>5.5960000000000001</v>
      </c>
    </row>
    <row r="345" spans="1:8" x14ac:dyDescent="0.25">
      <c r="A345" s="1">
        <v>4</v>
      </c>
      <c r="B345" s="2">
        <v>4.2270000000000003</v>
      </c>
      <c r="C345" s="2">
        <v>5.3949999999999996</v>
      </c>
      <c r="D345" s="2">
        <v>4.2279999999999998</v>
      </c>
    </row>
    <row r="346" spans="1:8" x14ac:dyDescent="0.25">
      <c r="A346" s="1">
        <v>5</v>
      </c>
      <c r="B346" s="2">
        <v>2.75</v>
      </c>
      <c r="C346" s="2">
        <v>6.8710000000000004</v>
      </c>
      <c r="D346" s="2">
        <v>2.746</v>
      </c>
    </row>
    <row r="348" spans="1:8" x14ac:dyDescent="0.25">
      <c r="A348" s="1" t="s">
        <v>6</v>
      </c>
      <c r="B348" s="5">
        <v>45796.45208333333</v>
      </c>
    </row>
    <row r="349" spans="1:8" x14ac:dyDescent="0.25">
      <c r="A349" s="1" t="s">
        <v>0</v>
      </c>
      <c r="B349" s="2" t="s">
        <v>1</v>
      </c>
      <c r="C349" s="2" t="s">
        <v>2</v>
      </c>
      <c r="D349" s="2" t="s">
        <v>3</v>
      </c>
      <c r="F349" s="1" t="s">
        <v>35</v>
      </c>
      <c r="G349" s="1" t="s">
        <v>4</v>
      </c>
      <c r="H349" s="1" t="s">
        <v>32</v>
      </c>
    </row>
    <row r="350" spans="1:8" x14ac:dyDescent="0.25">
      <c r="A350" s="1">
        <v>1</v>
      </c>
      <c r="B350" s="2">
        <v>8.4</v>
      </c>
      <c r="C350" s="2">
        <v>1.208</v>
      </c>
      <c r="D350" s="2">
        <v>8.3919999999999995</v>
      </c>
      <c r="F350" s="1">
        <v>5.0000000000000001E-3</v>
      </c>
      <c r="G350" s="1">
        <v>-0.998</v>
      </c>
      <c r="H350" s="1">
        <v>9.6</v>
      </c>
    </row>
    <row r="351" spans="1:8" x14ac:dyDescent="0.25">
      <c r="A351" s="1">
        <v>2</v>
      </c>
      <c r="B351" s="2">
        <v>7.0090000000000003</v>
      </c>
      <c r="C351" s="2">
        <v>2.5990000000000002</v>
      </c>
      <c r="D351" s="2">
        <v>7.0119999999999996</v>
      </c>
    </row>
    <row r="352" spans="1:8" x14ac:dyDescent="0.25">
      <c r="A352" s="1">
        <v>3</v>
      </c>
      <c r="B352" s="2">
        <v>5.6369999999999996</v>
      </c>
      <c r="C352" s="2">
        <v>3.9740000000000002</v>
      </c>
      <c r="D352" s="2">
        <v>5.6360000000000001</v>
      </c>
    </row>
    <row r="353" spans="1:4" x14ac:dyDescent="0.25">
      <c r="A353" s="1">
        <v>4</v>
      </c>
      <c r="B353" s="2">
        <v>4.2140000000000004</v>
      </c>
      <c r="C353" s="2">
        <v>5.407</v>
      </c>
      <c r="D353" s="2">
        <v>4.2050000000000001</v>
      </c>
    </row>
    <row r="354" spans="1:4" x14ac:dyDescent="0.25">
      <c r="A354" s="1">
        <v>5</v>
      </c>
      <c r="B354" s="2">
        <v>2.75</v>
      </c>
      <c r="C354" s="2">
        <v>6.88</v>
      </c>
      <c r="D354" s="2">
        <v>2.7360000000000002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C77E-3624-4DC8-9A28-E2A8663CB832}">
  <dimension ref="A2:H28"/>
  <sheetViews>
    <sheetView workbookViewId="0">
      <selection activeCell="C11" sqref="C11"/>
    </sheetView>
  </sheetViews>
  <sheetFormatPr defaultRowHeight="15" x14ac:dyDescent="0.25"/>
  <cols>
    <col min="1" max="1" width="13.5703125" customWidth="1"/>
    <col min="2" max="2" width="15.5703125" style="3" customWidth="1"/>
    <col min="3" max="4" width="13.5703125" style="3" customWidth="1"/>
    <col min="5" max="9" width="13.5703125" customWidth="1"/>
  </cols>
  <sheetData>
    <row r="2" spans="1:8" x14ac:dyDescent="0.25">
      <c r="A2" s="1" t="s">
        <v>11</v>
      </c>
      <c r="B2" s="5">
        <v>45756.536111111112</v>
      </c>
      <c r="C2" s="8" t="s">
        <v>17</v>
      </c>
    </row>
    <row r="3" spans="1:8" x14ac:dyDescent="0.25">
      <c r="A3" s="1" t="s">
        <v>0</v>
      </c>
      <c r="B3" s="10" t="s">
        <v>22</v>
      </c>
      <c r="C3" s="10" t="s">
        <v>21</v>
      </c>
      <c r="D3" s="10" t="s">
        <v>18</v>
      </c>
      <c r="F3" s="1" t="s">
        <v>4</v>
      </c>
      <c r="G3" s="1" t="s">
        <v>5</v>
      </c>
      <c r="H3" s="1" t="s">
        <v>12</v>
      </c>
    </row>
    <row r="4" spans="1:8" x14ac:dyDescent="0.25">
      <c r="A4" s="1" t="s">
        <v>13</v>
      </c>
      <c r="B4" s="6">
        <v>100.07</v>
      </c>
      <c r="C4" s="6">
        <v>100.07</v>
      </c>
      <c r="D4" s="2">
        <v>0.88929999999999998</v>
      </c>
      <c r="E4" s="9" t="s">
        <v>19</v>
      </c>
      <c r="F4" s="6" t="s">
        <v>19</v>
      </c>
      <c r="G4" s="2">
        <v>112.4559562186071</v>
      </c>
      <c r="H4" s="2">
        <v>6.2918134792695923E-2</v>
      </c>
    </row>
    <row r="5" spans="1:8" x14ac:dyDescent="0.25">
      <c r="A5" s="1" t="s">
        <v>14</v>
      </c>
      <c r="B5" s="6">
        <v>100.08</v>
      </c>
      <c r="C5" s="6">
        <v>100.08</v>
      </c>
      <c r="D5" s="2">
        <v>0.88019999999999998</v>
      </c>
      <c r="E5" s="9" t="s">
        <v>20</v>
      </c>
      <c r="F5" s="6" t="s">
        <v>20</v>
      </c>
      <c r="G5" s="2">
        <v>113.86861313868614</v>
      </c>
      <c r="H5" s="2">
        <v>-0.1471532846715462</v>
      </c>
    </row>
    <row r="6" spans="1:8" x14ac:dyDescent="0.25">
      <c r="A6" s="1" t="s">
        <v>15</v>
      </c>
      <c r="B6" s="7">
        <v>1000.1</v>
      </c>
      <c r="C6" s="7">
        <v>1000.1</v>
      </c>
      <c r="D6" s="2">
        <v>8.8926999999999996</v>
      </c>
    </row>
    <row r="7" spans="1:8" x14ac:dyDescent="0.25">
      <c r="A7" s="1" t="s">
        <v>16</v>
      </c>
      <c r="B7" s="7">
        <v>1000.2</v>
      </c>
      <c r="C7" s="7">
        <v>1000.2</v>
      </c>
      <c r="D7" s="2">
        <v>8.7850999999999999</v>
      </c>
    </row>
    <row r="9" spans="1:8" x14ac:dyDescent="0.25">
      <c r="A9" s="1" t="s">
        <v>8</v>
      </c>
      <c r="B9" s="5">
        <v>45784.392361111109</v>
      </c>
      <c r="C9" s="2" t="s">
        <v>23</v>
      </c>
    </row>
    <row r="10" spans="1:8" x14ac:dyDescent="0.25">
      <c r="A10" s="1" t="s">
        <v>0</v>
      </c>
      <c r="B10" s="2" t="s">
        <v>24</v>
      </c>
      <c r="C10" s="2" t="s">
        <v>25</v>
      </c>
      <c r="D10" s="2" t="s">
        <v>26</v>
      </c>
      <c r="F10" s="1" t="s">
        <v>31</v>
      </c>
      <c r="G10" s="1" t="s">
        <v>4</v>
      </c>
      <c r="H10" s="1" t="s">
        <v>32</v>
      </c>
    </row>
    <row r="11" spans="1:8" x14ac:dyDescent="0.25">
      <c r="A11" s="1" t="s">
        <v>27</v>
      </c>
      <c r="B11" s="2">
        <v>100.08</v>
      </c>
      <c r="C11" s="2">
        <v>100.08</v>
      </c>
      <c r="D11" s="2">
        <v>0.88900000000000001</v>
      </c>
      <c r="F11" s="1" t="s">
        <v>33</v>
      </c>
      <c r="G11" s="1">
        <v>112.48399999999999</v>
      </c>
      <c r="H11" s="1">
        <v>6.0999999999999999E-2</v>
      </c>
    </row>
    <row r="12" spans="1:8" x14ac:dyDescent="0.25">
      <c r="A12" s="1" t="s">
        <v>28</v>
      </c>
      <c r="B12" s="2">
        <v>100.08</v>
      </c>
      <c r="C12" s="2">
        <v>100.08</v>
      </c>
      <c r="D12" s="2">
        <v>0.88</v>
      </c>
      <c r="F12" s="1" t="s">
        <v>34</v>
      </c>
      <c r="G12" s="1">
        <v>113.938</v>
      </c>
      <c r="H12" s="1">
        <v>-1.232</v>
      </c>
    </row>
    <row r="13" spans="1:8" x14ac:dyDescent="0.25">
      <c r="A13" s="1" t="s">
        <v>29</v>
      </c>
      <c r="B13" s="2">
        <v>1000.2</v>
      </c>
      <c r="C13" s="2">
        <v>1000.2</v>
      </c>
      <c r="D13" s="2">
        <v>8.891</v>
      </c>
    </row>
    <row r="14" spans="1:8" x14ac:dyDescent="0.25">
      <c r="A14" s="1" t="s">
        <v>30</v>
      </c>
      <c r="B14" s="2">
        <v>1000.2</v>
      </c>
      <c r="C14" s="2">
        <v>1000.2</v>
      </c>
      <c r="D14" s="2">
        <v>8.7889999999999997</v>
      </c>
    </row>
    <row r="16" spans="1:8" x14ac:dyDescent="0.25">
      <c r="A16" s="1" t="s">
        <v>36</v>
      </c>
      <c r="B16" s="5">
        <v>45784.573611111111</v>
      </c>
      <c r="C16" s="2" t="s">
        <v>23</v>
      </c>
    </row>
    <row r="17" spans="1:8" x14ac:dyDescent="0.25">
      <c r="A17" s="1" t="s">
        <v>0</v>
      </c>
      <c r="B17" s="2" t="s">
        <v>24</v>
      </c>
      <c r="C17" s="2" t="s">
        <v>25</v>
      </c>
      <c r="D17" s="2" t="s">
        <v>26</v>
      </c>
      <c r="F17" s="1" t="s">
        <v>31</v>
      </c>
      <c r="G17" s="1" t="s">
        <v>4</v>
      </c>
      <c r="H17" s="1" t="s">
        <v>32</v>
      </c>
    </row>
    <row r="18" spans="1:8" x14ac:dyDescent="0.25">
      <c r="A18" s="1" t="s">
        <v>27</v>
      </c>
      <c r="B18" s="2">
        <v>100.08</v>
      </c>
      <c r="C18" s="2">
        <v>100.08</v>
      </c>
      <c r="D18" s="2">
        <v>0.88900000000000001</v>
      </c>
      <c r="F18" s="1" t="s">
        <v>33</v>
      </c>
      <c r="G18" s="1">
        <v>112.459</v>
      </c>
      <c r="H18" s="1">
        <v>0.109</v>
      </c>
    </row>
    <row r="19" spans="1:8" x14ac:dyDescent="0.25">
      <c r="A19" s="1" t="s">
        <v>28</v>
      </c>
      <c r="B19" s="2">
        <v>100.08</v>
      </c>
      <c r="C19" s="2">
        <v>100.08</v>
      </c>
      <c r="D19" s="2">
        <v>0.88</v>
      </c>
      <c r="F19" s="1" t="s">
        <v>34</v>
      </c>
      <c r="G19" s="1">
        <v>113.93300000000001</v>
      </c>
      <c r="H19" s="1">
        <v>-1.202</v>
      </c>
    </row>
    <row r="20" spans="1:8" x14ac:dyDescent="0.25">
      <c r="A20" s="1" t="s">
        <v>29</v>
      </c>
      <c r="B20" s="2">
        <v>1000.2</v>
      </c>
      <c r="C20" s="2">
        <v>1000.2</v>
      </c>
      <c r="D20" s="2">
        <v>8.8930000000000007</v>
      </c>
    </row>
    <row r="21" spans="1:8" x14ac:dyDescent="0.25">
      <c r="A21" s="1" t="s">
        <v>30</v>
      </c>
      <c r="B21" s="2">
        <v>1000.2</v>
      </c>
      <c r="C21" s="2">
        <v>1000.2</v>
      </c>
      <c r="D21" s="2">
        <v>8.7889999999999997</v>
      </c>
    </row>
    <row r="23" spans="1:8" x14ac:dyDescent="0.25">
      <c r="A23" s="1" t="s">
        <v>8</v>
      </c>
      <c r="B23" s="5">
        <v>45785.421527777777</v>
      </c>
      <c r="C23" s="2" t="s">
        <v>23</v>
      </c>
    </row>
    <row r="24" spans="1:8" x14ac:dyDescent="0.25">
      <c r="A24" s="1" t="s">
        <v>0</v>
      </c>
      <c r="B24" s="2" t="s">
        <v>24</v>
      </c>
      <c r="C24" s="2" t="s">
        <v>25</v>
      </c>
      <c r="D24" s="2" t="s">
        <v>26</v>
      </c>
      <c r="F24" s="1" t="s">
        <v>31</v>
      </c>
      <c r="G24" s="1" t="s">
        <v>4</v>
      </c>
      <c r="H24" s="1" t="s">
        <v>32</v>
      </c>
    </row>
    <row r="25" spans="1:8" x14ac:dyDescent="0.25">
      <c r="A25" s="1" t="s">
        <v>27</v>
      </c>
      <c r="B25" s="2">
        <v>100.08</v>
      </c>
      <c r="C25" s="2">
        <v>100.08</v>
      </c>
      <c r="D25" s="2">
        <v>0.88900000000000001</v>
      </c>
      <c r="F25" s="1" t="s">
        <v>33</v>
      </c>
      <c r="G25" s="1">
        <v>112.462</v>
      </c>
      <c r="H25" s="1">
        <v>7.3999999999999996E-2</v>
      </c>
    </row>
    <row r="26" spans="1:8" x14ac:dyDescent="0.25">
      <c r="A26" s="1" t="s">
        <v>28</v>
      </c>
      <c r="B26" s="2">
        <v>100.08</v>
      </c>
      <c r="C26" s="2">
        <v>100.08</v>
      </c>
      <c r="D26" s="2">
        <v>0.88</v>
      </c>
      <c r="F26" s="1" t="s">
        <v>34</v>
      </c>
      <c r="G26" s="1">
        <v>113.979</v>
      </c>
      <c r="H26" s="1">
        <v>-1.2749999999999999</v>
      </c>
    </row>
    <row r="27" spans="1:8" x14ac:dyDescent="0.25">
      <c r="A27" s="1" t="s">
        <v>29</v>
      </c>
      <c r="B27" s="2">
        <v>1000.2</v>
      </c>
      <c r="C27" s="2">
        <v>1000.2</v>
      </c>
      <c r="D27" s="2">
        <v>8.8930000000000007</v>
      </c>
    </row>
    <row r="28" spans="1:8" x14ac:dyDescent="0.25">
      <c r="A28" s="1" t="s">
        <v>30</v>
      </c>
      <c r="B28" s="2">
        <v>1000.2</v>
      </c>
      <c r="C28" s="2">
        <v>1000.2</v>
      </c>
      <c r="D28" s="2">
        <v>8.7859999999999996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B73E-9C03-4CC9-A7A6-29D3E7915FAA}">
  <dimension ref="A1:AE167"/>
  <sheetViews>
    <sheetView tabSelected="1" workbookViewId="0">
      <selection activeCell="G11" sqref="G11:G13"/>
    </sheetView>
  </sheetViews>
  <sheetFormatPr defaultRowHeight="15" x14ac:dyDescent="0.25"/>
  <cols>
    <col min="2" max="2" width="10.140625" customWidth="1"/>
    <col min="3" max="3" width="17.85546875" style="17" customWidth="1"/>
    <col min="6" max="6" width="11.140625" customWidth="1"/>
    <col min="7" max="7" width="10.28515625" customWidth="1"/>
    <col min="8" max="8" width="10.42578125" customWidth="1"/>
    <col min="9" max="11" width="9.85546875" customWidth="1"/>
    <col min="12" max="14" width="11.140625" customWidth="1"/>
    <col min="19" max="19" width="10.140625" customWidth="1"/>
    <col min="20" max="20" width="13.140625" customWidth="1"/>
    <col min="21" max="22" width="12.42578125" bestFit="1" customWidth="1"/>
    <col min="23" max="23" width="11.85546875" bestFit="1" customWidth="1"/>
    <col min="24" max="24" width="12" bestFit="1" customWidth="1"/>
    <col min="25" max="25" width="9.5703125" bestFit="1" customWidth="1"/>
    <col min="26" max="27" width="11.140625" bestFit="1" customWidth="1"/>
    <col min="30" max="30" width="10.42578125" customWidth="1"/>
    <col min="31" max="31" width="11" customWidth="1"/>
    <col min="32" max="32" width="12.42578125" customWidth="1"/>
  </cols>
  <sheetData>
    <row r="1" spans="1:25" x14ac:dyDescent="0.25">
      <c r="A1" s="58" t="s">
        <v>53</v>
      </c>
      <c r="B1" s="59" t="s">
        <v>40</v>
      </c>
      <c r="C1" s="60" t="s">
        <v>41</v>
      </c>
      <c r="D1" s="59" t="s">
        <v>50</v>
      </c>
      <c r="E1" s="59" t="s">
        <v>42</v>
      </c>
      <c r="F1" s="59" t="s">
        <v>35</v>
      </c>
      <c r="G1" s="59" t="s">
        <v>4</v>
      </c>
      <c r="H1" s="59" t="s">
        <v>32</v>
      </c>
      <c r="I1" s="59" t="s">
        <v>57</v>
      </c>
      <c r="J1" s="61" t="s">
        <v>58</v>
      </c>
      <c r="N1" s="14"/>
      <c r="O1" s="64"/>
      <c r="P1" s="64" t="s">
        <v>129</v>
      </c>
      <c r="Q1" s="14"/>
      <c r="R1" s="14"/>
      <c r="S1" s="64" t="s">
        <v>44</v>
      </c>
      <c r="T1" s="64" t="s">
        <v>45</v>
      </c>
    </row>
    <row r="2" spans="1:25" x14ac:dyDescent="0.25">
      <c r="A2" s="43">
        <v>1</v>
      </c>
      <c r="B2" s="44" t="s">
        <v>7</v>
      </c>
      <c r="C2" s="45">
        <v>45791.396527777775</v>
      </c>
      <c r="D2" s="15">
        <v>1</v>
      </c>
      <c r="E2" s="15">
        <v>1</v>
      </c>
      <c r="F2" s="20">
        <v>8.0000000000000002E-3</v>
      </c>
      <c r="G2" s="40">
        <v>-0.997</v>
      </c>
      <c r="H2" s="20">
        <v>9.5990000000000002</v>
      </c>
      <c r="I2" s="20">
        <f>ABS(Table1[[#This Row],[Slope]]-$P$7)</f>
        <v>4.166666666667318E-4</v>
      </c>
      <c r="J2" s="46">
        <f>ABS(Table1[[#This Row],[Intercept]]-$Q$7)</f>
        <v>2.4999999999995026E-3</v>
      </c>
      <c r="K2" s="3"/>
      <c r="L2" s="3"/>
      <c r="M2" s="3"/>
      <c r="N2" s="3"/>
      <c r="O2" s="15" t="s">
        <v>43</v>
      </c>
      <c r="P2" s="15">
        <f>COUNTA(Table1[CAL ID])</f>
        <v>12</v>
      </c>
      <c r="S2" s="65">
        <v>0.9</v>
      </c>
      <c r="T2" s="15">
        <v>1.645</v>
      </c>
      <c r="U2">
        <f ca="1">OFFSET(T1,MATCH(L9,S2:S4),0)</f>
        <v>2.58</v>
      </c>
    </row>
    <row r="3" spans="1:25" ht="18" x14ac:dyDescent="0.35">
      <c r="A3" s="43">
        <v>2</v>
      </c>
      <c r="B3" s="44" t="s">
        <v>7</v>
      </c>
      <c r="C3" s="45">
        <v>45791.404861111114</v>
      </c>
      <c r="D3" s="15">
        <v>1</v>
      </c>
      <c r="E3" s="15">
        <v>2</v>
      </c>
      <c r="F3" s="20">
        <v>5.0000000000000001E-3</v>
      </c>
      <c r="G3" s="40">
        <v>-0.997</v>
      </c>
      <c r="H3" s="20">
        <v>9.5980000000000008</v>
      </c>
      <c r="I3" s="20">
        <f>ABS(Table1[[#This Row],[Slope]]-$P$7)</f>
        <v>4.166666666667318E-4</v>
      </c>
      <c r="J3" s="46">
        <f>ABS(Table1[[#This Row],[Intercept]]-$Q$7)</f>
        <v>1.5000000000000568E-3</v>
      </c>
      <c r="K3" s="3"/>
      <c r="L3" s="3"/>
      <c r="M3" s="3"/>
      <c r="N3" s="3"/>
      <c r="O3" s="15" t="s">
        <v>54</v>
      </c>
      <c r="P3" s="15">
        <v>4</v>
      </c>
      <c r="S3" s="65">
        <v>0.96</v>
      </c>
      <c r="T3" s="15">
        <v>1.96</v>
      </c>
    </row>
    <row r="4" spans="1:25" ht="18" x14ac:dyDescent="0.35">
      <c r="A4" s="43">
        <v>3</v>
      </c>
      <c r="B4" s="44" t="s">
        <v>7</v>
      </c>
      <c r="C4" s="45">
        <v>45791.570833333331</v>
      </c>
      <c r="D4" s="15">
        <v>1</v>
      </c>
      <c r="E4" s="15">
        <v>3</v>
      </c>
      <c r="F4" s="20">
        <v>8.0000000000000002E-3</v>
      </c>
      <c r="G4" s="40">
        <v>-0.998</v>
      </c>
      <c r="H4" s="20">
        <v>9.6059999999999999</v>
      </c>
      <c r="I4" s="20">
        <f>ABS(Table1[[#This Row],[Slope]]-$P$7)</f>
        <v>1.4166666666667327E-3</v>
      </c>
      <c r="J4" s="46">
        <f>ABS(Table1[[#This Row],[Intercept]]-$Q$7)</f>
        <v>9.4999999999991758E-3</v>
      </c>
      <c r="K4" s="3"/>
      <c r="L4" s="3"/>
      <c r="M4" s="3"/>
      <c r="N4" s="3"/>
      <c r="O4" s="15" t="s">
        <v>55</v>
      </c>
      <c r="P4" s="15">
        <v>2</v>
      </c>
      <c r="S4" s="65">
        <v>0.99</v>
      </c>
      <c r="T4" s="15">
        <v>2.58</v>
      </c>
    </row>
    <row r="5" spans="1:25" x14ac:dyDescent="0.25">
      <c r="A5" s="43">
        <v>4</v>
      </c>
      <c r="B5" s="44" t="s">
        <v>36</v>
      </c>
      <c r="C5" s="45">
        <v>45791.585416666669</v>
      </c>
      <c r="D5" s="15">
        <v>2</v>
      </c>
      <c r="E5" s="15">
        <v>1</v>
      </c>
      <c r="F5" s="20">
        <v>3.0000000000000001E-3</v>
      </c>
      <c r="G5" s="40">
        <v>-0.997</v>
      </c>
      <c r="H5" s="20">
        <v>9.5990000000000002</v>
      </c>
      <c r="I5" s="20">
        <f>ABS(Table1[[#This Row],[Slope]]-$P$7)</f>
        <v>4.166666666667318E-4</v>
      </c>
      <c r="J5" s="46">
        <f>ABS(Table1[[#This Row],[Intercept]]-$Q$7)</f>
        <v>2.4999999999995026E-3</v>
      </c>
      <c r="K5" s="3"/>
      <c r="L5" s="3"/>
      <c r="M5" s="3"/>
      <c r="N5" s="3"/>
    </row>
    <row r="6" spans="1:25" ht="15.75" x14ac:dyDescent="0.25">
      <c r="A6" s="43">
        <v>5</v>
      </c>
      <c r="B6" s="44" t="s">
        <v>36</v>
      </c>
      <c r="C6" s="45">
        <v>45791.595833333333</v>
      </c>
      <c r="D6" s="15">
        <v>2</v>
      </c>
      <c r="E6" s="15">
        <v>2</v>
      </c>
      <c r="F6" s="20">
        <v>1.2999999999999999E-2</v>
      </c>
      <c r="G6" s="40">
        <v>-0.997</v>
      </c>
      <c r="H6" s="20">
        <v>9.5939999999999994</v>
      </c>
      <c r="I6" s="20">
        <f>ABS(Table1[[#This Row],[Slope]]-$P$7)</f>
        <v>4.166666666667318E-4</v>
      </c>
      <c r="J6" s="46">
        <f>ABS(Table1[[#This Row],[Intercept]]-$Q$7)</f>
        <v>2.500000000001279E-3</v>
      </c>
      <c r="K6" s="3"/>
      <c r="L6" s="18" t="s">
        <v>56</v>
      </c>
      <c r="M6" s="18"/>
      <c r="N6" s="18"/>
      <c r="O6" s="62"/>
      <c r="P6" s="62" t="s">
        <v>4</v>
      </c>
      <c r="Q6" s="62" t="s">
        <v>32</v>
      </c>
      <c r="S6" s="64" t="s">
        <v>46</v>
      </c>
      <c r="T6" s="64" t="s">
        <v>47</v>
      </c>
      <c r="U6" s="64" t="s">
        <v>48</v>
      </c>
      <c r="V6" s="64" t="s">
        <v>49</v>
      </c>
      <c r="W6" s="69" t="s">
        <v>131</v>
      </c>
    </row>
    <row r="7" spans="1:25" ht="15.75" x14ac:dyDescent="0.25">
      <c r="A7" s="43">
        <v>6</v>
      </c>
      <c r="B7" s="44" t="s">
        <v>36</v>
      </c>
      <c r="C7" s="45">
        <v>45791.602777777778</v>
      </c>
      <c r="D7" s="15">
        <v>3</v>
      </c>
      <c r="E7" s="15">
        <v>3</v>
      </c>
      <c r="F7" s="20">
        <v>8.0000000000000002E-3</v>
      </c>
      <c r="G7" s="40">
        <v>-0.997</v>
      </c>
      <c r="H7" s="20">
        <v>9.5939999999999994</v>
      </c>
      <c r="I7" s="20">
        <f>ABS(Table1[[#This Row],[Slope]]-$P$7)</f>
        <v>4.166666666667318E-4</v>
      </c>
      <c r="J7" s="46">
        <f>ABS(Table1[[#This Row],[Intercept]]-$Q$7)</f>
        <v>2.500000000001279E-3</v>
      </c>
      <c r="K7" s="3"/>
      <c r="L7" s="3"/>
      <c r="M7" s="3"/>
      <c r="N7" s="3"/>
      <c r="O7" s="63" t="s">
        <v>59</v>
      </c>
      <c r="P7" s="15" cm="1">
        <f t="array" ref="P7">AVERAGE(IF(Table1[OP]&lt;&gt;O6,Table1[Slope],""))</f>
        <v>-0.99658333333333327</v>
      </c>
      <c r="Q7" s="15" cm="1">
        <f t="array" ref="Q7">AVERAGE(IF(Table1[OP]&lt;&gt;O6,Table1[Intercept],""))</f>
        <v>9.5965000000000007</v>
      </c>
      <c r="S7" s="15">
        <v>8.4</v>
      </c>
      <c r="T7" s="15">
        <f ca="1">$P$9*S7</f>
        <v>-8.379926969530068</v>
      </c>
      <c r="U7" s="15">
        <f ca="1">S7*$P$10</f>
        <v>-8.3626730304699315</v>
      </c>
      <c r="V7" s="16">
        <f ca="1">T7-U7</f>
        <v>-1.7253939060136503E-2</v>
      </c>
      <c r="W7" s="40">
        <f ca="1">ABS(V7/2)</f>
        <v>8.6269695300682514E-3</v>
      </c>
      <c r="Y7" s="70"/>
    </row>
    <row r="8" spans="1:25" ht="15.75" x14ac:dyDescent="0.25">
      <c r="A8" s="43">
        <v>7</v>
      </c>
      <c r="B8" s="44" t="s">
        <v>38</v>
      </c>
      <c r="C8" s="45">
        <v>45796.407638888886</v>
      </c>
      <c r="D8" s="15">
        <v>3</v>
      </c>
      <c r="E8" s="15">
        <v>1</v>
      </c>
      <c r="F8" s="20">
        <v>3.0000000000000001E-3</v>
      </c>
      <c r="G8" s="40">
        <v>-0.997</v>
      </c>
      <c r="H8" s="20">
        <v>9.5960000000000001</v>
      </c>
      <c r="I8" s="20">
        <f>ABS(Table1[[#This Row],[Slope]]-$P$7)</f>
        <v>4.166666666667318E-4</v>
      </c>
      <c r="J8" s="46">
        <f>ABS(Table1[[#This Row],[Intercept]]-$Q$7)</f>
        <v>5.0000000000061107E-4</v>
      </c>
      <c r="K8" s="3"/>
      <c r="L8" s="3" t="s">
        <v>44</v>
      </c>
      <c r="M8" s="3"/>
      <c r="N8" s="3"/>
      <c r="O8" s="63" t="s">
        <v>60</v>
      </c>
      <c r="P8" s="15" cm="1">
        <f t="array" ref="P8">_xlfn.STDEV.S(IF(Table1[OP]&lt;&gt;O6,Table1[Slope],""))</f>
        <v>1.3789543689024502E-3</v>
      </c>
      <c r="Q8" s="15" cm="1">
        <f t="array" ref="Q8">_xlfn.STDEV.S(IF(Table1[OP]&lt;&gt;O6,Table1[Intercept],""))</f>
        <v>5.0181488799973693E-3</v>
      </c>
      <c r="S8" s="15">
        <v>2.75</v>
      </c>
      <c r="T8" s="15">
        <f ca="1">$P$9*S8</f>
        <v>-2.7434284721675817</v>
      </c>
      <c r="U8" s="15">
        <f ca="1">S8*$P$10</f>
        <v>-2.7377798611657513</v>
      </c>
      <c r="V8" s="16">
        <f ca="1">T8-U8</f>
        <v>-5.6486110018303393E-3</v>
      </c>
      <c r="W8" s="40">
        <f ca="1">ABS(V8/2)</f>
        <v>2.8243055009151696E-3</v>
      </c>
    </row>
    <row r="9" spans="1:25" x14ac:dyDescent="0.25">
      <c r="A9" s="15">
        <v>8</v>
      </c>
      <c r="B9" s="44" t="s">
        <v>38</v>
      </c>
      <c r="C9" s="45">
        <v>45796.415277777778</v>
      </c>
      <c r="D9" s="15">
        <v>3</v>
      </c>
      <c r="E9" s="15">
        <v>2</v>
      </c>
      <c r="F9" s="20">
        <v>1.4999999999999999E-2</v>
      </c>
      <c r="G9" s="40">
        <v>-0.99299999999999999</v>
      </c>
      <c r="H9" s="20">
        <v>9.5869999999999997</v>
      </c>
      <c r="I9" s="20">
        <f>ABS(Table1[[#This Row],[Slope]]-$P$7)</f>
        <v>3.5833333333332718E-3</v>
      </c>
      <c r="J9" s="20">
        <f>ABS(Table1[[#This Row],[Intercept]]-$Q$7)</f>
        <v>9.5000000000009521E-3</v>
      </c>
      <c r="K9" s="3"/>
      <c r="L9" s="19">
        <v>0.99</v>
      </c>
      <c r="M9" s="19"/>
      <c r="N9" s="19"/>
      <c r="O9" s="63" t="s">
        <v>61</v>
      </c>
      <c r="P9" s="40">
        <f ca="1">P$7-$U$2*P$8/$P$2^0.5</f>
        <v>-0.99761035351548422</v>
      </c>
      <c r="Q9" s="40">
        <f ca="1">Q$7-$U$2*Q$8/$P$2^0.5</f>
        <v>9.5927625738073576</v>
      </c>
    </row>
    <row r="10" spans="1:25" x14ac:dyDescent="0.25">
      <c r="A10" s="43">
        <v>9</v>
      </c>
      <c r="B10" s="44" t="s">
        <v>38</v>
      </c>
      <c r="C10" s="45">
        <v>45796.422222222223</v>
      </c>
      <c r="D10" s="15">
        <v>3</v>
      </c>
      <c r="E10" s="15">
        <v>3</v>
      </c>
      <c r="F10" s="20">
        <v>5.0000000000000001E-3</v>
      </c>
      <c r="G10" s="40">
        <v>-0.997</v>
      </c>
      <c r="H10" s="20">
        <v>9.6</v>
      </c>
      <c r="I10" s="20">
        <f>ABS(Table1[[#This Row],[Slope]]-$P$7)</f>
        <v>4.166666666667318E-4</v>
      </c>
      <c r="J10" s="46">
        <f>ABS(Table1[[#This Row],[Intercept]]-$Q$7)</f>
        <v>3.4999999999989484E-3</v>
      </c>
      <c r="K10" s="3"/>
      <c r="L10" s="3"/>
      <c r="M10" s="3"/>
      <c r="N10" s="3"/>
      <c r="O10" s="63" t="s">
        <v>62</v>
      </c>
      <c r="P10" s="40">
        <f ca="1">P$7+$U$2*P$8/$P$2^0.5</f>
        <v>-0.99555631315118231</v>
      </c>
      <c r="Q10" s="40">
        <f ca="1">Q$7+U$2*Q$8/$P$2^0.5</f>
        <v>9.6002374261926438</v>
      </c>
      <c r="V10" s="67" t="s">
        <v>130</v>
      </c>
      <c r="W10" s="68" t="str">
        <f ca="1">"±" &amp; ROUND(MAX(W7/S7,W8/S8)*100,3) &amp; "%"</f>
        <v>±0.103%</v>
      </c>
    </row>
    <row r="11" spans="1:25" x14ac:dyDescent="0.25">
      <c r="A11" s="43">
        <v>10</v>
      </c>
      <c r="B11" s="44" t="s">
        <v>6</v>
      </c>
      <c r="C11" s="45">
        <v>45796.427777777775</v>
      </c>
      <c r="D11" s="15">
        <v>4</v>
      </c>
      <c r="E11" s="15">
        <v>1</v>
      </c>
      <c r="F11" s="20">
        <v>2E-3</v>
      </c>
      <c r="G11" s="40">
        <v>-0.995</v>
      </c>
      <c r="H11" s="20">
        <v>9.59</v>
      </c>
      <c r="I11" s="20">
        <f>ABS(Table1[[#This Row],[Slope]]-$P$7)</f>
        <v>1.58333333333327E-3</v>
      </c>
      <c r="J11" s="46">
        <f>ABS(Table1[[#This Row],[Intercept]]-$Q$7)</f>
        <v>6.5000000000008384E-3</v>
      </c>
      <c r="K11" s="3"/>
      <c r="L11" s="3"/>
      <c r="M11" s="3"/>
      <c r="N11" s="3"/>
    </row>
    <row r="12" spans="1:25" x14ac:dyDescent="0.25">
      <c r="A12" s="47">
        <v>11</v>
      </c>
      <c r="B12" s="44" t="s">
        <v>6</v>
      </c>
      <c r="C12" s="48">
        <v>45796.427777777775</v>
      </c>
      <c r="D12" s="49">
        <v>4</v>
      </c>
      <c r="E12" s="49">
        <v>2</v>
      </c>
      <c r="F12" s="50">
        <v>6.0000000000000001E-3</v>
      </c>
      <c r="G12" s="82">
        <v>-0.996</v>
      </c>
      <c r="H12" s="50">
        <v>9.5950000000000006</v>
      </c>
      <c r="I12" s="50">
        <f>ABS(Table1[[#This Row],[Slope]]-$P$7)</f>
        <v>5.8333333333326909E-4</v>
      </c>
      <c r="J12" s="51">
        <f>ABS(Table1[[#This Row],[Intercept]]-$Q$7)</f>
        <v>1.5000000000000568E-3</v>
      </c>
      <c r="K12" s="18"/>
      <c r="L12" s="18"/>
      <c r="M12" s="18"/>
      <c r="N12" s="18"/>
    </row>
    <row r="13" spans="1:25" s="14" customFormat="1" x14ac:dyDescent="0.25">
      <c r="A13" s="52">
        <v>12</v>
      </c>
      <c r="B13" s="53" t="s">
        <v>6</v>
      </c>
      <c r="C13" s="54">
        <v>45796.45208333333</v>
      </c>
      <c r="D13" s="55">
        <v>4</v>
      </c>
      <c r="E13" s="55">
        <v>3</v>
      </c>
      <c r="F13" s="56">
        <v>5.0000000000000001E-3</v>
      </c>
      <c r="G13" s="83">
        <v>-0.998</v>
      </c>
      <c r="H13" s="56">
        <v>9.6</v>
      </c>
      <c r="I13" s="56">
        <f>ABS(Table1[[#This Row],[Slope]]-$P$7)</f>
        <v>1.4166666666667327E-3</v>
      </c>
      <c r="J13" s="57">
        <f>ABS(Table1[[#This Row],[Intercept]]-$Q$7)</f>
        <v>3.4999999999989484E-3</v>
      </c>
      <c r="K13" s="3"/>
      <c r="L13" s="3"/>
      <c r="M13" s="3"/>
      <c r="N13" s="3"/>
    </row>
    <row r="17" spans="1:26" x14ac:dyDescent="0.25">
      <c r="K17" s="3"/>
    </row>
    <row r="18" spans="1:26" x14ac:dyDescent="0.25">
      <c r="J18" s="3"/>
      <c r="K18" s="3"/>
    </row>
    <row r="19" spans="1:26" x14ac:dyDescent="0.25">
      <c r="J19" s="3"/>
      <c r="K19" s="3"/>
    </row>
    <row r="20" spans="1:26" x14ac:dyDescent="0.25">
      <c r="J20" s="3"/>
      <c r="K20" s="3"/>
    </row>
    <row r="21" spans="1:26" x14ac:dyDescent="0.25">
      <c r="J21" s="3"/>
      <c r="K21" s="3"/>
    </row>
    <row r="22" spans="1:26" x14ac:dyDescent="0.25">
      <c r="J22" s="3"/>
      <c r="K22" s="3"/>
    </row>
    <row r="23" spans="1:26" ht="15.75" thickBot="1" x14ac:dyDescent="0.3">
      <c r="J23" s="3"/>
      <c r="K23" s="3"/>
    </row>
    <row r="24" spans="1:26" x14ac:dyDescent="0.25">
      <c r="A24" s="36" t="s">
        <v>52</v>
      </c>
      <c r="B24" s="36" t="s">
        <v>40</v>
      </c>
      <c r="C24" s="37" t="s">
        <v>41</v>
      </c>
      <c r="D24" s="36" t="s">
        <v>51</v>
      </c>
      <c r="E24" s="36" t="s">
        <v>42</v>
      </c>
      <c r="F24" s="36" t="s">
        <v>1</v>
      </c>
      <c r="G24" s="36" t="s">
        <v>82</v>
      </c>
      <c r="H24" s="36" t="s">
        <v>84</v>
      </c>
      <c r="I24" s="36" t="s">
        <v>83</v>
      </c>
      <c r="J24" s="36" t="s">
        <v>127</v>
      </c>
      <c r="K24" s="36" t="s">
        <v>2</v>
      </c>
      <c r="L24" s="36" t="s">
        <v>3</v>
      </c>
      <c r="M24" s="36" t="s">
        <v>128</v>
      </c>
      <c r="N24" s="38" t="s">
        <v>97</v>
      </c>
      <c r="O24" s="38" t="s">
        <v>103</v>
      </c>
      <c r="P24" s="36" t="s">
        <v>104</v>
      </c>
      <c r="Q24" s="36" t="s">
        <v>105</v>
      </c>
      <c r="R24" s="36" t="s">
        <v>106</v>
      </c>
      <c r="S24" s="36" t="s">
        <v>107</v>
      </c>
      <c r="T24" s="36" t="s">
        <v>113</v>
      </c>
      <c r="U24" s="36" t="s">
        <v>116</v>
      </c>
      <c r="V24" s="36" t="s">
        <v>117</v>
      </c>
      <c r="W24" s="36" t="s">
        <v>122</v>
      </c>
      <c r="X24" s="36" t="s">
        <v>123</v>
      </c>
      <c r="Y24" s="36" t="s">
        <v>124</v>
      </c>
      <c r="Z24" s="36" t="s">
        <v>125</v>
      </c>
    </row>
    <row r="25" spans="1:26" x14ac:dyDescent="0.25">
      <c r="A25">
        <v>1</v>
      </c>
      <c r="B25" t="s">
        <v>7</v>
      </c>
      <c r="C25" s="17">
        <v>45791.396527777775</v>
      </c>
      <c r="D25">
        <v>1</v>
      </c>
      <c r="E25">
        <v>1</v>
      </c>
      <c r="F25">
        <v>1</v>
      </c>
      <c r="G25" s="3">
        <v>8.4</v>
      </c>
      <c r="H25" s="3">
        <f>Table4[[#This Row],[Op]]*Table4[[#This Row],[Laser^2]]</f>
        <v>1.4592639999999999</v>
      </c>
      <c r="I25" s="3">
        <f>Table4[[#This Row],[Laser]]^2</f>
        <v>1.4592639999999999</v>
      </c>
      <c r="J25">
        <v>1</v>
      </c>
      <c r="K25" s="3">
        <v>1.208</v>
      </c>
      <c r="L25" s="3">
        <v>8.3930000000000007</v>
      </c>
      <c r="M25" s="3"/>
      <c r="N25" s="3"/>
      <c r="O25" s="3"/>
      <c r="P25" s="3"/>
      <c r="Q25" s="3"/>
      <c r="R25" s="3"/>
      <c r="S25" s="3"/>
      <c r="T25" s="3"/>
      <c r="U25" s="3"/>
      <c r="V25" s="3"/>
      <c r="W25" s="3"/>
      <c r="X25" s="3"/>
      <c r="Y25" s="3"/>
      <c r="Z25" s="3"/>
    </row>
    <row r="26" spans="1:26" x14ac:dyDescent="0.25">
      <c r="A26">
        <v>2</v>
      </c>
      <c r="B26" t="s">
        <v>7</v>
      </c>
      <c r="C26" s="17">
        <v>45791.396527777775</v>
      </c>
      <c r="D26">
        <v>1</v>
      </c>
      <c r="E26">
        <v>1</v>
      </c>
      <c r="F26">
        <v>2</v>
      </c>
      <c r="G26" s="3">
        <v>7.0019999999999998</v>
      </c>
      <c r="H26" s="3">
        <f>Table4[[#This Row],[Op]]*Table4[[#This Row],[Laser^2]]</f>
        <v>6.8016640000000006</v>
      </c>
      <c r="I26" s="3">
        <f>Table4[[#This Row],[Laser]]^2</f>
        <v>6.8016640000000006</v>
      </c>
      <c r="J26">
        <v>1</v>
      </c>
      <c r="K26" s="3">
        <v>2.6080000000000001</v>
      </c>
      <c r="L26" s="3">
        <v>6.9969999999999999</v>
      </c>
      <c r="M26" s="3"/>
      <c r="N26" s="3"/>
      <c r="O26" s="3"/>
      <c r="P26" s="3"/>
      <c r="Q26" s="3"/>
      <c r="R26" s="3"/>
      <c r="S26" s="3"/>
      <c r="T26" s="3"/>
      <c r="U26" s="3"/>
      <c r="V26" s="3"/>
      <c r="W26" s="3"/>
      <c r="X26" s="3"/>
      <c r="Y26" s="3"/>
      <c r="Z26" s="3"/>
    </row>
    <row r="27" spans="1:26" x14ac:dyDescent="0.25">
      <c r="A27">
        <v>3</v>
      </c>
      <c r="B27" t="s">
        <v>7</v>
      </c>
      <c r="C27" s="17">
        <v>45791.396527777775</v>
      </c>
      <c r="D27">
        <v>1</v>
      </c>
      <c r="E27">
        <v>1</v>
      </c>
      <c r="F27">
        <v>3</v>
      </c>
      <c r="G27" s="3">
        <v>5.5970000000000004</v>
      </c>
      <c r="H27" s="3">
        <f>Table4[[#This Row],[Op]]*Table4[[#This Row],[Laser^2]]</f>
        <v>16.144323999999997</v>
      </c>
      <c r="I27" s="3">
        <f>Table4[[#This Row],[Laser]]^2</f>
        <v>16.144323999999997</v>
      </c>
      <c r="J27">
        <v>1</v>
      </c>
      <c r="K27" s="3">
        <v>4.0179999999999998</v>
      </c>
      <c r="L27" s="3">
        <v>5.6020000000000003</v>
      </c>
      <c r="M27" s="3"/>
      <c r="N27" s="3"/>
      <c r="O27" s="3"/>
      <c r="P27" s="3"/>
      <c r="Q27" s="3"/>
      <c r="R27" s="3"/>
      <c r="S27" s="3"/>
      <c r="T27" s="3"/>
      <c r="U27" s="3"/>
      <c r="V27" s="3"/>
      <c r="W27" s="3"/>
      <c r="X27" s="3"/>
      <c r="Y27" s="3"/>
      <c r="Z27" s="3"/>
    </row>
    <row r="28" spans="1:26" x14ac:dyDescent="0.25">
      <c r="A28">
        <v>4</v>
      </c>
      <c r="B28" t="s">
        <v>7</v>
      </c>
      <c r="C28" s="17">
        <v>45791.396527777775</v>
      </c>
      <c r="D28">
        <v>1</v>
      </c>
      <c r="E28">
        <v>1</v>
      </c>
      <c r="F28">
        <v>4</v>
      </c>
      <c r="G28" s="3">
        <v>4.2619999999999996</v>
      </c>
      <c r="H28" s="3">
        <f>Table4[[#This Row],[Op]]*Table4[[#This Row],[Laser^2]]</f>
        <v>28.708163999999996</v>
      </c>
      <c r="I28" s="3">
        <f>Table4[[#This Row],[Laser]]^2</f>
        <v>28.708163999999996</v>
      </c>
      <c r="J28">
        <v>1</v>
      </c>
      <c r="K28" s="3">
        <v>5.3579999999999997</v>
      </c>
      <c r="L28" s="3">
        <v>4.2560000000000002</v>
      </c>
      <c r="M28" s="3"/>
      <c r="N28" s="3"/>
      <c r="O28" s="3"/>
      <c r="P28" s="3"/>
      <c r="Q28" s="3"/>
      <c r="R28" s="3"/>
      <c r="S28" s="3"/>
      <c r="T28" s="3"/>
      <c r="U28" s="3"/>
      <c r="V28" s="3"/>
      <c r="W28" s="3"/>
      <c r="X28" s="3"/>
      <c r="Y28" s="3"/>
      <c r="Z28" s="3"/>
    </row>
    <row r="29" spans="1:26" x14ac:dyDescent="0.25">
      <c r="A29">
        <v>5</v>
      </c>
      <c r="B29" t="s">
        <v>7</v>
      </c>
      <c r="C29" s="17">
        <v>45791.396527777775</v>
      </c>
      <c r="D29">
        <v>1</v>
      </c>
      <c r="E29">
        <v>1</v>
      </c>
      <c r="F29">
        <v>5</v>
      </c>
      <c r="G29" s="3">
        <v>2.75</v>
      </c>
      <c r="H29" s="3">
        <f>Table4[[#This Row],[Op]]*Table4[[#This Row],[Laser^2]]</f>
        <v>47.306884000000004</v>
      </c>
      <c r="I29" s="3">
        <f>Table4[[#This Row],[Laser]]^2</f>
        <v>47.306884000000004</v>
      </c>
      <c r="J29">
        <v>1</v>
      </c>
      <c r="K29" s="3">
        <v>6.8780000000000001</v>
      </c>
      <c r="L29" s="3">
        <v>2.742</v>
      </c>
      <c r="M29" s="3"/>
      <c r="N29" s="3"/>
      <c r="O29" s="3"/>
      <c r="P29" s="3"/>
      <c r="Q29" s="3"/>
      <c r="R29" s="3"/>
      <c r="S29" s="3"/>
      <c r="T29" s="3"/>
      <c r="U29" s="3"/>
      <c r="V29" s="3"/>
      <c r="W29" s="3"/>
      <c r="X29" s="3"/>
      <c r="Y29" s="3"/>
      <c r="Z29" s="3"/>
    </row>
    <row r="30" spans="1:26" x14ac:dyDescent="0.25">
      <c r="A30">
        <v>6</v>
      </c>
      <c r="B30" t="s">
        <v>7</v>
      </c>
      <c r="C30" s="17">
        <v>45791.404861111114</v>
      </c>
      <c r="D30">
        <v>1</v>
      </c>
      <c r="E30">
        <v>2</v>
      </c>
      <c r="F30">
        <v>1</v>
      </c>
      <c r="G30" s="3">
        <v>8.4</v>
      </c>
      <c r="H30" s="3">
        <f>Table4[[#This Row],[Op]]*Table4[[#This Row],[Laser^2]]</f>
        <v>1.4568490000000003</v>
      </c>
      <c r="I30" s="3">
        <f>Table4[[#This Row],[Laser]]^2</f>
        <v>1.4568490000000003</v>
      </c>
      <c r="J30">
        <v>1</v>
      </c>
      <c r="K30" s="3">
        <v>1.2070000000000001</v>
      </c>
      <c r="L30" s="3">
        <v>8.3949999999999996</v>
      </c>
      <c r="M30" s="3"/>
      <c r="N30" s="3"/>
      <c r="O30" s="3"/>
      <c r="P30" s="3"/>
      <c r="Q30" s="3"/>
      <c r="R30" s="3"/>
      <c r="S30" s="3"/>
      <c r="T30" s="3"/>
      <c r="U30" s="3"/>
      <c r="V30" s="3"/>
      <c r="W30" s="3"/>
      <c r="X30" s="3"/>
      <c r="Y30" s="3"/>
      <c r="Z30" s="3"/>
    </row>
    <row r="31" spans="1:26" x14ac:dyDescent="0.25">
      <c r="A31">
        <v>7</v>
      </c>
      <c r="B31" t="s">
        <v>7</v>
      </c>
      <c r="C31" s="17">
        <v>45791.404861111114</v>
      </c>
      <c r="D31">
        <v>1</v>
      </c>
      <c r="E31">
        <v>2</v>
      </c>
      <c r="F31">
        <v>2</v>
      </c>
      <c r="G31" s="3">
        <v>6.99</v>
      </c>
      <c r="H31" s="3">
        <f>Table4[[#This Row],[Op]]*Table4[[#This Row],[Laser^2]]</f>
        <v>6.8644000000000007</v>
      </c>
      <c r="I31" s="3">
        <f>Table4[[#This Row],[Laser]]^2</f>
        <v>6.8644000000000007</v>
      </c>
      <c r="J31">
        <v>1</v>
      </c>
      <c r="K31" s="3">
        <v>2.62</v>
      </c>
      <c r="L31" s="3">
        <v>6.9870000000000001</v>
      </c>
      <c r="M31" s="3"/>
      <c r="N31" s="3"/>
      <c r="O31" s="3"/>
      <c r="P31" s="3"/>
      <c r="Q31" s="3"/>
      <c r="R31" s="3"/>
      <c r="S31" s="3"/>
      <c r="T31" s="3"/>
      <c r="U31" s="3"/>
      <c r="V31" s="3"/>
      <c r="W31" s="3"/>
      <c r="X31" s="3"/>
      <c r="Y31" s="3"/>
      <c r="Z31" s="3"/>
    </row>
    <row r="32" spans="1:26" x14ac:dyDescent="0.25">
      <c r="A32">
        <v>8</v>
      </c>
      <c r="B32" t="s">
        <v>7</v>
      </c>
      <c r="C32" s="17">
        <v>45791.404861111114</v>
      </c>
      <c r="D32">
        <v>1</v>
      </c>
      <c r="E32">
        <v>2</v>
      </c>
      <c r="F32">
        <v>3</v>
      </c>
      <c r="G32" s="3">
        <v>5.6130000000000004</v>
      </c>
      <c r="H32" s="3">
        <f>Table4[[#This Row],[Op]]*Table4[[#This Row],[Laser^2]]</f>
        <v>15.992001</v>
      </c>
      <c r="I32" s="3">
        <f>Table4[[#This Row],[Laser]]^2</f>
        <v>15.992001</v>
      </c>
      <c r="J32">
        <v>1</v>
      </c>
      <c r="K32" s="3">
        <v>3.9990000000000001</v>
      </c>
      <c r="L32" s="3">
        <v>5.6109999999999998</v>
      </c>
      <c r="M32" s="3"/>
      <c r="N32" s="3"/>
      <c r="O32" s="3"/>
      <c r="P32" s="3"/>
      <c r="Q32" s="3"/>
      <c r="R32" s="3"/>
      <c r="S32" s="3"/>
      <c r="T32" s="3"/>
      <c r="U32" s="3"/>
      <c r="V32" s="3"/>
      <c r="W32" s="3"/>
      <c r="X32" s="3"/>
      <c r="Y32" s="3"/>
      <c r="Z32" s="3"/>
    </row>
    <row r="33" spans="1:31" x14ac:dyDescent="0.25">
      <c r="A33">
        <v>9</v>
      </c>
      <c r="B33" t="s">
        <v>7</v>
      </c>
      <c r="C33" s="17">
        <v>45791.404861111114</v>
      </c>
      <c r="D33">
        <v>1</v>
      </c>
      <c r="E33">
        <v>2</v>
      </c>
      <c r="F33">
        <v>4</v>
      </c>
      <c r="G33" s="3">
        <v>4.2050000000000001</v>
      </c>
      <c r="H33" s="3">
        <f>Table4[[#This Row],[Op]]*Table4[[#This Row],[Laser^2]]</f>
        <v>29.300569000000003</v>
      </c>
      <c r="I33" s="3">
        <f>Table4[[#This Row],[Laser]]^2</f>
        <v>29.300569000000003</v>
      </c>
      <c r="J33">
        <v>1</v>
      </c>
      <c r="K33" s="3">
        <v>5.4130000000000003</v>
      </c>
      <c r="L33" s="3">
        <v>4.2080000000000002</v>
      </c>
      <c r="M33" s="3"/>
      <c r="N33" s="3" t="s">
        <v>86</v>
      </c>
      <c r="O33" s="3"/>
      <c r="P33" s="3"/>
      <c r="Q33" s="3"/>
      <c r="R33" s="3"/>
      <c r="S33" s="3"/>
      <c r="T33" s="3"/>
      <c r="U33" s="3"/>
      <c r="V33" s="3"/>
      <c r="W33" s="3"/>
      <c r="X33" s="3"/>
      <c r="Y33" s="3"/>
      <c r="Z33" s="3"/>
    </row>
    <row r="34" spans="1:31" x14ac:dyDescent="0.25">
      <c r="A34">
        <v>10</v>
      </c>
      <c r="B34" t="s">
        <v>7</v>
      </c>
      <c r="C34" s="17">
        <v>45791.404861111114</v>
      </c>
      <c r="D34">
        <v>1</v>
      </c>
      <c r="E34">
        <v>2</v>
      </c>
      <c r="F34">
        <v>5</v>
      </c>
      <c r="G34" s="3">
        <v>2.75</v>
      </c>
      <c r="H34" s="3">
        <f>Table4[[#This Row],[Op]]*Table4[[#This Row],[Laser^2]]</f>
        <v>47.265625</v>
      </c>
      <c r="I34" s="3">
        <f>Table4[[#This Row],[Laser]]^2</f>
        <v>47.265625</v>
      </c>
      <c r="J34">
        <v>1</v>
      </c>
      <c r="K34" s="3">
        <v>6.875</v>
      </c>
      <c r="L34" s="3">
        <v>2.7429999999999999</v>
      </c>
      <c r="M34" s="3"/>
      <c r="N34" s="3"/>
      <c r="O34" s="3"/>
      <c r="P34" s="3"/>
      <c r="Q34" s="3"/>
      <c r="R34" s="3"/>
      <c r="S34" s="3"/>
      <c r="T34" s="3"/>
      <c r="U34" s="3"/>
      <c r="V34" s="3"/>
      <c r="W34" s="3"/>
      <c r="X34" s="3"/>
      <c r="Y34" s="3"/>
      <c r="Z34" s="3"/>
    </row>
    <row r="35" spans="1:31" x14ac:dyDescent="0.25">
      <c r="A35">
        <v>11</v>
      </c>
      <c r="B35" t="s">
        <v>7</v>
      </c>
      <c r="C35" s="17">
        <v>45791.570833333331</v>
      </c>
      <c r="D35">
        <v>1</v>
      </c>
      <c r="E35">
        <v>3</v>
      </c>
      <c r="F35">
        <v>1</v>
      </c>
      <c r="G35" s="3">
        <v>8.4</v>
      </c>
      <c r="H35" s="3">
        <f>Table4[[#This Row],[Op]]*Table4[[#This Row],[Laser^2]]</f>
        <v>1.4568490000000003</v>
      </c>
      <c r="I35" s="3">
        <f>Table4[[#This Row],[Laser]]^2</f>
        <v>1.4568490000000003</v>
      </c>
      <c r="J35">
        <v>1</v>
      </c>
      <c r="K35" s="3">
        <v>1.2070000000000001</v>
      </c>
      <c r="L35" s="3">
        <v>8.3989999999999991</v>
      </c>
      <c r="M35" s="3"/>
      <c r="N35" s="3" t="s">
        <v>87</v>
      </c>
      <c r="O35" s="3"/>
      <c r="P35" s="3"/>
      <c r="Q35" s="3"/>
      <c r="R35" s="3"/>
      <c r="S35" s="3"/>
      <c r="T35" s="3"/>
      <c r="U35" s="3"/>
      <c r="V35" s="3"/>
      <c r="W35" s="3"/>
      <c r="X35" s="3"/>
      <c r="Y35" s="3"/>
      <c r="Z35" s="3"/>
    </row>
    <row r="36" spans="1:31" x14ac:dyDescent="0.25">
      <c r="A36">
        <v>12</v>
      </c>
      <c r="B36" t="s">
        <v>7</v>
      </c>
      <c r="C36" s="17">
        <v>45791.570833333331</v>
      </c>
      <c r="D36">
        <v>1</v>
      </c>
      <c r="E36">
        <v>3</v>
      </c>
      <c r="F36">
        <v>2</v>
      </c>
      <c r="G36" s="3">
        <v>7.0830000000000002</v>
      </c>
      <c r="H36" s="3">
        <f>Table4[[#This Row],[Op]]*Table4[[#This Row],[Laser^2]]</f>
        <v>6.4008999999999991</v>
      </c>
      <c r="I36" s="3">
        <f>Table4[[#This Row],[Laser]]^2</f>
        <v>6.4008999999999991</v>
      </c>
      <c r="J36">
        <v>1</v>
      </c>
      <c r="K36" s="3">
        <v>2.5299999999999998</v>
      </c>
      <c r="L36" s="3">
        <v>7.08</v>
      </c>
      <c r="M36" s="3"/>
      <c r="N36" s="3" t="s">
        <v>88</v>
      </c>
      <c r="O36" s="3">
        <v>0.99999633532481724</v>
      </c>
      <c r="P36" s="3"/>
      <c r="Q36" s="3"/>
      <c r="R36" s="3"/>
      <c r="S36" s="3"/>
      <c r="T36" s="3"/>
      <c r="U36" s="3"/>
      <c r="V36" s="3"/>
      <c r="W36" s="3"/>
      <c r="X36" s="3"/>
      <c r="Y36" s="3"/>
      <c r="Z36" s="3"/>
    </row>
    <row r="37" spans="1:31" x14ac:dyDescent="0.25">
      <c r="A37">
        <v>13</v>
      </c>
      <c r="B37" t="s">
        <v>7</v>
      </c>
      <c r="C37" s="17">
        <v>45791.570833333331</v>
      </c>
      <c r="D37">
        <v>1</v>
      </c>
      <c r="E37">
        <v>3</v>
      </c>
      <c r="F37">
        <v>3</v>
      </c>
      <c r="G37" s="3">
        <v>5.6660000000000004</v>
      </c>
      <c r="H37" s="3">
        <f>Table4[[#This Row],[Op]]*Table4[[#This Row],[Laser^2]]</f>
        <v>15.602500000000001</v>
      </c>
      <c r="I37" s="3">
        <f>Table4[[#This Row],[Laser]]^2</f>
        <v>15.602500000000001</v>
      </c>
      <c r="J37">
        <v>1</v>
      </c>
      <c r="K37" s="3">
        <v>3.95</v>
      </c>
      <c r="L37" s="3">
        <v>5.673</v>
      </c>
      <c r="M37" s="3"/>
      <c r="N37" s="3" t="s">
        <v>89</v>
      </c>
      <c r="O37" s="3">
        <v>0.9999926706630643</v>
      </c>
      <c r="P37" s="3"/>
      <c r="Q37" s="3"/>
      <c r="R37" s="3"/>
      <c r="S37" s="3"/>
      <c r="T37" s="3"/>
      <c r="U37" s="3"/>
      <c r="V37" s="3"/>
      <c r="W37" s="3"/>
      <c r="X37" s="3"/>
      <c r="Y37" s="3"/>
      <c r="Z37" s="3"/>
    </row>
    <row r="38" spans="1:31" x14ac:dyDescent="0.25">
      <c r="A38">
        <v>14</v>
      </c>
      <c r="B38" t="s">
        <v>7</v>
      </c>
      <c r="C38" s="17">
        <v>45791.570833333331</v>
      </c>
      <c r="D38">
        <v>1</v>
      </c>
      <c r="E38">
        <v>3</v>
      </c>
      <c r="F38">
        <v>4</v>
      </c>
      <c r="G38" s="3">
        <v>4.1639999999999997</v>
      </c>
      <c r="H38" s="3">
        <f>Table4[[#This Row],[Op]]*Table4[[#This Row],[Laser^2]]</f>
        <v>29.789764000000002</v>
      </c>
      <c r="I38" s="3">
        <f>Table4[[#This Row],[Laser]]^2</f>
        <v>29.789764000000002</v>
      </c>
      <c r="J38">
        <v>1</v>
      </c>
      <c r="K38" s="3">
        <v>5.4580000000000002</v>
      </c>
      <c r="L38" s="3">
        <v>4.1609999999999996</v>
      </c>
      <c r="M38" s="3"/>
      <c r="N38" s="3" t="s">
        <v>90</v>
      </c>
      <c r="O38" s="3">
        <v>0.99999213762037809</v>
      </c>
      <c r="P38" s="3"/>
      <c r="Q38" s="3"/>
      <c r="R38" s="3"/>
      <c r="S38" s="3"/>
      <c r="T38" s="3"/>
      <c r="U38" s="3"/>
      <c r="V38" s="3"/>
      <c r="W38" s="3"/>
      <c r="X38" s="3"/>
      <c r="Y38" s="3"/>
      <c r="Z38" s="3"/>
    </row>
    <row r="39" spans="1:31" x14ac:dyDescent="0.25">
      <c r="A39">
        <v>15</v>
      </c>
      <c r="B39" t="s">
        <v>7</v>
      </c>
      <c r="C39" s="17">
        <v>45791.570833333331</v>
      </c>
      <c r="D39">
        <v>1</v>
      </c>
      <c r="E39">
        <v>3</v>
      </c>
      <c r="F39">
        <v>5</v>
      </c>
      <c r="G39" s="3">
        <v>2.75</v>
      </c>
      <c r="H39" s="3">
        <f>Table4[[#This Row],[Op]]*Table4[[#This Row],[Laser^2]]</f>
        <v>47.251875999999996</v>
      </c>
      <c r="I39" s="3">
        <f>Table4[[#This Row],[Laser]]^2</f>
        <v>47.251875999999996</v>
      </c>
      <c r="J39">
        <v>1</v>
      </c>
      <c r="K39" s="3">
        <v>6.8739999999999997</v>
      </c>
      <c r="L39" s="3">
        <v>2.7429999999999999</v>
      </c>
      <c r="M39" s="3"/>
      <c r="N39" s="3" t="s">
        <v>91</v>
      </c>
      <c r="O39" s="3">
        <v>5.6479902910433486E-3</v>
      </c>
      <c r="P39" s="3"/>
      <c r="Q39" s="3"/>
      <c r="R39" s="3"/>
      <c r="S39" s="3"/>
      <c r="T39" s="3"/>
      <c r="U39" s="3"/>
      <c r="V39" s="3"/>
      <c r="W39" s="3"/>
      <c r="X39" s="3"/>
      <c r="Y39" s="3"/>
      <c r="Z39" s="3"/>
    </row>
    <row r="40" spans="1:31" x14ac:dyDescent="0.25">
      <c r="A40">
        <v>16</v>
      </c>
      <c r="B40" t="s">
        <v>36</v>
      </c>
      <c r="C40" s="17">
        <v>45791.585416666669</v>
      </c>
      <c r="D40">
        <v>2</v>
      </c>
      <c r="E40">
        <v>1</v>
      </c>
      <c r="F40">
        <v>1</v>
      </c>
      <c r="G40" s="3">
        <v>8.4</v>
      </c>
      <c r="H40" s="3">
        <f>Table4[[#This Row],[Op]]*Table4[[#This Row],[Laser^2]]</f>
        <v>2.9281999999999999</v>
      </c>
      <c r="I40" s="3">
        <f>Table4[[#This Row],[Laser]]^2</f>
        <v>1.4641</v>
      </c>
      <c r="J40">
        <v>2</v>
      </c>
      <c r="K40" s="3">
        <v>1.21</v>
      </c>
      <c r="L40" s="3">
        <v>8.39</v>
      </c>
      <c r="M40" s="3"/>
      <c r="N40" s="3" t="s">
        <v>92</v>
      </c>
      <c r="O40" s="3">
        <v>60</v>
      </c>
      <c r="P40" s="3"/>
      <c r="Q40" s="3"/>
      <c r="R40" s="3"/>
      <c r="S40" s="3"/>
      <c r="T40" s="3"/>
      <c r="U40" s="3"/>
      <c r="V40" s="3"/>
      <c r="W40" s="3"/>
      <c r="X40" s="3"/>
      <c r="Y40" s="3"/>
      <c r="Z40" s="3"/>
    </row>
    <row r="41" spans="1:31" x14ac:dyDescent="0.25">
      <c r="A41">
        <v>17</v>
      </c>
      <c r="B41" t="s">
        <v>36</v>
      </c>
      <c r="C41" s="17">
        <v>45791.585416666669</v>
      </c>
      <c r="D41">
        <v>2</v>
      </c>
      <c r="E41">
        <v>1</v>
      </c>
      <c r="F41">
        <v>2</v>
      </c>
      <c r="G41" s="3">
        <v>7.06</v>
      </c>
      <c r="H41" s="3">
        <f>Table4[[#This Row],[Op]]*Table4[[#This Row],[Laser^2]]</f>
        <v>13.004999999999999</v>
      </c>
      <c r="I41" s="3">
        <f>Table4[[#This Row],[Laser]]^2</f>
        <v>6.5024999999999995</v>
      </c>
      <c r="J41">
        <v>2</v>
      </c>
      <c r="K41" s="3">
        <v>2.5499999999999998</v>
      </c>
      <c r="L41" s="3">
        <v>7.0590000000000002</v>
      </c>
      <c r="M41" s="3"/>
      <c r="N41" s="3"/>
      <c r="O41" s="3"/>
      <c r="P41" s="3"/>
      <c r="Q41" s="3"/>
      <c r="R41" s="3"/>
      <c r="S41" s="3"/>
      <c r="T41" s="3"/>
      <c r="U41" s="3"/>
      <c r="V41" s="3"/>
      <c r="W41" s="3"/>
      <c r="X41" s="3"/>
      <c r="Y41" s="3"/>
      <c r="Z41" s="3"/>
    </row>
    <row r="42" spans="1:31" x14ac:dyDescent="0.25">
      <c r="A42">
        <v>18</v>
      </c>
      <c r="B42" t="s">
        <v>36</v>
      </c>
      <c r="C42" s="17">
        <v>45791.585416666669</v>
      </c>
      <c r="D42">
        <v>2</v>
      </c>
      <c r="E42">
        <v>1</v>
      </c>
      <c r="F42">
        <v>3</v>
      </c>
      <c r="G42" s="3">
        <v>5.6379999999999999</v>
      </c>
      <c r="H42" s="3">
        <f>Table4[[#This Row],[Op]]*Table4[[#This Row],[Laser^2]]</f>
        <v>31.553567999999999</v>
      </c>
      <c r="I42" s="3">
        <f>Table4[[#This Row],[Laser]]^2</f>
        <v>15.776783999999999</v>
      </c>
      <c r="J42">
        <v>2</v>
      </c>
      <c r="K42" s="3">
        <v>3.972</v>
      </c>
      <c r="L42" s="3">
        <v>5.64</v>
      </c>
      <c r="M42" s="3"/>
      <c r="N42" s="3" t="s">
        <v>93</v>
      </c>
      <c r="O42" s="3"/>
      <c r="P42" s="3"/>
      <c r="Q42" s="3"/>
      <c r="R42" s="3"/>
      <c r="S42" s="3"/>
      <c r="T42" s="3"/>
      <c r="U42" s="3"/>
      <c r="V42" s="3"/>
      <c r="W42" s="3"/>
      <c r="X42" s="3"/>
      <c r="Y42" s="3"/>
      <c r="Z42" s="3"/>
    </row>
    <row r="43" spans="1:31" x14ac:dyDescent="0.25">
      <c r="A43">
        <v>19</v>
      </c>
      <c r="B43" t="s">
        <v>36</v>
      </c>
      <c r="C43" s="17">
        <v>45791.585416666669</v>
      </c>
      <c r="D43">
        <v>2</v>
      </c>
      <c r="E43">
        <v>1</v>
      </c>
      <c r="F43">
        <v>4</v>
      </c>
      <c r="G43" s="3">
        <v>4.2430000000000003</v>
      </c>
      <c r="H43" s="3">
        <f>Table4[[#This Row],[Op]]*Table4[[#This Row],[Laser^2]]</f>
        <v>57.6738</v>
      </c>
      <c r="I43" s="3">
        <f>Table4[[#This Row],[Laser]]^2</f>
        <v>28.8369</v>
      </c>
      <c r="J43">
        <v>2</v>
      </c>
      <c r="K43" s="3">
        <v>5.37</v>
      </c>
      <c r="L43" s="3">
        <v>4.24</v>
      </c>
      <c r="M43" s="3"/>
      <c r="N43" s="3"/>
      <c r="O43" s="3" t="s">
        <v>98</v>
      </c>
      <c r="P43" s="3" t="s">
        <v>99</v>
      </c>
      <c r="Q43" s="3" t="s">
        <v>100</v>
      </c>
      <c r="R43" s="3" t="s">
        <v>101</v>
      </c>
      <c r="S43" s="3" t="s">
        <v>102</v>
      </c>
      <c r="T43" s="3"/>
      <c r="U43" s="3"/>
      <c r="V43" s="3"/>
      <c r="W43" s="3"/>
      <c r="X43" s="3"/>
      <c r="Y43" s="3"/>
      <c r="Z43" s="3"/>
    </row>
    <row r="44" spans="1:31" x14ac:dyDescent="0.25">
      <c r="A44">
        <v>20</v>
      </c>
      <c r="B44" t="s">
        <v>36</v>
      </c>
      <c r="C44" s="17">
        <v>45791.585416666669</v>
      </c>
      <c r="D44">
        <v>2</v>
      </c>
      <c r="E44">
        <v>1</v>
      </c>
      <c r="F44">
        <v>5</v>
      </c>
      <c r="G44" s="3">
        <v>2.75</v>
      </c>
      <c r="H44" s="3">
        <f>Table4[[#This Row],[Op]]*Table4[[#This Row],[Laser^2]]</f>
        <v>94.613768000000007</v>
      </c>
      <c r="I44" s="3">
        <f>Table4[[#This Row],[Laser]]^2</f>
        <v>47.306884000000004</v>
      </c>
      <c r="J44">
        <v>2</v>
      </c>
      <c r="K44" s="3">
        <v>6.8780000000000001</v>
      </c>
      <c r="L44" s="3">
        <v>2.74</v>
      </c>
      <c r="M44" s="3"/>
      <c r="N44" s="3" t="s">
        <v>94</v>
      </c>
      <c r="O44" s="3">
        <v>4</v>
      </c>
      <c r="P44" s="3">
        <v>239.37715569464527</v>
      </c>
      <c r="Q44" s="3">
        <v>59.844288923661317</v>
      </c>
      <c r="R44" s="3">
        <v>1876008.6133739892</v>
      </c>
      <c r="S44" s="3">
        <v>1.7543679382555219E-140</v>
      </c>
      <c r="T44" s="3"/>
      <c r="U44" s="3"/>
      <c r="V44" s="3"/>
      <c r="W44" s="3"/>
      <c r="X44" s="3"/>
      <c r="Y44" s="3"/>
      <c r="Z44" s="3"/>
    </row>
    <row r="45" spans="1:31" x14ac:dyDescent="0.25">
      <c r="A45">
        <v>21</v>
      </c>
      <c r="B45" t="s">
        <v>36</v>
      </c>
      <c r="C45" s="17">
        <v>45791.595833333333</v>
      </c>
      <c r="D45">
        <v>2</v>
      </c>
      <c r="E45">
        <v>2</v>
      </c>
      <c r="F45">
        <v>1</v>
      </c>
      <c r="G45" s="3">
        <v>8.4</v>
      </c>
      <c r="H45" s="3">
        <f>Table4[[#This Row],[Op]]*Table4[[#This Row],[Laser^2]]</f>
        <v>2.9330420000000004</v>
      </c>
      <c r="I45" s="3">
        <f>Table4[[#This Row],[Laser]]^2</f>
        <v>1.4665210000000002</v>
      </c>
      <c r="J45">
        <v>2</v>
      </c>
      <c r="K45" s="3">
        <v>1.2110000000000001</v>
      </c>
      <c r="L45" s="3">
        <v>8.3829999999999991</v>
      </c>
      <c r="M45" s="3"/>
      <c r="N45" s="3" t="s">
        <v>95</v>
      </c>
      <c r="O45" s="3">
        <v>55</v>
      </c>
      <c r="P45" s="3">
        <v>1.7544886880245963E-3</v>
      </c>
      <c r="Q45" s="3">
        <v>3.1899794327719933E-5</v>
      </c>
      <c r="R45" s="3"/>
      <c r="S45" s="3"/>
      <c r="T45" s="3"/>
      <c r="U45" s="3"/>
      <c r="V45" s="3"/>
      <c r="W45" s="3"/>
      <c r="X45" s="3"/>
      <c r="Y45" s="3"/>
      <c r="Z45" s="3"/>
    </row>
    <row r="46" spans="1:31" x14ac:dyDescent="0.25">
      <c r="A46">
        <v>22</v>
      </c>
      <c r="B46" t="s">
        <v>36</v>
      </c>
      <c r="C46" s="17">
        <v>45791.595833333333</v>
      </c>
      <c r="D46">
        <v>2</v>
      </c>
      <c r="E46">
        <v>2</v>
      </c>
      <c r="F46">
        <v>2</v>
      </c>
      <c r="G46" s="3">
        <v>7.0640000000000001</v>
      </c>
      <c r="H46" s="3">
        <f>Table4[[#This Row],[Op]]*Table4[[#This Row],[Laser^2]]</f>
        <v>12.974418000000002</v>
      </c>
      <c r="I46" s="3">
        <f>Table4[[#This Row],[Laser]]^2</f>
        <v>6.4872090000000009</v>
      </c>
      <c r="J46">
        <v>2</v>
      </c>
      <c r="K46" s="3">
        <v>2.5470000000000002</v>
      </c>
      <c r="L46" s="3">
        <v>7.0519999999999996</v>
      </c>
      <c r="M46" s="3"/>
      <c r="N46" s="3" t="s">
        <v>96</v>
      </c>
      <c r="O46" s="3">
        <v>59</v>
      </c>
      <c r="P46" s="3">
        <v>239.37891018333329</v>
      </c>
      <c r="Q46" s="3"/>
      <c r="R46" s="3"/>
      <c r="S46" s="3"/>
      <c r="T46" s="3"/>
      <c r="U46" s="3"/>
      <c r="V46" s="3"/>
      <c r="W46" s="3"/>
      <c r="X46" s="3"/>
      <c r="Y46" s="3"/>
      <c r="Z46" s="3"/>
    </row>
    <row r="47" spans="1:31" x14ac:dyDescent="0.25">
      <c r="A47">
        <v>23</v>
      </c>
      <c r="B47" t="s">
        <v>36</v>
      </c>
      <c r="C47" s="17">
        <v>45791.595833333333</v>
      </c>
      <c r="D47">
        <v>2</v>
      </c>
      <c r="E47">
        <v>2</v>
      </c>
      <c r="F47">
        <v>3</v>
      </c>
      <c r="G47" s="3">
        <v>5.63</v>
      </c>
      <c r="H47" s="3">
        <f>Table4[[#This Row],[Op]]*Table4[[#This Row],[Laser^2]]</f>
        <v>31.744512</v>
      </c>
      <c r="I47" s="3">
        <f>Table4[[#This Row],[Laser]]^2</f>
        <v>15.872256</v>
      </c>
      <c r="J47">
        <v>2</v>
      </c>
      <c r="K47" s="3">
        <v>3.984</v>
      </c>
      <c r="L47" s="3">
        <v>5.6360000000000001</v>
      </c>
      <c r="M47" s="3"/>
      <c r="N47" s="3"/>
      <c r="O47" s="3"/>
      <c r="P47" s="3"/>
      <c r="Q47" s="3"/>
      <c r="R47" s="3"/>
      <c r="S47" s="3"/>
      <c r="T47" s="3"/>
      <c r="U47" s="3"/>
      <c r="V47" s="3"/>
      <c r="W47" s="3"/>
      <c r="X47" s="3"/>
      <c r="Y47" s="3"/>
      <c r="Z47" s="3"/>
    </row>
    <row r="48" spans="1:31" x14ac:dyDescent="0.25">
      <c r="A48">
        <v>24</v>
      </c>
      <c r="B48" t="s">
        <v>36</v>
      </c>
      <c r="C48" s="17">
        <v>45791.595833333333</v>
      </c>
      <c r="D48">
        <v>2</v>
      </c>
      <c r="E48">
        <v>2</v>
      </c>
      <c r="F48">
        <v>4</v>
      </c>
      <c r="G48" s="3">
        <v>4.1760000000000002</v>
      </c>
      <c r="H48" s="3">
        <f>Table4[[#This Row],[Op]]*Table4[[#This Row],[Laser^2]]</f>
        <v>59.274271999999996</v>
      </c>
      <c r="I48" s="3">
        <f>Table4[[#This Row],[Laser]]^2</f>
        <v>29.637135999999998</v>
      </c>
      <c r="J48">
        <v>2</v>
      </c>
      <c r="K48" s="3">
        <v>5.444</v>
      </c>
      <c r="L48" s="3">
        <v>4.1669999999999998</v>
      </c>
      <c r="M48" s="3"/>
      <c r="N48" s="3"/>
      <c r="O48" s="3" t="s">
        <v>108</v>
      </c>
      <c r="P48" s="3" t="s">
        <v>91</v>
      </c>
      <c r="Q48" s="3" t="s">
        <v>109</v>
      </c>
      <c r="R48" s="3" t="s">
        <v>110</v>
      </c>
      <c r="S48" s="3" t="s">
        <v>111</v>
      </c>
      <c r="T48" s="3" t="s">
        <v>112</v>
      </c>
      <c r="U48" s="3" t="s">
        <v>114</v>
      </c>
      <c r="V48" s="3" t="s">
        <v>115</v>
      </c>
      <c r="W48" s="3"/>
      <c r="X48" s="3"/>
      <c r="Y48" s="3"/>
      <c r="Z48" s="3"/>
      <c r="AD48" s="39" t="s">
        <v>108</v>
      </c>
      <c r="AE48" s="39" t="s">
        <v>110</v>
      </c>
    </row>
    <row r="49" spans="1:31" x14ac:dyDescent="0.25">
      <c r="A49">
        <v>25</v>
      </c>
      <c r="B49" t="s">
        <v>36</v>
      </c>
      <c r="C49" s="17">
        <v>45791.595833333333</v>
      </c>
      <c r="D49">
        <v>2</v>
      </c>
      <c r="E49">
        <v>2</v>
      </c>
      <c r="F49">
        <v>5</v>
      </c>
      <c r="G49" s="3">
        <v>2.75</v>
      </c>
      <c r="H49" s="3">
        <f>Table4[[#This Row],[Op]]*Table4[[#This Row],[Laser^2]]</f>
        <v>94.53125</v>
      </c>
      <c r="I49" s="3">
        <f>Table4[[#This Row],[Laser]]^2</f>
        <v>47.265625</v>
      </c>
      <c r="J49">
        <v>2</v>
      </c>
      <c r="K49" s="3">
        <v>6.875</v>
      </c>
      <c r="L49" s="3">
        <v>2.738</v>
      </c>
      <c r="M49" s="3"/>
      <c r="N49" s="3" t="s">
        <v>32</v>
      </c>
      <c r="O49" s="3">
        <v>9.5950882922952623</v>
      </c>
      <c r="P49" s="3">
        <v>4.0504954508934592E-3</v>
      </c>
      <c r="Q49" s="3">
        <v>2368.8678110177302</v>
      </c>
      <c r="R49" s="3">
        <v>1.9493878399862098E-139</v>
      </c>
      <c r="S49" s="3">
        <v>9.5869709180171636</v>
      </c>
      <c r="T49" s="3">
        <v>9.6032056665733609</v>
      </c>
      <c r="U49" s="3">
        <v>9.5869709180171636</v>
      </c>
      <c r="V49" s="3">
        <v>9.6032056665733609</v>
      </c>
      <c r="W49" s="3"/>
      <c r="X49" s="3"/>
      <c r="Y49" s="3"/>
      <c r="Z49" s="3"/>
      <c r="AC49" s="20" t="s">
        <v>32</v>
      </c>
      <c r="AD49" s="20">
        <v>9.5950882922952623</v>
      </c>
      <c r="AE49" s="40">
        <v>1.9493878399862098E-139</v>
      </c>
    </row>
    <row r="50" spans="1:31" x14ac:dyDescent="0.25">
      <c r="A50">
        <v>26</v>
      </c>
      <c r="B50" t="s">
        <v>36</v>
      </c>
      <c r="C50" s="17">
        <v>45791.602777777778</v>
      </c>
      <c r="D50">
        <v>2</v>
      </c>
      <c r="E50">
        <v>3</v>
      </c>
      <c r="F50">
        <v>1</v>
      </c>
      <c r="G50" s="3">
        <v>8.4</v>
      </c>
      <c r="H50" s="3">
        <f>Table4[[#This Row],[Op]]*Table4[[#This Row],[Laser^2]]</f>
        <v>2.9185279999999998</v>
      </c>
      <c r="I50" s="3">
        <f>Table4[[#This Row],[Laser]]^2</f>
        <v>1.4592639999999999</v>
      </c>
      <c r="J50">
        <v>2</v>
      </c>
      <c r="K50" s="3">
        <v>1.208</v>
      </c>
      <c r="L50" s="3">
        <v>8.3919999999999995</v>
      </c>
      <c r="M50" s="3"/>
      <c r="N50" s="3" t="s">
        <v>84</v>
      </c>
      <c r="O50" s="3">
        <v>4.9860571126394916E-5</v>
      </c>
      <c r="P50" s="3">
        <v>3.9408419547255457E-5</v>
      </c>
      <c r="Q50" s="3">
        <v>1.2652263576976506</v>
      </c>
      <c r="R50" s="3">
        <v>0.21112439094573271</v>
      </c>
      <c r="S50" s="3">
        <v>-2.9115666484952373E-5</v>
      </c>
      <c r="T50" s="3">
        <v>1.2883680873774221E-4</v>
      </c>
      <c r="U50" s="3">
        <v>-2.9115666484952373E-5</v>
      </c>
      <c r="V50" s="3">
        <v>1.2883680873774221E-4</v>
      </c>
      <c r="W50" s="3"/>
      <c r="X50" s="3"/>
      <c r="Y50" s="3"/>
      <c r="Z50" s="3"/>
      <c r="AC50" s="20" t="s">
        <v>84</v>
      </c>
      <c r="AD50" s="20">
        <v>4.9860571126394916E-5</v>
      </c>
      <c r="AE50" s="40">
        <v>0.21112439094573271</v>
      </c>
    </row>
    <row r="51" spans="1:31" x14ac:dyDescent="0.25">
      <c r="A51">
        <v>27</v>
      </c>
      <c r="B51" t="s">
        <v>36</v>
      </c>
      <c r="C51" s="17">
        <v>45791.602777777778</v>
      </c>
      <c r="D51">
        <v>2</v>
      </c>
      <c r="E51">
        <v>3</v>
      </c>
      <c r="F51">
        <v>2</v>
      </c>
      <c r="G51" s="3">
        <v>7.0330000000000004</v>
      </c>
      <c r="H51" s="3">
        <f>Table4[[#This Row],[Op]]*Table4[[#This Row],[Laser^2]]</f>
        <v>13.209799999999998</v>
      </c>
      <c r="I51" s="3">
        <f>Table4[[#This Row],[Laser]]^2</f>
        <v>6.6048999999999989</v>
      </c>
      <c r="J51">
        <v>2</v>
      </c>
      <c r="K51" s="3">
        <v>2.57</v>
      </c>
      <c r="L51" s="3">
        <v>7.0339999999999998</v>
      </c>
      <c r="M51" s="3"/>
      <c r="N51" s="3" t="s">
        <v>83</v>
      </c>
      <c r="O51" s="3">
        <v>-5.2632119744339199E-4</v>
      </c>
      <c r="P51" s="3">
        <v>2.383795709681918E-4</v>
      </c>
      <c r="Q51" s="3">
        <v>-2.2079123446095208</v>
      </c>
      <c r="R51" s="3">
        <v>3.1438756471973882E-2</v>
      </c>
      <c r="S51" s="3">
        <v>-1.0040445330849015E-3</v>
      </c>
      <c r="T51" s="3">
        <v>-4.8597861801882565E-5</v>
      </c>
      <c r="U51" s="3">
        <v>-1.0040445330849015E-3</v>
      </c>
      <c r="V51" s="3">
        <v>-4.8597861801882565E-5</v>
      </c>
      <c r="W51" s="3"/>
      <c r="X51" s="3"/>
      <c r="Y51" s="3"/>
      <c r="Z51" s="3"/>
      <c r="AC51" s="20" t="s">
        <v>83</v>
      </c>
      <c r="AD51" s="20">
        <v>-5.2632119744339199E-4</v>
      </c>
      <c r="AE51" s="40">
        <v>3.1438756471973882E-2</v>
      </c>
    </row>
    <row r="52" spans="1:31" x14ac:dyDescent="0.25">
      <c r="A52">
        <v>28</v>
      </c>
      <c r="B52" t="s">
        <v>36</v>
      </c>
      <c r="C52" s="17">
        <v>45791.602777777778</v>
      </c>
      <c r="D52">
        <v>2</v>
      </c>
      <c r="E52">
        <v>3</v>
      </c>
      <c r="F52">
        <v>3</v>
      </c>
      <c r="G52" s="3">
        <v>5.6280000000000001</v>
      </c>
      <c r="H52" s="3">
        <f>Table4[[#This Row],[Op]]*Table4[[#This Row],[Laser^2]]</f>
        <v>31.776392000000005</v>
      </c>
      <c r="I52" s="3">
        <f>Table4[[#This Row],[Laser]]^2</f>
        <v>15.888196000000002</v>
      </c>
      <c r="J52">
        <v>2</v>
      </c>
      <c r="K52" s="3">
        <v>3.9860000000000002</v>
      </c>
      <c r="L52" s="3">
        <v>5.6139999999999999</v>
      </c>
      <c r="M52" s="3"/>
      <c r="N52" s="3" t="s">
        <v>85</v>
      </c>
      <c r="O52" s="3">
        <v>-1.3599214267942161E-3</v>
      </c>
      <c r="P52" s="3">
        <v>1.0268938359749608E-3</v>
      </c>
      <c r="Q52" s="3">
        <v>-1.3243057647756449</v>
      </c>
      <c r="R52" s="3">
        <v>0.190878593733879</v>
      </c>
      <c r="S52" s="3">
        <v>-3.4178626617716156E-3</v>
      </c>
      <c r="T52" s="3">
        <v>6.980198081831836E-4</v>
      </c>
      <c r="U52" s="3">
        <v>-3.4178626617716156E-3</v>
      </c>
      <c r="V52" s="3">
        <v>6.980198081831836E-4</v>
      </c>
      <c r="W52" s="3"/>
      <c r="X52" s="3"/>
      <c r="Y52" s="3"/>
      <c r="Z52" s="3"/>
      <c r="AC52" s="20" t="s">
        <v>50</v>
      </c>
      <c r="AD52" s="20">
        <v>-1.3599214267942161E-3</v>
      </c>
      <c r="AE52" s="40">
        <v>0.190878593733879</v>
      </c>
    </row>
    <row r="53" spans="1:31" x14ac:dyDescent="0.25">
      <c r="A53">
        <v>29</v>
      </c>
      <c r="B53" t="s">
        <v>36</v>
      </c>
      <c r="C53" s="17">
        <v>45791.602777777778</v>
      </c>
      <c r="D53">
        <v>2</v>
      </c>
      <c r="E53">
        <v>3</v>
      </c>
      <c r="F53">
        <v>4</v>
      </c>
      <c r="G53" s="3">
        <v>4.2560000000000002</v>
      </c>
      <c r="H53" s="3">
        <f>Table4[[#This Row],[Op]]*Table4[[#This Row],[Laser^2]]</f>
        <v>57.480641999999996</v>
      </c>
      <c r="I53" s="3">
        <f>Table4[[#This Row],[Laser]]^2</f>
        <v>28.740320999999998</v>
      </c>
      <c r="J53">
        <v>2</v>
      </c>
      <c r="K53" s="3">
        <v>5.3609999999999998</v>
      </c>
      <c r="L53" s="3">
        <v>4.2510000000000003</v>
      </c>
      <c r="M53" s="3"/>
      <c r="N53" s="3" t="s">
        <v>2</v>
      </c>
      <c r="O53" s="3">
        <v>-0.99324136099594318</v>
      </c>
      <c r="P53" s="3">
        <v>1.7920398276280414E-3</v>
      </c>
      <c r="Q53" s="3">
        <v>-554.25183396208638</v>
      </c>
      <c r="R53" s="3">
        <v>9.6330874509139343E-105</v>
      </c>
      <c r="S53" s="3">
        <v>-0.99683268906394751</v>
      </c>
      <c r="T53" s="3">
        <v>-0.98965003292793885</v>
      </c>
      <c r="U53" s="3">
        <v>-0.99683268906394751</v>
      </c>
      <c r="V53" s="3">
        <v>-0.98965003292793885</v>
      </c>
      <c r="W53" s="3"/>
      <c r="X53" s="3"/>
      <c r="Y53" s="3"/>
      <c r="Z53" s="3"/>
      <c r="AC53" s="20" t="s">
        <v>2</v>
      </c>
      <c r="AD53" s="20">
        <v>-0.99324136099594318</v>
      </c>
      <c r="AE53" s="40">
        <v>9.6330874509139343E-105</v>
      </c>
    </row>
    <row r="54" spans="1:31" x14ac:dyDescent="0.25">
      <c r="A54">
        <v>30</v>
      </c>
      <c r="B54" t="s">
        <v>36</v>
      </c>
      <c r="C54" s="17">
        <v>45791.602777777778</v>
      </c>
      <c r="D54">
        <v>2</v>
      </c>
      <c r="E54">
        <v>3</v>
      </c>
      <c r="F54">
        <v>5</v>
      </c>
      <c r="G54" s="3">
        <v>2.75</v>
      </c>
      <c r="H54" s="3">
        <f>Table4[[#This Row],[Op]]*Table4[[#This Row],[Laser^2]]</f>
        <v>94.558752000000013</v>
      </c>
      <c r="I54" s="3">
        <f>Table4[[#This Row],[Laser]]^2</f>
        <v>47.279376000000006</v>
      </c>
      <c r="J54">
        <v>2</v>
      </c>
      <c r="K54" s="3">
        <v>6.8760000000000003</v>
      </c>
      <c r="L54" s="3">
        <v>2.7440000000000002</v>
      </c>
      <c r="M54" s="3"/>
      <c r="N54" s="3"/>
      <c r="O54" s="3"/>
      <c r="P54" s="3"/>
      <c r="Q54" s="3"/>
      <c r="R54" s="3"/>
      <c r="S54" s="3"/>
      <c r="T54" s="3"/>
      <c r="U54" s="3"/>
      <c r="V54" s="3"/>
      <c r="W54" s="3"/>
      <c r="X54" s="3"/>
      <c r="Y54" s="3"/>
      <c r="Z54" s="3"/>
    </row>
    <row r="55" spans="1:31" x14ac:dyDescent="0.25">
      <c r="A55">
        <v>31</v>
      </c>
      <c r="B55" t="s">
        <v>38</v>
      </c>
      <c r="C55" s="17">
        <v>45796.407638888886</v>
      </c>
      <c r="D55">
        <v>3</v>
      </c>
      <c r="E55">
        <v>1</v>
      </c>
      <c r="F55">
        <v>1</v>
      </c>
      <c r="G55" s="3">
        <v>8.4</v>
      </c>
      <c r="H55" s="3">
        <f>Table4[[#This Row],[Op]]*Table4[[#This Row],[Laser^2]]</f>
        <v>4.3850430000000005</v>
      </c>
      <c r="I55" s="3">
        <f>Table4[[#This Row],[Laser]]^2</f>
        <v>1.4616810000000002</v>
      </c>
      <c r="J55">
        <v>3</v>
      </c>
      <c r="K55" s="3">
        <v>1.2090000000000001</v>
      </c>
      <c r="L55" s="3">
        <v>8.3879999999999999</v>
      </c>
      <c r="M55" s="3"/>
      <c r="N55" s="3"/>
      <c r="O55" s="3"/>
      <c r="P55" s="3"/>
      <c r="Q55" s="3"/>
      <c r="R55" s="3"/>
      <c r="S55" s="3"/>
      <c r="T55" s="3"/>
      <c r="U55" s="3"/>
      <c r="V55" s="3"/>
      <c r="W55" s="3"/>
      <c r="X55" s="3"/>
      <c r="Y55" s="3"/>
      <c r="Z55" s="3"/>
    </row>
    <row r="56" spans="1:31" x14ac:dyDescent="0.25">
      <c r="A56">
        <v>32</v>
      </c>
      <c r="B56" t="s">
        <v>38</v>
      </c>
      <c r="C56" s="17">
        <v>45796.407638888886</v>
      </c>
      <c r="D56">
        <v>3</v>
      </c>
      <c r="E56">
        <v>1</v>
      </c>
      <c r="F56">
        <v>2</v>
      </c>
      <c r="G56" s="3">
        <v>7.0519999999999996</v>
      </c>
      <c r="H56" s="3">
        <f>Table4[[#This Row],[Op]]*Table4[[#This Row],[Laser^2]]</f>
        <v>19.5075</v>
      </c>
      <c r="I56" s="3">
        <f>Table4[[#This Row],[Laser]]^2</f>
        <v>6.5024999999999995</v>
      </c>
      <c r="J56">
        <v>3</v>
      </c>
      <c r="K56" s="3">
        <v>2.5499999999999998</v>
      </c>
      <c r="L56" s="3">
        <v>7.056</v>
      </c>
      <c r="M56" s="3"/>
      <c r="N56" s="3"/>
      <c r="O56" s="3"/>
      <c r="P56" s="3"/>
      <c r="Q56" s="3"/>
      <c r="R56" s="3"/>
      <c r="S56" s="3"/>
      <c r="T56" s="3"/>
      <c r="U56" s="3"/>
      <c r="V56" s="3"/>
      <c r="W56" s="3"/>
      <c r="X56" s="3"/>
      <c r="Y56" s="3"/>
      <c r="Z56" s="3"/>
    </row>
    <row r="57" spans="1:31" x14ac:dyDescent="0.25">
      <c r="A57">
        <v>33</v>
      </c>
      <c r="B57" t="s">
        <v>38</v>
      </c>
      <c r="C57" s="17">
        <v>45796.407638888886</v>
      </c>
      <c r="D57">
        <v>3</v>
      </c>
      <c r="E57">
        <v>1</v>
      </c>
      <c r="F57">
        <v>3</v>
      </c>
      <c r="G57" s="3">
        <v>5.6219999999999999</v>
      </c>
      <c r="H57" s="3">
        <f>Table4[[#This Row],[Op]]*Table4[[#This Row],[Laser^2]]</f>
        <v>47.832146999999999</v>
      </c>
      <c r="I57" s="3">
        <f>Table4[[#This Row],[Laser]]^2</f>
        <v>15.944049</v>
      </c>
      <c r="J57">
        <v>3</v>
      </c>
      <c r="K57" s="3">
        <v>3.9929999999999999</v>
      </c>
      <c r="L57" s="3">
        <v>5.6180000000000003</v>
      </c>
      <c r="M57" s="3"/>
      <c r="N57" s="3" t="s">
        <v>118</v>
      </c>
      <c r="O57" s="3"/>
      <c r="P57" s="3"/>
      <c r="Q57" s="3"/>
      <c r="R57" s="3"/>
      <c r="S57" s="3"/>
      <c r="T57" s="3"/>
      <c r="U57" s="3"/>
      <c r="V57" s="3"/>
      <c r="W57" s="3"/>
      <c r="X57" s="3"/>
      <c r="Y57" s="3"/>
      <c r="Z57" s="3"/>
    </row>
    <row r="58" spans="1:31" x14ac:dyDescent="0.25">
      <c r="A58">
        <v>34</v>
      </c>
      <c r="B58" t="s">
        <v>38</v>
      </c>
      <c r="C58" s="17">
        <v>45796.407638888886</v>
      </c>
      <c r="D58">
        <v>3</v>
      </c>
      <c r="E58">
        <v>1</v>
      </c>
      <c r="F58">
        <v>4</v>
      </c>
      <c r="G58" s="3">
        <v>4.2530000000000001</v>
      </c>
      <c r="H58" s="3">
        <f>Table4[[#This Row],[Op]]*Table4[[#This Row],[Laser^2]]</f>
        <v>86.446272000000008</v>
      </c>
      <c r="I58" s="3">
        <f>Table4[[#This Row],[Laser]]^2</f>
        <v>28.815424000000004</v>
      </c>
      <c r="J58">
        <v>3</v>
      </c>
      <c r="K58" s="3">
        <v>5.3680000000000003</v>
      </c>
      <c r="L58" s="3">
        <v>4.242</v>
      </c>
      <c r="M58" s="3"/>
      <c r="N58" s="3"/>
      <c r="O58" s="3"/>
      <c r="P58" s="3"/>
      <c r="Q58" s="3"/>
      <c r="R58" s="3"/>
      <c r="S58" s="3"/>
      <c r="T58" s="3"/>
      <c r="U58" s="3"/>
      <c r="V58" s="3"/>
      <c r="W58" s="3"/>
      <c r="X58" s="3"/>
      <c r="Y58" s="3"/>
      <c r="Z58" s="3"/>
    </row>
    <row r="59" spans="1:31" x14ac:dyDescent="0.25">
      <c r="A59">
        <v>35</v>
      </c>
      <c r="B59" t="s">
        <v>38</v>
      </c>
      <c r="C59" s="17">
        <v>45796.407638888886</v>
      </c>
      <c r="D59">
        <v>3</v>
      </c>
      <c r="E59">
        <v>1</v>
      </c>
      <c r="F59">
        <v>5</v>
      </c>
      <c r="G59" s="3">
        <v>2.75</v>
      </c>
      <c r="H59" s="3">
        <f>Table4[[#This Row],[Op]]*Table4[[#This Row],[Laser^2]]</f>
        <v>141.796875</v>
      </c>
      <c r="I59" s="3">
        <f>Table4[[#This Row],[Laser]]^2</f>
        <v>47.265625</v>
      </c>
      <c r="J59">
        <v>3</v>
      </c>
      <c r="K59" s="3">
        <v>6.875</v>
      </c>
      <c r="L59" s="3">
        <v>2.74</v>
      </c>
      <c r="M59" s="3"/>
      <c r="N59" s="3" t="s">
        <v>119</v>
      </c>
      <c r="O59" s="3" t="s">
        <v>120</v>
      </c>
      <c r="P59" s="3" t="s">
        <v>121</v>
      </c>
      <c r="Q59" s="3"/>
      <c r="R59" s="3"/>
      <c r="S59" s="3"/>
      <c r="T59" s="3"/>
      <c r="U59" s="3"/>
      <c r="V59" s="3"/>
      <c r="W59" s="3"/>
      <c r="X59" s="3"/>
      <c r="Y59" s="3"/>
      <c r="Z59" s="3"/>
    </row>
    <row r="60" spans="1:31" x14ac:dyDescent="0.25">
      <c r="A60">
        <v>36</v>
      </c>
      <c r="B60" t="s">
        <v>38</v>
      </c>
      <c r="C60" s="17">
        <v>45796.415277777778</v>
      </c>
      <c r="D60">
        <v>3</v>
      </c>
      <c r="E60">
        <v>2</v>
      </c>
      <c r="F60">
        <v>1</v>
      </c>
      <c r="G60" s="3">
        <v>8.4</v>
      </c>
      <c r="H60" s="3">
        <f>Table4[[#This Row],[Op]]*Table4[[#This Row],[Laser^2]]</f>
        <v>4.3922999999999996</v>
      </c>
      <c r="I60" s="3">
        <f>Table4[[#This Row],[Laser]]^2</f>
        <v>1.4641</v>
      </c>
      <c r="J60">
        <v>3</v>
      </c>
      <c r="K60" s="3">
        <v>1.21</v>
      </c>
      <c r="L60" s="3">
        <v>8.39</v>
      </c>
      <c r="M60" s="3"/>
      <c r="N60" s="3">
        <v>1</v>
      </c>
      <c r="O60" s="3">
        <v>8.3931975249459683</v>
      </c>
      <c r="P60" s="3">
        <v>-1.9752494596758652E-4</v>
      </c>
      <c r="Q60" s="3"/>
      <c r="R60" s="3"/>
      <c r="S60" s="3"/>
      <c r="T60" s="3"/>
      <c r="U60" s="3"/>
      <c r="V60" s="3"/>
      <c r="W60" s="3"/>
      <c r="X60" s="3"/>
      <c r="Y60" s="3"/>
      <c r="Z60" s="3"/>
    </row>
    <row r="61" spans="1:31" x14ac:dyDescent="0.25">
      <c r="A61">
        <v>37</v>
      </c>
      <c r="B61" t="s">
        <v>38</v>
      </c>
      <c r="C61" s="17">
        <v>45796.415277777778</v>
      </c>
      <c r="D61">
        <v>3</v>
      </c>
      <c r="E61">
        <v>2</v>
      </c>
      <c r="F61">
        <v>2</v>
      </c>
      <c r="G61" s="3">
        <v>7.0659999999999998</v>
      </c>
      <c r="H61" s="3">
        <f>Table4[[#This Row],[Op]]*Table4[[#This Row],[Laser^2]]</f>
        <v>19.354800000000001</v>
      </c>
      <c r="I61" s="3">
        <f>Table4[[#This Row],[Laser]]^2</f>
        <v>6.4516</v>
      </c>
      <c r="J61">
        <v>3</v>
      </c>
      <c r="K61" s="3">
        <v>2.54</v>
      </c>
      <c r="L61" s="3">
        <v>7.0490000000000004</v>
      </c>
      <c r="M61" s="3"/>
      <c r="N61" s="3">
        <v>2</v>
      </c>
      <c r="O61" s="3">
        <v>7.0001141763016115</v>
      </c>
      <c r="P61" s="3">
        <v>-3.1141763016115931E-3</v>
      </c>
      <c r="Q61" s="3"/>
      <c r="R61" s="3"/>
      <c r="S61" s="3"/>
      <c r="T61" s="3"/>
      <c r="U61" s="3"/>
      <c r="V61" s="3"/>
      <c r="W61" s="3"/>
      <c r="X61" s="3"/>
      <c r="Y61" s="3"/>
      <c r="Z61" s="3"/>
    </row>
    <row r="62" spans="1:31" x14ac:dyDescent="0.25">
      <c r="A62">
        <v>38</v>
      </c>
      <c r="B62" t="s">
        <v>38</v>
      </c>
      <c r="C62" s="17">
        <v>45796.415277777778</v>
      </c>
      <c r="D62">
        <v>3</v>
      </c>
      <c r="E62">
        <v>2</v>
      </c>
      <c r="F62">
        <v>3</v>
      </c>
      <c r="G62" s="3">
        <v>5.6180000000000003</v>
      </c>
      <c r="H62" s="3">
        <f>Table4[[#This Row],[Op]]*Table4[[#This Row],[Laser^2]]</f>
        <v>47.976002999999999</v>
      </c>
      <c r="I62" s="3">
        <f>Table4[[#This Row],[Laser]]^2</f>
        <v>15.992001</v>
      </c>
      <c r="J62">
        <v>3</v>
      </c>
      <c r="K62" s="3">
        <v>3.9990000000000001</v>
      </c>
      <c r="L62" s="3">
        <v>5.62</v>
      </c>
      <c r="M62" s="3"/>
      <c r="N62" s="3">
        <v>3</v>
      </c>
      <c r="O62" s="3">
        <v>5.5951924476622636</v>
      </c>
      <c r="P62" s="3">
        <v>6.8075523377366665E-3</v>
      </c>
      <c r="Q62" s="3"/>
      <c r="R62" s="3"/>
      <c r="S62" s="3"/>
      <c r="T62" s="3"/>
      <c r="U62" s="3"/>
      <c r="V62" s="3"/>
      <c r="W62" s="3"/>
      <c r="X62" s="3"/>
      <c r="Y62" s="3"/>
      <c r="Z62" s="3"/>
    </row>
    <row r="63" spans="1:31" x14ac:dyDescent="0.25">
      <c r="A63">
        <v>39</v>
      </c>
      <c r="B63" t="s">
        <v>38</v>
      </c>
      <c r="C63" s="17">
        <v>45796.415277777778</v>
      </c>
      <c r="D63">
        <v>3</v>
      </c>
      <c r="E63">
        <v>2</v>
      </c>
      <c r="F63">
        <v>4</v>
      </c>
      <c r="G63" s="3">
        <v>4.2450000000000001</v>
      </c>
      <c r="H63" s="3">
        <f>Table4[[#This Row],[Op]]*Table4[[#This Row],[Laser^2]]</f>
        <v>86.704128000000011</v>
      </c>
      <c r="I63" s="3">
        <f>Table4[[#This Row],[Laser]]^2</f>
        <v>28.901376000000003</v>
      </c>
      <c r="J63">
        <v>3</v>
      </c>
      <c r="K63" s="3">
        <v>5.3760000000000003</v>
      </c>
      <c r="L63" s="3">
        <v>4.26</v>
      </c>
      <c r="M63" s="3"/>
      <c r="N63" s="3">
        <v>4</v>
      </c>
      <c r="O63" s="3">
        <v>4.258262848852354</v>
      </c>
      <c r="P63" s="3">
        <v>-2.2628488523537271E-3</v>
      </c>
      <c r="Q63" s="3"/>
      <c r="R63" s="3"/>
      <c r="S63" s="3"/>
      <c r="T63" s="3"/>
      <c r="U63" s="3"/>
      <c r="V63" s="3"/>
      <c r="W63" s="3"/>
      <c r="X63" s="3"/>
      <c r="Y63" s="3"/>
      <c r="Z63" s="3"/>
    </row>
    <row r="64" spans="1:31" x14ac:dyDescent="0.25">
      <c r="A64">
        <v>40</v>
      </c>
      <c r="B64" t="s">
        <v>38</v>
      </c>
      <c r="C64" s="17">
        <v>45796.415277777778</v>
      </c>
      <c r="D64">
        <v>3</v>
      </c>
      <c r="E64">
        <v>2</v>
      </c>
      <c r="F64">
        <v>5</v>
      </c>
      <c r="G64" s="3">
        <v>2.75</v>
      </c>
      <c r="H64" s="3">
        <f>Table4[[#This Row],[Op]]*Table4[[#This Row],[Laser^2]]</f>
        <v>141.96192299999998</v>
      </c>
      <c r="I64" s="3">
        <f>Table4[[#This Row],[Laser]]^2</f>
        <v>47.320640999999995</v>
      </c>
      <c r="J64">
        <v>3</v>
      </c>
      <c r="K64" s="3">
        <v>6.8789999999999996</v>
      </c>
      <c r="L64" s="3">
        <v>2.7440000000000002</v>
      </c>
      <c r="M64" s="3"/>
      <c r="N64" s="3">
        <v>5</v>
      </c>
      <c r="O64" s="3">
        <v>2.7396744223586245</v>
      </c>
      <c r="P64" s="3">
        <v>2.3255776413755314E-3</v>
      </c>
      <c r="Q64" s="3"/>
      <c r="R64" s="3"/>
      <c r="S64" s="3"/>
      <c r="T64" s="3"/>
      <c r="U64" s="3"/>
      <c r="V64" s="3"/>
      <c r="W64" s="3"/>
      <c r="X64" s="3"/>
      <c r="Y64" s="3"/>
      <c r="Z64" s="3"/>
    </row>
    <row r="65" spans="1:26" x14ac:dyDescent="0.25">
      <c r="A65">
        <v>41</v>
      </c>
      <c r="B65" t="s">
        <v>38</v>
      </c>
      <c r="C65" s="17">
        <v>45796.422222222223</v>
      </c>
      <c r="D65">
        <v>3</v>
      </c>
      <c r="E65">
        <v>3</v>
      </c>
      <c r="F65">
        <v>1</v>
      </c>
      <c r="G65" s="3">
        <v>8.4</v>
      </c>
      <c r="H65" s="3">
        <f>Table4[[#This Row],[Op]]*Table4[[#This Row],[Laser^2]]</f>
        <v>4.3850430000000005</v>
      </c>
      <c r="I65" s="3">
        <f>Table4[[#This Row],[Laser]]^2</f>
        <v>1.4616810000000002</v>
      </c>
      <c r="J65">
        <v>3</v>
      </c>
      <c r="K65" s="3">
        <v>1.2090000000000001</v>
      </c>
      <c r="L65" s="3">
        <v>8.3930000000000007</v>
      </c>
      <c r="M65" s="3"/>
      <c r="N65" s="3">
        <v>6</v>
      </c>
      <c r="O65" s="3">
        <v>8.3941919169593771</v>
      </c>
      <c r="P65" s="3">
        <v>8.0808304062252034E-4</v>
      </c>
      <c r="Q65" s="3"/>
      <c r="R65" s="3"/>
      <c r="S65" s="3"/>
      <c r="T65" s="3"/>
      <c r="U65" s="3"/>
      <c r="V65" s="3"/>
      <c r="W65" s="3"/>
      <c r="X65" s="3"/>
      <c r="Y65" s="3"/>
      <c r="Z65" s="3"/>
    </row>
    <row r="66" spans="1:26" x14ac:dyDescent="0.25">
      <c r="A66">
        <v>42</v>
      </c>
      <c r="B66" t="s">
        <v>38</v>
      </c>
      <c r="C66" s="17">
        <v>45796.422222222223</v>
      </c>
      <c r="D66">
        <v>3</v>
      </c>
      <c r="E66">
        <v>3</v>
      </c>
      <c r="F66">
        <v>2</v>
      </c>
      <c r="G66" s="3">
        <v>7.0380000000000003</v>
      </c>
      <c r="H66" s="3">
        <f>Table4[[#This Row],[Op]]*Table4[[#This Row],[Laser^2]]</f>
        <v>19.830123</v>
      </c>
      <c r="I66" s="3">
        <f>Table4[[#This Row],[Laser]]^2</f>
        <v>6.6100410000000007</v>
      </c>
      <c r="J66">
        <v>3</v>
      </c>
      <c r="K66" s="3">
        <v>2.5710000000000002</v>
      </c>
      <c r="L66" s="3">
        <v>7.0419999999999998</v>
      </c>
      <c r="M66" s="3"/>
      <c r="N66" s="3">
        <v>7</v>
      </c>
      <c r="O66" s="3">
        <v>6.9881653887358066</v>
      </c>
      <c r="P66" s="3">
        <v>-1.1653887358065163E-3</v>
      </c>
      <c r="Q66" s="3"/>
      <c r="R66" s="3"/>
      <c r="S66" s="3"/>
      <c r="T66" s="3"/>
      <c r="U66" s="3"/>
      <c r="V66" s="3"/>
      <c r="W66" s="3"/>
      <c r="X66" s="3"/>
      <c r="Y66" s="3"/>
      <c r="Z66" s="3"/>
    </row>
    <row r="67" spans="1:26" x14ac:dyDescent="0.25">
      <c r="A67">
        <v>43</v>
      </c>
      <c r="B67" t="s">
        <v>38</v>
      </c>
      <c r="C67" s="17">
        <v>45796.422222222223</v>
      </c>
      <c r="D67">
        <v>3</v>
      </c>
      <c r="E67">
        <v>3</v>
      </c>
      <c r="F67">
        <v>3</v>
      </c>
      <c r="G67" s="3">
        <v>5.66</v>
      </c>
      <c r="H67" s="3">
        <f>Table4[[#This Row],[Op]]*Table4[[#This Row],[Laser^2]]</f>
        <v>46.949808000000004</v>
      </c>
      <c r="I67" s="3">
        <f>Table4[[#This Row],[Laser]]^2</f>
        <v>15.649936</v>
      </c>
      <c r="J67">
        <v>3</v>
      </c>
      <c r="K67" s="3">
        <v>3.956</v>
      </c>
      <c r="L67" s="3">
        <v>5.6539999999999999</v>
      </c>
      <c r="M67" s="3"/>
      <c r="N67" s="3">
        <v>8</v>
      </c>
      <c r="O67" s="3">
        <v>5.6141366094331708</v>
      </c>
      <c r="P67" s="3">
        <v>-3.136609433171067E-3</v>
      </c>
      <c r="Q67" s="3"/>
      <c r="R67" s="3"/>
      <c r="S67" s="3"/>
      <c r="T67" s="3"/>
      <c r="U67" s="3"/>
      <c r="V67" s="3"/>
      <c r="W67" s="3"/>
      <c r="X67" s="3"/>
      <c r="Y67" s="3"/>
      <c r="Z67" s="3"/>
    </row>
    <row r="68" spans="1:26" x14ac:dyDescent="0.25">
      <c r="A68">
        <v>44</v>
      </c>
      <c r="B68" t="s">
        <v>38</v>
      </c>
      <c r="C68" s="17">
        <v>45796.422222222223</v>
      </c>
      <c r="D68">
        <v>3</v>
      </c>
      <c r="E68">
        <v>3</v>
      </c>
      <c r="F68">
        <v>4</v>
      </c>
      <c r="G68" s="3">
        <v>4.1669999999999998</v>
      </c>
      <c r="H68" s="3">
        <f>Table4[[#This Row],[Op]]*Table4[[#This Row],[Laser^2]]</f>
        <v>89.303808000000018</v>
      </c>
      <c r="I68" s="3">
        <f>Table4[[#This Row],[Laser]]^2</f>
        <v>29.767936000000006</v>
      </c>
      <c r="J68">
        <v>3</v>
      </c>
      <c r="K68" s="3">
        <v>5.4560000000000004</v>
      </c>
      <c r="L68" s="3">
        <v>4.16</v>
      </c>
      <c r="M68" s="3"/>
      <c r="N68" s="3">
        <v>9</v>
      </c>
      <c r="O68" s="3">
        <v>4.2033523163402435</v>
      </c>
      <c r="P68" s="3">
        <v>4.6476836597566518E-3</v>
      </c>
      <c r="Q68" s="3"/>
      <c r="R68" s="3"/>
      <c r="S68" s="3"/>
      <c r="T68" s="3"/>
      <c r="U68" s="3"/>
      <c r="V68" s="3"/>
      <c r="W68" s="3"/>
      <c r="X68" s="3"/>
      <c r="Y68" s="3"/>
      <c r="Z68" s="3"/>
    </row>
    <row r="69" spans="1:26" x14ac:dyDescent="0.25">
      <c r="A69">
        <v>45</v>
      </c>
      <c r="B69" t="s">
        <v>38</v>
      </c>
      <c r="C69" s="17">
        <v>45796.422222222223</v>
      </c>
      <c r="D69">
        <v>3</v>
      </c>
      <c r="E69">
        <v>3</v>
      </c>
      <c r="F69">
        <v>5</v>
      </c>
      <c r="G69" s="3">
        <v>2.75</v>
      </c>
      <c r="H69" s="3">
        <f>Table4[[#This Row],[Op]]*Table4[[#This Row],[Laser^2]]</f>
        <v>141.92065200000002</v>
      </c>
      <c r="I69" s="3">
        <f>Table4[[#This Row],[Laser]]^2</f>
        <v>47.306884000000004</v>
      </c>
      <c r="J69">
        <v>3</v>
      </c>
      <c r="K69" s="3">
        <v>6.8780000000000001</v>
      </c>
      <c r="L69" s="3">
        <v>2.7429999999999999</v>
      </c>
      <c r="M69" s="3"/>
      <c r="N69" s="3">
        <v>10</v>
      </c>
      <c r="O69" s="3">
        <v>2.742673804730595</v>
      </c>
      <c r="P69" s="3">
        <v>3.2619526940491639E-4</v>
      </c>
      <c r="Q69" s="3"/>
      <c r="R69" s="3"/>
      <c r="S69" s="3"/>
      <c r="T69" s="3"/>
      <c r="U69" s="3"/>
      <c r="V69" s="3"/>
      <c r="W69" s="3"/>
      <c r="X69" s="3"/>
      <c r="Y69" s="3"/>
      <c r="Z69" s="3"/>
    </row>
    <row r="70" spans="1:26" x14ac:dyDescent="0.25">
      <c r="A70">
        <v>46</v>
      </c>
      <c r="B70" t="s">
        <v>6</v>
      </c>
      <c r="C70" s="17">
        <v>45796.427777777775</v>
      </c>
      <c r="D70">
        <v>4</v>
      </c>
      <c r="E70">
        <v>1</v>
      </c>
      <c r="F70">
        <v>1</v>
      </c>
      <c r="G70" s="3">
        <v>8.4</v>
      </c>
      <c r="H70" s="3">
        <f>Table4[[#This Row],[Op]]*Table4[[#This Row],[Laser^2]]</f>
        <v>5.8370559999999996</v>
      </c>
      <c r="I70" s="3">
        <f>Table4[[#This Row],[Laser]]^2</f>
        <v>1.4592639999999999</v>
      </c>
      <c r="J70">
        <v>4</v>
      </c>
      <c r="K70" s="3">
        <v>1.208</v>
      </c>
      <c r="L70" s="3">
        <v>8.39</v>
      </c>
      <c r="M70" s="3"/>
      <c r="N70" s="3">
        <v>11</v>
      </c>
      <c r="O70" s="3">
        <v>8.3941919169593771</v>
      </c>
      <c r="P70" s="3">
        <v>4.8080830406220798E-3</v>
      </c>
      <c r="Q70" s="3"/>
      <c r="R70" s="3"/>
      <c r="S70" s="3"/>
      <c r="T70" s="3"/>
      <c r="U70" s="3"/>
      <c r="V70" s="3"/>
      <c r="W70" s="3"/>
      <c r="X70" s="3"/>
      <c r="Y70" s="3"/>
      <c r="Z70" s="3"/>
    </row>
    <row r="71" spans="1:26" x14ac:dyDescent="0.25">
      <c r="A71">
        <v>47</v>
      </c>
      <c r="B71" t="s">
        <v>6</v>
      </c>
      <c r="C71" s="17">
        <v>45796.427777777775</v>
      </c>
      <c r="D71">
        <v>4</v>
      </c>
      <c r="E71">
        <v>1</v>
      </c>
      <c r="F71">
        <v>2</v>
      </c>
      <c r="G71" s="3">
        <v>6.9980000000000002</v>
      </c>
      <c r="H71" s="3">
        <f>Table4[[#This Row],[Op]]*Table4[[#This Row],[Laser^2]]</f>
        <v>27.311076</v>
      </c>
      <c r="I71" s="3">
        <f>Table4[[#This Row],[Laser]]^2</f>
        <v>6.827769</v>
      </c>
      <c r="J71">
        <v>4</v>
      </c>
      <c r="K71" s="3">
        <v>2.613</v>
      </c>
      <c r="L71" s="3">
        <v>6.99</v>
      </c>
      <c r="M71" s="3"/>
      <c r="N71" s="3">
        <v>12</v>
      </c>
      <c r="O71" s="3">
        <v>7.077777950725741</v>
      </c>
      <c r="P71" s="3">
        <v>2.2220492742590636E-3</v>
      </c>
      <c r="Q71" s="3"/>
      <c r="R71" s="3"/>
      <c r="S71" s="3"/>
      <c r="T71" s="3"/>
      <c r="U71" s="3"/>
      <c r="V71" s="3"/>
      <c r="W71" s="3"/>
      <c r="X71" s="3"/>
      <c r="Y71" s="3"/>
      <c r="Z71" s="3"/>
    </row>
    <row r="72" spans="1:26" x14ac:dyDescent="0.25">
      <c r="A72">
        <v>48</v>
      </c>
      <c r="B72" t="s">
        <v>6</v>
      </c>
      <c r="C72" s="17">
        <v>45796.427777777775</v>
      </c>
      <c r="D72">
        <v>4</v>
      </c>
      <c r="E72">
        <v>1</v>
      </c>
      <c r="F72">
        <v>3</v>
      </c>
      <c r="G72" s="3">
        <v>5.6180000000000003</v>
      </c>
      <c r="H72" s="3">
        <f>Table4[[#This Row],[Op]]*Table4[[#This Row],[Laser^2]]</f>
        <v>63.776195999999999</v>
      </c>
      <c r="I72" s="3">
        <f>Table4[[#This Row],[Laser]]^2</f>
        <v>15.944049</v>
      </c>
      <c r="J72">
        <v>4</v>
      </c>
      <c r="K72" s="3">
        <v>3.9929999999999999</v>
      </c>
      <c r="L72" s="3">
        <v>5.617</v>
      </c>
      <c r="M72" s="3"/>
      <c r="N72" s="3">
        <v>13</v>
      </c>
      <c r="O72" s="3">
        <v>5.6629910180123826</v>
      </c>
      <c r="P72" s="3">
        <v>1.000898198761746E-2</v>
      </c>
      <c r="Q72" s="3"/>
      <c r="R72" s="3"/>
      <c r="S72" s="3"/>
      <c r="T72" s="3"/>
      <c r="U72" s="3"/>
      <c r="V72" s="3"/>
      <c r="W72" s="3"/>
      <c r="X72" s="3"/>
      <c r="Y72" s="3"/>
      <c r="Z72" s="3"/>
    </row>
    <row r="73" spans="1:26" x14ac:dyDescent="0.25">
      <c r="A73">
        <v>49</v>
      </c>
      <c r="B73" t="s">
        <v>6</v>
      </c>
      <c r="C73" s="17">
        <v>45796.427777777775</v>
      </c>
      <c r="D73">
        <v>4</v>
      </c>
      <c r="E73">
        <v>1</v>
      </c>
      <c r="F73">
        <v>4</v>
      </c>
      <c r="G73" s="3">
        <v>4.1669999999999998</v>
      </c>
      <c r="H73" s="3">
        <f>Table4[[#This Row],[Op]]*Table4[[#This Row],[Laser^2]]</f>
        <v>118.98446399999999</v>
      </c>
      <c r="I73" s="3">
        <f>Table4[[#This Row],[Laser]]^2</f>
        <v>29.746115999999997</v>
      </c>
      <c r="J73">
        <v>4</v>
      </c>
      <c r="K73" s="3">
        <v>5.4539999999999997</v>
      </c>
      <c r="L73" s="3">
        <v>4.165</v>
      </c>
      <c r="M73" s="3"/>
      <c r="N73" s="3">
        <v>14</v>
      </c>
      <c r="O73" s="3">
        <v>4.1584233729393354</v>
      </c>
      <c r="P73" s="3">
        <v>2.5766270606641939E-3</v>
      </c>
      <c r="Q73" s="3"/>
      <c r="R73" s="3"/>
      <c r="S73" s="3"/>
      <c r="T73" s="3"/>
      <c r="U73" s="3"/>
      <c r="V73" s="3"/>
      <c r="W73" s="3"/>
      <c r="X73" s="3"/>
      <c r="Y73" s="3"/>
      <c r="Z73" s="3"/>
    </row>
    <row r="74" spans="1:26" x14ac:dyDescent="0.25">
      <c r="A74">
        <v>50</v>
      </c>
      <c r="B74" t="s">
        <v>6</v>
      </c>
      <c r="C74" s="17">
        <v>45796.427777777775</v>
      </c>
      <c r="D74">
        <v>4</v>
      </c>
      <c r="E74">
        <v>1</v>
      </c>
      <c r="F74">
        <v>5</v>
      </c>
      <c r="G74" s="3">
        <v>2.75</v>
      </c>
      <c r="H74" s="3">
        <f>Table4[[#This Row],[Op]]*Table4[[#This Row],[Laser^2]]</f>
        <v>189.50275600000001</v>
      </c>
      <c r="I74" s="3">
        <f>Table4[[#This Row],[Laser]]^2</f>
        <v>47.375689000000001</v>
      </c>
      <c r="J74">
        <v>4</v>
      </c>
      <c r="K74" s="3">
        <v>6.883</v>
      </c>
      <c r="L74" s="3">
        <v>2.7450000000000001</v>
      </c>
      <c r="M74" s="3"/>
      <c r="N74" s="3">
        <v>15</v>
      </c>
      <c r="O74" s="3">
        <v>2.743673596948744</v>
      </c>
      <c r="P74" s="3">
        <v>-6.7359694874413734E-4</v>
      </c>
      <c r="Q74" s="3"/>
      <c r="R74" s="3"/>
      <c r="S74" s="3"/>
      <c r="T74" s="3"/>
      <c r="U74" s="3"/>
      <c r="V74" s="3"/>
      <c r="W74" s="3"/>
      <c r="X74" s="3"/>
      <c r="Y74" s="3"/>
      <c r="Z74" s="3"/>
    </row>
    <row r="75" spans="1:26" x14ac:dyDescent="0.25">
      <c r="A75">
        <v>51</v>
      </c>
      <c r="B75" t="s">
        <v>6</v>
      </c>
      <c r="C75" s="17">
        <v>45796.43472222222</v>
      </c>
      <c r="D75">
        <v>4</v>
      </c>
      <c r="E75">
        <v>2</v>
      </c>
      <c r="F75">
        <v>1</v>
      </c>
      <c r="G75" s="3">
        <v>8.4</v>
      </c>
      <c r="H75" s="3">
        <f>Table4[[#This Row],[Op]]*Table4[[#This Row],[Laser^2]]</f>
        <v>5.8467240000000009</v>
      </c>
      <c r="I75" s="3">
        <f>Table4[[#This Row],[Laser]]^2</f>
        <v>1.4616810000000002</v>
      </c>
      <c r="J75">
        <v>4</v>
      </c>
      <c r="K75" s="3">
        <v>1.2090000000000001</v>
      </c>
      <c r="L75" s="3">
        <v>8.39</v>
      </c>
      <c r="M75" s="3"/>
      <c r="N75" s="3">
        <v>16</v>
      </c>
      <c r="O75" s="3">
        <v>8.3899218174957788</v>
      </c>
      <c r="P75" s="3">
        <v>7.8182504221757654E-5</v>
      </c>
      <c r="Q75" s="3"/>
      <c r="R75" s="3"/>
      <c r="S75" s="3"/>
      <c r="T75" s="3"/>
      <c r="U75" s="3"/>
      <c r="V75" s="3"/>
      <c r="W75" s="3"/>
      <c r="X75" s="3"/>
      <c r="Y75" s="3"/>
      <c r="Z75" s="3"/>
    </row>
    <row r="76" spans="1:26" x14ac:dyDescent="0.25">
      <c r="A76">
        <v>52</v>
      </c>
      <c r="B76" t="s">
        <v>6</v>
      </c>
      <c r="C76" s="17">
        <v>45796.43472222222</v>
      </c>
      <c r="D76">
        <v>4</v>
      </c>
      <c r="E76">
        <v>2</v>
      </c>
      <c r="F76">
        <v>2</v>
      </c>
      <c r="G76" s="3">
        <v>7.0670000000000002</v>
      </c>
      <c r="H76" s="3">
        <f>Table4[[#This Row],[Op]]*Table4[[#This Row],[Laser^2]]</f>
        <v>25.867396000000003</v>
      </c>
      <c r="I76" s="3">
        <f>Table4[[#This Row],[Laser]]^2</f>
        <v>6.4668490000000007</v>
      </c>
      <c r="J76">
        <v>4</v>
      </c>
      <c r="K76" s="3">
        <v>2.5430000000000001</v>
      </c>
      <c r="L76" s="3">
        <v>7.06</v>
      </c>
      <c r="M76" s="3"/>
      <c r="N76" s="3">
        <v>17</v>
      </c>
      <c r="O76" s="3">
        <v>7.0568290120431421</v>
      </c>
      <c r="P76" s="3">
        <v>2.1709879568581059E-3</v>
      </c>
      <c r="Q76" s="3"/>
      <c r="R76" s="3"/>
      <c r="S76" s="3"/>
      <c r="T76" s="3"/>
      <c r="U76" s="3"/>
      <c r="V76" s="3"/>
      <c r="W76" s="3"/>
      <c r="X76" s="3"/>
      <c r="Y76" s="3"/>
      <c r="Z76" s="3"/>
    </row>
    <row r="77" spans="1:26" x14ac:dyDescent="0.25">
      <c r="A77">
        <v>53</v>
      </c>
      <c r="B77" t="s">
        <v>6</v>
      </c>
      <c r="C77" s="17">
        <v>45796.43472222222</v>
      </c>
      <c r="D77">
        <v>4</v>
      </c>
      <c r="E77">
        <v>2</v>
      </c>
      <c r="F77">
        <v>3</v>
      </c>
      <c r="G77" s="3">
        <v>5.5960000000000001</v>
      </c>
      <c r="H77" s="3">
        <f>Table4[[#This Row],[Op]]*Table4[[#This Row],[Laser^2]]</f>
        <v>64.480899999999991</v>
      </c>
      <c r="I77" s="3">
        <f>Table4[[#This Row],[Laser]]^2</f>
        <v>16.120224999999998</v>
      </c>
      <c r="J77">
        <v>4</v>
      </c>
      <c r="K77" s="3">
        <v>4.0149999999999997</v>
      </c>
      <c r="L77" s="3">
        <v>5.5960000000000001</v>
      </c>
      <c r="M77" s="3"/>
      <c r="N77" s="3">
        <v>18</v>
      </c>
      <c r="O77" s="3">
        <v>5.640483386640657</v>
      </c>
      <c r="P77" s="3">
        <v>-4.8338664065727954E-4</v>
      </c>
      <c r="Q77" s="3"/>
      <c r="R77" s="3"/>
      <c r="S77" s="3"/>
      <c r="T77" s="3"/>
      <c r="U77" s="3"/>
      <c r="V77" s="3"/>
      <c r="W77" s="3"/>
      <c r="X77" s="3"/>
      <c r="Y77" s="3"/>
      <c r="Z77" s="3"/>
    </row>
    <row r="78" spans="1:26" x14ac:dyDescent="0.25">
      <c r="A78">
        <v>54</v>
      </c>
      <c r="B78" t="s">
        <v>6</v>
      </c>
      <c r="C78" s="17">
        <v>45796.43472222222</v>
      </c>
      <c r="D78">
        <v>4</v>
      </c>
      <c r="E78">
        <v>2</v>
      </c>
      <c r="F78">
        <v>4</v>
      </c>
      <c r="G78" s="3">
        <v>4.2270000000000003</v>
      </c>
      <c r="H78" s="3">
        <f>Table4[[#This Row],[Op]]*Table4[[#This Row],[Laser^2]]</f>
        <v>116.42409999999998</v>
      </c>
      <c r="I78" s="3">
        <f>Table4[[#This Row],[Laser]]^2</f>
        <v>29.106024999999995</v>
      </c>
      <c r="J78">
        <v>4</v>
      </c>
      <c r="K78" s="3">
        <v>5.3949999999999996</v>
      </c>
      <c r="L78" s="3">
        <v>4.2279999999999998</v>
      </c>
      <c r="M78" s="3"/>
      <c r="N78" s="3">
        <v>19</v>
      </c>
      <c r="O78" s="3">
        <v>4.2463605177619321</v>
      </c>
      <c r="P78" s="3">
        <v>-6.3605177619319164E-3</v>
      </c>
      <c r="Q78" s="3"/>
      <c r="R78" s="3"/>
      <c r="S78" s="3"/>
      <c r="T78" s="3"/>
      <c r="U78" s="3"/>
      <c r="V78" s="3"/>
      <c r="W78" s="3"/>
      <c r="X78" s="3"/>
      <c r="Y78" s="3"/>
      <c r="Z78" s="3"/>
    </row>
    <row r="79" spans="1:26" x14ac:dyDescent="0.25">
      <c r="A79">
        <v>55</v>
      </c>
      <c r="B79" t="s">
        <v>6</v>
      </c>
      <c r="C79" s="17">
        <v>45796.43472222222</v>
      </c>
      <c r="D79">
        <v>4</v>
      </c>
      <c r="E79">
        <v>2</v>
      </c>
      <c r="F79">
        <v>5</v>
      </c>
      <c r="G79" s="3">
        <v>2.75</v>
      </c>
      <c r="H79" s="3">
        <f>Table4[[#This Row],[Op]]*Table4[[#This Row],[Laser^2]]</f>
        <v>188.84256400000001</v>
      </c>
      <c r="I79" s="3">
        <f>Table4[[#This Row],[Laser]]^2</f>
        <v>47.210641000000003</v>
      </c>
      <c r="J79">
        <v>4</v>
      </c>
      <c r="K79" s="3">
        <v>6.8710000000000004</v>
      </c>
      <c r="L79" s="3">
        <v>2.746</v>
      </c>
      <c r="M79" s="3"/>
      <c r="N79" s="3">
        <v>20</v>
      </c>
      <c r="O79" s="3">
        <v>2.7406732491862806</v>
      </c>
      <c r="P79" s="3">
        <v>-6.7324918628042241E-4</v>
      </c>
      <c r="Q79" s="3"/>
      <c r="R79" s="3"/>
      <c r="S79" s="3"/>
      <c r="T79" s="3"/>
      <c r="U79" s="3"/>
      <c r="V79" s="3"/>
      <c r="W79" s="3"/>
      <c r="X79" s="3"/>
      <c r="Y79" s="3"/>
      <c r="Z79" s="3"/>
    </row>
    <row r="80" spans="1:26" x14ac:dyDescent="0.25">
      <c r="A80">
        <v>56</v>
      </c>
      <c r="B80" t="s">
        <v>6</v>
      </c>
      <c r="C80" s="17">
        <v>45796.45208333333</v>
      </c>
      <c r="D80">
        <v>4</v>
      </c>
      <c r="E80">
        <v>3</v>
      </c>
      <c r="F80">
        <v>1</v>
      </c>
      <c r="G80" s="3">
        <v>8.4</v>
      </c>
      <c r="H80" s="3">
        <f>Table4[[#This Row],[Op]]*Table4[[#This Row],[Laser^2]]</f>
        <v>5.8370559999999996</v>
      </c>
      <c r="I80" s="3">
        <f>Table4[[#This Row],[Laser]]^2</f>
        <v>1.4592639999999999</v>
      </c>
      <c r="J80">
        <v>4</v>
      </c>
      <c r="K80" s="3">
        <v>1.208</v>
      </c>
      <c r="L80" s="3">
        <v>8.3919999999999995</v>
      </c>
      <c r="M80" s="3"/>
      <c r="N80" s="3">
        <v>21</v>
      </c>
      <c r="O80" s="3">
        <v>8.3889275433360488</v>
      </c>
      <c r="P80" s="3">
        <v>-5.9275433360497232E-3</v>
      </c>
      <c r="Q80" s="3"/>
      <c r="R80" s="3"/>
      <c r="S80" s="3"/>
      <c r="T80" s="3"/>
      <c r="U80" s="3"/>
      <c r="V80" s="3"/>
      <c r="W80" s="3"/>
      <c r="X80" s="3"/>
      <c r="Y80" s="3"/>
      <c r="Z80" s="3"/>
    </row>
    <row r="81" spans="1:26" x14ac:dyDescent="0.25">
      <c r="A81">
        <v>57</v>
      </c>
      <c r="B81" t="s">
        <v>6</v>
      </c>
      <c r="C81" s="17">
        <v>45796.45208333333</v>
      </c>
      <c r="D81">
        <v>4</v>
      </c>
      <c r="E81">
        <v>3</v>
      </c>
      <c r="F81">
        <v>2</v>
      </c>
      <c r="G81" s="3">
        <v>7.0090000000000003</v>
      </c>
      <c r="H81" s="3">
        <f>Table4[[#This Row],[Op]]*Table4[[#This Row],[Laser^2]]</f>
        <v>27.019204000000006</v>
      </c>
      <c r="I81" s="3">
        <f>Table4[[#This Row],[Laser]]^2</f>
        <v>6.7548010000000014</v>
      </c>
      <c r="J81">
        <v>4</v>
      </c>
      <c r="K81" s="3">
        <v>2.5990000000000002</v>
      </c>
      <c r="L81" s="3">
        <v>7.0119999999999996</v>
      </c>
      <c r="M81" s="3"/>
      <c r="N81" s="3">
        <v>22</v>
      </c>
      <c r="O81" s="3">
        <v>7.0598152592675731</v>
      </c>
      <c r="P81" s="3">
        <v>-7.8152592675735377E-3</v>
      </c>
      <c r="Q81" s="3"/>
      <c r="R81" s="3"/>
      <c r="S81" s="3"/>
      <c r="T81" s="3"/>
      <c r="U81" s="3"/>
      <c r="V81" s="3"/>
      <c r="W81" s="3"/>
      <c r="X81" s="3"/>
      <c r="Y81" s="3"/>
      <c r="Z81" s="3"/>
    </row>
    <row r="82" spans="1:26" x14ac:dyDescent="0.25">
      <c r="A82">
        <v>58</v>
      </c>
      <c r="B82" t="s">
        <v>6</v>
      </c>
      <c r="C82" s="17">
        <v>45796.45208333333</v>
      </c>
      <c r="D82">
        <v>4</v>
      </c>
      <c r="E82">
        <v>3</v>
      </c>
      <c r="F82">
        <v>3</v>
      </c>
      <c r="G82" s="3">
        <v>5.6369999999999996</v>
      </c>
      <c r="H82" s="3">
        <f>Table4[[#This Row],[Op]]*Table4[[#This Row],[Laser^2]]</f>
        <v>63.170704000000008</v>
      </c>
      <c r="I82" s="3">
        <f>Table4[[#This Row],[Laser]]^2</f>
        <v>15.792676000000002</v>
      </c>
      <c r="J82">
        <v>4</v>
      </c>
      <c r="K82" s="3">
        <v>3.9740000000000002</v>
      </c>
      <c r="L82" s="3">
        <v>5.6360000000000001</v>
      </c>
      <c r="M82" s="3"/>
      <c r="N82" s="3">
        <v>23</v>
      </c>
      <c r="O82" s="3">
        <v>5.6285237619482364</v>
      </c>
      <c r="P82" s="3">
        <v>7.4762380517636728E-3</v>
      </c>
      <c r="Q82" s="3"/>
      <c r="R82" s="3"/>
      <c r="S82" s="3"/>
      <c r="T82" s="3"/>
      <c r="U82" s="3"/>
      <c r="V82" s="3"/>
      <c r="W82" s="3"/>
      <c r="X82" s="3"/>
      <c r="Y82" s="3"/>
      <c r="Z82" s="3"/>
    </row>
    <row r="83" spans="1:26" x14ac:dyDescent="0.25">
      <c r="A83">
        <v>59</v>
      </c>
      <c r="B83" t="s">
        <v>6</v>
      </c>
      <c r="C83" s="17">
        <v>45796.45208333333</v>
      </c>
      <c r="D83">
        <v>4</v>
      </c>
      <c r="E83">
        <v>3</v>
      </c>
      <c r="F83">
        <v>4</v>
      </c>
      <c r="G83" s="3">
        <v>4.2140000000000004</v>
      </c>
      <c r="H83" s="3">
        <f>Table4[[#This Row],[Op]]*Table4[[#This Row],[Laser^2]]</f>
        <v>116.94259599999999</v>
      </c>
      <c r="I83" s="3">
        <f>Table4[[#This Row],[Laser]]^2</f>
        <v>29.235648999999999</v>
      </c>
      <c r="J83">
        <v>4</v>
      </c>
      <c r="K83" s="3">
        <v>5.407</v>
      </c>
      <c r="L83" s="3">
        <v>4.2050000000000001</v>
      </c>
      <c r="M83" s="3"/>
      <c r="N83" s="3">
        <v>24</v>
      </c>
      <c r="O83" s="3">
        <v>4.1725192763264669</v>
      </c>
      <c r="P83" s="3">
        <v>-5.519276326467093E-3</v>
      </c>
      <c r="Q83" s="3"/>
      <c r="R83" t="s">
        <v>126</v>
      </c>
    </row>
    <row r="84" spans="1:26" x14ac:dyDescent="0.25">
      <c r="A84">
        <v>60</v>
      </c>
      <c r="B84" t="s">
        <v>6</v>
      </c>
      <c r="C84" s="17">
        <v>45796.45208333333</v>
      </c>
      <c r="D84">
        <v>4</v>
      </c>
      <c r="E84">
        <v>3</v>
      </c>
      <c r="F84">
        <v>5</v>
      </c>
      <c r="G84" s="3">
        <v>2.75</v>
      </c>
      <c r="H84" s="3">
        <f>Table4[[#This Row],[Op]]*Table4[[#This Row],[Laser^2]]</f>
        <v>189.33759999999998</v>
      </c>
      <c r="I84" s="3">
        <f>Table4[[#This Row],[Laser]]^2</f>
        <v>47.334399999999995</v>
      </c>
      <c r="J84">
        <v>4</v>
      </c>
      <c r="K84" s="3">
        <v>6.88</v>
      </c>
      <c r="L84" s="3">
        <v>2.7360000000000002</v>
      </c>
      <c r="M84" s="3"/>
      <c r="N84" s="3">
        <v>25</v>
      </c>
      <c r="O84" s="3">
        <v>2.7436705743609462</v>
      </c>
      <c r="P84" s="3">
        <v>-5.6705743609462012E-3</v>
      </c>
      <c r="Q84" s="3"/>
    </row>
    <row r="85" spans="1:26" x14ac:dyDescent="0.25">
      <c r="G85" s="3"/>
      <c r="H85" s="3"/>
      <c r="I85" s="3"/>
      <c r="J85" s="3"/>
      <c r="K85" s="3"/>
      <c r="L85" s="3"/>
      <c r="M85" s="3"/>
      <c r="N85" s="3"/>
      <c r="O85" s="3"/>
      <c r="P85" s="3"/>
      <c r="Q85" s="3"/>
      <c r="R85" t="s">
        <v>87</v>
      </c>
    </row>
    <row r="86" spans="1:26" x14ac:dyDescent="0.25">
      <c r="G86" s="3"/>
      <c r="H86" s="3"/>
      <c r="I86" s="3"/>
      <c r="J86" s="3"/>
      <c r="K86" s="3"/>
      <c r="L86" s="3"/>
      <c r="M86" s="3"/>
      <c r="N86" s="3"/>
      <c r="O86" s="3"/>
      <c r="P86" s="3"/>
      <c r="Q86" s="3"/>
      <c r="R86" t="s">
        <v>88</v>
      </c>
      <c r="S86">
        <v>0.99999600056837767</v>
      </c>
    </row>
    <row r="87" spans="1:26" x14ac:dyDescent="0.25">
      <c r="G87" s="3"/>
      <c r="H87" s="3"/>
      <c r="I87" s="3"/>
      <c r="J87" s="3"/>
      <c r="K87" s="3"/>
      <c r="L87" s="3"/>
      <c r="M87" s="3"/>
      <c r="N87" s="3"/>
      <c r="O87" s="3"/>
      <c r="P87" s="3"/>
      <c r="Q87" s="3"/>
      <c r="R87" t="s">
        <v>89</v>
      </c>
      <c r="S87">
        <v>0.99999200115275089</v>
      </c>
    </row>
    <row r="88" spans="1:26" x14ac:dyDescent="0.25">
      <c r="G88" s="3"/>
      <c r="H88" s="3"/>
      <c r="I88" s="3"/>
      <c r="J88" s="3"/>
      <c r="K88" s="3"/>
      <c r="L88" s="3"/>
      <c r="M88" s="3"/>
      <c r="N88" s="3"/>
      <c r="O88" s="3"/>
      <c r="P88" s="3"/>
      <c r="Q88" s="3"/>
      <c r="R88" t="s">
        <v>90</v>
      </c>
      <c r="S88">
        <v>0.99999172049144391</v>
      </c>
    </row>
    <row r="89" spans="1:26" x14ac:dyDescent="0.25">
      <c r="G89" s="3"/>
      <c r="H89" s="3"/>
      <c r="I89" s="3"/>
      <c r="J89" s="3"/>
      <c r="K89" s="3"/>
      <c r="L89" s="3"/>
      <c r="M89" s="3"/>
      <c r="N89" s="3"/>
      <c r="O89" s="3"/>
      <c r="P89" s="3"/>
      <c r="Q89" s="3"/>
      <c r="R89" t="s">
        <v>91</v>
      </c>
      <c r="S89">
        <v>5.7958777505072497E-3</v>
      </c>
    </row>
    <row r="90" spans="1:26" x14ac:dyDescent="0.25">
      <c r="G90" s="3"/>
      <c r="H90" s="3"/>
      <c r="I90" s="3"/>
      <c r="J90" s="3"/>
      <c r="K90" s="3"/>
      <c r="L90" s="3"/>
      <c r="M90" s="3"/>
      <c r="N90" s="3"/>
      <c r="O90" s="3"/>
      <c r="P90" s="3"/>
      <c r="Q90" s="3"/>
      <c r="R90" t="s">
        <v>92</v>
      </c>
      <c r="S90">
        <v>60</v>
      </c>
    </row>
    <row r="91" spans="1:26" x14ac:dyDescent="0.25">
      <c r="G91" s="3"/>
      <c r="H91" s="3"/>
      <c r="I91" s="3"/>
      <c r="J91" s="3"/>
      <c r="K91" s="3"/>
      <c r="L91" s="3"/>
      <c r="M91" s="3"/>
      <c r="N91" s="3"/>
      <c r="O91" s="3"/>
      <c r="P91" s="3"/>
      <c r="Q91" s="3"/>
    </row>
    <row r="92" spans="1:26" x14ac:dyDescent="0.25">
      <c r="G92" s="3"/>
      <c r="H92" s="3"/>
      <c r="I92" s="3"/>
      <c r="J92" s="3"/>
      <c r="K92" s="3"/>
      <c r="L92" s="3"/>
      <c r="M92" s="3"/>
      <c r="N92" s="3"/>
      <c r="O92" s="3"/>
      <c r="P92" s="3"/>
      <c r="Q92" s="3"/>
      <c r="R92" t="s">
        <v>93</v>
      </c>
    </row>
    <row r="93" spans="1:26" x14ac:dyDescent="0.25">
      <c r="G93" s="3"/>
      <c r="H93" s="3"/>
      <c r="I93" s="3"/>
      <c r="J93" s="3"/>
      <c r="K93" s="3"/>
      <c r="L93" s="3"/>
      <c r="M93" s="3"/>
      <c r="N93" s="3"/>
      <c r="O93" s="3"/>
      <c r="P93" s="3"/>
      <c r="Q93" s="3"/>
      <c r="S93" t="s">
        <v>98</v>
      </c>
      <c r="T93" t="s">
        <v>99</v>
      </c>
      <c r="U93" t="s">
        <v>100</v>
      </c>
      <c r="V93" t="s">
        <v>101</v>
      </c>
      <c r="W93" t="s">
        <v>102</v>
      </c>
    </row>
    <row r="94" spans="1:26" x14ac:dyDescent="0.25">
      <c r="G94" s="3"/>
      <c r="H94" s="3"/>
      <c r="I94" s="3"/>
      <c r="J94" s="3"/>
      <c r="K94" s="3"/>
      <c r="L94" s="3"/>
      <c r="M94" s="3"/>
      <c r="N94" s="3"/>
      <c r="O94" s="3"/>
      <c r="P94" s="3"/>
      <c r="Q94" s="3"/>
      <c r="R94" t="s">
        <v>94</v>
      </c>
      <c r="S94">
        <v>2</v>
      </c>
      <c r="T94">
        <v>239.37699542799606</v>
      </c>
      <c r="U94">
        <v>119.68849771399803</v>
      </c>
      <c r="V94">
        <v>3562984.9083259813</v>
      </c>
      <c r="W94">
        <v>5.4485506762529771E-146</v>
      </c>
    </row>
    <row r="95" spans="1:26" x14ac:dyDescent="0.25">
      <c r="G95" s="3"/>
      <c r="H95" s="3"/>
      <c r="I95" s="3"/>
      <c r="J95" s="3"/>
      <c r="K95" s="3"/>
      <c r="L95" s="3"/>
      <c r="M95" s="3"/>
      <c r="N95" s="3"/>
      <c r="O95" s="3"/>
      <c r="P95" s="3"/>
      <c r="Q95" s="3"/>
      <c r="R95" t="s">
        <v>95</v>
      </c>
      <c r="S95">
        <v>57</v>
      </c>
      <c r="T95">
        <v>1.9147553372330234E-3</v>
      </c>
      <c r="U95">
        <v>3.3592198898824975E-5</v>
      </c>
    </row>
    <row r="96" spans="1:26" x14ac:dyDescent="0.25">
      <c r="G96" s="3"/>
      <c r="H96" s="3"/>
      <c r="I96" s="3"/>
      <c r="J96" s="3"/>
      <c r="K96" s="3"/>
      <c r="L96" s="3"/>
      <c r="M96" s="3"/>
      <c r="N96" s="3"/>
      <c r="O96" s="3"/>
      <c r="P96" s="3"/>
      <c r="Q96" s="3"/>
      <c r="R96" t="s">
        <v>96</v>
      </c>
      <c r="S96">
        <v>59</v>
      </c>
      <c r="T96">
        <v>239.37891018333329</v>
      </c>
    </row>
    <row r="97" spans="7:24" x14ac:dyDescent="0.25">
      <c r="G97" s="3"/>
      <c r="H97" s="3"/>
      <c r="I97" s="3"/>
      <c r="J97" s="3"/>
      <c r="K97" s="3"/>
      <c r="L97" s="3"/>
      <c r="M97" s="3"/>
      <c r="N97" s="3"/>
      <c r="O97" s="3"/>
      <c r="P97" s="3"/>
      <c r="Q97" s="3"/>
    </row>
    <row r="98" spans="7:24" x14ac:dyDescent="0.25">
      <c r="G98" s="3"/>
      <c r="H98" s="3"/>
      <c r="I98" s="3"/>
      <c r="J98" s="3"/>
      <c r="K98" s="3"/>
      <c r="L98" s="3"/>
      <c r="M98" s="3"/>
      <c r="N98" s="3"/>
      <c r="O98" s="3"/>
      <c r="P98" s="3"/>
      <c r="Q98" s="3"/>
      <c r="S98" t="s">
        <v>108</v>
      </c>
      <c r="T98" t="s">
        <v>91</v>
      </c>
      <c r="U98" t="s">
        <v>109</v>
      </c>
      <c r="V98" t="s">
        <v>110</v>
      </c>
      <c r="W98" t="s">
        <v>111</v>
      </c>
      <c r="X98" t="s">
        <v>112</v>
      </c>
    </row>
    <row r="99" spans="7:24" x14ac:dyDescent="0.25">
      <c r="G99" s="3"/>
      <c r="H99" s="3"/>
      <c r="I99" s="3"/>
      <c r="J99" s="3"/>
      <c r="K99" s="3"/>
      <c r="L99" s="3"/>
      <c r="M99" s="3"/>
      <c r="N99" s="3"/>
      <c r="O99" s="3"/>
      <c r="P99" s="3"/>
      <c r="Q99" s="3"/>
      <c r="R99" t="s">
        <v>32</v>
      </c>
      <c r="S99" s="41">
        <v>9.5975321009924777</v>
      </c>
      <c r="T99" s="41">
        <v>2.3656033406823868E-3</v>
      </c>
      <c r="U99" s="41">
        <v>4057.1180873560797</v>
      </c>
      <c r="V99" s="41">
        <v>2.4893342516480156E-157</v>
      </c>
      <c r="W99" s="41">
        <v>9.5927950620123781</v>
      </c>
      <c r="X99" s="41">
        <v>9.6022691399725772</v>
      </c>
    </row>
    <row r="100" spans="7:24" x14ac:dyDescent="0.25">
      <c r="G100" s="3"/>
      <c r="H100" s="3"/>
      <c r="I100" s="3"/>
      <c r="J100" s="3"/>
      <c r="K100" s="3"/>
      <c r="L100" s="3"/>
      <c r="M100" s="3"/>
      <c r="N100" s="3"/>
      <c r="O100" s="3"/>
      <c r="P100" s="3"/>
      <c r="Q100" s="3"/>
      <c r="R100" t="s">
        <v>50</v>
      </c>
      <c r="S100" s="41">
        <v>-3.5740637141643737E-4</v>
      </c>
      <c r="T100" s="41">
        <v>6.6925045597631739E-4</v>
      </c>
      <c r="U100" s="41">
        <v>-0.53403978768314031</v>
      </c>
      <c r="V100" s="41">
        <v>0.59539075665145402</v>
      </c>
      <c r="W100" s="41">
        <v>-1.6975572931237693E-3</v>
      </c>
      <c r="X100" s="41">
        <v>9.8274455029089469E-4</v>
      </c>
    </row>
    <row r="101" spans="7:24" x14ac:dyDescent="0.25">
      <c r="G101" s="3"/>
      <c r="H101" s="3"/>
      <c r="I101" s="3"/>
      <c r="J101" s="3"/>
      <c r="K101" s="3"/>
      <c r="L101" s="3"/>
      <c r="M101" s="3"/>
      <c r="N101" s="3"/>
      <c r="O101" s="3"/>
      <c r="P101" s="3"/>
      <c r="Q101" s="3"/>
      <c r="R101" t="s">
        <v>2</v>
      </c>
      <c r="S101" s="41">
        <v>-0.99648876027300703</v>
      </c>
      <c r="T101" s="41">
        <v>3.7329362315024616E-4</v>
      </c>
      <c r="U101" s="41">
        <v>-2669.450262406257</v>
      </c>
      <c r="V101" s="41">
        <v>5.7330995747038382E-147</v>
      </c>
      <c r="W101" s="41">
        <v>-0.99723626785953901</v>
      </c>
      <c r="X101" s="41">
        <v>-0.99574125268647506</v>
      </c>
    </row>
    <row r="102" spans="7:24" x14ac:dyDescent="0.25">
      <c r="G102" s="3"/>
      <c r="H102" s="3"/>
      <c r="I102" s="3"/>
      <c r="J102" s="3"/>
      <c r="K102" s="3"/>
      <c r="L102" s="3"/>
      <c r="M102" s="3"/>
      <c r="N102" s="3"/>
      <c r="O102" s="3"/>
      <c r="P102" s="3"/>
      <c r="Q102" s="3"/>
    </row>
    <row r="103" spans="7:24" x14ac:dyDescent="0.25">
      <c r="G103" s="3"/>
      <c r="H103" s="3"/>
      <c r="I103" s="3"/>
      <c r="J103" s="3"/>
      <c r="K103" s="3"/>
      <c r="L103" s="3"/>
      <c r="M103" s="3"/>
      <c r="N103" s="3"/>
      <c r="O103" s="3"/>
      <c r="P103" s="3"/>
      <c r="Q103" s="3"/>
    </row>
    <row r="104" spans="7:24" x14ac:dyDescent="0.25">
      <c r="G104" s="3"/>
      <c r="H104" s="3"/>
      <c r="I104" s="3"/>
      <c r="J104" s="3"/>
      <c r="K104" s="3"/>
      <c r="L104" s="3"/>
      <c r="M104" s="3"/>
      <c r="N104" s="3"/>
      <c r="O104" s="3"/>
      <c r="P104" s="3"/>
      <c r="Q104" s="3"/>
    </row>
    <row r="105" spans="7:24" x14ac:dyDescent="0.25">
      <c r="G105" s="3"/>
      <c r="H105" s="3"/>
      <c r="I105" s="3"/>
      <c r="J105" s="3"/>
      <c r="K105" s="3"/>
      <c r="L105" s="3"/>
      <c r="M105" s="3"/>
      <c r="N105" s="3"/>
      <c r="O105" s="3"/>
      <c r="P105" s="3"/>
      <c r="Q105" s="3"/>
      <c r="R105" t="s">
        <v>118</v>
      </c>
    </row>
    <row r="106" spans="7:24" x14ac:dyDescent="0.25">
      <c r="G106" s="3"/>
      <c r="H106" s="3"/>
      <c r="I106" s="3"/>
      <c r="J106" s="3"/>
      <c r="K106" s="3"/>
      <c r="L106" s="3"/>
      <c r="M106" s="3"/>
      <c r="N106" s="3"/>
      <c r="O106" s="3"/>
      <c r="P106" s="3"/>
      <c r="Q106" s="3"/>
    </row>
    <row r="107" spans="7:24" x14ac:dyDescent="0.25">
      <c r="G107" s="3"/>
      <c r="H107" s="3"/>
      <c r="I107" s="3"/>
      <c r="J107" s="3"/>
      <c r="K107" s="3"/>
      <c r="L107" s="3"/>
      <c r="M107" s="3"/>
      <c r="N107" s="3"/>
      <c r="O107" s="3"/>
      <c r="P107" s="3"/>
      <c r="Q107" s="3"/>
      <c r="R107" t="s">
        <v>119</v>
      </c>
      <c r="S107" t="s">
        <v>120</v>
      </c>
      <c r="T107" t="s">
        <v>121</v>
      </c>
    </row>
    <row r="108" spans="7:24" x14ac:dyDescent="0.25">
      <c r="G108" s="3"/>
      <c r="H108" s="3"/>
      <c r="I108" s="3"/>
      <c r="J108" s="3"/>
      <c r="K108" s="3"/>
      <c r="L108" s="3"/>
      <c r="M108" s="3"/>
      <c r="N108" s="3"/>
      <c r="O108" s="3"/>
      <c r="P108" s="3"/>
      <c r="Q108" s="3"/>
      <c r="R108">
        <v>1</v>
      </c>
      <c r="S108">
        <v>8.3934162722112688</v>
      </c>
      <c r="T108">
        <v>-4.1627221126816494E-4</v>
      </c>
    </row>
    <row r="109" spans="7:24" x14ac:dyDescent="0.25">
      <c r="G109" s="3"/>
      <c r="H109" s="3"/>
      <c r="I109" s="3"/>
      <c r="J109" s="3"/>
      <c r="K109" s="3"/>
      <c r="L109" s="3"/>
      <c r="M109" s="3"/>
      <c r="N109" s="3"/>
      <c r="O109" s="3"/>
      <c r="P109" s="3"/>
      <c r="Q109" s="3"/>
      <c r="R109">
        <v>2</v>
      </c>
      <c r="S109">
        <v>6.9983320078290596</v>
      </c>
      <c r="T109">
        <v>-1.3320078290597337E-3</v>
      </c>
    </row>
    <row r="110" spans="7:24" x14ac:dyDescent="0.25">
      <c r="G110" s="3"/>
      <c r="H110" s="3"/>
      <c r="I110" s="3"/>
      <c r="J110" s="3"/>
      <c r="K110" s="3"/>
      <c r="L110" s="3"/>
      <c r="M110" s="3"/>
      <c r="N110" s="3"/>
      <c r="O110" s="3"/>
      <c r="P110" s="3"/>
      <c r="Q110" s="3"/>
      <c r="R110">
        <v>3</v>
      </c>
      <c r="S110">
        <v>5.5932828558441194</v>
      </c>
      <c r="T110">
        <v>8.7171441558808738E-3</v>
      </c>
    </row>
    <row r="111" spans="7:24" x14ac:dyDescent="0.25">
      <c r="G111" s="3"/>
      <c r="H111" s="3"/>
      <c r="I111" s="3"/>
      <c r="J111" s="3"/>
      <c r="K111" s="3"/>
      <c r="L111" s="3"/>
      <c r="M111" s="3"/>
      <c r="N111" s="3"/>
      <c r="O111" s="3"/>
      <c r="P111" s="3"/>
      <c r="Q111" s="3"/>
      <c r="R111">
        <v>4</v>
      </c>
      <c r="S111">
        <v>4.2579879170782906</v>
      </c>
      <c r="T111">
        <v>-1.9879170782903799E-3</v>
      </c>
    </row>
    <row r="112" spans="7:24" x14ac:dyDescent="0.25">
      <c r="G112" s="3"/>
      <c r="H112" s="3"/>
      <c r="I112" s="3"/>
      <c r="J112" s="3"/>
      <c r="K112" s="3"/>
      <c r="L112" s="3"/>
      <c r="M112" s="3"/>
      <c r="N112" s="3"/>
      <c r="O112" s="3"/>
      <c r="P112" s="3"/>
      <c r="Q112" s="3"/>
      <c r="R112">
        <v>5</v>
      </c>
      <c r="S112">
        <v>2.7433250014633197</v>
      </c>
      <c r="T112">
        <v>-1.3250014633197083E-3</v>
      </c>
    </row>
    <row r="113" spans="7:20" x14ac:dyDescent="0.25">
      <c r="G113" s="3"/>
      <c r="H113" s="3"/>
      <c r="I113" s="3"/>
      <c r="J113" s="3"/>
      <c r="K113" s="3"/>
      <c r="L113" s="3"/>
      <c r="M113" s="3"/>
      <c r="N113" s="3"/>
      <c r="O113" s="3"/>
      <c r="P113" s="3"/>
      <c r="Q113" s="3"/>
      <c r="R113">
        <v>6</v>
      </c>
      <c r="S113">
        <v>8.3944127609715427</v>
      </c>
      <c r="T113">
        <v>5.8723902845692066E-4</v>
      </c>
    </row>
    <row r="114" spans="7:20" x14ac:dyDescent="0.25">
      <c r="G114" s="3"/>
      <c r="H114" s="3"/>
      <c r="I114" s="3"/>
      <c r="J114" s="3"/>
      <c r="K114" s="3"/>
      <c r="L114" s="3"/>
      <c r="M114" s="3"/>
      <c r="N114" s="3"/>
      <c r="O114" s="3"/>
      <c r="P114" s="3"/>
      <c r="Q114" s="3"/>
      <c r="R114">
        <v>7</v>
      </c>
      <c r="S114">
        <v>6.9863741427057828</v>
      </c>
      <c r="T114">
        <v>6.258572942172691E-4</v>
      </c>
    </row>
    <row r="115" spans="7:20" x14ac:dyDescent="0.25">
      <c r="G115" s="3"/>
      <c r="H115" s="3"/>
      <c r="I115" s="3"/>
      <c r="J115" s="3"/>
      <c r="K115" s="3"/>
      <c r="L115" s="3"/>
      <c r="M115" s="3"/>
      <c r="N115" s="3"/>
      <c r="O115" s="3"/>
      <c r="P115" s="3"/>
      <c r="Q115" s="3"/>
      <c r="R115">
        <v>8</v>
      </c>
      <c r="S115">
        <v>5.6122161422893067</v>
      </c>
      <c r="T115">
        <v>-1.2161422893068874E-3</v>
      </c>
    </row>
    <row r="116" spans="7:20" x14ac:dyDescent="0.25">
      <c r="G116" s="3"/>
      <c r="H116" s="3"/>
      <c r="I116" s="3"/>
      <c r="J116" s="3"/>
      <c r="K116" s="3"/>
      <c r="L116" s="3"/>
      <c r="M116" s="3"/>
      <c r="N116" s="3"/>
      <c r="O116" s="3"/>
      <c r="P116" s="3"/>
      <c r="Q116" s="3"/>
      <c r="R116">
        <v>9</v>
      </c>
      <c r="S116">
        <v>4.2031810352632748</v>
      </c>
      <c r="T116">
        <v>4.8189647367253841E-3</v>
      </c>
    </row>
    <row r="117" spans="7:20" x14ac:dyDescent="0.25">
      <c r="G117" s="3"/>
      <c r="H117" s="3"/>
      <c r="I117" s="3"/>
      <c r="J117" s="3"/>
      <c r="K117" s="3"/>
      <c r="L117" s="3"/>
      <c r="M117" s="3"/>
      <c r="N117" s="3"/>
      <c r="O117" s="3"/>
      <c r="P117" s="3"/>
      <c r="Q117" s="3"/>
      <c r="R117">
        <v>10</v>
      </c>
      <c r="S117">
        <v>2.7463144677441385</v>
      </c>
      <c r="T117">
        <v>-3.3144677441385717E-3</v>
      </c>
    </row>
    <row r="118" spans="7:20" x14ac:dyDescent="0.25">
      <c r="G118" s="3"/>
      <c r="H118" s="3"/>
      <c r="I118" s="3"/>
      <c r="J118" s="3"/>
      <c r="K118" s="3"/>
      <c r="L118" s="3"/>
      <c r="M118" s="3"/>
      <c r="N118" s="3"/>
      <c r="O118" s="3"/>
      <c r="P118" s="3"/>
      <c r="Q118" s="3"/>
      <c r="R118">
        <v>11</v>
      </c>
      <c r="S118">
        <v>8.3944127609715427</v>
      </c>
      <c r="T118">
        <v>4.5872390284564801E-3</v>
      </c>
    </row>
    <row r="119" spans="7:20" x14ac:dyDescent="0.25">
      <c r="G119" s="3"/>
      <c r="H119" s="3"/>
      <c r="I119" s="3"/>
      <c r="J119" s="3"/>
      <c r="K119" s="3"/>
      <c r="L119" s="3"/>
      <c r="M119" s="3"/>
      <c r="N119" s="3"/>
      <c r="O119" s="3"/>
      <c r="P119" s="3"/>
      <c r="Q119" s="3"/>
      <c r="R119">
        <v>12</v>
      </c>
      <c r="S119">
        <v>7.0760581311303543</v>
      </c>
      <c r="T119">
        <v>3.9418688696457593E-3</v>
      </c>
    </row>
    <row r="120" spans="7:20" x14ac:dyDescent="0.25">
      <c r="G120" s="3"/>
      <c r="H120" s="3">
        <f>Table4[[#This Row],[Op]]*Table4[[#This Row],[Laser^2]]</f>
        <v>0</v>
      </c>
      <c r="I120" s="3">
        <f>Table4[[#This Row],[Laser]]^2</f>
        <v>0</v>
      </c>
      <c r="J120" s="3"/>
      <c r="K120" s="3"/>
      <c r="L120" s="3"/>
      <c r="M120" s="3"/>
      <c r="N120" s="3"/>
      <c r="O120" s="3"/>
      <c r="P120" s="3"/>
      <c r="Q120" s="3"/>
      <c r="R120">
        <v>13</v>
      </c>
      <c r="S120">
        <v>5.6610440915426841</v>
      </c>
      <c r="T120">
        <v>1.1955908457315978E-2</v>
      </c>
    </row>
    <row r="121" spans="7:20" x14ac:dyDescent="0.25">
      <c r="G121" s="3"/>
      <c r="H121" s="3">
        <f>Table4[[#This Row],[Op]]*Table4[[#This Row],[Laser^2]]</f>
        <v>0</v>
      </c>
      <c r="I121" s="3">
        <f>Table4[[#This Row],[Laser]]^2</f>
        <v>0</v>
      </c>
      <c r="J121" s="3"/>
      <c r="K121" s="3"/>
      <c r="L121" s="3"/>
      <c r="M121" s="3"/>
      <c r="N121" s="3"/>
      <c r="O121" s="3"/>
      <c r="P121" s="3"/>
      <c r="Q121" s="3"/>
      <c r="R121">
        <v>14</v>
      </c>
      <c r="S121">
        <v>4.1583390410509891</v>
      </c>
      <c r="T121">
        <v>2.6609589490105279E-3</v>
      </c>
    </row>
    <row r="122" spans="7:20" x14ac:dyDescent="0.25">
      <c r="G122" s="3"/>
      <c r="H122" s="3">
        <f>Table4[[#This Row],[Op]]*Table4[[#This Row],[Laser^2]]</f>
        <v>0</v>
      </c>
      <c r="I122" s="3">
        <f>Table4[[#This Row],[Laser]]^2</f>
        <v>0</v>
      </c>
      <c r="J122" s="3"/>
      <c r="K122" s="3"/>
      <c r="L122" s="3"/>
      <c r="M122" s="3"/>
      <c r="N122" s="3"/>
      <c r="O122" s="3"/>
      <c r="P122" s="3"/>
      <c r="Q122" s="3"/>
      <c r="R122">
        <v>15</v>
      </c>
      <c r="S122">
        <v>2.7473109565044123</v>
      </c>
      <c r="T122">
        <v>-4.3109565044123777E-3</v>
      </c>
    </row>
    <row r="123" spans="7:20" x14ac:dyDescent="0.25">
      <c r="G123" s="3"/>
      <c r="H123" s="3">
        <f>Table4[[#This Row],[Op]]*Table4[[#This Row],[Laser^2]]</f>
        <v>0</v>
      </c>
      <c r="I123" s="3">
        <f>Table4[[#This Row],[Laser]]^2</f>
        <v>0</v>
      </c>
      <c r="J123" s="3"/>
      <c r="K123" s="3"/>
      <c r="L123" s="3"/>
      <c r="M123" s="3"/>
      <c r="N123" s="3"/>
      <c r="O123" s="3"/>
      <c r="P123" s="3"/>
      <c r="Q123" s="3"/>
      <c r="R123">
        <v>16</v>
      </c>
      <c r="S123">
        <v>8.3910658883193054</v>
      </c>
      <c r="T123">
        <v>-1.0658883193048752E-3</v>
      </c>
    </row>
    <row r="124" spans="7:20" x14ac:dyDescent="0.25">
      <c r="G124" s="3"/>
      <c r="H124" s="3">
        <f>Table4[[#This Row],[Op]]*Table4[[#This Row],[Laser^2]]</f>
        <v>0</v>
      </c>
      <c r="I124" s="3">
        <f>Table4[[#This Row],[Laser]]^2</f>
        <v>0</v>
      </c>
      <c r="J124" s="3"/>
      <c r="K124" s="3"/>
      <c r="L124" s="3"/>
      <c r="M124" s="3"/>
      <c r="N124" s="3"/>
      <c r="O124" s="3"/>
      <c r="P124" s="3"/>
      <c r="Q124" s="3"/>
      <c r="R124">
        <v>17</v>
      </c>
      <c r="S124">
        <v>7.0557709495534766</v>
      </c>
      <c r="T124">
        <v>3.2290504465235514E-3</v>
      </c>
    </row>
    <row r="125" spans="7:20" x14ac:dyDescent="0.25">
      <c r="G125" s="3"/>
      <c r="H125" s="3">
        <f>Table4[[#This Row],[Op]]*Table4[[#This Row],[Laser^2]]</f>
        <v>0</v>
      </c>
      <c r="I125" s="3">
        <f>Table4[[#This Row],[Laser]]^2</f>
        <v>0</v>
      </c>
      <c r="J125" s="3"/>
      <c r="K125" s="3"/>
      <c r="L125" s="3"/>
      <c r="M125" s="3"/>
      <c r="N125" s="3"/>
      <c r="O125" s="3"/>
      <c r="P125" s="3"/>
      <c r="Q125" s="3"/>
      <c r="R125">
        <v>18</v>
      </c>
      <c r="S125">
        <v>5.6387639324452605</v>
      </c>
      <c r="T125">
        <v>1.2360675547391509E-3</v>
      </c>
    </row>
    <row r="126" spans="7:20" x14ac:dyDescent="0.25">
      <c r="G126" s="3"/>
      <c r="H126" s="3">
        <f>Table4[[#This Row],[Op]]*Table4[[#This Row],[Laser^2]]</f>
        <v>0</v>
      </c>
      <c r="I126" s="3">
        <f>Table4[[#This Row],[Laser]]^2</f>
        <v>0</v>
      </c>
      <c r="J126" s="3"/>
      <c r="K126" s="3"/>
      <c r="L126" s="3"/>
      <c r="M126" s="3"/>
      <c r="N126" s="3"/>
      <c r="O126" s="3"/>
      <c r="P126" s="3"/>
      <c r="Q126" s="3"/>
      <c r="R126">
        <v>19</v>
      </c>
      <c r="S126">
        <v>4.2456726455835962</v>
      </c>
      <c r="T126">
        <v>-5.6726455835960365E-3</v>
      </c>
    </row>
    <row r="127" spans="7:20" x14ac:dyDescent="0.25">
      <c r="G127" s="3"/>
      <c r="H127" s="3">
        <f>Table4[[#This Row],[Op]]*Table4[[#This Row],[Laser^2]]</f>
        <v>0</v>
      </c>
      <c r="I127" s="3">
        <f>Table4[[#This Row],[Laser]]^2</f>
        <v>0</v>
      </c>
      <c r="J127" s="3"/>
      <c r="K127" s="3"/>
      <c r="L127" s="3"/>
      <c r="M127" s="3"/>
      <c r="N127" s="3"/>
      <c r="O127" s="3"/>
      <c r="P127" s="3"/>
      <c r="Q127" s="3"/>
      <c r="R127">
        <v>20</v>
      </c>
      <c r="S127">
        <v>2.7429675950919021</v>
      </c>
      <c r="T127">
        <v>-2.9675950919019201E-3</v>
      </c>
    </row>
    <row r="128" spans="7:20" x14ac:dyDescent="0.25">
      <c r="G128" s="3"/>
      <c r="H128" s="3">
        <f>Table4[[#This Row],[Op]]*Table4[[#This Row],[Laser^2]]</f>
        <v>0</v>
      </c>
      <c r="I128" s="3">
        <f>Table4[[#This Row],[Laser]]^2</f>
        <v>0</v>
      </c>
      <c r="J128" s="3"/>
      <c r="K128" s="3"/>
      <c r="L128" s="3"/>
      <c r="M128" s="3"/>
      <c r="N128" s="3"/>
      <c r="O128" s="3"/>
      <c r="P128" s="3"/>
      <c r="Q128" s="3"/>
      <c r="R128">
        <v>21</v>
      </c>
      <c r="S128">
        <v>8.3900693995590334</v>
      </c>
      <c r="T128">
        <v>-7.0693995590342951E-3</v>
      </c>
    </row>
    <row r="129" spans="7:20" x14ac:dyDescent="0.25">
      <c r="G129" s="3"/>
      <c r="H129" s="3">
        <f>Table4[[#This Row],[Op]]*Table4[[#This Row],[Laser^2]]</f>
        <v>0</v>
      </c>
      <c r="I129" s="3">
        <f>Table4[[#This Row],[Laser]]^2</f>
        <v>0</v>
      </c>
      <c r="J129" s="3"/>
      <c r="K129" s="3"/>
      <c r="L129" s="3"/>
      <c r="M129" s="3"/>
      <c r="N129" s="3"/>
      <c r="O129" s="3"/>
      <c r="P129" s="3"/>
      <c r="Q129" s="3"/>
      <c r="R129">
        <v>22</v>
      </c>
      <c r="S129">
        <v>7.0587604158342954</v>
      </c>
      <c r="T129">
        <v>-6.7604158342957632E-3</v>
      </c>
    </row>
    <row r="130" spans="7:20" x14ac:dyDescent="0.25">
      <c r="G130" s="3"/>
      <c r="H130" s="3">
        <f>Table4[[#This Row],[Op]]*Table4[[#This Row],[Laser^2]]</f>
        <v>0</v>
      </c>
      <c r="I130" s="3">
        <f>Table4[[#This Row],[Laser]]^2</f>
        <v>0</v>
      </c>
      <c r="J130" s="3"/>
      <c r="K130" s="3"/>
      <c r="L130" s="3"/>
      <c r="M130" s="3"/>
      <c r="N130" s="3"/>
      <c r="O130" s="3"/>
      <c r="P130" s="3"/>
      <c r="Q130" s="3"/>
      <c r="R130">
        <v>23</v>
      </c>
      <c r="S130">
        <v>5.6268060673219846</v>
      </c>
      <c r="T130">
        <v>9.1939326780154929E-3</v>
      </c>
    </row>
    <row r="131" spans="7:20" x14ac:dyDescent="0.25">
      <c r="G131" s="3"/>
      <c r="H131" s="3">
        <f>Table4[[#This Row],[Op]]*Table4[[#This Row],[Laser^2]]</f>
        <v>0</v>
      </c>
      <c r="I131" s="3">
        <f>Table4[[#This Row],[Laser]]^2</f>
        <v>0</v>
      </c>
      <c r="J131" s="3"/>
      <c r="K131" s="3"/>
      <c r="L131" s="3"/>
      <c r="M131" s="3"/>
      <c r="N131" s="3"/>
      <c r="O131" s="3"/>
      <c r="P131" s="3"/>
      <c r="Q131" s="3"/>
      <c r="R131">
        <v>24</v>
      </c>
      <c r="S131">
        <v>4.1719324773233941</v>
      </c>
      <c r="T131">
        <v>-4.932477323394302E-3</v>
      </c>
    </row>
    <row r="132" spans="7:20" x14ac:dyDescent="0.25">
      <c r="G132" s="3"/>
      <c r="H132" s="3">
        <f>Table4[[#This Row],[Op]]*Table4[[#This Row],[Laser^2]]</f>
        <v>0</v>
      </c>
      <c r="I132" s="3">
        <f>Table4[[#This Row],[Laser]]^2</f>
        <v>0</v>
      </c>
      <c r="J132" s="3"/>
      <c r="K132" s="3"/>
      <c r="L132" s="3"/>
      <c r="M132" s="3"/>
      <c r="N132" s="3"/>
      <c r="O132" s="3"/>
      <c r="P132" s="3"/>
      <c r="Q132" s="3"/>
      <c r="R132">
        <v>25</v>
      </c>
      <c r="S132">
        <v>2.7459570613727209</v>
      </c>
      <c r="T132">
        <v>-7.9570613727208972E-3</v>
      </c>
    </row>
    <row r="133" spans="7:20" x14ac:dyDescent="0.25">
      <c r="G133" s="3"/>
      <c r="H133" s="3">
        <f>Table4[[#This Row],[Op]]*Table4[[#This Row],[Laser^2]]</f>
        <v>0</v>
      </c>
      <c r="I133" s="3">
        <f>Table4[[#This Row],[Laser]]^2</f>
        <v>0</v>
      </c>
      <c r="J133" s="3"/>
      <c r="K133" s="3"/>
      <c r="L133" s="3"/>
      <c r="M133" s="3"/>
      <c r="N133" s="3"/>
      <c r="O133" s="3"/>
      <c r="P133" s="3"/>
      <c r="Q133" s="3"/>
      <c r="R133">
        <v>26</v>
      </c>
      <c r="S133">
        <v>8.3930588658398513</v>
      </c>
      <c r="T133">
        <v>-1.0588658398518191E-3</v>
      </c>
    </row>
    <row r="134" spans="7:20" x14ac:dyDescent="0.25">
      <c r="G134" s="3"/>
      <c r="H134" s="3">
        <f>Table4[[#This Row],[Op]]*Table4[[#This Row],[Laser^2]]</f>
        <v>0</v>
      </c>
      <c r="I134" s="3">
        <f>Table4[[#This Row],[Laser]]^2</f>
        <v>0</v>
      </c>
      <c r="J134" s="3"/>
      <c r="K134" s="3"/>
      <c r="L134" s="3"/>
      <c r="M134" s="3"/>
      <c r="N134" s="3"/>
      <c r="O134" s="3"/>
      <c r="P134" s="3"/>
      <c r="Q134" s="3"/>
      <c r="R134">
        <v>27</v>
      </c>
      <c r="S134">
        <v>7.0358411743480165</v>
      </c>
      <c r="T134">
        <v>-1.841174348016672E-3</v>
      </c>
    </row>
    <row r="135" spans="7:20" x14ac:dyDescent="0.25">
      <c r="G135" s="3"/>
      <c r="H135" s="3">
        <f>Table4[[#This Row],[Op]]*Table4[[#This Row],[Laser^2]]</f>
        <v>0</v>
      </c>
      <c r="I135" s="3">
        <f>Table4[[#This Row],[Laser]]^2</f>
        <v>0</v>
      </c>
      <c r="J135" s="3"/>
      <c r="K135" s="3"/>
      <c r="L135" s="3"/>
      <c r="M135" s="3"/>
      <c r="N135" s="3"/>
      <c r="O135" s="3"/>
      <c r="P135" s="3"/>
      <c r="Q135" s="3"/>
      <c r="R135">
        <v>28</v>
      </c>
      <c r="S135" s="42">
        <v>5.6248130898014379</v>
      </c>
      <c r="T135">
        <v>-1.0813089801438025E-2</v>
      </c>
    </row>
    <row r="136" spans="7:20" x14ac:dyDescent="0.25">
      <c r="G136" s="3"/>
      <c r="H136" s="3">
        <f>Table4[[#This Row],[Op]]*Table4[[#This Row],[Laser^2]]</f>
        <v>0</v>
      </c>
      <c r="I136" s="3">
        <f>Table4[[#This Row],[Laser]]^2</f>
        <v>0</v>
      </c>
      <c r="J136" s="3"/>
      <c r="K136" s="3"/>
      <c r="L136" s="3"/>
      <c r="M136" s="3"/>
      <c r="N136" s="3"/>
      <c r="O136" s="3"/>
      <c r="P136" s="3"/>
      <c r="Q136" s="3"/>
      <c r="R136">
        <v>29</v>
      </c>
      <c r="S136">
        <v>4.2546410444260534</v>
      </c>
      <c r="T136">
        <v>-3.6410444260530639E-3</v>
      </c>
    </row>
    <row r="137" spans="7:20" x14ac:dyDescent="0.25">
      <c r="G137" s="3"/>
      <c r="H137" s="3">
        <f>Table4[[#This Row],[Op]]*Table4[[#This Row],[Laser^2]]</f>
        <v>0</v>
      </c>
      <c r="I137" s="3">
        <f>Table4[[#This Row],[Laser]]^2</f>
        <v>0</v>
      </c>
      <c r="J137" s="3"/>
      <c r="K137" s="3"/>
      <c r="L137" s="3"/>
      <c r="M137" s="3"/>
      <c r="N137" s="3"/>
      <c r="O137" s="3"/>
      <c r="P137" s="3"/>
      <c r="Q137" s="3"/>
      <c r="R137">
        <v>30</v>
      </c>
      <c r="S137">
        <v>2.744960572612448</v>
      </c>
      <c r="T137">
        <v>-9.6057261244775205E-4</v>
      </c>
    </row>
    <row r="138" spans="7:20" x14ac:dyDescent="0.25">
      <c r="G138" s="3"/>
      <c r="H138" s="3">
        <f>Table4[[#This Row],[Op]]*Table4[[#This Row],[Laser^2]]</f>
        <v>0</v>
      </c>
      <c r="I138" s="3">
        <f>Table4[[#This Row],[Laser]]^2</f>
        <v>0</v>
      </c>
      <c r="J138" s="3"/>
      <c r="K138" s="3"/>
      <c r="L138" s="3"/>
      <c r="M138" s="3"/>
      <c r="N138" s="3"/>
      <c r="O138" s="3"/>
      <c r="P138" s="3"/>
      <c r="Q138" s="3"/>
      <c r="R138">
        <v>31</v>
      </c>
      <c r="S138">
        <v>8.3917049707081635</v>
      </c>
      <c r="T138">
        <v>-3.7049707081635574E-3</v>
      </c>
    </row>
    <row r="139" spans="7:20" x14ac:dyDescent="0.25">
      <c r="G139" s="3"/>
      <c r="H139" s="3">
        <f>Table4[[#This Row],[Op]]*Table4[[#This Row],[Laser^2]]</f>
        <v>0</v>
      </c>
      <c r="I139" s="3">
        <f>Table4[[#This Row],[Laser]]^2</f>
        <v>0</v>
      </c>
      <c r="J139" s="3"/>
      <c r="K139" s="3"/>
      <c r="L139" s="3"/>
      <c r="M139" s="3"/>
      <c r="N139" s="3"/>
      <c r="O139" s="3"/>
      <c r="P139" s="3"/>
      <c r="Q139" s="3"/>
      <c r="R139">
        <v>32</v>
      </c>
      <c r="S139">
        <v>7.0554135431820608</v>
      </c>
      <c r="T139">
        <v>5.8645681793922932E-4</v>
      </c>
    </row>
    <row r="140" spans="7:20" x14ac:dyDescent="0.25">
      <c r="G140" s="3"/>
      <c r="H140" s="3">
        <f>Table4[[#This Row],[Op]]*Table4[[#This Row],[Laser^2]]</f>
        <v>0</v>
      </c>
      <c r="I140" s="3">
        <f>Table4[[#This Row],[Laser]]^2</f>
        <v>0</v>
      </c>
      <c r="J140" s="3"/>
      <c r="K140" s="3"/>
      <c r="L140" s="3"/>
      <c r="M140" s="3"/>
      <c r="N140" s="3"/>
      <c r="O140" s="3"/>
      <c r="P140" s="3"/>
      <c r="Q140" s="3"/>
      <c r="R140">
        <v>33</v>
      </c>
      <c r="S140">
        <v>5.6174802621081117</v>
      </c>
      <c r="T140">
        <v>5.1973789188863861E-4</v>
      </c>
    </row>
    <row r="141" spans="7:20" x14ac:dyDescent="0.25">
      <c r="G141" s="3"/>
      <c r="H141" s="3">
        <f>Table4[[#This Row],[Op]]*Table4[[#This Row],[Laser^2]]</f>
        <v>0</v>
      </c>
      <c r="I141" s="3">
        <f>Table4[[#This Row],[Laser]]^2</f>
        <v>0</v>
      </c>
      <c r="J141" s="3"/>
      <c r="K141" s="3"/>
      <c r="L141" s="3"/>
      <c r="M141" s="3"/>
      <c r="N141" s="3"/>
      <c r="O141" s="3"/>
      <c r="P141" s="3"/>
      <c r="Q141" s="3"/>
      <c r="R141">
        <v>34</v>
      </c>
      <c r="S141">
        <v>4.2473082167327263</v>
      </c>
      <c r="T141">
        <v>-5.3082167327263008E-3</v>
      </c>
    </row>
    <row r="142" spans="7:20" x14ac:dyDescent="0.25">
      <c r="G142" s="3"/>
      <c r="H142" s="3">
        <f>Table4[[#This Row],[Op]]*Table4[[#This Row],[Laser^2]]</f>
        <v>0</v>
      </c>
      <c r="I142" s="3">
        <f>Table4[[#This Row],[Laser]]^2</f>
        <v>0</v>
      </c>
      <c r="J142" s="3"/>
      <c r="K142" s="3"/>
      <c r="L142" s="3"/>
      <c r="M142" s="3"/>
      <c r="N142" s="3"/>
      <c r="O142" s="3"/>
      <c r="P142" s="3"/>
      <c r="Q142" s="3"/>
      <c r="R142">
        <v>35</v>
      </c>
      <c r="S142">
        <v>2.7455996550013051</v>
      </c>
      <c r="T142">
        <v>-5.5996550013048818E-3</v>
      </c>
    </row>
    <row r="143" spans="7:20" x14ac:dyDescent="0.25">
      <c r="G143" s="3"/>
      <c r="H143" s="3">
        <f>Table4[[#This Row],[Op]]*Table4[[#This Row],[Laser^2]]</f>
        <v>0</v>
      </c>
      <c r="I143" s="3">
        <f>Table4[[#This Row],[Laser]]^2</f>
        <v>0</v>
      </c>
      <c r="J143" s="3"/>
      <c r="K143" s="3"/>
      <c r="L143" s="3"/>
      <c r="M143" s="3"/>
      <c r="N143" s="3"/>
      <c r="O143" s="3"/>
      <c r="P143" s="3"/>
      <c r="Q143" s="3"/>
      <c r="R143">
        <v>36</v>
      </c>
      <c r="S143">
        <v>8.3907084819478897</v>
      </c>
      <c r="T143">
        <v>-7.0848194788908359E-4</v>
      </c>
    </row>
    <row r="144" spans="7:20" x14ac:dyDescent="0.25">
      <c r="G144" s="3"/>
      <c r="H144" s="3">
        <f>Table4[[#This Row],[Op]]*Table4[[#This Row],[Laser^2]]</f>
        <v>0</v>
      </c>
      <c r="I144" s="3">
        <f>Table4[[#This Row],[Laser]]^2</f>
        <v>0</v>
      </c>
      <c r="J144" s="3"/>
      <c r="K144" s="3"/>
      <c r="L144" s="3"/>
      <c r="M144" s="3"/>
      <c r="N144" s="3"/>
      <c r="O144" s="3"/>
      <c r="P144" s="3"/>
      <c r="Q144" s="3"/>
      <c r="R144">
        <v>37</v>
      </c>
      <c r="S144" s="42">
        <v>7.06537843078479</v>
      </c>
      <c r="T144">
        <v>-1.6378430784789622E-2</v>
      </c>
    </row>
    <row r="145" spans="7:20" x14ac:dyDescent="0.25">
      <c r="G145" s="3"/>
      <c r="H145" s="3">
        <f>Table4[[#This Row],[Op]]*Table4[[#This Row],[Laser^2]]</f>
        <v>0</v>
      </c>
      <c r="I145" s="3">
        <f>Table4[[#This Row],[Laser]]^2</f>
        <v>0</v>
      </c>
      <c r="J145" s="3"/>
      <c r="K145" s="3"/>
      <c r="L145" s="3"/>
      <c r="M145" s="3"/>
      <c r="N145" s="3"/>
      <c r="O145" s="3"/>
      <c r="P145" s="3"/>
      <c r="Q145" s="3"/>
      <c r="R145">
        <v>38</v>
      </c>
      <c r="S145">
        <v>5.6115013295464733</v>
      </c>
      <c r="T145">
        <v>8.4986704535268132E-3</v>
      </c>
    </row>
    <row r="146" spans="7:20" x14ac:dyDescent="0.25">
      <c r="G146" s="3"/>
      <c r="H146" s="3">
        <f>Table4[[#This Row],[Op]]*Table4[[#This Row],[Laser^2]]</f>
        <v>0</v>
      </c>
      <c r="I146" s="3">
        <f>Table4[[#This Row],[Laser]]^2</f>
        <v>0</v>
      </c>
      <c r="J146" s="3"/>
      <c r="K146" s="3"/>
      <c r="L146" s="3"/>
      <c r="M146" s="3"/>
      <c r="N146" s="3"/>
      <c r="O146" s="3"/>
      <c r="P146" s="3"/>
      <c r="Q146" s="3"/>
      <c r="R146">
        <v>39</v>
      </c>
      <c r="S146" s="42">
        <v>4.2393363066505421</v>
      </c>
      <c r="T146">
        <v>2.0663693349457724E-2</v>
      </c>
    </row>
    <row r="147" spans="7:20" x14ac:dyDescent="0.25">
      <c r="G147" s="3"/>
      <c r="H147" s="3">
        <f>Table4[[#This Row],[Op]]*Table4[[#This Row],[Laser^2]]</f>
        <v>0</v>
      </c>
      <c r="I147" s="3">
        <f>Table4[[#This Row],[Laser]]^2</f>
        <v>0</v>
      </c>
      <c r="J147" s="3"/>
      <c r="K147" s="3"/>
      <c r="L147" s="3"/>
      <c r="M147" s="3"/>
      <c r="N147" s="3"/>
      <c r="O147" s="3"/>
      <c r="P147" s="3"/>
      <c r="Q147" s="3"/>
      <c r="R147">
        <v>40</v>
      </c>
      <c r="S147">
        <v>2.7416136999602134</v>
      </c>
      <c r="T147">
        <v>2.3863000397867928E-3</v>
      </c>
    </row>
    <row r="148" spans="7:20" x14ac:dyDescent="0.25">
      <c r="G148" s="3"/>
      <c r="H148" s="3">
        <f>Table4[[#This Row],[Op]]*Table4[[#This Row],[Laser^2]]</f>
        <v>0</v>
      </c>
      <c r="I148" s="3">
        <f>Table4[[#This Row],[Laser]]^2</f>
        <v>0</v>
      </c>
      <c r="J148" s="3"/>
      <c r="K148" s="3"/>
      <c r="L148" s="3"/>
      <c r="M148" s="3"/>
      <c r="N148" s="3"/>
      <c r="O148" s="3"/>
      <c r="P148" s="3"/>
      <c r="Q148" s="3"/>
      <c r="R148">
        <v>41</v>
      </c>
      <c r="S148">
        <v>8.3917049707081635</v>
      </c>
      <c r="T148">
        <v>1.2950292918372242E-3</v>
      </c>
    </row>
    <row r="149" spans="7:20" x14ac:dyDescent="0.25">
      <c r="G149" s="3"/>
      <c r="H149" s="3">
        <f>Table4[[#This Row],[Op]]*Table4[[#This Row],[Laser^2]]</f>
        <v>0</v>
      </c>
      <c r="I149" s="3">
        <f>Table4[[#This Row],[Laser]]^2</f>
        <v>0</v>
      </c>
      <c r="J149" s="3"/>
      <c r="K149" s="3"/>
      <c r="L149" s="3"/>
      <c r="M149" s="3"/>
      <c r="N149" s="3"/>
      <c r="O149" s="3"/>
      <c r="P149" s="3"/>
      <c r="Q149" s="3"/>
      <c r="R149">
        <v>42</v>
      </c>
      <c r="S149">
        <v>7.0344872792163269</v>
      </c>
      <c r="T149">
        <v>7.5127207836729326E-3</v>
      </c>
    </row>
    <row r="150" spans="7:20" x14ac:dyDescent="0.25">
      <c r="G150" s="3"/>
      <c r="H150" s="3">
        <f>Table4[[#This Row],[Op]]*Table4[[#This Row],[Laser^2]]</f>
        <v>0</v>
      </c>
      <c r="I150" s="3">
        <f>Table4[[#This Row],[Laser]]^2</f>
        <v>0</v>
      </c>
      <c r="J150" s="3"/>
      <c r="K150" s="3"/>
      <c r="L150" s="3"/>
      <c r="M150" s="3"/>
      <c r="N150" s="3"/>
      <c r="O150" s="3"/>
      <c r="P150" s="3"/>
      <c r="Q150" s="3"/>
      <c r="R150">
        <v>43</v>
      </c>
      <c r="S150">
        <v>5.6543503462382123</v>
      </c>
      <c r="T150">
        <v>-3.5034623821239563E-4</v>
      </c>
    </row>
    <row r="151" spans="7:20" x14ac:dyDescent="0.25">
      <c r="G151" s="3"/>
      <c r="H151" s="3">
        <f>Table4[[#This Row],[Op]]*Table4[[#This Row],[Laser^2]]</f>
        <v>0</v>
      </c>
      <c r="I151" s="3">
        <f>Table4[[#This Row],[Laser]]^2</f>
        <v>0</v>
      </c>
      <c r="J151" s="3"/>
      <c r="K151" s="3"/>
      <c r="L151" s="3"/>
      <c r="M151" s="3"/>
      <c r="N151" s="3"/>
      <c r="O151" s="3"/>
      <c r="P151" s="3"/>
      <c r="Q151" s="3"/>
      <c r="R151">
        <v>44</v>
      </c>
      <c r="S151">
        <v>4.1596172058287015</v>
      </c>
      <c r="T151">
        <v>3.8279417129860605E-4</v>
      </c>
    </row>
    <row r="152" spans="7:20" x14ac:dyDescent="0.25">
      <c r="G152" s="3"/>
      <c r="H152" s="3">
        <f>Table4[[#This Row],[Op]]*Table4[[#This Row],[Laser^2]]</f>
        <v>0</v>
      </c>
      <c r="I152" s="3">
        <f>Table4[[#This Row],[Laser]]^2</f>
        <v>0</v>
      </c>
      <c r="J152" s="3"/>
      <c r="K152" s="3"/>
      <c r="L152" s="3"/>
      <c r="M152" s="3"/>
      <c r="N152" s="3"/>
      <c r="O152" s="3"/>
      <c r="P152" s="3"/>
      <c r="Q152" s="3"/>
      <c r="R152">
        <v>45</v>
      </c>
      <c r="S152">
        <v>2.7426101887204863</v>
      </c>
      <c r="T152">
        <v>3.8981127951354111E-4</v>
      </c>
    </row>
    <row r="153" spans="7:20" x14ac:dyDescent="0.25">
      <c r="G153" s="3"/>
      <c r="H153" s="3">
        <f>Table4[[#This Row],[Op]]*Table4[[#This Row],[Laser^2]]</f>
        <v>0</v>
      </c>
      <c r="I153" s="3">
        <f>Table4[[#This Row],[Laser]]^2</f>
        <v>0</v>
      </c>
      <c r="J153" s="3"/>
      <c r="K153" s="3"/>
      <c r="L153" s="3"/>
      <c r="M153" s="3"/>
      <c r="N153" s="3"/>
      <c r="O153" s="3"/>
      <c r="P153" s="3"/>
      <c r="Q153" s="3"/>
      <c r="R153">
        <v>46</v>
      </c>
      <c r="S153">
        <v>8.3923440530970197</v>
      </c>
      <c r="T153">
        <v>-2.3440530970191276E-3</v>
      </c>
    </row>
    <row r="154" spans="7:20" x14ac:dyDescent="0.25">
      <c r="G154" s="3"/>
      <c r="H154" s="3">
        <f>Table4[[#This Row],[Op]]*Table4[[#This Row],[Laser^2]]</f>
        <v>0</v>
      </c>
      <c r="I154" s="3">
        <f>Table4[[#This Row],[Laser]]^2</f>
        <v>0</v>
      </c>
      <c r="J154" s="3"/>
      <c r="K154" s="3"/>
      <c r="L154" s="3"/>
      <c r="M154" s="3"/>
      <c r="N154" s="3"/>
      <c r="O154" s="3"/>
      <c r="P154" s="3"/>
      <c r="Q154" s="3"/>
      <c r="R154">
        <v>47</v>
      </c>
      <c r="S154">
        <v>6.992277344913445</v>
      </c>
      <c r="T154">
        <v>-2.2773449134447787E-3</v>
      </c>
    </row>
    <row r="155" spans="7:20" x14ac:dyDescent="0.25">
      <c r="G155" s="3"/>
      <c r="H155" s="3">
        <f>Table4[[#This Row],[Op]]*Table4[[#This Row],[Laser^2]]</f>
        <v>0</v>
      </c>
      <c r="I155" s="3">
        <f>Table4[[#This Row],[Laser]]^2</f>
        <v>0</v>
      </c>
      <c r="J155" s="3"/>
      <c r="K155" s="3"/>
      <c r="L155" s="3"/>
      <c r="M155" s="3"/>
      <c r="N155" s="3"/>
      <c r="O155" s="3"/>
      <c r="P155" s="3"/>
      <c r="Q155" s="3"/>
      <c r="R155">
        <v>48</v>
      </c>
      <c r="S155">
        <v>5.6171228557366959</v>
      </c>
      <c r="T155">
        <v>-1.2285573669590377E-4</v>
      </c>
    </row>
    <row r="156" spans="7:20" x14ac:dyDescent="0.25">
      <c r="G156" s="3"/>
      <c r="H156" s="3">
        <f>Table4[[#This Row],[Op]]*Table4[[#This Row],[Laser^2]]</f>
        <v>0</v>
      </c>
      <c r="I156" s="3">
        <f>Table4[[#This Row],[Laser]]^2</f>
        <v>0</v>
      </c>
      <c r="J156" s="3"/>
      <c r="K156" s="3"/>
      <c r="L156" s="3"/>
      <c r="M156" s="3"/>
      <c r="N156" s="3"/>
      <c r="O156" s="3"/>
      <c r="P156" s="3"/>
      <c r="Q156" s="3"/>
      <c r="R156">
        <v>49</v>
      </c>
      <c r="S156">
        <v>4.1612527769778325</v>
      </c>
      <c r="T156">
        <v>3.7472230221675673E-3</v>
      </c>
    </row>
    <row r="157" spans="7:20" x14ac:dyDescent="0.25">
      <c r="G157" s="3"/>
      <c r="H157" s="3">
        <f>Table4[[#This Row],[Op]]*Table4[[#This Row],[Laser^2]]</f>
        <v>0</v>
      </c>
      <c r="I157" s="3">
        <f>Table4[[#This Row],[Laser]]^2</f>
        <v>0</v>
      </c>
      <c r="J157" s="3"/>
      <c r="K157" s="3"/>
      <c r="L157" s="3"/>
      <c r="M157" s="3"/>
      <c r="N157" s="3"/>
      <c r="O157" s="3"/>
      <c r="P157" s="3"/>
      <c r="Q157" s="3"/>
      <c r="R157">
        <v>50</v>
      </c>
      <c r="S157">
        <v>2.7372703385477051</v>
      </c>
      <c r="T157">
        <v>7.7296614522950335E-3</v>
      </c>
    </row>
    <row r="158" spans="7:20" x14ac:dyDescent="0.25">
      <c r="G158" s="3"/>
      <c r="H158" s="3">
        <f>Table4[[#This Row],[Op]]*Table4[[#This Row],[Laser^2]]</f>
        <v>0</v>
      </c>
      <c r="I158" s="3">
        <f>Table4[[#This Row],[Laser]]^2</f>
        <v>0</v>
      </c>
      <c r="J158" s="3"/>
      <c r="K158" s="3"/>
      <c r="L158" s="3"/>
      <c r="M158" s="3"/>
      <c r="N158" s="3"/>
      <c r="O158" s="3"/>
      <c r="P158" s="3"/>
      <c r="Q158" s="3"/>
      <c r="R158">
        <v>51</v>
      </c>
      <c r="S158">
        <v>8.3913475643367477</v>
      </c>
      <c r="T158">
        <v>-1.347564336747098E-3</v>
      </c>
    </row>
    <row r="159" spans="7:20" x14ac:dyDescent="0.25">
      <c r="G159" s="3"/>
      <c r="H159" s="3">
        <f>Table4[[#This Row],[Op]]*Table4[[#This Row],[Laser^2]]</f>
        <v>0</v>
      </c>
      <c r="I159" s="3">
        <f>Table4[[#This Row],[Laser]]^2</f>
        <v>0</v>
      </c>
      <c r="J159" s="3"/>
      <c r="K159" s="3"/>
      <c r="L159" s="3"/>
      <c r="M159" s="3"/>
      <c r="N159" s="3"/>
      <c r="O159" s="3"/>
      <c r="P159" s="3"/>
      <c r="Q159" s="3"/>
      <c r="R159">
        <v>52</v>
      </c>
      <c r="S159">
        <v>7.0620315581325563</v>
      </c>
      <c r="T159">
        <v>-2.0315581325567322E-3</v>
      </c>
    </row>
    <row r="160" spans="7:20" x14ac:dyDescent="0.25">
      <c r="G160" s="3"/>
      <c r="H160" s="3">
        <f>Table4[[#This Row],[Op]]*Table4[[#This Row],[Laser^2]]</f>
        <v>0</v>
      </c>
      <c r="I160" s="3">
        <f>Table4[[#This Row],[Laser]]^2</f>
        <v>0</v>
      </c>
      <c r="J160" s="3"/>
      <c r="K160" s="3"/>
      <c r="L160" s="3"/>
      <c r="M160" s="3"/>
      <c r="N160" s="3"/>
      <c r="O160" s="3"/>
      <c r="P160" s="3"/>
      <c r="Q160" s="3"/>
      <c r="R160">
        <v>53</v>
      </c>
      <c r="S160">
        <v>5.5952001030106899</v>
      </c>
      <c r="T160">
        <v>7.9989698931015596E-4</v>
      </c>
    </row>
    <row r="161" spans="1:26" x14ac:dyDescent="0.25">
      <c r="G161" s="3"/>
      <c r="H161" s="3">
        <f>Table4[[#This Row],[Op]]*Table4[[#This Row],[Laser^2]]</f>
        <v>0</v>
      </c>
      <c r="I161" s="3">
        <f>Table4[[#This Row],[Laser]]^2</f>
        <v>0</v>
      </c>
      <c r="J161" s="3"/>
      <c r="K161" s="3"/>
      <c r="L161" s="3"/>
      <c r="M161" s="3"/>
      <c r="N161" s="3"/>
      <c r="O161" s="3"/>
      <c r="P161" s="3"/>
      <c r="Q161" s="3"/>
      <c r="R161">
        <v>54</v>
      </c>
      <c r="S161">
        <v>4.2200456138339399</v>
      </c>
      <c r="T161">
        <v>7.9543861660598125E-3</v>
      </c>
    </row>
    <row r="162" spans="1:26" x14ac:dyDescent="0.25">
      <c r="G162" s="3"/>
      <c r="H162" s="3">
        <f>Table4[[#This Row],[Op]]*Table4[[#This Row],[Laser^2]]</f>
        <v>0</v>
      </c>
      <c r="I162" s="3">
        <f>Table4[[#This Row],[Laser]]^2</f>
        <v>0</v>
      </c>
      <c r="J162" s="3"/>
      <c r="K162" s="3"/>
      <c r="L162" s="3"/>
      <c r="M162" s="3"/>
      <c r="N162" s="3"/>
      <c r="O162" s="3"/>
      <c r="P162" s="3"/>
      <c r="Q162" s="3"/>
      <c r="R162">
        <v>55</v>
      </c>
      <c r="S162">
        <v>2.749228203670981</v>
      </c>
      <c r="T162">
        <v>-3.228203670980978E-3</v>
      </c>
    </row>
    <row r="163" spans="1:26" x14ac:dyDescent="0.25">
      <c r="G163" s="3"/>
      <c r="H163" s="3">
        <f>Table4[[#This Row],[Op]]*Table4[[#This Row],[Laser^2]]</f>
        <v>0</v>
      </c>
      <c r="I163" s="3">
        <f>Table4[[#This Row],[Laser]]^2</f>
        <v>0</v>
      </c>
      <c r="J163" s="3"/>
      <c r="K163" s="3"/>
      <c r="L163" s="3"/>
      <c r="M163" s="3"/>
      <c r="N163" s="3"/>
      <c r="O163" s="3"/>
      <c r="P163" s="3"/>
      <c r="Q163" s="3"/>
      <c r="R163">
        <v>56</v>
      </c>
      <c r="S163">
        <v>8.3923440530970197</v>
      </c>
      <c r="T163">
        <v>-3.4405309702023601E-4</v>
      </c>
    </row>
    <row r="164" spans="1:26" x14ac:dyDescent="0.25">
      <c r="G164" s="3"/>
      <c r="H164" s="3">
        <f>Table4[[#This Row],[Op]]*Table4[[#This Row],[Laser^2]]</f>
        <v>0</v>
      </c>
      <c r="I164" s="3">
        <f>Table4[[#This Row],[Laser]]^2</f>
        <v>0</v>
      </c>
      <c r="J164" s="3"/>
      <c r="K164" s="3"/>
      <c r="L164" s="3"/>
      <c r="M164" s="3"/>
      <c r="N164" s="3"/>
      <c r="O164" s="3"/>
      <c r="P164" s="3"/>
      <c r="Q164" s="3"/>
      <c r="R164">
        <v>57</v>
      </c>
      <c r="S164">
        <v>7.0062281875572676</v>
      </c>
      <c r="T164">
        <v>5.7718124427319495E-3</v>
      </c>
    </row>
    <row r="165" spans="1:26" x14ac:dyDescent="0.25">
      <c r="G165" s="3"/>
      <c r="H165" s="3">
        <f>Table4[[#This Row],[Op]]*Table4[[#This Row],[Laser^2]]</f>
        <v>0</v>
      </c>
      <c r="I165" s="3">
        <f>Table4[[#This Row],[Laser]]^2</f>
        <v>0</v>
      </c>
      <c r="J165" s="3"/>
      <c r="K165" s="3"/>
      <c r="L165" s="3"/>
      <c r="M165" s="3"/>
      <c r="N165" s="3"/>
      <c r="O165" s="3"/>
      <c r="P165" s="3"/>
      <c r="Q165" s="3"/>
      <c r="R165">
        <v>58</v>
      </c>
      <c r="S165">
        <v>5.6360561421818822</v>
      </c>
      <c r="T165">
        <v>-5.6142181882101738E-5</v>
      </c>
    </row>
    <row r="166" spans="1:26" x14ac:dyDescent="0.25">
      <c r="G166" s="3"/>
      <c r="H166" s="3">
        <f>Table4[[#This Row],[Op]]*Table4[[#This Row],[Laser^2]]</f>
        <v>0</v>
      </c>
      <c r="I166" s="3">
        <f>Table4[[#This Row],[Laser]]^2</f>
        <v>0</v>
      </c>
      <c r="J166" s="3"/>
      <c r="K166" s="3"/>
      <c r="L166" s="3"/>
      <c r="M166" s="3"/>
      <c r="N166" s="3"/>
      <c r="O166" s="3"/>
      <c r="P166" s="3"/>
      <c r="Q166" s="3"/>
      <c r="R166">
        <v>59</v>
      </c>
      <c r="S166">
        <v>4.208087748710664</v>
      </c>
      <c r="T166">
        <v>-3.0877487106639734E-3</v>
      </c>
    </row>
    <row r="167" spans="1:26" ht="15.75" thickBot="1" x14ac:dyDescent="0.3">
      <c r="A167" s="34"/>
      <c r="B167" s="34"/>
      <c r="C167" s="35"/>
      <c r="D167" s="34"/>
      <c r="E167" s="34"/>
      <c r="F167" s="34"/>
      <c r="G167" s="32"/>
      <c r="H167" s="32">
        <f>Table4[[#This Row],[Op]]*Table4[[#This Row],[Laser^2]]</f>
        <v>0</v>
      </c>
      <c r="I167" s="32">
        <f>Table4[[#This Row],[Laser]]^2</f>
        <v>0</v>
      </c>
      <c r="J167" s="32"/>
      <c r="K167" s="32"/>
      <c r="L167" s="32"/>
      <c r="M167" s="32"/>
      <c r="N167" s="32"/>
      <c r="O167" s="32"/>
      <c r="P167" s="32"/>
      <c r="Q167" s="32"/>
      <c r="R167" s="32">
        <v>60</v>
      </c>
      <c r="S167" s="32">
        <v>2.7402598048285247</v>
      </c>
      <c r="T167" s="32">
        <v>-4.2598048285245049E-3</v>
      </c>
      <c r="U167" s="32"/>
      <c r="V167" s="32"/>
      <c r="W167" s="32"/>
      <c r="X167" s="32"/>
      <c r="Y167" s="32"/>
      <c r="Z167" s="32"/>
    </row>
  </sheetData>
  <phoneticPr fontId="6" type="noConversion"/>
  <conditionalFormatting sqref="I2:I13">
    <cfRule type="cellIs" dxfId="10" priority="2" operator="greaterThan">
      <formula>0.002</formula>
    </cfRule>
  </conditionalFormatting>
  <conditionalFormatting sqref="J2:J13">
    <cfRule type="cellIs" dxfId="9" priority="1" operator="greaterThan">
      <formula>0.006</formula>
    </cfRule>
  </conditionalFormatting>
  <dataValidations count="1">
    <dataValidation type="list" allowBlank="1" showInputMessage="1" showErrorMessage="1" sqref="L9:N9" xr:uid="{805900C3-1A56-4E4C-8A14-A7DDAE04B0BF}">
      <formula1>$S$2:$S$4</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45DBE-5D88-41CB-B169-526E1B5623C8}">
  <dimension ref="A1:W75"/>
  <sheetViews>
    <sheetView topLeftCell="H1" workbookViewId="0">
      <selection activeCell="M6" sqref="M6:V10"/>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idden="1" x14ac:dyDescent="0.25">
      <c r="A2" s="15"/>
      <c r="B2" s="1"/>
      <c r="C2" s="5"/>
      <c r="D2" s="15"/>
      <c r="E2" s="15"/>
      <c r="F2" s="6"/>
      <c r="G2" s="2"/>
      <c r="H2" s="2"/>
      <c r="I2" s="20"/>
      <c r="J2" s="20"/>
      <c r="K2" s="3"/>
      <c r="L2" s="3"/>
      <c r="M2" t="s">
        <v>43</v>
      </c>
      <c r="N2">
        <f>COUNTA(Table16[CAL ID])</f>
        <v>3</v>
      </c>
      <c r="P2" s="13">
        <v>0.9</v>
      </c>
      <c r="Q2">
        <v>1.645</v>
      </c>
      <c r="R2">
        <f ca="1">OFFSET(Q1,MATCH(L9,P2:P4),0)</f>
        <v>2.58</v>
      </c>
    </row>
    <row r="3" spans="1:23" ht="18" x14ac:dyDescent="0.35">
      <c r="A3" s="15">
        <v>1</v>
      </c>
      <c r="B3" s="1" t="s">
        <v>11</v>
      </c>
      <c r="C3" s="5">
        <v>45784.392361111109</v>
      </c>
      <c r="D3" s="15">
        <v>1</v>
      </c>
      <c r="E3" s="15">
        <v>2</v>
      </c>
      <c r="F3" s="1" t="s">
        <v>33</v>
      </c>
      <c r="G3" s="1">
        <v>112.48399999999999</v>
      </c>
      <c r="H3" s="1">
        <v>6.0999999999999999E-2</v>
      </c>
      <c r="I3" s="20">
        <f>ABS(Table16[[#This Row],[Slope]]-$N$7)</f>
        <v>1.5666666666675155E-2</v>
      </c>
      <c r="J3" s="20">
        <f>ABS(Table16[[#This Row],[Intercept]]-$O$7)</f>
        <v>2.0333333333333328E-2</v>
      </c>
      <c r="K3" s="3"/>
      <c r="L3" s="3"/>
      <c r="M3" t="s">
        <v>54</v>
      </c>
      <c r="N3">
        <f>COUNTA(_xlfn.UNIQUE(Table16[OP]))</f>
        <v>3</v>
      </c>
      <c r="P3" s="13">
        <v>0.96</v>
      </c>
      <c r="Q3">
        <v>1.96</v>
      </c>
    </row>
    <row r="4" spans="1:23" ht="18" x14ac:dyDescent="0.35">
      <c r="A4" s="15">
        <v>2</v>
      </c>
      <c r="B4" s="1" t="s">
        <v>11</v>
      </c>
      <c r="C4" s="5">
        <v>45784.573611111111</v>
      </c>
      <c r="D4" s="15">
        <v>1</v>
      </c>
      <c r="E4" s="15">
        <v>3</v>
      </c>
      <c r="F4" s="1" t="s">
        <v>33</v>
      </c>
      <c r="G4" s="1">
        <v>112.459</v>
      </c>
      <c r="H4" s="1">
        <v>0.109</v>
      </c>
      <c r="I4" s="20">
        <f>ABS(Table16[[#This Row],[Slope]]-$N$7)</f>
        <v>9.3333333333163182E-3</v>
      </c>
      <c r="J4" s="20">
        <f>ABS(Table16[[#This Row],[Intercept]]-$O$7)</f>
        <v>2.7666666666666673E-2</v>
      </c>
      <c r="K4" s="3"/>
      <c r="L4" s="3"/>
      <c r="M4" t="s">
        <v>55</v>
      </c>
      <c r="N4">
        <f>COUNTA(_xlfn.UNIQUE(Table16[Trial]))</f>
        <v>4</v>
      </c>
      <c r="P4" s="13">
        <v>0.99</v>
      </c>
      <c r="Q4">
        <v>2.58</v>
      </c>
    </row>
    <row r="5" spans="1:23" x14ac:dyDescent="0.25">
      <c r="A5" s="15">
        <v>3</v>
      </c>
      <c r="B5" s="1" t="s">
        <v>11</v>
      </c>
      <c r="C5" s="5">
        <v>45785.421527777777</v>
      </c>
      <c r="D5" s="15">
        <v>2</v>
      </c>
      <c r="E5" s="15">
        <v>4</v>
      </c>
      <c r="F5" s="1" t="s">
        <v>33</v>
      </c>
      <c r="G5" s="1">
        <v>112.462</v>
      </c>
      <c r="H5" s="1">
        <v>7.3999999999999996E-2</v>
      </c>
      <c r="I5" s="20">
        <f>ABS(Table16[[#This Row],[Slope]]-$N$7)</f>
        <v>6.3333333333162045E-3</v>
      </c>
      <c r="J5" s="20">
        <f>ABS(Table16[[#This Row],[Intercept]]-$O$7)</f>
        <v>7.3333333333333306E-3</v>
      </c>
      <c r="K5" s="3"/>
      <c r="L5" s="3"/>
    </row>
    <row r="6" spans="1:23" x14ac:dyDescent="0.25">
      <c r="K6" s="3"/>
      <c r="L6" s="18" t="s">
        <v>56</v>
      </c>
      <c r="M6" s="63"/>
      <c r="N6" s="63" t="s">
        <v>4</v>
      </c>
      <c r="O6" s="63" t="s">
        <v>32</v>
      </c>
      <c r="Q6" s="74" t="s">
        <v>65</v>
      </c>
      <c r="R6" s="75" t="s">
        <v>63</v>
      </c>
      <c r="S6" s="75" t="s">
        <v>47</v>
      </c>
      <c r="T6" s="75" t="s">
        <v>48</v>
      </c>
      <c r="U6" s="75" t="s">
        <v>49</v>
      </c>
      <c r="V6" s="76" t="s">
        <v>64</v>
      </c>
    </row>
    <row r="7" spans="1:23" ht="15.75" x14ac:dyDescent="0.25">
      <c r="K7" s="3"/>
      <c r="L7" s="3"/>
      <c r="M7" s="15" t="s">
        <v>59</v>
      </c>
      <c r="N7" s="15" cm="1">
        <f t="array" ref="N7">AVERAGE(IF(Table16[OP]&lt;&gt;M6,Table16[Slope],""))</f>
        <v>112.46833333333332</v>
      </c>
      <c r="O7" s="15" cm="1">
        <f t="array" ref="O7">AVERAGE(IF(Table16[OP]&lt;&gt;M6,Table16[Intercept],""))</f>
        <v>8.1333333333333327E-2</v>
      </c>
      <c r="Q7" s="21">
        <v>100.08</v>
      </c>
      <c r="R7" s="2">
        <v>0.88900000000000001</v>
      </c>
      <c r="S7" s="21">
        <f ca="1">$N$9*R7</f>
        <v>99.966272175857682</v>
      </c>
      <c r="T7" s="21">
        <f ca="1">R7*$N$10</f>
        <v>100.00242449080896</v>
      </c>
      <c r="U7" s="16">
        <f ca="1">S7-T7</f>
        <v>-3.6152314951280573E-2</v>
      </c>
      <c r="V7" s="20">
        <f ca="1">ABS(U7/2)</f>
        <v>1.8076157475640287E-2</v>
      </c>
      <c r="W7">
        <f ca="1">MAX(ABS(S7-Q7),ABS((T7-Q7)))</f>
        <v>0.11372782414231608</v>
      </c>
    </row>
    <row r="8" spans="1:23" ht="15.75" x14ac:dyDescent="0.25">
      <c r="K8" s="3"/>
      <c r="L8" s="3" t="s">
        <v>44</v>
      </c>
      <c r="M8" s="15" t="s">
        <v>60</v>
      </c>
      <c r="N8" s="15" cm="1">
        <f t="array" ref="N8">_xlfn.STDEV.S(IF(Table16[OP]&lt;&gt;M6,Table16[Slope],""))</f>
        <v>1.3650396819623926E-2</v>
      </c>
      <c r="O8" s="15" cm="1">
        <f t="array" ref="O8">_xlfn.STDEV.S(IF(Table16[OP]&lt;&gt;M6,Table16[Intercept],""))</f>
        <v>2.4826061575153907E-2</v>
      </c>
      <c r="Q8" s="21">
        <v>1000.1</v>
      </c>
      <c r="R8" s="2">
        <v>8.8930000000000007</v>
      </c>
      <c r="S8" s="21">
        <f ca="1">$N$9*R8</f>
        <v>1000.0000657591703</v>
      </c>
      <c r="T8" s="21">
        <f ca="1">R8*$N$10</f>
        <v>1000.3617109074962</v>
      </c>
      <c r="U8" s="16">
        <f ca="1">S8-T8</f>
        <v>-0.36164514832591976</v>
      </c>
      <c r="V8" s="20">
        <f ca="1">ABS(U8/2)</f>
        <v>0.18082257416295988</v>
      </c>
      <c r="W8">
        <f ca="1">MAX(ABS(S8-Q8),ABS((T8-Q8)))</f>
        <v>0.26171090749619452</v>
      </c>
    </row>
    <row r="9" spans="1:23" ht="15.75" thickBot="1" x14ac:dyDescent="0.3">
      <c r="J9" s="3"/>
      <c r="K9" s="3"/>
      <c r="L9" s="19">
        <v>0.99</v>
      </c>
      <c r="M9" s="15" t="s">
        <v>61</v>
      </c>
      <c r="N9" s="40">
        <f ca="1">N$7-$R$2*N$8/$N$2^0.5</f>
        <v>112.44800019781516</v>
      </c>
      <c r="O9" s="40">
        <f ca="1">O$7-$R$2*O$8/$N$2^0.5</f>
        <v>4.4353333333333328E-2</v>
      </c>
      <c r="P9" s="12"/>
    </row>
    <row r="10" spans="1:23" ht="15.75" thickBot="1" x14ac:dyDescent="0.3">
      <c r="J10" s="3"/>
      <c r="K10" s="3"/>
      <c r="L10" s="3"/>
      <c r="M10" s="15" t="s">
        <v>62</v>
      </c>
      <c r="N10" s="40">
        <f ca="1">N$7+$R$2*N$8/$N$2^0.5</f>
        <v>112.48866646885148</v>
      </c>
      <c r="O10" s="40">
        <f ca="1">O$7+R$2*O$8/$N$2^0.5</f>
        <v>0.11831333333333333</v>
      </c>
      <c r="P10" s="12"/>
      <c r="U10" s="66" t="s">
        <v>132</v>
      </c>
      <c r="V10" s="71">
        <f ca="1">MAX(W7/Q7,W8/Q8)</f>
        <v>1.1363691461062759E-3</v>
      </c>
    </row>
    <row r="11" spans="1:23" ht="15.75" thickTop="1" x14ac:dyDescent="0.25">
      <c r="J11" s="3"/>
      <c r="K11" s="3"/>
      <c r="L11" s="3"/>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72" t="s">
        <v>53</v>
      </c>
      <c r="B18" s="72" t="s">
        <v>40</v>
      </c>
      <c r="C18" s="73" t="s">
        <v>41</v>
      </c>
      <c r="D18" s="72" t="s">
        <v>50</v>
      </c>
      <c r="E18" s="72" t="s">
        <v>42</v>
      </c>
      <c r="F18" s="72" t="s">
        <v>31</v>
      </c>
      <c r="G18" s="72" t="s">
        <v>4</v>
      </c>
      <c r="H18" s="72" t="s">
        <v>32</v>
      </c>
      <c r="I18" s="72" t="s">
        <v>57</v>
      </c>
      <c r="J18" s="72" t="s">
        <v>58</v>
      </c>
      <c r="K18" s="3"/>
    </row>
    <row r="19" spans="1:11" x14ac:dyDescent="0.25">
      <c r="A19" s="15">
        <v>1</v>
      </c>
      <c r="B19" s="1" t="s">
        <v>11</v>
      </c>
      <c r="C19" s="5">
        <v>45784.392361111109</v>
      </c>
      <c r="D19" s="15">
        <v>1</v>
      </c>
      <c r="E19" s="15">
        <v>2</v>
      </c>
      <c r="F19" s="1" t="s">
        <v>33</v>
      </c>
      <c r="G19" s="1">
        <v>112.48399999999999</v>
      </c>
      <c r="H19" s="1">
        <v>6.0999999999999999E-2</v>
      </c>
      <c r="I19" s="20">
        <v>1.5666666666675155E-2</v>
      </c>
      <c r="J19" s="20">
        <v>2.0333333333333328E-2</v>
      </c>
      <c r="K19" s="3"/>
    </row>
    <row r="20" spans="1:11" x14ac:dyDescent="0.25">
      <c r="A20" s="15">
        <v>2</v>
      </c>
      <c r="B20" s="1" t="s">
        <v>11</v>
      </c>
      <c r="C20" s="5">
        <v>45784.573611111111</v>
      </c>
      <c r="D20" s="15">
        <v>1</v>
      </c>
      <c r="E20" s="15">
        <v>3</v>
      </c>
      <c r="F20" s="1" t="s">
        <v>33</v>
      </c>
      <c r="G20" s="1">
        <v>112.459</v>
      </c>
      <c r="H20" s="1">
        <v>0.109</v>
      </c>
      <c r="I20" s="20">
        <v>9.3333333333163182E-3</v>
      </c>
      <c r="J20" s="20">
        <v>2.7666666666666673E-2</v>
      </c>
      <c r="K20" s="3"/>
    </row>
    <row r="21" spans="1:11" x14ac:dyDescent="0.25">
      <c r="A21" s="15">
        <v>3</v>
      </c>
      <c r="B21" s="1" t="s">
        <v>11</v>
      </c>
      <c r="C21" s="5">
        <v>45785.421527777777</v>
      </c>
      <c r="D21" s="15">
        <v>2</v>
      </c>
      <c r="E21" s="15">
        <v>4</v>
      </c>
      <c r="F21" s="1" t="s">
        <v>33</v>
      </c>
      <c r="G21" s="1">
        <v>112.462</v>
      </c>
      <c r="H21" s="1">
        <v>7.3999999999999996E-2</v>
      </c>
      <c r="I21" s="20">
        <v>6.3333333333162045E-3</v>
      </c>
      <c r="J21" s="20">
        <v>7.3333333333333306E-3</v>
      </c>
      <c r="K21" s="3"/>
    </row>
    <row r="22" spans="1:11" x14ac:dyDescent="0.25">
      <c r="A22" s="15">
        <v>4</v>
      </c>
      <c r="B22" s="77" t="s">
        <v>11</v>
      </c>
      <c r="C22" s="78">
        <v>45784.392361111109</v>
      </c>
      <c r="D22" s="15">
        <v>1</v>
      </c>
      <c r="E22" s="15">
        <v>2</v>
      </c>
      <c r="F22" s="2" t="s">
        <v>34</v>
      </c>
      <c r="G22" s="2">
        <v>113.938</v>
      </c>
      <c r="H22" s="2">
        <v>-1.232</v>
      </c>
      <c r="I22" s="20">
        <v>1.2000000000000455E-2</v>
      </c>
      <c r="J22" s="20">
        <v>4.3333333333333002E-3</v>
      </c>
      <c r="K22" s="3"/>
    </row>
    <row r="23" spans="1:11" x14ac:dyDescent="0.25">
      <c r="A23" s="15">
        <v>5</v>
      </c>
      <c r="B23" s="77" t="s">
        <v>11</v>
      </c>
      <c r="C23" s="78">
        <v>45784.573611111111</v>
      </c>
      <c r="D23" s="15">
        <v>1</v>
      </c>
      <c r="E23" s="15">
        <v>3</v>
      </c>
      <c r="F23" s="2" t="s">
        <v>34</v>
      </c>
      <c r="G23" s="2">
        <v>113.93300000000001</v>
      </c>
      <c r="H23" s="2">
        <v>-1.202</v>
      </c>
      <c r="I23" s="20">
        <v>1.6999999999995907E-2</v>
      </c>
      <c r="J23" s="20">
        <v>3.4333333333333327E-2</v>
      </c>
    </row>
    <row r="24" spans="1:11" x14ac:dyDescent="0.25">
      <c r="A24" s="15">
        <v>6</v>
      </c>
      <c r="B24" s="79" t="s">
        <v>11</v>
      </c>
      <c r="C24" s="80">
        <v>45785.421527777777</v>
      </c>
      <c r="D24" s="55">
        <v>2</v>
      </c>
      <c r="E24" s="55">
        <v>4</v>
      </c>
      <c r="F24" s="81" t="s">
        <v>34</v>
      </c>
      <c r="G24" s="81">
        <v>113.979</v>
      </c>
      <c r="H24" s="81">
        <v>-1.2749999999999999</v>
      </c>
      <c r="I24" s="20">
        <v>2.8999999999996362E-2</v>
      </c>
      <c r="J24" s="20">
        <v>3.8666666666666627E-2</v>
      </c>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sheetData>
  <conditionalFormatting sqref="I2:I5 I19:J21">
    <cfRule type="cellIs" dxfId="8" priority="8" operator="greaterThan">
      <formula>0.05</formula>
    </cfRule>
  </conditionalFormatting>
  <conditionalFormatting sqref="I22:I24">
    <cfRule type="cellIs" dxfId="7" priority="2" operator="greaterThan">
      <formula>0.05</formula>
    </cfRule>
  </conditionalFormatting>
  <conditionalFormatting sqref="J2:J5">
    <cfRule type="cellIs" dxfId="6" priority="7" operator="greaterThan">
      <formula>0.05</formula>
    </cfRule>
  </conditionalFormatting>
  <conditionalFormatting sqref="J22:J24">
    <cfRule type="cellIs" dxfId="5" priority="1" operator="greaterThan">
      <formula>0.05</formula>
    </cfRule>
  </conditionalFormatting>
  <dataValidations count="1">
    <dataValidation type="list" allowBlank="1" showInputMessage="1" showErrorMessage="1" sqref="L9" xr:uid="{E90F71FD-7C9A-4AE6-9C4D-E28C0CAD8F4C}">
      <formula1>$P$2:$P$4</formula1>
    </dataValidation>
  </dataValidations>
  <pageMargins left="0.7" right="0.7" top="0.75" bottom="0.75" header="0.3" footer="0.3"/>
  <pageSetup orientation="portrait"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961A-7C26-41B0-BE5A-F89C9F9EC056}">
  <dimension ref="A1:W76"/>
  <sheetViews>
    <sheetView topLeftCell="J1" workbookViewId="0">
      <selection activeCell="R14" sqref="R14"/>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idden="1" x14ac:dyDescent="0.25">
      <c r="A2" s="15"/>
      <c r="B2" s="1"/>
      <c r="C2" s="5"/>
      <c r="D2" s="15"/>
      <c r="E2" s="15"/>
      <c r="F2" s="6"/>
      <c r="G2" s="2"/>
      <c r="H2" s="2"/>
      <c r="I2" s="20"/>
      <c r="J2" s="20"/>
      <c r="K2" s="3"/>
      <c r="L2" s="3"/>
      <c r="M2" t="s">
        <v>43</v>
      </c>
      <c r="N2">
        <f>COUNTA(Table168[CAL ID])</f>
        <v>3</v>
      </c>
      <c r="P2" s="13">
        <v>0.9</v>
      </c>
      <c r="Q2">
        <v>1.645</v>
      </c>
      <c r="R2">
        <f ca="1">OFFSET(Q1,MATCH(L9,P2:P4),0)</f>
        <v>2.58</v>
      </c>
    </row>
    <row r="3" spans="1:23" ht="18" x14ac:dyDescent="0.35">
      <c r="A3" s="15">
        <v>2</v>
      </c>
      <c r="B3" s="1" t="s">
        <v>11</v>
      </c>
      <c r="C3" s="5">
        <v>45784.392361111109</v>
      </c>
      <c r="D3" s="15">
        <v>1</v>
      </c>
      <c r="E3" s="15">
        <v>2</v>
      </c>
      <c r="F3" s="1" t="s">
        <v>34</v>
      </c>
      <c r="G3" s="1">
        <v>113.938</v>
      </c>
      <c r="H3" s="1">
        <v>-1.232</v>
      </c>
      <c r="I3" s="20">
        <f>ABS(Table168[[#This Row],[Slope]]-$N$7)</f>
        <v>1.2000000000000455E-2</v>
      </c>
      <c r="J3" s="20">
        <f>ABS(Table168[[#This Row],[Intercept]]-$O$7)</f>
        <v>4.3333333333333002E-3</v>
      </c>
      <c r="K3" s="3"/>
      <c r="L3" s="3"/>
      <c r="M3" t="s">
        <v>54</v>
      </c>
      <c r="N3">
        <f>COUNTA(_xlfn.UNIQUE(Table168[OP]))</f>
        <v>3</v>
      </c>
      <c r="P3" s="13">
        <v>0.96</v>
      </c>
      <c r="Q3">
        <v>1.96</v>
      </c>
    </row>
    <row r="4" spans="1:23" ht="18" x14ac:dyDescent="0.35">
      <c r="A4" s="15">
        <v>3</v>
      </c>
      <c r="B4" s="1" t="s">
        <v>11</v>
      </c>
      <c r="C4" s="5">
        <v>45784.573611111111</v>
      </c>
      <c r="D4" s="15">
        <v>1</v>
      </c>
      <c r="E4" s="15">
        <v>3</v>
      </c>
      <c r="F4" s="1" t="s">
        <v>34</v>
      </c>
      <c r="G4" s="1">
        <v>113.93300000000001</v>
      </c>
      <c r="H4" s="1">
        <v>-1.202</v>
      </c>
      <c r="I4" s="20">
        <f>ABS(Table168[[#This Row],[Slope]]-$N$7)</f>
        <v>1.6999999999995907E-2</v>
      </c>
      <c r="J4" s="20">
        <f>ABS(Table168[[#This Row],[Intercept]]-$O$7)</f>
        <v>3.4333333333333327E-2</v>
      </c>
      <c r="K4" s="3"/>
      <c r="L4" s="3"/>
      <c r="M4" t="s">
        <v>55</v>
      </c>
      <c r="N4">
        <f>COUNTA(_xlfn.UNIQUE(Table168[Trial]))</f>
        <v>4</v>
      </c>
      <c r="P4" s="13">
        <v>0.99</v>
      </c>
      <c r="Q4">
        <v>2.58</v>
      </c>
    </row>
    <row r="5" spans="1:23" x14ac:dyDescent="0.25">
      <c r="A5" s="15">
        <v>4</v>
      </c>
      <c r="B5" s="1" t="s">
        <v>11</v>
      </c>
      <c r="C5" s="5">
        <v>45785.421527777777</v>
      </c>
      <c r="D5" s="15">
        <v>2</v>
      </c>
      <c r="E5" s="15">
        <v>4</v>
      </c>
      <c r="F5" s="1" t="s">
        <v>34</v>
      </c>
      <c r="G5" s="1">
        <v>113.979</v>
      </c>
      <c r="H5" s="1">
        <v>-1.2749999999999999</v>
      </c>
      <c r="I5" s="20">
        <f>ABS(Table168[[#This Row],[Slope]]-$N$7)</f>
        <v>2.8999999999996362E-2</v>
      </c>
      <c r="J5" s="20">
        <f>ABS(Table168[[#This Row],[Intercept]]-$O$7)</f>
        <v>3.8666666666666627E-2</v>
      </c>
      <c r="K5" s="3"/>
      <c r="L5" s="3"/>
    </row>
    <row r="6" spans="1:23" x14ac:dyDescent="0.25">
      <c r="K6" s="3"/>
      <c r="L6" s="18" t="s">
        <v>56</v>
      </c>
      <c r="M6" s="63"/>
      <c r="N6" s="63" t="s">
        <v>4</v>
      </c>
      <c r="O6" s="63" t="s">
        <v>32</v>
      </c>
      <c r="Q6" s="74" t="s">
        <v>65</v>
      </c>
      <c r="R6" s="75" t="s">
        <v>63</v>
      </c>
      <c r="S6" s="75" t="s">
        <v>47</v>
      </c>
      <c r="T6" s="75" t="s">
        <v>48</v>
      </c>
      <c r="U6" s="75" t="s">
        <v>49</v>
      </c>
      <c r="V6" s="76" t="s">
        <v>133</v>
      </c>
    </row>
    <row r="7" spans="1:23" ht="15.75" x14ac:dyDescent="0.25">
      <c r="K7" s="3"/>
      <c r="L7" s="3"/>
      <c r="M7" s="15" t="s">
        <v>59</v>
      </c>
      <c r="N7" s="15" cm="1">
        <f t="array" ref="N7">AVERAGE(IF(Table168[OP]&lt;&gt;M6,Table168[Slope],""))</f>
        <v>113.95</v>
      </c>
      <c r="O7" s="15" cm="1">
        <f t="array" ref="O7">AVERAGE(IF(Table168[OP]&lt;&gt;M6,Table168[Intercept],""))</f>
        <v>-1.2363333333333333</v>
      </c>
      <c r="Q7" s="21">
        <v>100.08</v>
      </c>
      <c r="R7" s="2">
        <v>0.88</v>
      </c>
      <c r="S7" s="21">
        <f ca="1">$N$9*R7</f>
        <v>100.24291649860369</v>
      </c>
      <c r="T7" s="21">
        <f ca="1">R7*$N$10</f>
        <v>100.30908350139632</v>
      </c>
      <c r="U7" s="16">
        <f ca="1">S7-T7</f>
        <v>-6.6167002792624885E-2</v>
      </c>
      <c r="V7" s="20">
        <f ca="1">ABS(U7/2)</f>
        <v>3.3083501396312442E-2</v>
      </c>
      <c r="W7">
        <f ca="1">MAX(ABS(S7-Q7),ABS((T7-Q7)))</f>
        <v>0.2290835013963175</v>
      </c>
    </row>
    <row r="8" spans="1:23" ht="15.75" x14ac:dyDescent="0.25">
      <c r="K8" s="3"/>
      <c r="L8" s="3" t="s">
        <v>44</v>
      </c>
      <c r="M8" s="15" t="s">
        <v>60</v>
      </c>
      <c r="N8" s="15" cm="1">
        <f t="array" ref="N8">_xlfn.STDEV.S(IF(Table168[OP]&lt;&gt;M6,Table168[Slope],""))</f>
        <v>2.5238858928244564E-2</v>
      </c>
      <c r="O8" s="15" cm="1">
        <f t="array" ref="O8">_xlfn.STDEV.S(IF(Table168[OP]&lt;&gt;M6,Table168[Intercept],""))</f>
        <v>3.6692415201691635E-2</v>
      </c>
      <c r="Q8" s="21">
        <v>1000.1</v>
      </c>
      <c r="R8" s="2">
        <v>8.7889999999999997</v>
      </c>
      <c r="S8" s="21">
        <f ca="1">$N$9*R8</f>
        <v>1001.1761285298044</v>
      </c>
      <c r="T8" s="21">
        <f ca="1">R8*$N$10</f>
        <v>1001.8369714701956</v>
      </c>
      <c r="U8" s="16">
        <f ca="1">S8-T8</f>
        <v>-0.66084294039126235</v>
      </c>
      <c r="V8" s="20">
        <f ca="1">ABS(U8/2)</f>
        <v>0.33042147019563117</v>
      </c>
      <c r="W8">
        <f ca="1">MAX(ABS(S8-Q8),ABS((T8-Q8)))</f>
        <v>1.7369714701956127</v>
      </c>
    </row>
    <row r="9" spans="1:23" ht="15.75" thickBot="1" x14ac:dyDescent="0.3">
      <c r="J9" s="3"/>
      <c r="K9" s="3"/>
      <c r="L9" s="19">
        <v>0.99</v>
      </c>
      <c r="M9" s="15" t="s">
        <v>61</v>
      </c>
      <c r="N9" s="40">
        <f ca="1">N$7-$R$2*N$8/$N$2^0.5</f>
        <v>113.91240511204965</v>
      </c>
      <c r="O9" s="40">
        <f ca="1">O$7-$R$2*O$8/$N$2^0.5</f>
        <v>-1.2909890228816319</v>
      </c>
      <c r="P9" s="12"/>
    </row>
    <row r="10" spans="1:23" ht="15.75" thickBot="1" x14ac:dyDescent="0.3">
      <c r="J10" s="3"/>
      <c r="K10" s="3"/>
      <c r="L10" s="3"/>
      <c r="M10" s="15" t="s">
        <v>62</v>
      </c>
      <c r="N10" s="40">
        <f ca="1">N$7+$R$2*N$8/$N$2^0.5</f>
        <v>113.98759488795035</v>
      </c>
      <c r="O10" s="40">
        <f ca="1">O$7+R$2*O$8/$N$2^0.5</f>
        <v>-1.1816776437850347</v>
      </c>
      <c r="P10" s="12"/>
      <c r="U10" s="66" t="s">
        <v>132</v>
      </c>
      <c r="V10" s="71">
        <f ca="1">MAX(W7/Q7,W8/Q8)</f>
        <v>2.2890038109144436E-3</v>
      </c>
    </row>
    <row r="11" spans="1:23" ht="15.75" thickTop="1" x14ac:dyDescent="0.25">
      <c r="J11" s="3"/>
      <c r="K11" s="3"/>
      <c r="L11" s="3"/>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3"/>
      <c r="B18" s="3"/>
      <c r="C18"/>
      <c r="K18" s="3"/>
    </row>
    <row r="19" spans="1:11" x14ac:dyDescent="0.25">
      <c r="A19" s="3"/>
      <c r="B19" s="3"/>
      <c r="C19"/>
      <c r="K19" s="3"/>
    </row>
    <row r="20" spans="1:11" x14ac:dyDescent="0.25">
      <c r="A20" s="3"/>
      <c r="B20" s="3"/>
      <c r="C20"/>
      <c r="K20" s="3"/>
    </row>
    <row r="21" spans="1:11" x14ac:dyDescent="0.25">
      <c r="A21" s="3"/>
      <c r="B21" s="3"/>
      <c r="C21"/>
      <c r="K21" s="3"/>
    </row>
    <row r="22" spans="1:11" x14ac:dyDescent="0.25">
      <c r="A22" s="3"/>
      <c r="B22" s="3"/>
      <c r="C22"/>
      <c r="K22" s="3"/>
    </row>
    <row r="23" spans="1:11" x14ac:dyDescent="0.25">
      <c r="A23" s="3"/>
      <c r="B23" s="3"/>
      <c r="C23"/>
      <c r="K23" s="3"/>
    </row>
    <row r="24" spans="1:11" x14ac:dyDescent="0.25">
      <c r="A24" s="3"/>
      <c r="B24" s="3"/>
      <c r="C24"/>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A68" s="3"/>
      <c r="B68" s="3"/>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row r="76" spans="1:3" x14ac:dyDescent="0.25">
      <c r="C76"/>
    </row>
  </sheetData>
  <conditionalFormatting sqref="I2:I5">
    <cfRule type="cellIs" dxfId="4" priority="2" operator="greaterThan">
      <formula>0.05</formula>
    </cfRule>
  </conditionalFormatting>
  <conditionalFormatting sqref="J2:J5">
    <cfRule type="cellIs" dxfId="3" priority="1" operator="greaterThan">
      <formula>0.05</formula>
    </cfRule>
  </conditionalFormatting>
  <dataValidations count="1">
    <dataValidation type="list" allowBlank="1" showInputMessage="1" showErrorMessage="1" sqref="L9" xr:uid="{893C329D-B4BE-4A99-9CEF-04B664082D02}">
      <formula1>$P$2:$P$4</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2D60-8303-48E8-8850-DDB80966D8E7}">
  <dimension ref="A1:H38"/>
  <sheetViews>
    <sheetView topLeftCell="A11" zoomScale="80" zoomScaleNormal="80" workbookViewId="0">
      <selection activeCell="A21" sqref="A21:C28"/>
    </sheetView>
  </sheetViews>
  <sheetFormatPr defaultRowHeight="15" x14ac:dyDescent="0.25"/>
  <cols>
    <col min="1" max="1" width="23.42578125" customWidth="1"/>
    <col min="2" max="2" width="12.42578125" customWidth="1"/>
    <col min="3" max="3" width="15" customWidth="1"/>
    <col min="4" max="4" width="12" bestFit="1" customWidth="1"/>
    <col min="5" max="5" width="13.42578125" style="25" bestFit="1" customWidth="1"/>
  </cols>
  <sheetData>
    <row r="1" spans="1:8" x14ac:dyDescent="0.25">
      <c r="A1" s="22" t="s">
        <v>66</v>
      </c>
      <c r="B1" s="23" t="s">
        <v>19</v>
      </c>
      <c r="C1" s="23"/>
      <c r="D1" s="24" t="s">
        <v>67</v>
      </c>
      <c r="G1" s="33" t="s">
        <v>24</v>
      </c>
      <c r="H1" t="s">
        <v>80</v>
      </c>
    </row>
    <row r="2" spans="1:8" x14ac:dyDescent="0.25">
      <c r="A2" t="s">
        <v>68</v>
      </c>
      <c r="B2">
        <v>100</v>
      </c>
      <c r="C2" s="25" t="s">
        <v>69</v>
      </c>
    </row>
    <row r="3" spans="1:8" x14ac:dyDescent="0.25">
      <c r="A3" t="s">
        <v>70</v>
      </c>
      <c r="B3">
        <v>2132</v>
      </c>
    </row>
    <row r="4" spans="1:8" x14ac:dyDescent="0.25">
      <c r="A4" t="s">
        <v>71</v>
      </c>
      <c r="B4">
        <v>117</v>
      </c>
    </row>
    <row r="5" spans="1:8" x14ac:dyDescent="0.25">
      <c r="A5" t="s">
        <v>72</v>
      </c>
      <c r="B5" s="3">
        <f>0.000507610377358488*1000</f>
        <v>0.50761037735848802</v>
      </c>
    </row>
    <row r="6" spans="1:8" x14ac:dyDescent="0.25">
      <c r="A6" t="s">
        <v>73</v>
      </c>
      <c r="B6">
        <v>6.504141340298622E-6</v>
      </c>
      <c r="D6" s="26">
        <v>1.9512424020895868E-5</v>
      </c>
    </row>
    <row r="7" spans="1:8" x14ac:dyDescent="0.25">
      <c r="A7" t="s">
        <v>74</v>
      </c>
      <c r="B7" s="3">
        <f>B5+D6*1000</f>
        <v>0.52712280137938383</v>
      </c>
      <c r="D7" s="26"/>
    </row>
    <row r="8" spans="1:8" x14ac:dyDescent="0.25">
      <c r="A8" t="s">
        <v>75</v>
      </c>
      <c r="B8" s="3">
        <f>B5-D6*1000</f>
        <v>0.48809795333759215</v>
      </c>
      <c r="D8" s="26"/>
    </row>
    <row r="9" spans="1:8" x14ac:dyDescent="0.25">
      <c r="D9" s="26"/>
    </row>
    <row r="10" spans="1:8" x14ac:dyDescent="0.25">
      <c r="D10" s="26"/>
    </row>
    <row r="11" spans="1:8" x14ac:dyDescent="0.25">
      <c r="A11" s="22" t="s">
        <v>76</v>
      </c>
      <c r="B11" s="23" t="s">
        <v>19</v>
      </c>
      <c r="C11" s="23"/>
      <c r="D11" s="26"/>
    </row>
    <row r="12" spans="1:8" x14ac:dyDescent="0.25">
      <c r="A12" t="s">
        <v>68</v>
      </c>
      <c r="B12">
        <v>100</v>
      </c>
      <c r="C12" s="25" t="s">
        <v>69</v>
      </c>
      <c r="D12" s="26"/>
    </row>
    <row r="13" spans="1:8" x14ac:dyDescent="0.25">
      <c r="A13" t="s">
        <v>70</v>
      </c>
      <c r="B13">
        <v>28900</v>
      </c>
    </row>
    <row r="14" spans="1:8" x14ac:dyDescent="0.25">
      <c r="A14" t="s">
        <v>71</v>
      </c>
      <c r="B14">
        <v>115</v>
      </c>
      <c r="D14" s="26"/>
    </row>
    <row r="15" spans="1:8" x14ac:dyDescent="0.25">
      <c r="A15" t="s">
        <v>72</v>
      </c>
      <c r="B15" s="3">
        <f>0.0147185218429846*1000</f>
        <v>14.7185218429846</v>
      </c>
      <c r="D15" s="26"/>
    </row>
    <row r="16" spans="1:8" ht="15.75" thickBot="1" x14ac:dyDescent="0.3">
      <c r="A16" t="s">
        <v>73</v>
      </c>
      <c r="B16">
        <v>8.3439412248626708E-7</v>
      </c>
      <c r="D16" s="26">
        <v>2.5031823674588014E-6</v>
      </c>
    </row>
    <row r="17" spans="1:5" x14ac:dyDescent="0.25">
      <c r="A17" s="27" t="s">
        <v>74</v>
      </c>
      <c r="B17" s="28">
        <f>B15+D16*1000</f>
        <v>14.721025025352059</v>
      </c>
      <c r="D17" s="26"/>
    </row>
    <row r="18" spans="1:5" ht="15.75" thickBot="1" x14ac:dyDescent="0.3">
      <c r="A18" s="29" t="s">
        <v>75</v>
      </c>
      <c r="B18" s="30">
        <f>B15-D16*1000</f>
        <v>14.716018660617141</v>
      </c>
      <c r="D18" s="26"/>
    </row>
    <row r="19" spans="1:5" x14ac:dyDescent="0.25">
      <c r="D19" s="26"/>
    </row>
    <row r="20" spans="1:5" x14ac:dyDescent="0.25">
      <c r="D20" s="26"/>
    </row>
    <row r="21" spans="1:5" x14ac:dyDescent="0.25">
      <c r="A21" s="22" t="s">
        <v>77</v>
      </c>
      <c r="B21" s="23" t="s">
        <v>19</v>
      </c>
      <c r="C21" s="23" t="s">
        <v>20</v>
      </c>
      <c r="D21" s="26"/>
    </row>
    <row r="22" spans="1:5" x14ac:dyDescent="0.25">
      <c r="A22" t="s">
        <v>68</v>
      </c>
      <c r="B22">
        <v>100</v>
      </c>
      <c r="C22" s="25" t="s">
        <v>69</v>
      </c>
      <c r="D22" s="26"/>
    </row>
    <row r="23" spans="1:5" x14ac:dyDescent="0.25">
      <c r="A23" t="s">
        <v>70</v>
      </c>
      <c r="B23">
        <v>82756</v>
      </c>
      <c r="D23" s="26"/>
    </row>
    <row r="24" spans="1:5" x14ac:dyDescent="0.25">
      <c r="A24" t="s">
        <v>71</v>
      </c>
      <c r="B24">
        <v>115</v>
      </c>
      <c r="D24" s="26"/>
    </row>
    <row r="25" spans="1:5" x14ac:dyDescent="0.25">
      <c r="A25" t="s">
        <v>72</v>
      </c>
      <c r="B25" s="3">
        <f>0.147189708*100</f>
        <v>14.718970800000001</v>
      </c>
      <c r="C25" s="3">
        <f>0.150306363*100</f>
        <v>15.030636299999999</v>
      </c>
      <c r="D25" s="26"/>
    </row>
    <row r="26" spans="1:5" ht="15.75" thickBot="1" x14ac:dyDescent="0.3">
      <c r="A26" t="s">
        <v>73</v>
      </c>
      <c r="B26">
        <v>1.6614000000000001E-5</v>
      </c>
      <c r="C26">
        <v>2.0477999999999999E-5</v>
      </c>
      <c r="D26" s="26">
        <f>3*B26</f>
        <v>4.9842000000000002E-5</v>
      </c>
      <c r="E26" s="25">
        <f>3*C26</f>
        <v>6.1433999999999995E-5</v>
      </c>
    </row>
    <row r="27" spans="1:5" x14ac:dyDescent="0.25">
      <c r="A27" s="27" t="s">
        <v>74</v>
      </c>
      <c r="B27" s="31">
        <f>B25+100*D26</f>
        <v>14.723955000000002</v>
      </c>
      <c r="C27" s="28">
        <f>C25+100*E26</f>
        <v>15.036779699999999</v>
      </c>
    </row>
    <row r="28" spans="1:5" ht="15.75" thickBot="1" x14ac:dyDescent="0.3">
      <c r="A28" s="29" t="s">
        <v>75</v>
      </c>
      <c r="B28" s="32">
        <f>B25-100*D26</f>
        <v>14.7139866</v>
      </c>
      <c r="C28" s="30">
        <f>C25-100*E26</f>
        <v>15.0244929</v>
      </c>
    </row>
    <row r="31" spans="1:5" x14ac:dyDescent="0.25">
      <c r="A31" s="22" t="s">
        <v>78</v>
      </c>
      <c r="B31" s="23" t="s">
        <v>19</v>
      </c>
      <c r="C31" s="23" t="s">
        <v>20</v>
      </c>
    </row>
    <row r="32" spans="1:5" x14ac:dyDescent="0.25">
      <c r="A32" t="s">
        <v>68</v>
      </c>
      <c r="B32">
        <v>100</v>
      </c>
      <c r="C32" s="25" t="s">
        <v>69</v>
      </c>
    </row>
    <row r="33" spans="1:3" x14ac:dyDescent="0.25">
      <c r="A33" t="s">
        <v>70</v>
      </c>
      <c r="B33" t="s">
        <v>79</v>
      </c>
    </row>
    <row r="34" spans="1:3" x14ac:dyDescent="0.25">
      <c r="A34" t="s">
        <v>71</v>
      </c>
    </row>
    <row r="35" spans="1:3" x14ac:dyDescent="0.25">
      <c r="A35" t="s">
        <v>72</v>
      </c>
      <c r="B35" s="3"/>
      <c r="C35" s="3"/>
    </row>
    <row r="36" spans="1:3" ht="15.75" thickBot="1" x14ac:dyDescent="0.3">
      <c r="A36" t="s">
        <v>73</v>
      </c>
    </row>
    <row r="37" spans="1:3" x14ac:dyDescent="0.25">
      <c r="A37" s="27" t="s">
        <v>74</v>
      </c>
      <c r="B37" s="31">
        <f>B35+100*D36</f>
        <v>0</v>
      </c>
      <c r="C37" s="28">
        <f>C35+100*E35</f>
        <v>0</v>
      </c>
    </row>
    <row r="38" spans="1:3" ht="15.75" thickBot="1" x14ac:dyDescent="0.3">
      <c r="A38" s="29" t="s">
        <v>75</v>
      </c>
      <c r="B38" s="32">
        <f>B35-100*D36</f>
        <v>0</v>
      </c>
      <c r="C38" s="30">
        <f>C35-100*E35</f>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2E5A-E79C-4A77-867A-E864C9A2F676}">
  <dimension ref="A1:B1"/>
  <sheetViews>
    <sheetView zoomScale="30" zoomScaleNormal="30" workbookViewId="0">
      <selection activeCell="AY54" sqref="AY54"/>
    </sheetView>
  </sheetViews>
  <sheetFormatPr defaultRowHeight="15" x14ac:dyDescent="0.25"/>
  <sheetData>
    <row r="1" spans="1:2" x14ac:dyDescent="0.25">
      <c r="A1" s="33" t="s">
        <v>24</v>
      </c>
      <c r="B1"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Elevate Level</vt:lpstr>
      <vt:lpstr>Elevate Resistance</vt:lpstr>
      <vt:lpstr>Level R&amp;R</vt:lpstr>
      <vt:lpstr>Resistance ChA R&amp;R</vt:lpstr>
      <vt:lpstr>Resistance ChB R&amp;R</vt:lpstr>
      <vt:lpstr>Current Source Stability</vt:lpstr>
      <vt:lpstr>Switch Point Repeatability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ales</dc:creator>
  <cp:lastModifiedBy>rick ales</cp:lastModifiedBy>
  <dcterms:created xsi:type="dcterms:W3CDTF">2024-11-05T01:41:36Z</dcterms:created>
  <dcterms:modified xsi:type="dcterms:W3CDTF">2025-07-08T13:35:50Z</dcterms:modified>
</cp:coreProperties>
</file>