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SS" sheetId="1" r:id="rId4"/>
    <sheet state="visible" name="SSC" sheetId="2" r:id="rId5"/>
    <sheet state="visible" name="All_Data" sheetId="3" r:id="rId6"/>
    <sheet state="visible" name="Sample names and locations" sheetId="4" r:id="rId7"/>
    <sheet state="visible" name="Notes" sheetId="5" r:id="rId8"/>
  </sheets>
  <definedNames/>
  <calcPr/>
</workbook>
</file>

<file path=xl/sharedStrings.xml><?xml version="1.0" encoding="utf-8"?>
<sst xmlns="http://schemas.openxmlformats.org/spreadsheetml/2006/main" count="3630" uniqueCount="633">
  <si>
    <t>Sample Number</t>
  </si>
  <si>
    <t>Volume of Sample (mL)</t>
  </si>
  <si>
    <t>Boat #</t>
  </si>
  <si>
    <t>Mass of Filter (g)</t>
  </si>
  <si>
    <t>Mass of Filter &amp; Boat (g)</t>
  </si>
  <si>
    <t>Mass of Dried Filter and Residue (g)</t>
  </si>
  <si>
    <t>Mass of Dried Filter and Residue IN BOAT (g)</t>
  </si>
  <si>
    <t>Dry Weight of Residue (g)</t>
  </si>
  <si>
    <t>Loss Correction (g)</t>
  </si>
  <si>
    <t>TSS (mg/L)</t>
  </si>
  <si>
    <t>DATE Processed</t>
  </si>
  <si>
    <t>Processed By</t>
  </si>
  <si>
    <t>NOTES</t>
  </si>
  <si>
    <t>CG-21-0079</t>
  </si>
  <si>
    <t xml:space="preserve">Jeremiah </t>
  </si>
  <si>
    <t>CG-21-0122</t>
  </si>
  <si>
    <t>CG-21-0123</t>
  </si>
  <si>
    <t>CI-21-0045</t>
  </si>
  <si>
    <t>CI-21-0051</t>
  </si>
  <si>
    <t>CI-21-0063</t>
  </si>
  <si>
    <t>CI-21-0069</t>
  </si>
  <si>
    <t>CI-21-0073</t>
  </si>
  <si>
    <t>CI-21-0074</t>
  </si>
  <si>
    <t>CI-21-0107</t>
  </si>
  <si>
    <t>CI-21-0111</t>
  </si>
  <si>
    <t>CI-21-0115</t>
  </si>
  <si>
    <t>CI-21-0116</t>
  </si>
  <si>
    <t>CI-21-0117</t>
  </si>
  <si>
    <t>CI-21-0118</t>
  </si>
  <si>
    <t>CI-21-0119</t>
  </si>
  <si>
    <t>CI-21-0120</t>
  </si>
  <si>
    <t>CI-21-0124</t>
  </si>
  <si>
    <t>CI-21-0125</t>
  </si>
  <si>
    <t>CI-21-0126</t>
  </si>
  <si>
    <t>CI-21-0127</t>
  </si>
  <si>
    <t>CI-21-0128</t>
  </si>
  <si>
    <t>CI-21-0131</t>
  </si>
  <si>
    <t>CI-21-0132</t>
  </si>
  <si>
    <t>CI-21-0133</t>
  </si>
  <si>
    <t>CI-21-0135</t>
  </si>
  <si>
    <t>CI-21-0136</t>
  </si>
  <si>
    <t>CI-21-0138</t>
  </si>
  <si>
    <t>CI-21-0139</t>
  </si>
  <si>
    <t>CI-21-0140</t>
  </si>
  <si>
    <t>CG-21-0007</t>
  </si>
  <si>
    <t>CG-21-0013</t>
  </si>
  <si>
    <t>CG-21-0015</t>
  </si>
  <si>
    <t>CG-21-0016</t>
  </si>
  <si>
    <t>C-20-0028</t>
  </si>
  <si>
    <t>Eirik &amp; Ryan</t>
  </si>
  <si>
    <t>C-20-0048</t>
  </si>
  <si>
    <t>C-20-0046</t>
  </si>
  <si>
    <t>C-20-0047</t>
  </si>
  <si>
    <t>C-20-0027</t>
  </si>
  <si>
    <t>C-20-0030</t>
  </si>
  <si>
    <t>C-20-0019</t>
  </si>
  <si>
    <t>C-20-0029</t>
  </si>
  <si>
    <t>C-20-0006</t>
  </si>
  <si>
    <t>C-20-0007</t>
  </si>
  <si>
    <t>C-20-0020</t>
  </si>
  <si>
    <t>C-20-0022</t>
  </si>
  <si>
    <t>C-20-0023</t>
  </si>
  <si>
    <t>C-20-0025</t>
  </si>
  <si>
    <t>C-20-0016</t>
  </si>
  <si>
    <t>C-20-0010</t>
  </si>
  <si>
    <t>C-20-0011</t>
  </si>
  <si>
    <t>C-20-0012</t>
  </si>
  <si>
    <t>C-20-0013</t>
  </si>
  <si>
    <t>CG-20-0055</t>
  </si>
  <si>
    <t>CG-20-0042</t>
  </si>
  <si>
    <t>CG-20-0045</t>
  </si>
  <si>
    <t>CG-20-0049</t>
  </si>
  <si>
    <t>CG-20-0043</t>
  </si>
  <si>
    <t>CG-20-0006</t>
  </si>
  <si>
    <t>CG-20-0017</t>
  </si>
  <si>
    <t>CG-20-0023</t>
  </si>
  <si>
    <t>CG-20-0025</t>
  </si>
  <si>
    <t>CG-20-0026</t>
  </si>
  <si>
    <t>CG-20-0029</t>
  </si>
  <si>
    <t>CG-20-0027</t>
  </si>
  <si>
    <t>CG-20-0039</t>
  </si>
  <si>
    <t>CG-20-0040</t>
  </si>
  <si>
    <t>CG-20-0041</t>
  </si>
  <si>
    <t>CG-20-0054</t>
  </si>
  <si>
    <t>CG-20-0053</t>
  </si>
  <si>
    <t>C-20-0005</t>
  </si>
  <si>
    <t>Eirik</t>
  </si>
  <si>
    <t>C-20-0015</t>
  </si>
  <si>
    <t>CG-20-0037</t>
  </si>
  <si>
    <t>C-20-0044</t>
  </si>
  <si>
    <t>C-20-0033</t>
  </si>
  <si>
    <t>C-20-0039</t>
  </si>
  <si>
    <t>C-20-0032</t>
  </si>
  <si>
    <t>CG-20-0056</t>
  </si>
  <si>
    <t>C-20-0056</t>
  </si>
  <si>
    <t>C-20-0031</t>
  </si>
  <si>
    <t>CG-20-0052</t>
  </si>
  <si>
    <t>C-20-0090</t>
  </si>
  <si>
    <t>C-20-0093</t>
  </si>
  <si>
    <t>CG-20-0058</t>
  </si>
  <si>
    <t>C-20-0075</t>
  </si>
  <si>
    <t>C-20-0051</t>
  </si>
  <si>
    <t>Began using larger diameter boats from here.</t>
  </si>
  <si>
    <t>C-20-0052</t>
  </si>
  <si>
    <t>C-20-0050</t>
  </si>
  <si>
    <t>C-20-0036</t>
  </si>
  <si>
    <t>C-20-0053</t>
  </si>
  <si>
    <t>C-20-0054</t>
  </si>
  <si>
    <t>C-20-0089</t>
  </si>
  <si>
    <t>C-20-0088</t>
  </si>
  <si>
    <t>C-20-0064</t>
  </si>
  <si>
    <t>C-20-0061</t>
  </si>
  <si>
    <t>C-20-0059</t>
  </si>
  <si>
    <t>C-20-0060</t>
  </si>
  <si>
    <t>CG-20-0019</t>
  </si>
  <si>
    <t>Jeremiah &amp; Ryan</t>
  </si>
  <si>
    <t>CG-20-0035</t>
  </si>
  <si>
    <t>CG-20-0038</t>
  </si>
  <si>
    <t>CG-20-0044</t>
  </si>
  <si>
    <t>C-20-0043</t>
  </si>
  <si>
    <t>C-20-0045</t>
  </si>
  <si>
    <t>CG-20-0051</t>
  </si>
  <si>
    <t>excess floating debris had to be rinsed onto second filter.</t>
  </si>
  <si>
    <t>C-20-0092</t>
  </si>
  <si>
    <t>C-20-0091</t>
  </si>
  <si>
    <t>CG-20-0060</t>
  </si>
  <si>
    <t>Jeremiah</t>
  </si>
  <si>
    <t>C-20-0014</t>
  </si>
  <si>
    <t>C-20-0101</t>
  </si>
  <si>
    <t>C-20-0102</t>
  </si>
  <si>
    <t>C-20-0103</t>
  </si>
  <si>
    <t>C-20-0104</t>
  </si>
  <si>
    <t>C-20-0105</t>
  </si>
  <si>
    <t>Boats 1-5 filter lot 27401205, boats 5-15 filter lot 43395036</t>
  </si>
  <si>
    <t>C-20-0106</t>
  </si>
  <si>
    <t>C-20-0107</t>
  </si>
  <si>
    <t>C-20-0108</t>
  </si>
  <si>
    <t>C-20-0109</t>
  </si>
  <si>
    <t>C-20-0110</t>
  </si>
  <si>
    <t>C-20-0111</t>
  </si>
  <si>
    <t>C-20-0112</t>
  </si>
  <si>
    <t>C-20-0113</t>
  </si>
  <si>
    <t xml:space="preserve">possible algae residue on bottom </t>
  </si>
  <si>
    <t>C-20-0115</t>
  </si>
  <si>
    <t>CG-22-0035</t>
  </si>
  <si>
    <t>Jeremiah and Alison</t>
  </si>
  <si>
    <t>CG-22-0084</t>
  </si>
  <si>
    <t>Jeremiah B.</t>
  </si>
  <si>
    <t>CG-22-0085</t>
  </si>
  <si>
    <t>CG-22-0086</t>
  </si>
  <si>
    <t>CG-22-0087</t>
  </si>
  <si>
    <t>CG-22-0088</t>
  </si>
  <si>
    <t>CG-22-0103</t>
  </si>
  <si>
    <t>CG-22-0104</t>
  </si>
  <si>
    <t>CG-22-0105</t>
  </si>
  <si>
    <t>CI-22-0003</t>
  </si>
  <si>
    <t>Conductivity: 1.011 Specific Cond: 1.219 mS/cm</t>
  </si>
  <si>
    <t>CI-22-0004</t>
  </si>
  <si>
    <t>CI-22-0005</t>
  </si>
  <si>
    <t>CI-22-0006</t>
  </si>
  <si>
    <t>CI-22-0007</t>
  </si>
  <si>
    <t>Conductivity: 1.028 Specific Cond: 1.279 mS/cm</t>
  </si>
  <si>
    <t>CI-22-0008</t>
  </si>
  <si>
    <t>Conductivity: 0.61 Specific Cond: 0.733 mS/cm</t>
  </si>
  <si>
    <t>CI-22-0009</t>
  </si>
  <si>
    <t>CI-22-0014</t>
  </si>
  <si>
    <t>Conductivity: .719 Specific Cond: 0.91 mS/cm</t>
  </si>
  <si>
    <t>CI-22-0015</t>
  </si>
  <si>
    <t>Conductivity: 1.24 Specific Cond: 1.527 mS/cm</t>
  </si>
  <si>
    <t>CI-22-0016</t>
  </si>
  <si>
    <t>CI-22-0025</t>
  </si>
  <si>
    <t>CI-22-0026</t>
  </si>
  <si>
    <t>CI-22-0027</t>
  </si>
  <si>
    <t>CI-22-0028</t>
  </si>
  <si>
    <t>CI-22-0029</t>
  </si>
  <si>
    <t>CI-22-0030</t>
  </si>
  <si>
    <t>CI-22-0039</t>
  </si>
  <si>
    <t>CI-22-0063</t>
  </si>
  <si>
    <t>CI-22-0089</t>
  </si>
  <si>
    <t>CI-22-0090</t>
  </si>
  <si>
    <t>CI-22-0091</t>
  </si>
  <si>
    <t>CI-22-0092</t>
  </si>
  <si>
    <t>CI-22-0093</t>
  </si>
  <si>
    <t>CI-22-0094</t>
  </si>
  <si>
    <t>CI-22-0095</t>
  </si>
  <si>
    <t>CI-22-0096</t>
  </si>
  <si>
    <t>CI-22-0099</t>
  </si>
  <si>
    <t>CI-22-0129</t>
  </si>
  <si>
    <t>Site</t>
  </si>
  <si>
    <t>Sample Date</t>
  </si>
  <si>
    <t>Sample Time</t>
  </si>
  <si>
    <t>Bottle #</t>
  </si>
  <si>
    <t>Mass of Bottle (g)</t>
  </si>
  <si>
    <t>salinity (ppt)</t>
  </si>
  <si>
    <t>salinity (mg/L)</t>
  </si>
  <si>
    <t>Mass of Bottle and Sample (g)</t>
  </si>
  <si>
    <t>Mass of Sample (g)</t>
  </si>
  <si>
    <t>Mass of Bottle and Dried Residue (g)</t>
  </si>
  <si>
    <t>Mass of Dried Residue (g)</t>
  </si>
  <si>
    <t>SSC (g/kg)</t>
  </si>
  <si>
    <t>SSC (mg/L)</t>
  </si>
  <si>
    <t>SSC (mg/L) excluding salinity</t>
  </si>
  <si>
    <t>Date Processed</t>
  </si>
  <si>
    <t>C-20-0001a</t>
  </si>
  <si>
    <t>C-20-0001b</t>
  </si>
  <si>
    <t>NCOS-W</t>
  </si>
  <si>
    <t>C-20-0002</t>
  </si>
  <si>
    <t>C-20-0003</t>
  </si>
  <si>
    <t>C-20-0004</t>
  </si>
  <si>
    <t>10/19 - 10/20/2020</t>
  </si>
  <si>
    <t>Ryan &amp; Jeremiah</t>
  </si>
  <si>
    <t>From here down, bottles with sample dried for 24 hours at 97.5, followed by 1 hour at 105.</t>
  </si>
  <si>
    <t>C-20-0008</t>
  </si>
  <si>
    <t>C-20-0009</t>
  </si>
  <si>
    <t>C-20-0017</t>
  </si>
  <si>
    <t>C-20-0018</t>
  </si>
  <si>
    <t>C-20-0021a</t>
  </si>
  <si>
    <t>C-20-0021b</t>
  </si>
  <si>
    <t>NCOS-V</t>
  </si>
  <si>
    <t>C-20-0026a</t>
  </si>
  <si>
    <t>C-20-0026b</t>
  </si>
  <si>
    <t>C-20-0034</t>
  </si>
  <si>
    <t>C-20-0035</t>
  </si>
  <si>
    <t>C-20-0037</t>
  </si>
  <si>
    <t>C-20-0038a</t>
  </si>
  <si>
    <t>C-20-0038b</t>
  </si>
  <si>
    <t>NCOS-P</t>
  </si>
  <si>
    <t>C-20-0040</t>
  </si>
  <si>
    <t>C-20-0041</t>
  </si>
  <si>
    <t>C-20-0042</t>
  </si>
  <si>
    <t>C-20-0049</t>
  </si>
  <si>
    <t>C-20-0055a</t>
  </si>
  <si>
    <t>C-20-0055b</t>
  </si>
  <si>
    <t>C-20-0057</t>
  </si>
  <si>
    <t>C-20-0058</t>
  </si>
  <si>
    <t>C-20-0062</t>
  </si>
  <si>
    <t>C-20-0063</t>
  </si>
  <si>
    <t>C-20-0065</t>
  </si>
  <si>
    <t>C-20-0066</t>
  </si>
  <si>
    <t>C-20-0067</t>
  </si>
  <si>
    <t>C-20-0068</t>
  </si>
  <si>
    <t>C-20-0069</t>
  </si>
  <si>
    <t>C-20-0070</t>
  </si>
  <si>
    <t>C-20-0071</t>
  </si>
  <si>
    <t>C-20-0072</t>
  </si>
  <si>
    <t>C-20-0073</t>
  </si>
  <si>
    <t>C-20-0074</t>
  </si>
  <si>
    <t>C-20-0076</t>
  </si>
  <si>
    <t>C-20-0077</t>
  </si>
  <si>
    <t>C-20-0078</t>
  </si>
  <si>
    <t>C-20-0079</t>
  </si>
  <si>
    <t>C-20-0080a</t>
  </si>
  <si>
    <t>C-20-0080b</t>
  </si>
  <si>
    <t>C-20-0081</t>
  </si>
  <si>
    <t>C-20-0082</t>
  </si>
  <si>
    <t>C-20-0083</t>
  </si>
  <si>
    <t>C-20-0084</t>
  </si>
  <si>
    <t>previous bottle weight: 64.5</t>
  </si>
  <si>
    <t>C-20-0085</t>
  </si>
  <si>
    <t>C-20-0086</t>
  </si>
  <si>
    <t>C-20-0087</t>
  </si>
  <si>
    <t>C-20-0094</t>
  </si>
  <si>
    <t>C-20-0095</t>
  </si>
  <si>
    <t>C-20-0096</t>
  </si>
  <si>
    <t>C-20-0097</t>
  </si>
  <si>
    <t>C-20-0098</t>
  </si>
  <si>
    <t>C-20-0099a</t>
  </si>
  <si>
    <t>C-20-0099b</t>
  </si>
  <si>
    <t>C-20-0100</t>
  </si>
  <si>
    <t>C-20-0116</t>
  </si>
  <si>
    <t>1/05-1/07/2021</t>
  </si>
  <si>
    <t>C-20-0117</t>
  </si>
  <si>
    <t>Green algae on bottom. Water remained in sample after drying.</t>
  </si>
  <si>
    <t>C-20-0118</t>
  </si>
  <si>
    <t>C-20-0119</t>
  </si>
  <si>
    <t>C-20-0120</t>
  </si>
  <si>
    <t xml:space="preserve">Green algae on bottom. Water remained in sample after drying. </t>
  </si>
  <si>
    <t>C-20-0121</t>
  </si>
  <si>
    <t>C-20-0122</t>
  </si>
  <si>
    <t>C-20-0123</t>
  </si>
  <si>
    <t>C-20-0124</t>
  </si>
  <si>
    <t>C-20-0125</t>
  </si>
  <si>
    <t>C-20-0126</t>
  </si>
  <si>
    <t>C-20-0127</t>
  </si>
  <si>
    <t>C-20-0128</t>
  </si>
  <si>
    <t>C-20-0129</t>
  </si>
  <si>
    <t>C-20-0130</t>
  </si>
  <si>
    <t>C-20-0131</t>
  </si>
  <si>
    <t>C-20-0132</t>
  </si>
  <si>
    <t>C-20-0133</t>
  </si>
  <si>
    <t>CG-20-0001a</t>
  </si>
  <si>
    <t>CG-20-0001b</t>
  </si>
  <si>
    <t>CG-20-0002</t>
  </si>
  <si>
    <t>CG-20-0003</t>
  </si>
  <si>
    <t>large item left in sample bottle (possibly invertebrate)</t>
  </si>
  <si>
    <t>CG-20-0004</t>
  </si>
  <si>
    <t>CG-20-0005</t>
  </si>
  <si>
    <t>CG-20-0007</t>
  </si>
  <si>
    <t>CG-20-0008</t>
  </si>
  <si>
    <t>CG-20-0009a</t>
  </si>
  <si>
    <t>CG-20-0009b</t>
  </si>
  <si>
    <t>CG-20-0010</t>
  </si>
  <si>
    <t>CG-20-0011</t>
  </si>
  <si>
    <t>CG-20-0012</t>
  </si>
  <si>
    <t>CG-20-0013</t>
  </si>
  <si>
    <t>CG-20-0014</t>
  </si>
  <si>
    <t>CG-20-0015a</t>
  </si>
  <si>
    <t>CG-20-0015b</t>
  </si>
  <si>
    <t>NCOS-D</t>
  </si>
  <si>
    <t>CG-20-0016</t>
  </si>
  <si>
    <t>CG-20-0018</t>
  </si>
  <si>
    <t>CG-20-0020</t>
  </si>
  <si>
    <t>CG-20-0021</t>
  </si>
  <si>
    <t>CG-20-0022</t>
  </si>
  <si>
    <t>CG-20-0024</t>
  </si>
  <si>
    <t>small floating stick in pp (ssc) bottle</t>
  </si>
  <si>
    <t>CG-20-0028a</t>
  </si>
  <si>
    <t>CG-20-0028b</t>
  </si>
  <si>
    <t>CG-20-0030</t>
  </si>
  <si>
    <t>CG-20-0031a</t>
  </si>
  <si>
    <t>CG-20-0031b</t>
  </si>
  <si>
    <t>CG-20-0032</t>
  </si>
  <si>
    <t>CG-20-0033a</t>
  </si>
  <si>
    <t>CG-20-0033b</t>
  </si>
  <si>
    <t>CG-20-0034</t>
  </si>
  <si>
    <t>CG-20-0036a</t>
  </si>
  <si>
    <t>CG-20-0036b</t>
  </si>
  <si>
    <t>CG-20-0046</t>
  </si>
  <si>
    <t>CG-20-0047</t>
  </si>
  <si>
    <t>CG-20-0048a</t>
  </si>
  <si>
    <t>CG-20-0048b</t>
  </si>
  <si>
    <t>CG-20-0050</t>
  </si>
  <si>
    <t>CG-20-0057</t>
  </si>
  <si>
    <t>CG-20-0059</t>
  </si>
  <si>
    <t>CG-20-0061</t>
  </si>
  <si>
    <t>CG-20-0062</t>
  </si>
  <si>
    <t>CG-20-0063</t>
  </si>
  <si>
    <t>CG-20-0064</t>
  </si>
  <si>
    <t>CG-21-0002</t>
  </si>
  <si>
    <t xml:space="preserve">Whittier </t>
  </si>
  <si>
    <t>1/13/2020-1/15/2020</t>
  </si>
  <si>
    <t xml:space="preserve">Jeremiah B. </t>
  </si>
  <si>
    <t>CG-21-0003</t>
  </si>
  <si>
    <t>Phelps</t>
  </si>
  <si>
    <t>CG-21-0004</t>
  </si>
  <si>
    <t>Devereux</t>
  </si>
  <si>
    <t>CG-21-0005</t>
  </si>
  <si>
    <t xml:space="preserve">Phelps </t>
  </si>
  <si>
    <t>CG-21-0006</t>
  </si>
  <si>
    <t xml:space="preserve">Devereux </t>
  </si>
  <si>
    <t>CG-21-0008</t>
  </si>
  <si>
    <t>Venoco</t>
  </si>
  <si>
    <t>CG-21-0009</t>
  </si>
  <si>
    <t>CG-21-0010</t>
  </si>
  <si>
    <t>CG-21-0011</t>
  </si>
  <si>
    <t>Whittier</t>
  </si>
  <si>
    <t>CG-21-0012</t>
  </si>
  <si>
    <t>CG-21-0014</t>
  </si>
  <si>
    <t>CG-21-0042</t>
  </si>
  <si>
    <t>1/02/2021-1/04/2021</t>
  </si>
  <si>
    <t>CG-21-0043</t>
  </si>
  <si>
    <t xml:space="preserve">Extra bubbly </t>
  </si>
  <si>
    <t>CG-21-0044</t>
  </si>
  <si>
    <t>9/21/21-9/23/21</t>
  </si>
  <si>
    <t xml:space="preserve">Salt crust </t>
  </si>
  <si>
    <t>CG-21-0078</t>
  </si>
  <si>
    <t>CG-21-0080</t>
  </si>
  <si>
    <t>CG-21-0081</t>
  </si>
  <si>
    <t>CG-21-0082</t>
  </si>
  <si>
    <t>CG-21-0083</t>
  </si>
  <si>
    <t>CG-21-0084</t>
  </si>
  <si>
    <t>CG-21-0085</t>
  </si>
  <si>
    <t>CG-21-0086</t>
  </si>
  <si>
    <t>CG-21-0087</t>
  </si>
  <si>
    <t>CG-21-0088</t>
  </si>
  <si>
    <t>CG-21-0089</t>
  </si>
  <si>
    <t>CG-21-0090</t>
  </si>
  <si>
    <t>CG-21-0091</t>
  </si>
  <si>
    <t>COPR</t>
  </si>
  <si>
    <t>CG-21-0092</t>
  </si>
  <si>
    <t>CG-21-0093</t>
  </si>
  <si>
    <t>CG-21-0094</t>
  </si>
  <si>
    <t>CG-21-0095</t>
  </si>
  <si>
    <t>CG-21-0096</t>
  </si>
  <si>
    <t>CG-21-0097</t>
  </si>
  <si>
    <t>CG-21-0098</t>
  </si>
  <si>
    <t>CG-21-0099</t>
  </si>
  <si>
    <t>CG-21-0103</t>
  </si>
  <si>
    <t>CG-21-0104</t>
  </si>
  <si>
    <t>CG-21-0105</t>
  </si>
  <si>
    <t>CG-21-0106</t>
  </si>
  <si>
    <t>CG-21-0121</t>
  </si>
  <si>
    <t>5/04/21-5/06/21</t>
  </si>
  <si>
    <t>CG-22-0033</t>
  </si>
  <si>
    <t>3/8/2022-3/10/2039</t>
  </si>
  <si>
    <t xml:space="preserve">Alison and Jeremiah B. </t>
  </si>
  <si>
    <t>CG-22-0034</t>
  </si>
  <si>
    <t>6/14/22-6/16/22</t>
  </si>
  <si>
    <t>CG-22-0036</t>
  </si>
  <si>
    <t>phelps</t>
  </si>
  <si>
    <t>3/8/2022-3/10/2038</t>
  </si>
  <si>
    <t>CG-22-0066</t>
  </si>
  <si>
    <t>6/21/22-6/23/22</t>
  </si>
  <si>
    <t>CG-22-0067</t>
  </si>
  <si>
    <t>CG-22-0068</t>
  </si>
  <si>
    <t>CG-22-0069</t>
  </si>
  <si>
    <t>CG-22-0081</t>
  </si>
  <si>
    <t>CG-22-0082</t>
  </si>
  <si>
    <t>CG-22-0083</t>
  </si>
  <si>
    <t>CG-22-0130</t>
  </si>
  <si>
    <t>6/29/22-7/02/22</t>
  </si>
  <si>
    <t>CG-22-0131</t>
  </si>
  <si>
    <t>CG-22-0132</t>
  </si>
  <si>
    <t>CG-22-0133</t>
  </si>
  <si>
    <t>CI-21-0018</t>
  </si>
  <si>
    <t>CI-21-0019</t>
  </si>
  <si>
    <t>CI-21-0020</t>
  </si>
  <si>
    <t>CI-21-0021</t>
  </si>
  <si>
    <t>CI-21-0022</t>
  </si>
  <si>
    <t>CI-21-0023</t>
  </si>
  <si>
    <t>CI-21-0024</t>
  </si>
  <si>
    <t>CI-21-0025</t>
  </si>
  <si>
    <t>CI-21-0026</t>
  </si>
  <si>
    <t>CI-21-0027</t>
  </si>
  <si>
    <t>1/10/21-1/12/21</t>
  </si>
  <si>
    <t>CI-21-0028</t>
  </si>
  <si>
    <t>CI-21-0029</t>
  </si>
  <si>
    <t>CI-21-0030</t>
  </si>
  <si>
    <t>CI-21-0031</t>
  </si>
  <si>
    <t>CI-21-0032</t>
  </si>
  <si>
    <t>CI-21-0033</t>
  </si>
  <si>
    <t>CI-21-0034</t>
  </si>
  <si>
    <t>CI-21-0035</t>
  </si>
  <si>
    <t>CI-21-0036</t>
  </si>
  <si>
    <t>CI-21-0037</t>
  </si>
  <si>
    <t>CI-21-0038</t>
  </si>
  <si>
    <t>CI-21-0039</t>
  </si>
  <si>
    <t>CI-21-0040</t>
  </si>
  <si>
    <t>CI-21-0041</t>
  </si>
  <si>
    <t>CI-21-0046</t>
  </si>
  <si>
    <t>5/12/21-5/14/21</t>
  </si>
  <si>
    <t>CI-21-0047</t>
  </si>
  <si>
    <t>CI-21-0048</t>
  </si>
  <si>
    <t>CI-21-0049</t>
  </si>
  <si>
    <t>CI-21-0050</t>
  </si>
  <si>
    <t>CI-21-0052</t>
  </si>
  <si>
    <t>CI-21-0053</t>
  </si>
  <si>
    <t>CI-21-0054</t>
  </si>
  <si>
    <t>CI-21-0055</t>
  </si>
  <si>
    <t>CI-21-0056</t>
  </si>
  <si>
    <t>CI-21-0057</t>
  </si>
  <si>
    <t>CI-21-0058</t>
  </si>
  <si>
    <t>CI-21-0059</t>
  </si>
  <si>
    <t>CI-21-0060</t>
  </si>
  <si>
    <t>CI-21-0061</t>
  </si>
  <si>
    <t>CI-21-0062</t>
  </si>
  <si>
    <t>CI-21-0064</t>
  </si>
  <si>
    <t>CI-21-0065</t>
  </si>
  <si>
    <t>CI-21-0066</t>
  </si>
  <si>
    <t>CI-21-0067</t>
  </si>
  <si>
    <t>CI-21-0068</t>
  </si>
  <si>
    <t>CI-21-0070</t>
  </si>
  <si>
    <t>CI-21-0071</t>
  </si>
  <si>
    <t>CI-21-0072</t>
  </si>
  <si>
    <t>CI-21-0075</t>
  </si>
  <si>
    <t>CI-21-0076</t>
  </si>
  <si>
    <t>CI-21-0077</t>
  </si>
  <si>
    <t>CI-21-0100</t>
  </si>
  <si>
    <t>CI-21-0101</t>
  </si>
  <si>
    <t>CI-21-0102</t>
  </si>
  <si>
    <t>CI-21-0108</t>
  </si>
  <si>
    <t>CI-21-0109</t>
  </si>
  <si>
    <t>CI-21-0110</t>
  </si>
  <si>
    <t>CI-21-0112</t>
  </si>
  <si>
    <t>CI-21-0113</t>
  </si>
  <si>
    <t>CI-21-0114</t>
  </si>
  <si>
    <t>CI-21-0129</t>
  </si>
  <si>
    <t>CI-21-0130</t>
  </si>
  <si>
    <t>CI-21-0134</t>
  </si>
  <si>
    <t>CI-21-0137</t>
  </si>
  <si>
    <t xml:space="preserve">salt crust/water in dried sample still </t>
  </si>
  <si>
    <t>CI-22-00010</t>
  </si>
  <si>
    <t>CI-22-0011</t>
  </si>
  <si>
    <t>CI-22-0012</t>
  </si>
  <si>
    <t>CI-22-0013</t>
  </si>
  <si>
    <t>6/19/22-6/21/22</t>
  </si>
  <si>
    <t>CI-22-0017</t>
  </si>
  <si>
    <t>3/8/2022-3/10/2033</t>
  </si>
  <si>
    <t>CI-22-0018</t>
  </si>
  <si>
    <t>3/8/2022-3/10/2034</t>
  </si>
  <si>
    <t>CI-22-0019</t>
  </si>
  <si>
    <t>CI-22-0020</t>
  </si>
  <si>
    <t>CI-22-0021</t>
  </si>
  <si>
    <t>CI-22-0022</t>
  </si>
  <si>
    <t>CI-22-0023</t>
  </si>
  <si>
    <t>CI-22-0024</t>
  </si>
  <si>
    <t>CI-22-0032</t>
  </si>
  <si>
    <t>CI-22-0037</t>
  </si>
  <si>
    <t>soil crust formed and water not fully evaporated. put in oven for extra 10 hours- stirred every 2 hours</t>
  </si>
  <si>
    <t>CI-22-0038</t>
  </si>
  <si>
    <t>CI-22-0040</t>
  </si>
  <si>
    <t>CI-22-0041</t>
  </si>
  <si>
    <t>CI-22-0042</t>
  </si>
  <si>
    <t>CI-22-0043</t>
  </si>
  <si>
    <t>CI-22-0044</t>
  </si>
  <si>
    <t>3/8/2022-3/10/2028</t>
  </si>
  <si>
    <t>CI-22-0045</t>
  </si>
  <si>
    <t>3/8/2022-3/10/2032</t>
  </si>
  <si>
    <t>CI-22-0046</t>
  </si>
  <si>
    <t>3/8/2022-3/10/2024</t>
  </si>
  <si>
    <t>CI-22-0047</t>
  </si>
  <si>
    <t>3/8/2022-3/10/2026</t>
  </si>
  <si>
    <t>CI-22-0048</t>
  </si>
  <si>
    <t>3/8/2022-3/10/2025</t>
  </si>
  <si>
    <t>CI-22-0049</t>
  </si>
  <si>
    <t>3/8/2022-3/10/2027</t>
  </si>
  <si>
    <t>CI-22-0050</t>
  </si>
  <si>
    <t>CI-22-0051</t>
  </si>
  <si>
    <t>CI-22-0052</t>
  </si>
  <si>
    <t xml:space="preserve">Venoco </t>
  </si>
  <si>
    <t>CI-22-0053</t>
  </si>
  <si>
    <t>CI-22-0054</t>
  </si>
  <si>
    <t>CI-22-0055</t>
  </si>
  <si>
    <t>CI-22-0056</t>
  </si>
  <si>
    <t>CI-22-0057</t>
  </si>
  <si>
    <t>3/8/2022-3/10/2036</t>
  </si>
  <si>
    <t>CI-22-0058</t>
  </si>
  <si>
    <t>CI-22-0059</t>
  </si>
  <si>
    <t>3/8/2022-3/10/2037</t>
  </si>
  <si>
    <t>CI-22-0060</t>
  </si>
  <si>
    <t>3/8/2022-3/10/2035</t>
  </si>
  <si>
    <t>CI-22-0061</t>
  </si>
  <si>
    <t>CI-22-0062</t>
  </si>
  <si>
    <t>CI-22-0064</t>
  </si>
  <si>
    <t>CI-22-0065</t>
  </si>
  <si>
    <t>CI-22-0070</t>
  </si>
  <si>
    <t>CI-22-0072</t>
  </si>
  <si>
    <t>CI-22-0074</t>
  </si>
  <si>
    <t>CI-22-0075</t>
  </si>
  <si>
    <t>CI-22-0076</t>
  </si>
  <si>
    <t>CI-22-0077</t>
  </si>
  <si>
    <t>CI-22-0078</t>
  </si>
  <si>
    <t>CI-22-0079</t>
  </si>
  <si>
    <t>CI-22-0080</t>
  </si>
  <si>
    <t>3/8/2022-3/10/2022</t>
  </si>
  <si>
    <t>CI-22-0097</t>
  </si>
  <si>
    <t>3/8/2022-3/10/2031</t>
  </si>
  <si>
    <t>soil crust formed and water not fully evaporated. put in oven for extra 6 hours- stirred at 4 hours</t>
  </si>
  <si>
    <t>CI-22-0098</t>
  </si>
  <si>
    <t>CI-22-0100</t>
  </si>
  <si>
    <t>3/8/2022-3/10/2029</t>
  </si>
  <si>
    <t>CI-22-0101</t>
  </si>
  <si>
    <t>3/8/2022-3/10/2030</t>
  </si>
  <si>
    <t>CI-22-0102</t>
  </si>
  <si>
    <t>3/8/2022-3/10/2023</t>
  </si>
  <si>
    <t>CI-22-0106</t>
  </si>
  <si>
    <t>CI-22-0107</t>
  </si>
  <si>
    <t>CI-22-0108</t>
  </si>
  <si>
    <t>CI-22-0110</t>
  </si>
  <si>
    <t>CI-22-0111</t>
  </si>
  <si>
    <t>CI-22-0112</t>
  </si>
  <si>
    <t>CI-22-0113</t>
  </si>
  <si>
    <t>CI-22-0114</t>
  </si>
  <si>
    <t>CI-22-0115</t>
  </si>
  <si>
    <t>CI-22-0116</t>
  </si>
  <si>
    <t>CI-22-0117</t>
  </si>
  <si>
    <t>CI-22-0118</t>
  </si>
  <si>
    <t>CI-22-0119</t>
  </si>
  <si>
    <t>CI-22-0120</t>
  </si>
  <si>
    <t>CI-22-0121</t>
  </si>
  <si>
    <t>CI-22-0122</t>
  </si>
  <si>
    <t>CI-22-0123</t>
  </si>
  <si>
    <t>CI-22-0124</t>
  </si>
  <si>
    <t>CI-22-0125</t>
  </si>
  <si>
    <t>CI-22-0126</t>
  </si>
  <si>
    <t>CI-22-0127</t>
  </si>
  <si>
    <t>CI-22-0128</t>
  </si>
  <si>
    <t>Keepfor analysis</t>
  </si>
  <si>
    <t>Y</t>
  </si>
  <si>
    <t>N</t>
  </si>
  <si>
    <t>see above</t>
  </si>
  <si>
    <t>Location</t>
  </si>
  <si>
    <t>Date</t>
  </si>
  <si>
    <t>Time</t>
  </si>
  <si>
    <t>Sample type</t>
  </si>
  <si>
    <t>Isco</t>
  </si>
  <si>
    <t>C-20-0038</t>
  </si>
  <si>
    <t>C-20-0080</t>
  </si>
  <si>
    <t>C-20-0021</t>
  </si>
  <si>
    <t>C-20-0024</t>
  </si>
  <si>
    <t>C-20-0026</t>
  </si>
  <si>
    <t>C-20-0099</t>
  </si>
  <si>
    <t>C-20-0001</t>
  </si>
  <si>
    <t>C-20-0055</t>
  </si>
  <si>
    <t>C-20-0114</t>
  </si>
  <si>
    <t>Grab</t>
  </si>
  <si>
    <t>CG-20-0015</t>
  </si>
  <si>
    <t>CG-20-0048</t>
  </si>
  <si>
    <t>CG-20-0009</t>
  </si>
  <si>
    <t>CG-20-0033</t>
  </si>
  <si>
    <t>CG-20-0001</t>
  </si>
  <si>
    <t>CG-20-0031</t>
  </si>
  <si>
    <t>CG-20-0028</t>
  </si>
  <si>
    <t>CG-20-0036</t>
  </si>
  <si>
    <t xml:space="preserve">Grab </t>
  </si>
  <si>
    <t>ISCO</t>
  </si>
  <si>
    <t>CI-22-0010</t>
  </si>
  <si>
    <t>CI-22-0031</t>
  </si>
  <si>
    <t>CI-22-0071</t>
  </si>
  <si>
    <t>CI-22-0073</t>
  </si>
  <si>
    <t>CI-22-0109</t>
  </si>
  <si>
    <t>TSS</t>
  </si>
  <si>
    <t>VWM</t>
  </si>
  <si>
    <t>mg/L</t>
  </si>
  <si>
    <t>total yield</t>
  </si>
  <si>
    <t>kg/ha</t>
  </si>
  <si>
    <t>Steps</t>
  </si>
  <si>
    <t>1. merge location with concentration and delete unneeded fields</t>
  </si>
  <si>
    <t>2. delete uncertain samples</t>
  </si>
  <si>
    <t>3. Make documentation of what samples I deleted and how I decided to delete them</t>
  </si>
  <si>
    <t>4. subset Phelps</t>
  </si>
  <si>
    <t>5. upload phelps level data</t>
  </si>
  <si>
    <t>6. run phelps rating curve</t>
  </si>
  <si>
    <t>7. determine water volume at each sample time</t>
  </si>
  <si>
    <t>8. Get the weighted average of nutrients</t>
  </si>
  <si>
    <t>9. Compare volume weighted concentration with Aguilara</t>
  </si>
  <si>
    <t>10. Multiply Phelps sample with total volume to get total TSS</t>
  </si>
  <si>
    <t>11. Do weight conversions</t>
  </si>
  <si>
    <t>12. Compare total TSS yield with Aguilara</t>
  </si>
  <si>
    <t>13. Start looking at elevation point data</t>
  </si>
  <si>
    <t>14. Merge all N,P, A nutrient data</t>
  </si>
  <si>
    <t>15. Convert to correct units</t>
  </si>
  <si>
    <t>16. Follow process listed for TSS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</si>
</sst>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/yyyy"/>
    <numFmt numFmtId="166" formatCode="m/d/yy"/>
    <numFmt numFmtId="167" formatCode="mm/dd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7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2" fillId="0" fontId="4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2" fillId="0" fontId="4" numFmtId="0" xfId="0" applyBorder="1" applyFont="1"/>
    <xf borderId="0" fillId="0" fontId="4" numFmtId="166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2" numFmtId="166" xfId="0" applyAlignment="1" applyFont="1" applyNumberFormat="1">
      <alignment horizontal="center" vertical="bottom"/>
    </xf>
    <xf borderId="0" fillId="0" fontId="2" numFmtId="166" xfId="0" applyFont="1" applyNumberFormat="1"/>
    <xf borderId="0" fillId="0" fontId="2" numFmtId="0" xfId="0" applyFont="1"/>
    <xf borderId="0" fillId="0" fontId="2" numFmtId="165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167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164" xfId="0" applyFont="1" applyNumberForma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4" numFmtId="4" xfId="0" applyAlignment="1" applyFont="1" applyNumberFormat="1">
      <alignment horizontal="center" vertical="bottom"/>
    </xf>
    <xf borderId="0" fillId="0" fontId="5" numFmtId="0" xfId="0" applyFont="1"/>
    <xf borderId="3" fillId="0" fontId="2" numFmtId="0" xfId="0" applyAlignment="1" applyBorder="1" applyFon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3" fillId="0" fontId="2" numFmtId="20" xfId="0" applyAlignment="1" applyBorder="1" applyFont="1" applyNumberFormat="1">
      <alignment horizontal="center" vertical="bottom"/>
    </xf>
    <xf borderId="3" fillId="0" fontId="2" numFmtId="167" xfId="0" applyAlignment="1" applyBorder="1" applyFont="1" applyNumberFormat="1">
      <alignment horizontal="center" vertical="bottom"/>
    </xf>
    <xf borderId="0" fillId="0" fontId="2" numFmtId="20" xfId="0" applyAlignment="1" applyFont="1" applyNumberFormat="1">
      <alignment horizontal="center" vertical="bottom"/>
    </xf>
    <xf borderId="2" fillId="2" fontId="2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4" numFmtId="4" xfId="0" applyAlignment="1" applyFont="1" applyNumberFormat="1">
      <alignment horizontal="center" vertical="bottom"/>
    </xf>
    <xf borderId="0" fillId="2" fontId="2" numFmtId="165" xfId="0" applyAlignment="1" applyFont="1" applyNumberFormat="1">
      <alignment horizontal="center"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horizontal="center" vertical="bottom"/>
    </xf>
    <xf borderId="0" fillId="0" fontId="3" numFmtId="20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20" xfId="0" applyAlignment="1" applyFont="1" applyNumberFormat="1">
      <alignment horizontal="center" vertical="bottom"/>
    </xf>
    <xf borderId="0" fillId="2" fontId="2" numFmtId="165" xfId="0" applyAlignment="1" applyFont="1" applyNumberFormat="1">
      <alignment vertical="bottom"/>
    </xf>
    <xf borderId="0" fillId="2" fontId="2" numFmtId="20" xfId="0" applyAlignment="1" applyFont="1" applyNumberFormat="1">
      <alignment vertical="bottom"/>
    </xf>
    <xf borderId="0" fillId="0" fontId="2" numFmtId="20" xfId="0" applyAlignment="1" applyFont="1" applyNumberFormat="1">
      <alignment vertical="bottom"/>
    </xf>
    <xf borderId="0" fillId="0" fontId="3" numFmtId="165" xfId="0" applyAlignment="1" applyFont="1" applyNumberFormat="1">
      <alignment horizontal="center" vertical="bottom"/>
    </xf>
    <xf borderId="0" fillId="0" fontId="2" numFmtId="166" xfId="0" applyAlignment="1" applyFont="1" applyNumberFormat="1">
      <alignment vertical="bottom"/>
    </xf>
    <xf borderId="0" fillId="3" fontId="4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165" xfId="0" applyAlignment="1" applyFont="1" applyNumberFormat="1">
      <alignment vertical="bottom"/>
    </xf>
    <xf borderId="0" fillId="3" fontId="2" numFmtId="20" xfId="0" applyAlignment="1" applyFont="1" applyNumberFormat="1">
      <alignment vertical="bottom"/>
    </xf>
    <xf borderId="0" fillId="2" fontId="3" numFmtId="0" xfId="0" applyAlignment="1" applyFont="1">
      <alignment horizontal="center" vertical="bottom"/>
    </xf>
    <xf borderId="0" fillId="0" fontId="4" numFmtId="14" xfId="0" applyAlignment="1" applyFont="1" applyNumberForma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2" fontId="2" numFmtId="166" xfId="0" applyAlignment="1" applyFont="1" applyNumberFormat="1">
      <alignment vertical="bottom"/>
    </xf>
    <xf borderId="0" fillId="2" fontId="4" numFmtId="14" xfId="0" applyAlignment="1" applyFont="1" applyNumberFormat="1">
      <alignment horizontal="center" vertical="bottom"/>
    </xf>
    <xf borderId="0" fillId="2" fontId="4" numFmtId="20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4" xfId="0" applyFont="1" applyNumberFormat="1"/>
    <xf borderId="4" fillId="0" fontId="3" numFmtId="0" xfId="0" applyAlignment="1" applyBorder="1" applyFont="1">
      <alignment horizontal="center" vertical="bottom"/>
    </xf>
    <xf borderId="4" fillId="0" fontId="3" numFmtId="14" xfId="0" applyAlignment="1" applyBorder="1" applyFont="1" applyNumberFormat="1">
      <alignment horizontal="center" vertical="bottom"/>
    </xf>
    <xf borderId="4" fillId="0" fontId="3" numFmtId="20" xfId="0" applyAlignment="1" applyBorder="1" applyFont="1" applyNumberFormat="1">
      <alignment horizontal="center" vertical="bottom"/>
    </xf>
    <xf borderId="0" fillId="0" fontId="3" numFmtId="14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20" xfId="0" applyAlignment="1" applyFont="1" applyNumberFormat="1">
      <alignment horizontal="right" vertical="bottom"/>
    </xf>
    <xf borderId="5" fillId="0" fontId="3" numFmtId="0" xfId="0" applyAlignment="1" applyBorder="1" applyFont="1">
      <alignment vertical="bottom"/>
    </xf>
    <xf borderId="5" fillId="0" fontId="3" numFmtId="14" xfId="0" applyAlignment="1" applyBorder="1" applyFont="1" applyNumberFormat="1">
      <alignment horizontal="center" vertical="bottom"/>
    </xf>
    <xf borderId="5" fillId="0" fontId="3" numFmtId="20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3" fillId="0" fontId="3" numFmtId="14" xfId="0" applyAlignment="1" applyBorder="1" applyFont="1" applyNumberFormat="1">
      <alignment horizontal="center" vertical="bottom"/>
    </xf>
    <xf borderId="3" fillId="0" fontId="3" numFmtId="20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166" xfId="0" applyAlignment="1" applyBorder="1" applyFont="1" applyNumberFormat="1">
      <alignment horizontal="center" vertical="bottom"/>
    </xf>
    <xf borderId="3" fillId="0" fontId="4" numFmtId="20" xfId="0" applyAlignment="1" applyBorder="1" applyFont="1" applyNumberFormat="1">
      <alignment horizontal="center" vertical="bottom"/>
    </xf>
    <xf borderId="2" fillId="3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13</v>
      </c>
      <c r="B2" s="7">
        <f>93.5+95+82.5+90+93+34</f>
        <v>488</v>
      </c>
      <c r="C2" s="8">
        <v>2.0</v>
      </c>
      <c r="D2" s="7">
        <v>0.1238</v>
      </c>
      <c r="E2" s="7">
        <v>1.1522</v>
      </c>
      <c r="F2" s="7">
        <v>0.1319</v>
      </c>
      <c r="G2" s="5"/>
      <c r="H2" s="7">
        <f t="shared" ref="H2:H133" si="1">IF(F2="",G2-E2,F2-D2)</f>
        <v>0.0081</v>
      </c>
      <c r="I2" s="7">
        <f t="shared" ref="I2:I35" si="2">H2+0.0008</f>
        <v>0.0089</v>
      </c>
      <c r="J2" s="9">
        <f t="shared" ref="J2:J134" si="3">if(A3=A2,((I2+I3)*1000)/(B2/1000),IF(AND(A2=A1,B2=0),"see above",(I2*1000)/(B2/1000)))</f>
        <v>18.23770492</v>
      </c>
      <c r="K2" s="10">
        <v>44315.0</v>
      </c>
      <c r="L2" s="7" t="s">
        <v>14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1" t="s">
        <v>15</v>
      </c>
      <c r="B3" s="7">
        <f>80+98+86+85+93.5+50</f>
        <v>492.5</v>
      </c>
      <c r="C3" s="8">
        <v>1.0</v>
      </c>
      <c r="D3" s="7">
        <v>0.1243</v>
      </c>
      <c r="E3" s="7">
        <v>1.1309</v>
      </c>
      <c r="F3" s="5"/>
      <c r="G3" s="7">
        <v>1.1454</v>
      </c>
      <c r="H3" s="7">
        <f t="shared" si="1"/>
        <v>0.0145</v>
      </c>
      <c r="I3" s="7">
        <f t="shared" si="2"/>
        <v>0.0153</v>
      </c>
      <c r="J3" s="9">
        <f t="shared" si="3"/>
        <v>31.06598985</v>
      </c>
      <c r="K3" s="10">
        <v>44315.0</v>
      </c>
      <c r="L3" s="7" t="s">
        <v>14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2" t="s">
        <v>16</v>
      </c>
      <c r="B4" s="7">
        <f>95+97+95+91+84.25</f>
        <v>462.25</v>
      </c>
      <c r="C4" s="8">
        <v>3.0</v>
      </c>
      <c r="D4" s="7">
        <v>0.1235</v>
      </c>
      <c r="E4" s="7">
        <v>1.1471</v>
      </c>
      <c r="F4" s="5"/>
      <c r="G4" s="7">
        <v>1.1582</v>
      </c>
      <c r="H4" s="7">
        <f t="shared" si="1"/>
        <v>0.0111</v>
      </c>
      <c r="I4" s="7">
        <f t="shared" si="2"/>
        <v>0.0119</v>
      </c>
      <c r="J4" s="9">
        <f t="shared" si="3"/>
        <v>25.74364521</v>
      </c>
      <c r="K4" s="10">
        <v>44315.0</v>
      </c>
      <c r="L4" s="7" t="s">
        <v>14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3" t="s">
        <v>17</v>
      </c>
      <c r="B5" s="8">
        <f>92.75+91+92+52+58</f>
        <v>385.75</v>
      </c>
      <c r="C5" s="8">
        <v>13.0</v>
      </c>
      <c r="D5" s="7">
        <v>0.1242</v>
      </c>
      <c r="E5" s="7">
        <v>1.1599</v>
      </c>
      <c r="F5" s="5"/>
      <c r="G5" s="7">
        <v>1.1629</v>
      </c>
      <c r="H5" s="7">
        <f t="shared" si="1"/>
        <v>0.003</v>
      </c>
      <c r="I5" s="7">
        <f t="shared" si="2"/>
        <v>0.0038</v>
      </c>
      <c r="J5" s="9">
        <f t="shared" si="3"/>
        <v>9.850939728</v>
      </c>
      <c r="K5" s="10">
        <v>44315.0</v>
      </c>
      <c r="L5" s="7" t="s">
        <v>14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3" t="s">
        <v>18</v>
      </c>
      <c r="B6" s="8">
        <f>97+99+98.25+98.5</f>
        <v>392.75</v>
      </c>
      <c r="C6" s="8">
        <v>3.0</v>
      </c>
      <c r="D6" s="7">
        <v>0.1225</v>
      </c>
      <c r="E6" s="7">
        <v>1.1487</v>
      </c>
      <c r="F6" s="5"/>
      <c r="G6" s="7">
        <v>1.151</v>
      </c>
      <c r="H6" s="7">
        <f t="shared" si="1"/>
        <v>0.0023</v>
      </c>
      <c r="I6" s="7">
        <f t="shared" si="2"/>
        <v>0.0031</v>
      </c>
      <c r="J6" s="9">
        <f t="shared" si="3"/>
        <v>7.893061744</v>
      </c>
      <c r="K6" s="14">
        <v>44313.0</v>
      </c>
      <c r="L6" s="7" t="s">
        <v>14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3" t="s">
        <v>19</v>
      </c>
      <c r="B7" s="8">
        <f>98.75+100+83.5+80.5</f>
        <v>362.75</v>
      </c>
      <c r="C7" s="8">
        <v>5.0</v>
      </c>
      <c r="D7" s="7">
        <v>0.1245</v>
      </c>
      <c r="E7" s="7">
        <v>1.1597</v>
      </c>
      <c r="F7" s="7">
        <v>0.1262</v>
      </c>
      <c r="G7" s="5"/>
      <c r="H7" s="7">
        <f t="shared" si="1"/>
        <v>0.0017</v>
      </c>
      <c r="I7" s="7">
        <f t="shared" si="2"/>
        <v>0.0025</v>
      </c>
      <c r="J7" s="9">
        <f t="shared" si="3"/>
        <v>6.891798759</v>
      </c>
      <c r="K7" s="14">
        <v>44313.0</v>
      </c>
      <c r="L7" s="7" t="s">
        <v>14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1" t="s">
        <v>20</v>
      </c>
      <c r="B8" s="7">
        <f>95+91.75+90.75+83.25</f>
        <v>360.75</v>
      </c>
      <c r="C8" s="8">
        <v>5.0</v>
      </c>
      <c r="D8" s="7">
        <v>0.1234</v>
      </c>
      <c r="E8" s="7">
        <v>1.1584</v>
      </c>
      <c r="F8" s="7">
        <v>0.1354</v>
      </c>
      <c r="G8" s="5"/>
      <c r="H8" s="7">
        <f t="shared" si="1"/>
        <v>0.012</v>
      </c>
      <c r="I8" s="7">
        <f t="shared" si="2"/>
        <v>0.0128</v>
      </c>
      <c r="J8" s="9">
        <f t="shared" si="3"/>
        <v>35.48163548</v>
      </c>
      <c r="K8" s="10">
        <v>44315.0</v>
      </c>
      <c r="L8" s="7" t="s">
        <v>14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1" t="s">
        <v>21</v>
      </c>
      <c r="B9" s="7">
        <f>98+88+99+91.5</f>
        <v>376.5</v>
      </c>
      <c r="C9" s="8">
        <v>6.0</v>
      </c>
      <c r="D9" s="7">
        <v>0.1243</v>
      </c>
      <c r="E9" s="7">
        <v>1.1488</v>
      </c>
      <c r="F9" s="7">
        <v>0.1387</v>
      </c>
      <c r="G9" s="5"/>
      <c r="H9" s="7">
        <f t="shared" si="1"/>
        <v>0.0144</v>
      </c>
      <c r="I9" s="7">
        <f t="shared" si="2"/>
        <v>0.0152</v>
      </c>
      <c r="J9" s="9">
        <f t="shared" si="3"/>
        <v>40.37184595</v>
      </c>
      <c r="K9" s="10">
        <v>44315.0</v>
      </c>
      <c r="L9" s="7" t="s">
        <v>14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2" t="s">
        <v>22</v>
      </c>
      <c r="B10" s="8">
        <f>93+97+97+89.5</f>
        <v>376.5</v>
      </c>
      <c r="C10" s="8">
        <v>4.0</v>
      </c>
      <c r="D10" s="7">
        <v>0.1238</v>
      </c>
      <c r="E10" s="7">
        <v>1.1355</v>
      </c>
      <c r="F10" s="5"/>
      <c r="G10" s="7">
        <v>1.1443</v>
      </c>
      <c r="H10" s="7">
        <f t="shared" si="1"/>
        <v>0.0088</v>
      </c>
      <c r="I10" s="7">
        <f t="shared" si="2"/>
        <v>0.0096</v>
      </c>
      <c r="J10" s="9">
        <f t="shared" si="3"/>
        <v>25.49800797</v>
      </c>
      <c r="K10" s="14">
        <v>44313.0</v>
      </c>
      <c r="L10" s="7" t="s">
        <v>14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2" t="s">
        <v>23</v>
      </c>
      <c r="B11" s="8">
        <f>96+97+94+93</f>
        <v>380</v>
      </c>
      <c r="C11" s="8">
        <v>12.0</v>
      </c>
      <c r="D11" s="7">
        <v>0.1233</v>
      </c>
      <c r="E11" s="7">
        <v>1.1643</v>
      </c>
      <c r="F11" s="7">
        <v>0.1237</v>
      </c>
      <c r="G11" s="5"/>
      <c r="H11" s="7">
        <f t="shared" si="1"/>
        <v>0.0004</v>
      </c>
      <c r="I11" s="7">
        <f t="shared" si="2"/>
        <v>0.0012</v>
      </c>
      <c r="J11" s="9">
        <f t="shared" si="3"/>
        <v>3.157894737</v>
      </c>
      <c r="K11" s="14">
        <v>44313.0</v>
      </c>
      <c r="L11" s="7" t="s">
        <v>14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15" t="s">
        <v>24</v>
      </c>
      <c r="B12" s="8">
        <f>89+97+94+85</f>
        <v>365</v>
      </c>
      <c r="C12" s="8">
        <v>15.0</v>
      </c>
      <c r="D12" s="7">
        <v>0.1233</v>
      </c>
      <c r="E12" s="7">
        <v>1.1199</v>
      </c>
      <c r="F12" s="7">
        <v>0.1324</v>
      </c>
      <c r="G12" s="5"/>
      <c r="H12" s="7">
        <f t="shared" si="1"/>
        <v>0.0091</v>
      </c>
      <c r="I12" s="7">
        <f t="shared" si="2"/>
        <v>0.0099</v>
      </c>
      <c r="J12" s="9">
        <f t="shared" si="3"/>
        <v>27.12328767</v>
      </c>
      <c r="K12" s="14">
        <v>44313.0</v>
      </c>
      <c r="L12" s="7" t="s">
        <v>14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12" t="s">
        <v>25</v>
      </c>
      <c r="B13" s="8">
        <f>88+94+94+96</f>
        <v>372</v>
      </c>
      <c r="C13" s="8">
        <v>11.0</v>
      </c>
      <c r="D13" s="7">
        <v>0.1243</v>
      </c>
      <c r="E13" s="7">
        <v>1.166</v>
      </c>
      <c r="F13" s="5"/>
      <c r="G13" s="7">
        <v>1.1727</v>
      </c>
      <c r="H13" s="7">
        <f t="shared" si="1"/>
        <v>0.0067</v>
      </c>
      <c r="I13" s="7">
        <f t="shared" si="2"/>
        <v>0.0075</v>
      </c>
      <c r="J13" s="9">
        <f t="shared" si="3"/>
        <v>20.16129032</v>
      </c>
      <c r="K13" s="14">
        <v>44313.0</v>
      </c>
      <c r="L13" s="7" t="s">
        <v>14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6" t="s">
        <v>26</v>
      </c>
      <c r="B14" s="8">
        <f>99+94+96+63</f>
        <v>352</v>
      </c>
      <c r="C14" s="8">
        <v>14.0</v>
      </c>
      <c r="D14" s="7">
        <v>0.1237</v>
      </c>
      <c r="E14" s="7">
        <v>1.1595</v>
      </c>
      <c r="F14" s="7">
        <v>0.1278</v>
      </c>
      <c r="G14" s="5"/>
      <c r="H14" s="7">
        <f t="shared" si="1"/>
        <v>0.0041</v>
      </c>
      <c r="I14" s="7">
        <f t="shared" si="2"/>
        <v>0.0049</v>
      </c>
      <c r="J14" s="9">
        <f t="shared" si="3"/>
        <v>13.92045455</v>
      </c>
      <c r="K14" s="14">
        <v>44313.0</v>
      </c>
      <c r="L14" s="7" t="s">
        <v>14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2" t="s">
        <v>27</v>
      </c>
      <c r="B15" s="8">
        <f>94.5+92.5+87.25+80</f>
        <v>354.25</v>
      </c>
      <c r="C15" s="8">
        <v>1.0</v>
      </c>
      <c r="D15" s="7">
        <v>0.123</v>
      </c>
      <c r="E15" s="7">
        <v>1.1299</v>
      </c>
      <c r="F15" s="7">
        <v>0.1267</v>
      </c>
      <c r="G15" s="5"/>
      <c r="H15" s="7">
        <f t="shared" si="1"/>
        <v>0.0037</v>
      </c>
      <c r="I15" s="7">
        <f t="shared" si="2"/>
        <v>0.0045</v>
      </c>
      <c r="J15" s="9">
        <f t="shared" si="3"/>
        <v>12.70289344</v>
      </c>
      <c r="K15" s="14">
        <v>44313.0</v>
      </c>
      <c r="L15" s="7" t="s">
        <v>14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12" t="s">
        <v>28</v>
      </c>
      <c r="B16" s="8">
        <f>99+91+84+74.25</f>
        <v>348.25</v>
      </c>
      <c r="C16" s="8">
        <v>8.0</v>
      </c>
      <c r="D16" s="7">
        <v>0.1233</v>
      </c>
      <c r="E16" s="7">
        <v>1.1516</v>
      </c>
      <c r="F16" s="5"/>
      <c r="G16" s="7">
        <v>1.1525</v>
      </c>
      <c r="H16" s="7">
        <f t="shared" si="1"/>
        <v>0.0009</v>
      </c>
      <c r="I16" s="7">
        <f t="shared" si="2"/>
        <v>0.0017</v>
      </c>
      <c r="J16" s="9">
        <f t="shared" si="3"/>
        <v>4.88155061</v>
      </c>
      <c r="K16" s="14">
        <v>44313.0</v>
      </c>
      <c r="L16" s="7" t="s">
        <v>14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2" t="s">
        <v>29</v>
      </c>
      <c r="B17" s="8">
        <f>97+100+100+57</f>
        <v>354</v>
      </c>
      <c r="C17" s="8">
        <v>10.0</v>
      </c>
      <c r="D17" s="7">
        <v>0.1235</v>
      </c>
      <c r="E17" s="7">
        <v>1.1318</v>
      </c>
      <c r="F17" s="5"/>
      <c r="G17" s="7">
        <v>1.1317</v>
      </c>
      <c r="H17" s="7">
        <f t="shared" si="1"/>
        <v>-0.0001</v>
      </c>
      <c r="I17" s="7">
        <f t="shared" si="2"/>
        <v>0.0007</v>
      </c>
      <c r="J17" s="9">
        <f t="shared" si="3"/>
        <v>1.97740113</v>
      </c>
      <c r="K17" s="14">
        <v>44313.0</v>
      </c>
      <c r="L17" s="7" t="s">
        <v>14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12" t="s">
        <v>30</v>
      </c>
      <c r="B18" s="8">
        <f>93+100+98+62</f>
        <v>353</v>
      </c>
      <c r="C18" s="8">
        <v>13.0</v>
      </c>
      <c r="D18" s="7">
        <v>0.1236</v>
      </c>
      <c r="E18" s="7">
        <v>1.1593</v>
      </c>
      <c r="F18" s="7">
        <v>0.1269</v>
      </c>
      <c r="G18" s="5"/>
      <c r="H18" s="7">
        <f t="shared" si="1"/>
        <v>0.0033</v>
      </c>
      <c r="I18" s="7">
        <f t="shared" si="2"/>
        <v>0.0041</v>
      </c>
      <c r="J18" s="9">
        <f t="shared" si="3"/>
        <v>11.61473088</v>
      </c>
      <c r="K18" s="14">
        <v>44313.0</v>
      </c>
      <c r="L18" s="7" t="s">
        <v>14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6" t="s">
        <v>31</v>
      </c>
      <c r="B19" s="8">
        <f>96.5+90+97.25+68</f>
        <v>351.75</v>
      </c>
      <c r="C19" s="8">
        <v>15.0</v>
      </c>
      <c r="D19" s="7">
        <v>0.1249</v>
      </c>
      <c r="E19" s="7">
        <v>1.1211</v>
      </c>
      <c r="F19" s="7">
        <v>0.1508</v>
      </c>
      <c r="G19" s="5"/>
      <c r="H19" s="7">
        <f t="shared" si="1"/>
        <v>0.0259</v>
      </c>
      <c r="I19" s="7">
        <f t="shared" si="2"/>
        <v>0.0267</v>
      </c>
      <c r="J19" s="9">
        <f t="shared" si="3"/>
        <v>75.90618337</v>
      </c>
      <c r="K19" s="10">
        <v>44315.0</v>
      </c>
      <c r="L19" s="7" t="s">
        <v>14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12" t="s">
        <v>32</v>
      </c>
      <c r="B20" s="8">
        <f>93+91+78+71.5+41</f>
        <v>374.5</v>
      </c>
      <c r="C20" s="8">
        <v>12.0</v>
      </c>
      <c r="D20" s="7">
        <v>0.1237</v>
      </c>
      <c r="E20" s="7">
        <v>1.1651</v>
      </c>
      <c r="F20" s="7">
        <v>0.1342</v>
      </c>
      <c r="G20" s="5"/>
      <c r="H20" s="7">
        <f t="shared" si="1"/>
        <v>0.0105</v>
      </c>
      <c r="I20" s="7">
        <f t="shared" si="2"/>
        <v>0.0113</v>
      </c>
      <c r="J20" s="9">
        <f t="shared" si="3"/>
        <v>30.17356475</v>
      </c>
      <c r="K20" s="10">
        <v>44315.0</v>
      </c>
      <c r="L20" s="7" t="s">
        <v>14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2" t="s">
        <v>33</v>
      </c>
      <c r="B21" s="7">
        <f>96+96.75+95.5+72</f>
        <v>360.25</v>
      </c>
      <c r="C21" s="8">
        <v>4.0</v>
      </c>
      <c r="D21" s="7">
        <v>0.1242</v>
      </c>
      <c r="E21" s="7">
        <v>1.173</v>
      </c>
      <c r="F21" s="7">
        <v>0.1445</v>
      </c>
      <c r="G21" s="5"/>
      <c r="H21" s="7">
        <f t="shared" si="1"/>
        <v>0.0203</v>
      </c>
      <c r="I21" s="7">
        <f t="shared" si="2"/>
        <v>0.0211</v>
      </c>
      <c r="J21" s="9">
        <f t="shared" si="3"/>
        <v>58.5704372</v>
      </c>
      <c r="K21" s="10">
        <v>44315.0</v>
      </c>
      <c r="L21" s="7" t="s">
        <v>14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12" t="s">
        <v>34</v>
      </c>
      <c r="B22" s="7">
        <f>97+99.5+98+70.5</f>
        <v>365</v>
      </c>
      <c r="C22" s="8">
        <v>7.0</v>
      </c>
      <c r="D22" s="7">
        <v>0.123</v>
      </c>
      <c r="E22" s="7">
        <v>1.1293</v>
      </c>
      <c r="F22" s="5"/>
      <c r="G22" s="7">
        <v>1.1404</v>
      </c>
      <c r="H22" s="7">
        <f t="shared" si="1"/>
        <v>0.0111</v>
      </c>
      <c r="I22" s="7">
        <f t="shared" si="2"/>
        <v>0.0119</v>
      </c>
      <c r="J22" s="9">
        <f t="shared" si="3"/>
        <v>32.60273973</v>
      </c>
      <c r="K22" s="10">
        <v>44315.0</v>
      </c>
      <c r="L22" s="7" t="s">
        <v>14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2" t="s">
        <v>35</v>
      </c>
      <c r="B23" s="8">
        <f>91.75+95+92+65+39</f>
        <v>382.75</v>
      </c>
      <c r="C23" s="8">
        <v>9.0</v>
      </c>
      <c r="D23" s="7">
        <v>0.1239</v>
      </c>
      <c r="E23" s="7">
        <v>1.1139</v>
      </c>
      <c r="F23" s="5"/>
      <c r="G23" s="7">
        <v>1.117</v>
      </c>
      <c r="H23" s="7">
        <f t="shared" si="1"/>
        <v>0.0031</v>
      </c>
      <c r="I23" s="7">
        <f t="shared" si="2"/>
        <v>0.0039</v>
      </c>
      <c r="J23" s="9">
        <f t="shared" si="3"/>
        <v>10.18941868</v>
      </c>
      <c r="K23" s="14">
        <v>44313.0</v>
      </c>
      <c r="L23" s="7" t="s">
        <v>14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12" t="s">
        <v>36</v>
      </c>
      <c r="B24" s="8">
        <f>98+93.75+98.75+84.75</f>
        <v>375.25</v>
      </c>
      <c r="C24" s="8">
        <v>2.0</v>
      </c>
      <c r="D24" s="7">
        <v>0.1233</v>
      </c>
      <c r="E24" s="7">
        <v>1.1518</v>
      </c>
      <c r="F24" s="7">
        <v>0.1245</v>
      </c>
      <c r="G24" s="5"/>
      <c r="H24" s="7">
        <f t="shared" si="1"/>
        <v>0.0012</v>
      </c>
      <c r="I24" s="7">
        <f t="shared" si="2"/>
        <v>0.002</v>
      </c>
      <c r="J24" s="9">
        <f t="shared" si="3"/>
        <v>5.329780147</v>
      </c>
      <c r="K24" s="14">
        <v>44313.0</v>
      </c>
      <c r="L24" s="7" t="s">
        <v>14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2" t="s">
        <v>37</v>
      </c>
      <c r="B25" s="8">
        <f>93+96.5+93+73.5</f>
        <v>356</v>
      </c>
      <c r="C25" s="8">
        <v>14.0</v>
      </c>
      <c r="D25" s="7">
        <v>0.1235</v>
      </c>
      <c r="E25" s="7">
        <v>1.1591</v>
      </c>
      <c r="F25" s="7">
        <v>0.1463</v>
      </c>
      <c r="G25" s="5"/>
      <c r="H25" s="7">
        <f t="shared" si="1"/>
        <v>0.0228</v>
      </c>
      <c r="I25" s="7">
        <f t="shared" si="2"/>
        <v>0.0236</v>
      </c>
      <c r="J25" s="9">
        <f t="shared" si="3"/>
        <v>66.29213483</v>
      </c>
      <c r="K25" s="10">
        <v>44315.0</v>
      </c>
      <c r="L25" s="7" t="s">
        <v>14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6" t="s">
        <v>38</v>
      </c>
      <c r="B26" s="8">
        <f>98+94.5+92.5+73.5</f>
        <v>358.5</v>
      </c>
      <c r="C26" s="8">
        <v>11.0</v>
      </c>
      <c r="D26" s="7">
        <v>0.1244</v>
      </c>
      <c r="E26" s="7">
        <v>1.1298</v>
      </c>
      <c r="F26" s="5"/>
      <c r="G26" s="7">
        <v>1.1432</v>
      </c>
      <c r="H26" s="7">
        <f t="shared" si="1"/>
        <v>0.0134</v>
      </c>
      <c r="I26" s="7">
        <f t="shared" si="2"/>
        <v>0.0142</v>
      </c>
      <c r="J26" s="9">
        <f t="shared" si="3"/>
        <v>39.60948396</v>
      </c>
      <c r="K26" s="10">
        <v>44315.0</v>
      </c>
      <c r="L26" s="7" t="s">
        <v>14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6" t="s">
        <v>39</v>
      </c>
      <c r="B27" s="8">
        <f>91.5+82+95.5+79</f>
        <v>348</v>
      </c>
      <c r="C27" s="8">
        <v>6.0</v>
      </c>
      <c r="D27" s="7">
        <v>0.1239</v>
      </c>
      <c r="E27" s="7">
        <v>1.1482</v>
      </c>
      <c r="F27" s="7">
        <v>0.125</v>
      </c>
      <c r="G27" s="5"/>
      <c r="H27" s="7">
        <f t="shared" si="1"/>
        <v>0.0011</v>
      </c>
      <c r="I27" s="7">
        <f t="shared" si="2"/>
        <v>0.0019</v>
      </c>
      <c r="J27" s="9">
        <f t="shared" si="3"/>
        <v>5.459770115</v>
      </c>
      <c r="K27" s="14">
        <v>44313.0</v>
      </c>
      <c r="L27" s="7" t="s">
        <v>14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12" t="s">
        <v>40</v>
      </c>
      <c r="B28" s="8">
        <f>95+83.5+97.5+70</f>
        <v>346</v>
      </c>
      <c r="C28" s="8">
        <v>7.0</v>
      </c>
      <c r="D28" s="7">
        <v>0.1248</v>
      </c>
      <c r="E28" s="7">
        <v>1.1565</v>
      </c>
      <c r="F28" s="5"/>
      <c r="G28" s="7">
        <v>1.1571</v>
      </c>
      <c r="H28" s="7">
        <f t="shared" si="1"/>
        <v>0.0006</v>
      </c>
      <c r="I28" s="7">
        <f t="shared" si="2"/>
        <v>0.0014</v>
      </c>
      <c r="J28" s="9">
        <f t="shared" si="3"/>
        <v>4.046242775</v>
      </c>
      <c r="K28" s="14">
        <v>44313.0</v>
      </c>
      <c r="L28" s="7" t="s">
        <v>14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12" t="s">
        <v>41</v>
      </c>
      <c r="B29" s="8">
        <f>91+91.75+90+63</f>
        <v>335.75</v>
      </c>
      <c r="C29" s="8">
        <v>10.0</v>
      </c>
      <c r="D29" s="7">
        <v>0.1237</v>
      </c>
      <c r="E29" s="7">
        <v>1.1614</v>
      </c>
      <c r="F29" s="7">
        <v>0.1455</v>
      </c>
      <c r="G29" s="5"/>
      <c r="H29" s="7">
        <f t="shared" si="1"/>
        <v>0.0218</v>
      </c>
      <c r="I29" s="7">
        <f t="shared" si="2"/>
        <v>0.0226</v>
      </c>
      <c r="J29" s="9">
        <f t="shared" si="3"/>
        <v>67.31198809</v>
      </c>
      <c r="K29" s="10">
        <v>44315.0</v>
      </c>
      <c r="L29" s="7" t="s">
        <v>14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12" t="s">
        <v>42</v>
      </c>
      <c r="B30" s="8">
        <f>97+93.25+96+70</f>
        <v>356.25</v>
      </c>
      <c r="C30" s="8">
        <v>9.0</v>
      </c>
      <c r="D30" s="7">
        <v>0.1242</v>
      </c>
      <c r="E30" s="7">
        <v>1.1729</v>
      </c>
      <c r="F30" s="5"/>
      <c r="G30" s="7">
        <v>1.1813</v>
      </c>
      <c r="H30" s="7">
        <f t="shared" si="1"/>
        <v>0.0084</v>
      </c>
      <c r="I30" s="7">
        <f t="shared" si="2"/>
        <v>0.0092</v>
      </c>
      <c r="J30" s="9">
        <f t="shared" si="3"/>
        <v>25.8245614</v>
      </c>
      <c r="K30" s="10">
        <v>44315.0</v>
      </c>
      <c r="L30" s="7" t="s">
        <v>14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6" t="s">
        <v>43</v>
      </c>
      <c r="B31" s="8">
        <f>96+97+99+64</f>
        <v>356</v>
      </c>
      <c r="C31" s="8">
        <v>8.0</v>
      </c>
      <c r="D31" s="7">
        <v>0.1239</v>
      </c>
      <c r="E31" s="7">
        <v>1.1496</v>
      </c>
      <c r="F31" s="5"/>
      <c r="G31" s="7">
        <v>1.1554</v>
      </c>
      <c r="H31" s="7">
        <f t="shared" si="1"/>
        <v>0.0058</v>
      </c>
      <c r="I31" s="7">
        <f t="shared" si="2"/>
        <v>0.0066</v>
      </c>
      <c r="J31" s="9">
        <f t="shared" si="3"/>
        <v>18.53932584</v>
      </c>
      <c r="K31" s="10">
        <v>44315.0</v>
      </c>
      <c r="L31" s="7" t="s">
        <v>14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16" t="s">
        <v>44</v>
      </c>
      <c r="B32" s="7">
        <f>91.5+87.75+93+92.5+98.75+48.5</f>
        <v>512</v>
      </c>
      <c r="C32" s="7">
        <v>2.0</v>
      </c>
      <c r="D32" s="7">
        <v>0.1236</v>
      </c>
      <c r="E32" s="7">
        <v>1.1521</v>
      </c>
      <c r="F32" s="7">
        <v>0.1273</v>
      </c>
      <c r="G32" s="5"/>
      <c r="H32" s="7">
        <f t="shared" si="1"/>
        <v>0.0037</v>
      </c>
      <c r="I32" s="7">
        <f t="shared" si="2"/>
        <v>0.0045</v>
      </c>
      <c r="J32" s="9">
        <f t="shared" si="3"/>
        <v>8.7890625</v>
      </c>
      <c r="K32" s="17">
        <v>44460.0</v>
      </c>
      <c r="L32" s="7" t="s">
        <v>14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6" t="s">
        <v>45</v>
      </c>
      <c r="B33" s="7">
        <f>94+97+84.25+87+96.75+39</f>
        <v>498</v>
      </c>
      <c r="C33" s="7">
        <v>5.0</v>
      </c>
      <c r="D33" s="7">
        <v>0.124</v>
      </c>
      <c r="E33" s="7">
        <v>1.1596</v>
      </c>
      <c r="F33" s="7">
        <v>0.1271</v>
      </c>
      <c r="G33" s="5"/>
      <c r="H33" s="7">
        <f t="shared" si="1"/>
        <v>0.0031</v>
      </c>
      <c r="I33" s="7">
        <f t="shared" si="2"/>
        <v>0.0039</v>
      </c>
      <c r="J33" s="9">
        <f t="shared" si="3"/>
        <v>7.831325301</v>
      </c>
      <c r="K33" s="17">
        <v>44460.0</v>
      </c>
      <c r="L33" s="7" t="s">
        <v>14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6" t="s">
        <v>46</v>
      </c>
      <c r="B34" s="7">
        <f>98.75+88+94.75+91.5+63+57</f>
        <v>493</v>
      </c>
      <c r="C34" s="7">
        <v>10.0</v>
      </c>
      <c r="D34" s="7">
        <v>0.1238</v>
      </c>
      <c r="E34" s="7">
        <v>1.1615</v>
      </c>
      <c r="F34" s="7">
        <v>0.1266</v>
      </c>
      <c r="G34" s="5"/>
      <c r="H34" s="7">
        <f t="shared" si="1"/>
        <v>0.0028</v>
      </c>
      <c r="I34" s="7">
        <f t="shared" si="2"/>
        <v>0.0036</v>
      </c>
      <c r="J34" s="9">
        <f t="shared" si="3"/>
        <v>7.302231237</v>
      </c>
      <c r="K34" s="17">
        <v>44460.0</v>
      </c>
      <c r="L34" s="7" t="s">
        <v>14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6" t="s">
        <v>47</v>
      </c>
      <c r="B35" s="7">
        <f>94.75+84+85.75+89.25+31.75+69.75</f>
        <v>455.25</v>
      </c>
      <c r="C35" s="7">
        <v>12.0</v>
      </c>
      <c r="D35" s="7">
        <v>0.1242</v>
      </c>
      <c r="E35" s="7">
        <v>1.1655</v>
      </c>
      <c r="F35" s="7">
        <v>0.1382</v>
      </c>
      <c r="G35" s="5"/>
      <c r="H35" s="7">
        <f t="shared" si="1"/>
        <v>0.014</v>
      </c>
      <c r="I35" s="7">
        <f t="shared" si="2"/>
        <v>0.0148</v>
      </c>
      <c r="J35" s="9">
        <f t="shared" si="3"/>
        <v>32.5096101</v>
      </c>
      <c r="K35" s="17">
        <v>44460.0</v>
      </c>
      <c r="L35" s="7" t="s">
        <v>14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5" t="s">
        <v>48</v>
      </c>
      <c r="B36" s="8">
        <f>98.25+92.75+96.75+37.25</f>
        <v>325</v>
      </c>
      <c r="C36" s="8">
        <v>8.0</v>
      </c>
      <c r="D36" s="7">
        <v>0.1188</v>
      </c>
      <c r="E36" s="7">
        <v>1.2622</v>
      </c>
      <c r="F36" s="7">
        <v>0.1206</v>
      </c>
      <c r="G36" s="5"/>
      <c r="H36" s="7">
        <f t="shared" si="1"/>
        <v>0.0018</v>
      </c>
      <c r="I36" s="7">
        <f t="shared" ref="I36:I122" si="4">H36+0.003</f>
        <v>0.0048</v>
      </c>
      <c r="J36" s="9">
        <f t="shared" si="3"/>
        <v>14.76923077</v>
      </c>
      <c r="K36" s="18"/>
      <c r="L36" s="7" t="s">
        <v>49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5" t="s">
        <v>50</v>
      </c>
      <c r="B37" s="8">
        <f>96.75+99+97+27.5</f>
        <v>320.25</v>
      </c>
      <c r="C37" s="8">
        <v>9.0</v>
      </c>
      <c r="D37" s="7">
        <v>0.1187</v>
      </c>
      <c r="E37" s="7">
        <v>1.2457</v>
      </c>
      <c r="F37" s="7">
        <v>0.1202</v>
      </c>
      <c r="G37" s="5"/>
      <c r="H37" s="7">
        <f t="shared" si="1"/>
        <v>0.0015</v>
      </c>
      <c r="I37" s="7">
        <f t="shared" si="4"/>
        <v>0.0045</v>
      </c>
      <c r="J37" s="9">
        <f t="shared" si="3"/>
        <v>14.05152225</v>
      </c>
      <c r="K37" s="18"/>
      <c r="L37" s="7" t="s">
        <v>49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5" t="s">
        <v>51</v>
      </c>
      <c r="B38" s="8">
        <f>94+97.75+94.5+57.5</f>
        <v>343.75</v>
      </c>
      <c r="C38" s="8">
        <v>10.0</v>
      </c>
      <c r="D38" s="7">
        <v>0.1161</v>
      </c>
      <c r="E38" s="7">
        <v>1.2442</v>
      </c>
      <c r="F38" s="7">
        <v>0.117</v>
      </c>
      <c r="G38" s="5"/>
      <c r="H38" s="7">
        <f t="shared" si="1"/>
        <v>0.0009</v>
      </c>
      <c r="I38" s="7">
        <f t="shared" si="4"/>
        <v>0.0039</v>
      </c>
      <c r="J38" s="9">
        <f t="shared" si="3"/>
        <v>11.34545455</v>
      </c>
      <c r="K38" s="19"/>
      <c r="L38" s="7" t="s">
        <v>49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5" t="s">
        <v>52</v>
      </c>
      <c r="B39" s="8">
        <f>97+93.5+98+63.5</f>
        <v>352</v>
      </c>
      <c r="C39" s="8">
        <v>11.0</v>
      </c>
      <c r="D39" s="7">
        <v>0.1175</v>
      </c>
      <c r="E39" s="7">
        <v>1.2595</v>
      </c>
      <c r="F39" s="7">
        <v>0.1215</v>
      </c>
      <c r="G39" s="5"/>
      <c r="H39" s="7">
        <f t="shared" si="1"/>
        <v>0.004</v>
      </c>
      <c r="I39" s="7">
        <f t="shared" si="4"/>
        <v>0.007</v>
      </c>
      <c r="J39" s="9">
        <f t="shared" si="3"/>
        <v>19.88636364</v>
      </c>
      <c r="K39" s="19"/>
      <c r="L39" s="7" t="s">
        <v>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5" t="s">
        <v>53</v>
      </c>
      <c r="B40" s="8">
        <f>91+94.5+94.5+41</f>
        <v>321</v>
      </c>
      <c r="C40" s="8">
        <v>12.0</v>
      </c>
      <c r="D40" s="7">
        <v>0.1189</v>
      </c>
      <c r="E40" s="7">
        <v>1.2609</v>
      </c>
      <c r="F40" s="7">
        <v>0.1192</v>
      </c>
      <c r="G40" s="5"/>
      <c r="H40" s="7">
        <f t="shared" si="1"/>
        <v>0.0003</v>
      </c>
      <c r="I40" s="7">
        <f t="shared" si="4"/>
        <v>0.0033</v>
      </c>
      <c r="J40" s="9">
        <f t="shared" si="3"/>
        <v>10.28037383</v>
      </c>
      <c r="K40" s="19"/>
      <c r="L40" s="7" t="s">
        <v>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5" t="s">
        <v>54</v>
      </c>
      <c r="B41" s="8">
        <f>96+96.75+97.25+24</f>
        <v>314</v>
      </c>
      <c r="C41" s="8">
        <v>13.0</v>
      </c>
      <c r="D41" s="7">
        <v>0.1164</v>
      </c>
      <c r="E41" s="7">
        <v>1.2546</v>
      </c>
      <c r="F41" s="7">
        <v>0.1151</v>
      </c>
      <c r="G41" s="5"/>
      <c r="H41" s="7">
        <f t="shared" si="1"/>
        <v>-0.0013</v>
      </c>
      <c r="I41" s="7">
        <f t="shared" si="4"/>
        <v>0.0017</v>
      </c>
      <c r="J41" s="9">
        <f t="shared" si="3"/>
        <v>5.414012739</v>
      </c>
      <c r="K41" s="19"/>
      <c r="L41" s="7" t="s">
        <v>49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5" t="s">
        <v>55</v>
      </c>
      <c r="B42" s="8">
        <f>97.5+93+99.5+91</f>
        <v>381</v>
      </c>
      <c r="C42" s="8">
        <v>7.0</v>
      </c>
      <c r="D42" s="7">
        <v>0.1167</v>
      </c>
      <c r="E42" s="7">
        <v>1.2531</v>
      </c>
      <c r="F42" s="7">
        <v>0.1195</v>
      </c>
      <c r="G42" s="5"/>
      <c r="H42" s="7">
        <f t="shared" si="1"/>
        <v>0.0028</v>
      </c>
      <c r="I42" s="7">
        <f t="shared" si="4"/>
        <v>0.0058</v>
      </c>
      <c r="J42" s="9">
        <f t="shared" si="3"/>
        <v>15.22309711</v>
      </c>
      <c r="K42" s="19"/>
      <c r="L42" s="7" t="s">
        <v>49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5" t="s">
        <v>56</v>
      </c>
      <c r="B43" s="8">
        <f>97+95+91+24</f>
        <v>307</v>
      </c>
      <c r="C43" s="8">
        <v>13.0</v>
      </c>
      <c r="D43" s="7">
        <v>0.1164</v>
      </c>
      <c r="E43" s="7">
        <v>1.254</v>
      </c>
      <c r="F43" s="7">
        <v>0.1163</v>
      </c>
      <c r="G43" s="5"/>
      <c r="H43" s="7">
        <f t="shared" si="1"/>
        <v>-0.0001</v>
      </c>
      <c r="I43" s="7">
        <f t="shared" si="4"/>
        <v>0.0029</v>
      </c>
      <c r="J43" s="9">
        <f t="shared" si="3"/>
        <v>9.446254072</v>
      </c>
      <c r="K43" s="19"/>
      <c r="L43" s="7" t="s">
        <v>49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5" t="s">
        <v>57</v>
      </c>
      <c r="B44" s="8">
        <f>95+94.5+100+42.5</f>
        <v>332</v>
      </c>
      <c r="C44" s="8">
        <v>1.0</v>
      </c>
      <c r="D44" s="7">
        <v>0.1172</v>
      </c>
      <c r="E44" s="7">
        <v>1.2526</v>
      </c>
      <c r="F44" s="7">
        <v>0.1196</v>
      </c>
      <c r="G44" s="5"/>
      <c r="H44" s="7">
        <f t="shared" si="1"/>
        <v>0.0024</v>
      </c>
      <c r="I44" s="7">
        <f t="shared" si="4"/>
        <v>0.0054</v>
      </c>
      <c r="J44" s="9">
        <f t="shared" si="3"/>
        <v>16.26506024</v>
      </c>
      <c r="K44" s="10">
        <v>44070.0</v>
      </c>
      <c r="L44" s="7" t="s">
        <v>49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5" t="s">
        <v>58</v>
      </c>
      <c r="B45" s="8">
        <f>94+95.5+93+30.5</f>
        <v>313</v>
      </c>
      <c r="C45" s="8">
        <v>2.0</v>
      </c>
      <c r="D45" s="7">
        <v>0.1191</v>
      </c>
      <c r="E45" s="7">
        <v>1.2667</v>
      </c>
      <c r="F45" s="7">
        <v>0.1206</v>
      </c>
      <c r="G45" s="5"/>
      <c r="H45" s="7">
        <f t="shared" si="1"/>
        <v>0.0015</v>
      </c>
      <c r="I45" s="7">
        <f t="shared" si="4"/>
        <v>0.0045</v>
      </c>
      <c r="J45" s="9">
        <f t="shared" si="3"/>
        <v>14.37699681</v>
      </c>
      <c r="K45" s="10">
        <v>44070.0</v>
      </c>
      <c r="L45" s="7" t="s">
        <v>49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5" t="s">
        <v>59</v>
      </c>
      <c r="B46" s="8">
        <f>91.5+98.5+96.5+97+12</f>
        <v>395.5</v>
      </c>
      <c r="C46" s="8">
        <v>3.0</v>
      </c>
      <c r="D46" s="7">
        <v>0.1172</v>
      </c>
      <c r="E46" s="7">
        <v>1.2546</v>
      </c>
      <c r="F46" s="7">
        <v>0.1506</v>
      </c>
      <c r="G46" s="5"/>
      <c r="H46" s="7">
        <f t="shared" si="1"/>
        <v>0.0334</v>
      </c>
      <c r="I46" s="7">
        <f t="shared" si="4"/>
        <v>0.0364</v>
      </c>
      <c r="J46" s="9">
        <f t="shared" si="3"/>
        <v>160.0505689</v>
      </c>
      <c r="K46" s="10">
        <v>44070.0</v>
      </c>
      <c r="L46" s="7" t="s">
        <v>49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15" t="s">
        <v>59</v>
      </c>
      <c r="B47" s="8">
        <v>0.0</v>
      </c>
      <c r="C47" s="8">
        <v>4.0</v>
      </c>
      <c r="D47" s="7">
        <v>0.1168</v>
      </c>
      <c r="E47" s="7">
        <v>1.2461</v>
      </c>
      <c r="F47" s="7">
        <v>0.1407</v>
      </c>
      <c r="G47" s="5"/>
      <c r="H47" s="7">
        <f t="shared" si="1"/>
        <v>0.0239</v>
      </c>
      <c r="I47" s="7">
        <f t="shared" si="4"/>
        <v>0.0269</v>
      </c>
      <c r="J47" s="9" t="str">
        <f t="shared" si="3"/>
        <v>see above</v>
      </c>
      <c r="K47" s="10">
        <v>44070.0</v>
      </c>
      <c r="L47" s="7" t="s">
        <v>49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15" t="s">
        <v>60</v>
      </c>
      <c r="B48" s="8">
        <f>96+95+98+66</f>
        <v>355</v>
      </c>
      <c r="C48" s="8">
        <v>5.0</v>
      </c>
      <c r="D48" s="7">
        <v>0.1188</v>
      </c>
      <c r="E48" s="7">
        <v>1.2636</v>
      </c>
      <c r="F48" s="7">
        <v>0.1533</v>
      </c>
      <c r="G48" s="5"/>
      <c r="H48" s="7">
        <f t="shared" si="1"/>
        <v>0.0345</v>
      </c>
      <c r="I48" s="7">
        <f t="shared" si="4"/>
        <v>0.0375</v>
      </c>
      <c r="J48" s="9">
        <f t="shared" si="3"/>
        <v>193.2394366</v>
      </c>
      <c r="K48" s="10">
        <v>44070.0</v>
      </c>
      <c r="L48" s="7" t="s">
        <v>49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15" t="s">
        <v>60</v>
      </c>
      <c r="B49" s="8">
        <v>0.0</v>
      </c>
      <c r="C49" s="8">
        <v>6.0</v>
      </c>
      <c r="D49" s="7">
        <v>0.1169</v>
      </c>
      <c r="E49" s="7">
        <v>1.2588</v>
      </c>
      <c r="F49" s="5"/>
      <c r="G49" s="7">
        <v>1.2869</v>
      </c>
      <c r="H49" s="7">
        <f t="shared" si="1"/>
        <v>0.0281</v>
      </c>
      <c r="I49" s="7">
        <f t="shared" si="4"/>
        <v>0.0311</v>
      </c>
      <c r="J49" s="9" t="str">
        <f t="shared" si="3"/>
        <v>see above</v>
      </c>
      <c r="K49" s="10">
        <v>44070.0</v>
      </c>
      <c r="L49" s="7" t="s">
        <v>49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15" t="s">
        <v>61</v>
      </c>
      <c r="B50" s="8">
        <f>97.5+89+96.5+90.5</f>
        <v>373.5</v>
      </c>
      <c r="C50" s="8">
        <v>7.0</v>
      </c>
      <c r="D50" s="7">
        <v>0.1163</v>
      </c>
      <c r="E50" s="7">
        <v>1.261</v>
      </c>
      <c r="F50" s="5"/>
      <c r="G50" s="7">
        <v>1.2932</v>
      </c>
      <c r="H50" s="7">
        <f t="shared" si="1"/>
        <v>0.0322</v>
      </c>
      <c r="I50" s="7">
        <f t="shared" si="4"/>
        <v>0.0352</v>
      </c>
      <c r="J50" s="9">
        <f t="shared" si="3"/>
        <v>151.5394913</v>
      </c>
      <c r="K50" s="10">
        <v>44070.0</v>
      </c>
      <c r="L50" s="7" t="s">
        <v>49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5" t="s">
        <v>61</v>
      </c>
      <c r="B51" s="8">
        <v>0.0</v>
      </c>
      <c r="C51" s="8">
        <v>8.0</v>
      </c>
      <c r="D51" s="7">
        <v>0.1195</v>
      </c>
      <c r="E51" s="7">
        <v>1.2624</v>
      </c>
      <c r="F51" s="7">
        <v>0.1379</v>
      </c>
      <c r="G51" s="5"/>
      <c r="H51" s="7">
        <f t="shared" si="1"/>
        <v>0.0184</v>
      </c>
      <c r="I51" s="7">
        <f t="shared" si="4"/>
        <v>0.0214</v>
      </c>
      <c r="J51" s="9" t="str">
        <f t="shared" si="3"/>
        <v>see above</v>
      </c>
      <c r="K51" s="10">
        <v>44070.0</v>
      </c>
      <c r="L51" s="7" t="s">
        <v>49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5" t="s">
        <v>62</v>
      </c>
      <c r="B52" s="8">
        <f>100+94+93.5+86</f>
        <v>373.5</v>
      </c>
      <c r="C52" s="8">
        <v>9.0</v>
      </c>
      <c r="D52" s="7">
        <v>0.1159</v>
      </c>
      <c r="E52" s="7">
        <v>1.2433</v>
      </c>
      <c r="F52" s="5"/>
      <c r="G52" s="7">
        <v>1.2756</v>
      </c>
      <c r="H52" s="7">
        <f t="shared" si="1"/>
        <v>0.0323</v>
      </c>
      <c r="I52" s="7">
        <f t="shared" si="4"/>
        <v>0.0353</v>
      </c>
      <c r="J52" s="9">
        <f t="shared" si="3"/>
        <v>141.3654618</v>
      </c>
      <c r="K52" s="10">
        <v>44070.0</v>
      </c>
      <c r="L52" s="7" t="s">
        <v>49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15" t="s">
        <v>62</v>
      </c>
      <c r="B53" s="8">
        <v>0.0</v>
      </c>
      <c r="C53" s="8">
        <v>10.0</v>
      </c>
      <c r="D53" s="7">
        <v>0.1168</v>
      </c>
      <c r="E53" s="7">
        <v>1.2456</v>
      </c>
      <c r="F53" s="5"/>
      <c r="G53" s="7">
        <v>1.2601</v>
      </c>
      <c r="H53" s="7">
        <f t="shared" si="1"/>
        <v>0.0145</v>
      </c>
      <c r="I53" s="7">
        <f t="shared" si="4"/>
        <v>0.0175</v>
      </c>
      <c r="J53" s="9" t="str">
        <f t="shared" si="3"/>
        <v>see above</v>
      </c>
      <c r="K53" s="10">
        <v>44070.0</v>
      </c>
      <c r="L53" s="7" t="s">
        <v>49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15" t="s">
        <v>63</v>
      </c>
      <c r="B54" s="8">
        <f>97+92+68</f>
        <v>257</v>
      </c>
      <c r="C54" s="8">
        <v>11.0</v>
      </c>
      <c r="D54" s="7">
        <v>0.1189</v>
      </c>
      <c r="E54" s="7">
        <v>1.2609</v>
      </c>
      <c r="F54" s="7">
        <v>0.1253</v>
      </c>
      <c r="G54" s="5"/>
      <c r="H54" s="7">
        <f t="shared" si="1"/>
        <v>0.0064</v>
      </c>
      <c r="I54" s="7">
        <f t="shared" si="4"/>
        <v>0.0094</v>
      </c>
      <c r="J54" s="9">
        <f t="shared" si="3"/>
        <v>36.57587549</v>
      </c>
      <c r="K54" s="10">
        <v>44070.0</v>
      </c>
      <c r="L54" s="7" t="s">
        <v>49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15" t="s">
        <v>64</v>
      </c>
      <c r="B55" s="8">
        <f>92+94+95+92.5</f>
        <v>373.5</v>
      </c>
      <c r="C55" s="8">
        <v>12.0</v>
      </c>
      <c r="D55" s="7">
        <v>0.1163</v>
      </c>
      <c r="E55" s="7">
        <v>1.2577</v>
      </c>
      <c r="F55" s="7">
        <v>0.1164</v>
      </c>
      <c r="G55" s="5"/>
      <c r="H55" s="7">
        <f t="shared" si="1"/>
        <v>0.0001</v>
      </c>
      <c r="I55" s="7">
        <f t="shared" si="4"/>
        <v>0.0031</v>
      </c>
      <c r="J55" s="9">
        <f t="shared" si="3"/>
        <v>8.299866131</v>
      </c>
      <c r="K55" s="10">
        <v>44070.0</v>
      </c>
      <c r="L55" s="7" t="s">
        <v>49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5" t="s">
        <v>65</v>
      </c>
      <c r="B56" s="8">
        <f>93+97+98+73</f>
        <v>361</v>
      </c>
      <c r="C56" s="8">
        <v>13.0</v>
      </c>
      <c r="D56" s="7">
        <v>0.1169</v>
      </c>
      <c r="E56" s="7">
        <v>1.2547</v>
      </c>
      <c r="F56" s="7">
        <v>0.1177</v>
      </c>
      <c r="G56" s="5"/>
      <c r="H56" s="7">
        <f t="shared" si="1"/>
        <v>0.0008</v>
      </c>
      <c r="I56" s="7">
        <f t="shared" si="4"/>
        <v>0.0038</v>
      </c>
      <c r="J56" s="9">
        <f t="shared" si="3"/>
        <v>10.52631579</v>
      </c>
      <c r="K56" s="10">
        <v>44070.0</v>
      </c>
      <c r="L56" s="7" t="s">
        <v>49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5" t="s">
        <v>66</v>
      </c>
      <c r="B57" s="8">
        <f>91+99+97+73</f>
        <v>360</v>
      </c>
      <c r="C57" s="8">
        <v>14.0</v>
      </c>
      <c r="D57" s="7">
        <v>0.1187</v>
      </c>
      <c r="E57" s="7">
        <v>1.2602</v>
      </c>
      <c r="F57" s="5"/>
      <c r="G57" s="7">
        <v>1.2678</v>
      </c>
      <c r="H57" s="7">
        <f t="shared" si="1"/>
        <v>0.0076</v>
      </c>
      <c r="I57" s="7">
        <f t="shared" si="4"/>
        <v>0.0106</v>
      </c>
      <c r="J57" s="9">
        <f t="shared" si="3"/>
        <v>29.44444444</v>
      </c>
      <c r="K57" s="10">
        <v>44070.0</v>
      </c>
      <c r="L57" s="7" t="s">
        <v>49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5" t="s">
        <v>67</v>
      </c>
      <c r="B58" s="8">
        <f>97+96+105+68</f>
        <v>366</v>
      </c>
      <c r="C58" s="8">
        <v>15.0</v>
      </c>
      <c r="D58" s="7">
        <v>0.1167</v>
      </c>
      <c r="E58" s="7">
        <v>1.2416</v>
      </c>
      <c r="F58" s="5"/>
      <c r="G58" s="7">
        <v>1.2482</v>
      </c>
      <c r="H58" s="7">
        <f t="shared" si="1"/>
        <v>0.0066</v>
      </c>
      <c r="I58" s="7">
        <f t="shared" si="4"/>
        <v>0.0096</v>
      </c>
      <c r="J58" s="9">
        <f t="shared" si="3"/>
        <v>26.2295082</v>
      </c>
      <c r="K58" s="10">
        <v>44070.0</v>
      </c>
      <c r="L58" s="7" t="s">
        <v>49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6" t="s">
        <v>68</v>
      </c>
      <c r="B59" s="7">
        <f>89.5+88+90.5+88+27.75</f>
        <v>383.75</v>
      </c>
      <c r="C59" s="7">
        <v>1.0</v>
      </c>
      <c r="D59" s="7">
        <v>0.1191</v>
      </c>
      <c r="E59" s="7">
        <v>1.2596</v>
      </c>
      <c r="F59" s="5"/>
      <c r="G59" s="7">
        <v>1.2713</v>
      </c>
      <c r="H59" s="7">
        <f t="shared" si="1"/>
        <v>0.0117</v>
      </c>
      <c r="I59" s="7">
        <f t="shared" si="4"/>
        <v>0.0147</v>
      </c>
      <c r="J59" s="9">
        <f t="shared" si="3"/>
        <v>58.3713355</v>
      </c>
      <c r="K59" s="20"/>
      <c r="L59" s="7" t="s">
        <v>49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6" t="s">
        <v>68</v>
      </c>
      <c r="B60" s="7">
        <v>0.0</v>
      </c>
      <c r="C60" s="7">
        <v>2.0</v>
      </c>
      <c r="D60" s="7">
        <v>0.1158</v>
      </c>
      <c r="E60" s="7">
        <v>1.2634</v>
      </c>
      <c r="F60" s="7">
        <v>0.1205</v>
      </c>
      <c r="G60" s="5"/>
      <c r="H60" s="7">
        <f t="shared" si="1"/>
        <v>0.0047</v>
      </c>
      <c r="I60" s="7">
        <f t="shared" si="4"/>
        <v>0.0077</v>
      </c>
      <c r="J60" s="9" t="str">
        <f t="shared" si="3"/>
        <v>see above</v>
      </c>
      <c r="K60" s="20"/>
      <c r="L60" s="7" t="s">
        <v>49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6" t="s">
        <v>69</v>
      </c>
      <c r="B61" s="7">
        <f>88.5+92.5+93+96.5+88</f>
        <v>458.5</v>
      </c>
      <c r="C61" s="7">
        <v>3.0</v>
      </c>
      <c r="D61" s="7">
        <v>0.1169</v>
      </c>
      <c r="E61" s="7">
        <v>1.2545</v>
      </c>
      <c r="F61" s="7">
        <v>0.1203</v>
      </c>
      <c r="G61" s="5"/>
      <c r="H61" s="7">
        <f t="shared" si="1"/>
        <v>0.0034</v>
      </c>
      <c r="I61" s="7">
        <f t="shared" si="4"/>
        <v>0.0064</v>
      </c>
      <c r="J61" s="9">
        <f t="shared" si="3"/>
        <v>13.95856052</v>
      </c>
      <c r="K61" s="20"/>
      <c r="L61" s="7" t="s">
        <v>49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16" t="s">
        <v>70</v>
      </c>
      <c r="B62" s="7">
        <f>95+95.5+91.25+95.25+48.25</f>
        <v>425.25</v>
      </c>
      <c r="C62" s="7">
        <v>4.0</v>
      </c>
      <c r="D62" s="7">
        <v>0.1176</v>
      </c>
      <c r="E62" s="7">
        <v>1.2473</v>
      </c>
      <c r="F62" s="7">
        <v>0.1214</v>
      </c>
      <c r="G62" s="5"/>
      <c r="H62" s="7">
        <f t="shared" si="1"/>
        <v>0.0038</v>
      </c>
      <c r="I62" s="7">
        <f t="shared" si="4"/>
        <v>0.0068</v>
      </c>
      <c r="J62" s="9">
        <f t="shared" si="3"/>
        <v>15.99059377</v>
      </c>
      <c r="K62" s="20"/>
      <c r="L62" s="7" t="s">
        <v>49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6" t="s">
        <v>71</v>
      </c>
      <c r="B63" s="7">
        <f>94.75+93+94.5+98+62.75</f>
        <v>443</v>
      </c>
      <c r="C63" s="7">
        <v>5.0</v>
      </c>
      <c r="D63" s="7">
        <v>0.1173</v>
      </c>
      <c r="E63" s="7">
        <v>1.2622</v>
      </c>
      <c r="F63" s="7">
        <v>0.1208</v>
      </c>
      <c r="G63" s="5"/>
      <c r="H63" s="7">
        <f t="shared" si="1"/>
        <v>0.0035</v>
      </c>
      <c r="I63" s="7">
        <f t="shared" si="4"/>
        <v>0.0065</v>
      </c>
      <c r="J63" s="9">
        <f t="shared" si="3"/>
        <v>14.67268623</v>
      </c>
      <c r="K63" s="20"/>
      <c r="L63" s="7" t="s">
        <v>49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6" t="s">
        <v>72</v>
      </c>
      <c r="B64" s="7">
        <f>90.75+92+86.75+89+77</f>
        <v>435.5</v>
      </c>
      <c r="C64" s="7">
        <v>6.0</v>
      </c>
      <c r="D64" s="7">
        <v>0.1172</v>
      </c>
      <c r="E64" s="7">
        <v>1.2606</v>
      </c>
      <c r="F64" s="7">
        <v>0.1197</v>
      </c>
      <c r="G64" s="5"/>
      <c r="H64" s="7">
        <f t="shared" si="1"/>
        <v>0.0025</v>
      </c>
      <c r="I64" s="7">
        <f t="shared" si="4"/>
        <v>0.0055</v>
      </c>
      <c r="J64" s="9">
        <f t="shared" si="3"/>
        <v>12.62916188</v>
      </c>
      <c r="K64" s="20"/>
      <c r="L64" s="7" t="s">
        <v>49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6" t="s">
        <v>73</v>
      </c>
      <c r="B65" s="7">
        <f>96+90+93+90.5+21.5+1.5</f>
        <v>392.5</v>
      </c>
      <c r="C65" s="7">
        <v>1.0</v>
      </c>
      <c r="D65" s="7">
        <v>0.1171</v>
      </c>
      <c r="E65" s="7">
        <v>1.2518</v>
      </c>
      <c r="F65" s="7">
        <v>0.1183</v>
      </c>
      <c r="G65" s="5"/>
      <c r="H65" s="7">
        <f t="shared" si="1"/>
        <v>0.0012</v>
      </c>
      <c r="I65" s="7">
        <f t="shared" si="4"/>
        <v>0.0042</v>
      </c>
      <c r="J65" s="9">
        <f t="shared" si="3"/>
        <v>10.70063694</v>
      </c>
      <c r="K65" s="20"/>
      <c r="L65" s="7" t="s">
        <v>49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6" t="s">
        <v>74</v>
      </c>
      <c r="B66" s="7">
        <f>92+93+97+94+76+22</f>
        <v>474</v>
      </c>
      <c r="C66" s="7">
        <v>2.0</v>
      </c>
      <c r="D66" s="7">
        <v>0.1192</v>
      </c>
      <c r="E66" s="7">
        <v>1.267</v>
      </c>
      <c r="F66" s="7">
        <v>0.1251</v>
      </c>
      <c r="G66" s="5"/>
      <c r="H66" s="7">
        <f t="shared" si="1"/>
        <v>0.0059</v>
      </c>
      <c r="I66" s="7">
        <f t="shared" si="4"/>
        <v>0.0089</v>
      </c>
      <c r="J66" s="9">
        <f t="shared" si="3"/>
        <v>25.10548523</v>
      </c>
      <c r="K66" s="20"/>
      <c r="L66" s="7" t="s">
        <v>49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6" t="s">
        <v>74</v>
      </c>
      <c r="B67" s="7">
        <v>0.0</v>
      </c>
      <c r="C67" s="7">
        <v>3.0</v>
      </c>
      <c r="D67" s="7">
        <v>0.1156</v>
      </c>
      <c r="E67" s="7">
        <v>1.2529</v>
      </c>
      <c r="F67" s="7">
        <v>0.1156</v>
      </c>
      <c r="G67" s="5"/>
      <c r="H67" s="7">
        <f t="shared" si="1"/>
        <v>0</v>
      </c>
      <c r="I67" s="7">
        <f t="shared" si="4"/>
        <v>0.003</v>
      </c>
      <c r="J67" s="9" t="str">
        <f t="shared" si="3"/>
        <v>see above</v>
      </c>
      <c r="K67" s="20"/>
      <c r="L67" s="7" t="s">
        <v>49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6" t="s">
        <v>75</v>
      </c>
      <c r="B68" s="7">
        <f>90+91+95+91+88.5+57</f>
        <v>512.5</v>
      </c>
      <c r="C68" s="7">
        <v>4.0</v>
      </c>
      <c r="D68" s="7">
        <v>0.1159</v>
      </c>
      <c r="E68" s="7">
        <v>1.2449</v>
      </c>
      <c r="F68" s="7">
        <v>0.1183</v>
      </c>
      <c r="G68" s="5"/>
      <c r="H68" s="7">
        <f t="shared" si="1"/>
        <v>0.0024</v>
      </c>
      <c r="I68" s="7">
        <f t="shared" si="4"/>
        <v>0.0054</v>
      </c>
      <c r="J68" s="9">
        <f t="shared" si="3"/>
        <v>10.53658537</v>
      </c>
      <c r="K68" s="20"/>
      <c r="L68" s="7" t="s">
        <v>49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6" t="s">
        <v>76</v>
      </c>
      <c r="B69" s="7">
        <f>94+89+91.5+91+89+50</f>
        <v>504.5</v>
      </c>
      <c r="C69" s="7">
        <v>5.0</v>
      </c>
      <c r="D69" s="7">
        <v>0.1178</v>
      </c>
      <c r="E69" s="7">
        <v>1.2412</v>
      </c>
      <c r="F69" s="5"/>
      <c r="G69" s="7">
        <v>1.2454</v>
      </c>
      <c r="H69" s="7">
        <f t="shared" si="1"/>
        <v>0.0042</v>
      </c>
      <c r="I69" s="7">
        <f t="shared" si="4"/>
        <v>0.0072</v>
      </c>
      <c r="J69" s="9">
        <f t="shared" si="3"/>
        <v>14.271556</v>
      </c>
      <c r="K69" s="20"/>
      <c r="L69" s="7" t="s">
        <v>49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6" t="s">
        <v>77</v>
      </c>
      <c r="B70" s="7">
        <f>93+91.5+95+92+91+20</f>
        <v>482.5</v>
      </c>
      <c r="C70" s="7">
        <v>6.0</v>
      </c>
      <c r="D70" s="7">
        <v>0.1162</v>
      </c>
      <c r="E70" s="7">
        <v>1.2584</v>
      </c>
      <c r="F70" s="7">
        <v>0.1231</v>
      </c>
      <c r="G70" s="5"/>
      <c r="H70" s="7">
        <f t="shared" si="1"/>
        <v>0.0069</v>
      </c>
      <c r="I70" s="7">
        <f t="shared" si="4"/>
        <v>0.0099</v>
      </c>
      <c r="J70" s="9">
        <f t="shared" si="3"/>
        <v>20.51813472</v>
      </c>
      <c r="K70" s="21"/>
      <c r="L70" s="7" t="s">
        <v>49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6" t="s">
        <v>78</v>
      </c>
      <c r="B71" s="7">
        <f>93+99+91+88+98+19</f>
        <v>488</v>
      </c>
      <c r="C71" s="7">
        <v>8.0</v>
      </c>
      <c r="D71" s="7">
        <v>0.119</v>
      </c>
      <c r="E71" s="7">
        <v>1.2618</v>
      </c>
      <c r="F71" s="7">
        <v>0.1201</v>
      </c>
      <c r="G71" s="5"/>
      <c r="H71" s="7">
        <f t="shared" si="1"/>
        <v>0.0011</v>
      </c>
      <c r="I71" s="7">
        <f t="shared" si="4"/>
        <v>0.0041</v>
      </c>
      <c r="J71" s="9">
        <f t="shared" si="3"/>
        <v>8.401639344</v>
      </c>
      <c r="K71" s="21"/>
      <c r="L71" s="7" t="s">
        <v>49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6" t="s">
        <v>79</v>
      </c>
      <c r="B72" s="7">
        <f>95+98+94+91.5+89+48</f>
        <v>515.5</v>
      </c>
      <c r="C72" s="7">
        <v>9.0</v>
      </c>
      <c r="D72" s="7">
        <v>0.116</v>
      </c>
      <c r="E72" s="7">
        <v>1.2571</v>
      </c>
      <c r="F72" s="7">
        <v>0.1211</v>
      </c>
      <c r="G72" s="5"/>
      <c r="H72" s="7">
        <f t="shared" si="1"/>
        <v>0.0051</v>
      </c>
      <c r="I72" s="7">
        <f t="shared" si="4"/>
        <v>0.0081</v>
      </c>
      <c r="J72" s="9">
        <f t="shared" si="3"/>
        <v>15.7129001</v>
      </c>
      <c r="K72" s="21"/>
      <c r="L72" s="7" t="s">
        <v>49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6" t="s">
        <v>80</v>
      </c>
      <c r="B73" s="7">
        <f>99.25+97+98+82+25</f>
        <v>401.25</v>
      </c>
      <c r="C73" s="7">
        <v>10.0</v>
      </c>
      <c r="D73" s="7">
        <v>0.1162</v>
      </c>
      <c r="E73" s="7">
        <v>1.2449</v>
      </c>
      <c r="F73" s="7">
        <v>0.1167</v>
      </c>
      <c r="G73" s="5"/>
      <c r="H73" s="7">
        <f t="shared" si="1"/>
        <v>0.0005</v>
      </c>
      <c r="I73" s="7">
        <f t="shared" si="4"/>
        <v>0.0035</v>
      </c>
      <c r="J73" s="9">
        <f t="shared" si="3"/>
        <v>8.722741433</v>
      </c>
      <c r="K73" s="21"/>
      <c r="L73" s="7" t="s">
        <v>49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6" t="s">
        <v>81</v>
      </c>
      <c r="B74" s="7">
        <f>94+91.5+95+97+44</f>
        <v>421.5</v>
      </c>
      <c r="C74" s="7">
        <v>11.0</v>
      </c>
      <c r="D74" s="7">
        <v>0.1195</v>
      </c>
      <c r="E74" s="7">
        <v>1.2613</v>
      </c>
      <c r="F74" s="5"/>
      <c r="G74" s="7">
        <v>1.2653</v>
      </c>
      <c r="H74" s="7">
        <f t="shared" si="1"/>
        <v>0.004</v>
      </c>
      <c r="I74" s="7">
        <f t="shared" si="4"/>
        <v>0.007</v>
      </c>
      <c r="J74" s="9">
        <f t="shared" si="3"/>
        <v>16.60735469</v>
      </c>
      <c r="K74" s="21"/>
      <c r="L74" s="7" t="s">
        <v>49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16" t="s">
        <v>82</v>
      </c>
      <c r="B75" s="7">
        <f>96+94+100+94+34</f>
        <v>418</v>
      </c>
      <c r="C75" s="7">
        <v>12.0</v>
      </c>
      <c r="D75" s="7">
        <v>0.1165</v>
      </c>
      <c r="E75" s="7">
        <v>1.2582</v>
      </c>
      <c r="F75" s="5"/>
      <c r="G75" s="7">
        <v>1.2614</v>
      </c>
      <c r="H75" s="7">
        <f t="shared" si="1"/>
        <v>0.0032</v>
      </c>
      <c r="I75" s="7">
        <f t="shared" si="4"/>
        <v>0.0062</v>
      </c>
      <c r="J75" s="9">
        <f t="shared" si="3"/>
        <v>14.83253589</v>
      </c>
      <c r="K75" s="21"/>
      <c r="L75" s="7" t="s">
        <v>49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16" t="s">
        <v>83</v>
      </c>
      <c r="B76" s="7">
        <f>96+95+94+70+32</f>
        <v>387</v>
      </c>
      <c r="C76" s="7">
        <v>14.0</v>
      </c>
      <c r="D76" s="7">
        <v>0.1196</v>
      </c>
      <c r="E76" s="7">
        <v>1.261</v>
      </c>
      <c r="F76" s="7">
        <v>0.1218</v>
      </c>
      <c r="G76" s="5"/>
      <c r="H76" s="7">
        <f t="shared" si="1"/>
        <v>0.0022</v>
      </c>
      <c r="I76" s="7">
        <f t="shared" si="4"/>
        <v>0.0052</v>
      </c>
      <c r="J76" s="9">
        <f t="shared" si="3"/>
        <v>13.43669251</v>
      </c>
      <c r="K76" s="21"/>
      <c r="L76" s="7" t="s">
        <v>49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16" t="s">
        <v>84</v>
      </c>
      <c r="B77" s="7">
        <f>92+97.5+92.5+97+17.5</f>
        <v>396.5</v>
      </c>
      <c r="C77" s="7">
        <v>15.0</v>
      </c>
      <c r="D77" s="7">
        <v>0.1152</v>
      </c>
      <c r="E77" s="7">
        <v>1.2404</v>
      </c>
      <c r="F77" s="5"/>
      <c r="G77" s="7">
        <v>1.2437</v>
      </c>
      <c r="H77" s="7">
        <f t="shared" si="1"/>
        <v>0.0033</v>
      </c>
      <c r="I77" s="7">
        <f t="shared" si="4"/>
        <v>0.0063</v>
      </c>
      <c r="J77" s="9">
        <f t="shared" si="3"/>
        <v>15.889029</v>
      </c>
      <c r="K77" s="21"/>
      <c r="L77" s="7" t="s">
        <v>49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16" t="s">
        <v>85</v>
      </c>
      <c r="B78" s="7">
        <f>94+97+98+48</f>
        <v>337</v>
      </c>
      <c r="C78" s="7">
        <v>1.0</v>
      </c>
      <c r="D78" s="7">
        <v>0.1166</v>
      </c>
      <c r="E78" s="7">
        <v>1.2519</v>
      </c>
      <c r="F78" s="7">
        <v>0.1195</v>
      </c>
      <c r="G78" s="5"/>
      <c r="H78" s="7">
        <f t="shared" si="1"/>
        <v>0.0029</v>
      </c>
      <c r="I78" s="7">
        <f t="shared" si="4"/>
        <v>0.0059</v>
      </c>
      <c r="J78" s="9">
        <f t="shared" si="3"/>
        <v>17.5074184</v>
      </c>
      <c r="K78" s="21"/>
      <c r="L78" s="7" t="s">
        <v>86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16" t="s">
        <v>87</v>
      </c>
      <c r="B79" s="7">
        <f>99+96+98+88</f>
        <v>381</v>
      </c>
      <c r="C79" s="7">
        <v>2.0</v>
      </c>
      <c r="D79" s="7">
        <v>0.1187</v>
      </c>
      <c r="E79" s="7">
        <v>1.2499</v>
      </c>
      <c r="F79" s="7">
        <v>0.121</v>
      </c>
      <c r="G79" s="5"/>
      <c r="H79" s="7">
        <f t="shared" si="1"/>
        <v>0.0023</v>
      </c>
      <c r="I79" s="7">
        <f t="shared" si="4"/>
        <v>0.0053</v>
      </c>
      <c r="J79" s="9">
        <f t="shared" si="3"/>
        <v>13.91076115</v>
      </c>
      <c r="K79" s="21"/>
      <c r="L79" s="7" t="s">
        <v>86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16" t="s">
        <v>88</v>
      </c>
      <c r="B80" s="7">
        <f>97+96+93+98+98+18</f>
        <v>500</v>
      </c>
      <c r="C80" s="7">
        <v>3.0</v>
      </c>
      <c r="D80" s="7">
        <v>0.1164</v>
      </c>
      <c r="E80" s="7">
        <v>1.2545</v>
      </c>
      <c r="F80" s="7">
        <v>0.1148</v>
      </c>
      <c r="G80" s="5"/>
      <c r="H80" s="7">
        <f t="shared" si="1"/>
        <v>-0.0016</v>
      </c>
      <c r="I80" s="7">
        <f t="shared" si="4"/>
        <v>0.0014</v>
      </c>
      <c r="J80" s="9">
        <f t="shared" si="3"/>
        <v>2.8</v>
      </c>
      <c r="K80" s="21"/>
      <c r="L80" s="7" t="s">
        <v>86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6" t="s">
        <v>89</v>
      </c>
      <c r="B81" s="7">
        <f>98+96+94+59</f>
        <v>347</v>
      </c>
      <c r="C81" s="7">
        <v>4.0</v>
      </c>
      <c r="D81" s="7">
        <v>0.116</v>
      </c>
      <c r="E81" s="7">
        <v>1.2445</v>
      </c>
      <c r="F81" s="7">
        <v>0.1187</v>
      </c>
      <c r="G81" s="5"/>
      <c r="H81" s="7">
        <f t="shared" si="1"/>
        <v>0.0027</v>
      </c>
      <c r="I81" s="7">
        <f t="shared" si="4"/>
        <v>0.0057</v>
      </c>
      <c r="J81" s="9">
        <f t="shared" si="3"/>
        <v>16.42651297</v>
      </c>
      <c r="K81" s="20"/>
      <c r="L81" s="7" t="s">
        <v>86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6" t="s">
        <v>90</v>
      </c>
      <c r="B82" s="7">
        <f>96+97+97</f>
        <v>290</v>
      </c>
      <c r="C82" s="7">
        <v>5.0</v>
      </c>
      <c r="D82" s="7">
        <v>0.1188</v>
      </c>
      <c r="E82" s="7">
        <v>1.2641</v>
      </c>
      <c r="F82" s="7">
        <v>0.1179</v>
      </c>
      <c r="G82" s="5"/>
      <c r="H82" s="7">
        <f t="shared" si="1"/>
        <v>-0.0009</v>
      </c>
      <c r="I82" s="7">
        <f t="shared" si="4"/>
        <v>0.0021</v>
      </c>
      <c r="J82" s="9">
        <f t="shared" si="3"/>
        <v>7.24137931</v>
      </c>
      <c r="K82" s="20"/>
      <c r="L82" s="7" t="s">
        <v>86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6" t="s">
        <v>91</v>
      </c>
      <c r="B83" s="7">
        <f>97+96+98+13</f>
        <v>304</v>
      </c>
      <c r="C83" s="7">
        <v>6.0</v>
      </c>
      <c r="D83" s="7">
        <v>0.1165</v>
      </c>
      <c r="E83" s="7">
        <v>1.2589</v>
      </c>
      <c r="F83" s="7">
        <v>0.1246</v>
      </c>
      <c r="G83" s="5"/>
      <c r="H83" s="7">
        <f t="shared" si="1"/>
        <v>0.0081</v>
      </c>
      <c r="I83" s="7">
        <f t="shared" si="4"/>
        <v>0.0111</v>
      </c>
      <c r="J83" s="9">
        <f t="shared" si="3"/>
        <v>36.51315789</v>
      </c>
      <c r="K83" s="21"/>
      <c r="L83" s="7" t="s">
        <v>86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16" t="s">
        <v>92</v>
      </c>
      <c r="B84" s="7">
        <f>96+99+41</f>
        <v>236</v>
      </c>
      <c r="C84" s="7">
        <v>7.0</v>
      </c>
      <c r="D84" s="7">
        <v>0.1168</v>
      </c>
      <c r="E84" s="7">
        <v>1.2614</v>
      </c>
      <c r="F84" s="7">
        <v>0.1175</v>
      </c>
      <c r="G84" s="5"/>
      <c r="H84" s="7">
        <f t="shared" si="1"/>
        <v>0.0007</v>
      </c>
      <c r="I84" s="7">
        <f t="shared" si="4"/>
        <v>0.0037</v>
      </c>
      <c r="J84" s="9">
        <f t="shared" si="3"/>
        <v>15.6779661</v>
      </c>
      <c r="K84" s="21"/>
      <c r="L84" s="7" t="s">
        <v>86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16" t="s">
        <v>93</v>
      </c>
      <c r="B85" s="7">
        <f>100+98+96+96+12</f>
        <v>402</v>
      </c>
      <c r="C85" s="7">
        <v>8.0</v>
      </c>
      <c r="D85" s="7">
        <v>0.1186</v>
      </c>
      <c r="E85" s="7">
        <v>1.2618</v>
      </c>
      <c r="F85" s="5"/>
      <c r="G85" s="7">
        <v>1.2634</v>
      </c>
      <c r="H85" s="7">
        <f t="shared" si="1"/>
        <v>0.0016</v>
      </c>
      <c r="I85" s="7">
        <f t="shared" si="4"/>
        <v>0.0046</v>
      </c>
      <c r="J85" s="9">
        <f t="shared" si="3"/>
        <v>11.44278607</v>
      </c>
      <c r="K85" s="21"/>
      <c r="L85" s="7" t="s">
        <v>86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6" t="s">
        <v>94</v>
      </c>
      <c r="B86" s="7">
        <f>92+94+95+9</f>
        <v>290</v>
      </c>
      <c r="C86" s="7">
        <v>9.0</v>
      </c>
      <c r="D86" s="7">
        <v>0.1163</v>
      </c>
      <c r="E86" s="7">
        <v>1.244</v>
      </c>
      <c r="F86" s="7">
        <v>0.1184</v>
      </c>
      <c r="G86" s="5"/>
      <c r="H86" s="7">
        <f t="shared" si="1"/>
        <v>0.0021</v>
      </c>
      <c r="I86" s="7">
        <f t="shared" si="4"/>
        <v>0.0051</v>
      </c>
      <c r="J86" s="9">
        <f t="shared" si="3"/>
        <v>17.5862069</v>
      </c>
      <c r="K86" s="21"/>
      <c r="L86" s="7" t="s">
        <v>86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6" t="s">
        <v>95</v>
      </c>
      <c r="B87" s="7">
        <f>95+100+71</f>
        <v>266</v>
      </c>
      <c r="C87" s="7">
        <v>13.0</v>
      </c>
      <c r="D87" s="7">
        <v>0.1179</v>
      </c>
      <c r="E87" s="7">
        <v>1.2557</v>
      </c>
      <c r="F87" s="7">
        <v>0.1247</v>
      </c>
      <c r="G87" s="5"/>
      <c r="H87" s="7">
        <f t="shared" si="1"/>
        <v>0.0068</v>
      </c>
      <c r="I87" s="7">
        <f t="shared" si="4"/>
        <v>0.0098</v>
      </c>
      <c r="J87" s="9">
        <f t="shared" si="3"/>
        <v>36.84210526</v>
      </c>
      <c r="K87" s="21"/>
      <c r="L87" s="7" t="s">
        <v>86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6" t="s">
        <v>96</v>
      </c>
      <c r="B88" s="7">
        <f>96+97+96+96+16</f>
        <v>401</v>
      </c>
      <c r="C88" s="7">
        <v>14.0</v>
      </c>
      <c r="D88" s="7">
        <v>0.116</v>
      </c>
      <c r="E88" s="7">
        <v>1.2573</v>
      </c>
      <c r="F88" s="5"/>
      <c r="G88" s="7">
        <v>1.2622</v>
      </c>
      <c r="H88" s="7">
        <f t="shared" si="1"/>
        <v>0.0049</v>
      </c>
      <c r="I88" s="7">
        <f t="shared" si="4"/>
        <v>0.0079</v>
      </c>
      <c r="J88" s="9">
        <f t="shared" si="3"/>
        <v>19.70074813</v>
      </c>
      <c r="K88" s="21"/>
      <c r="L88" s="7" t="s">
        <v>86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6" t="s">
        <v>97</v>
      </c>
      <c r="B89" s="7">
        <f>94+95+94+95+31</f>
        <v>409</v>
      </c>
      <c r="C89" s="7">
        <v>15.0</v>
      </c>
      <c r="D89" s="7">
        <v>0.1181</v>
      </c>
      <c r="E89" s="7">
        <v>1.2408</v>
      </c>
      <c r="F89" s="7">
        <v>0.118</v>
      </c>
      <c r="G89" s="5"/>
      <c r="H89" s="7">
        <f t="shared" si="1"/>
        <v>-0.0001</v>
      </c>
      <c r="I89" s="7">
        <f t="shared" si="4"/>
        <v>0.0029</v>
      </c>
      <c r="J89" s="9">
        <f t="shared" si="3"/>
        <v>7.090464548</v>
      </c>
      <c r="K89" s="21"/>
      <c r="L89" s="7" t="s">
        <v>86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6" t="s">
        <v>98</v>
      </c>
      <c r="B90" s="7">
        <f>96+97+92+100+19</f>
        <v>404</v>
      </c>
      <c r="C90" s="7">
        <v>71.0</v>
      </c>
      <c r="D90" s="7">
        <v>0.116</v>
      </c>
      <c r="E90" s="7">
        <v>1.252</v>
      </c>
      <c r="F90" s="7">
        <v>0.1193</v>
      </c>
      <c r="G90" s="5"/>
      <c r="H90" s="7">
        <f t="shared" si="1"/>
        <v>0.0033</v>
      </c>
      <c r="I90" s="7">
        <f t="shared" si="4"/>
        <v>0.0063</v>
      </c>
      <c r="J90" s="9">
        <f t="shared" si="3"/>
        <v>15.59405941</v>
      </c>
      <c r="K90" s="21"/>
      <c r="L90" s="7" t="s">
        <v>86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6" t="s">
        <v>99</v>
      </c>
      <c r="B91" s="7">
        <f>100+99+95+97+100+33</f>
        <v>524</v>
      </c>
      <c r="C91" s="7">
        <v>72.0</v>
      </c>
      <c r="D91" s="7">
        <v>0.119</v>
      </c>
      <c r="E91" s="7">
        <v>1.1476</v>
      </c>
      <c r="F91" s="5"/>
      <c r="G91" s="7">
        <v>1.1487</v>
      </c>
      <c r="H91" s="7">
        <f t="shared" si="1"/>
        <v>0.0011</v>
      </c>
      <c r="I91" s="7">
        <f t="shared" si="4"/>
        <v>0.0041</v>
      </c>
      <c r="J91" s="9">
        <f t="shared" si="3"/>
        <v>7.824427481</v>
      </c>
      <c r="K91" s="21"/>
      <c r="L91" s="7" t="s">
        <v>86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6" t="s">
        <v>100</v>
      </c>
      <c r="B92" s="7">
        <f>100+98+98+74</f>
        <v>370</v>
      </c>
      <c r="C92" s="7">
        <v>19.0</v>
      </c>
      <c r="D92" s="7">
        <v>0.116</v>
      </c>
      <c r="E92" s="7">
        <v>1.2568</v>
      </c>
      <c r="F92" s="5"/>
      <c r="G92" s="7">
        <v>1.2629</v>
      </c>
      <c r="H92" s="7">
        <f t="shared" si="1"/>
        <v>0.0061</v>
      </c>
      <c r="I92" s="7">
        <f t="shared" si="4"/>
        <v>0.0091</v>
      </c>
      <c r="J92" s="9">
        <f t="shared" si="3"/>
        <v>24.59459459</v>
      </c>
      <c r="K92" s="21"/>
      <c r="L92" s="7" t="s">
        <v>86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6" t="s">
        <v>101</v>
      </c>
      <c r="B93" s="7">
        <f>90.75+89+95.25+19</f>
        <v>294</v>
      </c>
      <c r="C93" s="7">
        <v>1.0</v>
      </c>
      <c r="D93" s="7">
        <v>0.1171</v>
      </c>
      <c r="E93" s="7">
        <v>1.1469</v>
      </c>
      <c r="F93" s="7">
        <v>0.1223</v>
      </c>
      <c r="G93" s="5"/>
      <c r="H93" s="7">
        <f t="shared" si="1"/>
        <v>0.0052</v>
      </c>
      <c r="I93" s="7">
        <f t="shared" si="4"/>
        <v>0.0082</v>
      </c>
      <c r="J93" s="9">
        <f t="shared" si="3"/>
        <v>27.89115646</v>
      </c>
      <c r="K93" s="22">
        <v>44089.0</v>
      </c>
      <c r="L93" s="7" t="s">
        <v>49</v>
      </c>
      <c r="M93" s="23" t="s">
        <v>102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6" t="s">
        <v>103</v>
      </c>
      <c r="B94" s="7">
        <f>91+93.75+95+11.25</f>
        <v>291</v>
      </c>
      <c r="C94" s="7">
        <v>2.0</v>
      </c>
      <c r="D94" s="7">
        <v>0.1166</v>
      </c>
      <c r="E94" s="7">
        <v>1.1392</v>
      </c>
      <c r="F94" s="7">
        <v>0.1205</v>
      </c>
      <c r="G94" s="5"/>
      <c r="H94" s="7">
        <f t="shared" si="1"/>
        <v>0.0039</v>
      </c>
      <c r="I94" s="7">
        <f t="shared" si="4"/>
        <v>0.0069</v>
      </c>
      <c r="J94" s="9">
        <f t="shared" si="3"/>
        <v>23.71134021</v>
      </c>
      <c r="K94" s="22">
        <v>44089.0</v>
      </c>
      <c r="L94" s="7" t="s">
        <v>49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6" t="s">
        <v>104</v>
      </c>
      <c r="B95" s="7">
        <f>93.5+94+91.75+29</f>
        <v>308.25</v>
      </c>
      <c r="C95" s="7">
        <v>3.0</v>
      </c>
      <c r="D95" s="7">
        <v>0.1184</v>
      </c>
      <c r="E95" s="7">
        <v>1.1451</v>
      </c>
      <c r="F95" s="7">
        <v>0.1272</v>
      </c>
      <c r="G95" s="5"/>
      <c r="H95" s="7">
        <f t="shared" si="1"/>
        <v>0.0088</v>
      </c>
      <c r="I95" s="7">
        <f t="shared" si="4"/>
        <v>0.0118</v>
      </c>
      <c r="J95" s="9">
        <f t="shared" si="3"/>
        <v>38.28061638</v>
      </c>
      <c r="K95" s="22">
        <v>44089.0</v>
      </c>
      <c r="L95" s="7" t="s">
        <v>49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6" t="s">
        <v>105</v>
      </c>
      <c r="B96" s="7">
        <f>93.5+91.5+96+38</f>
        <v>319</v>
      </c>
      <c r="C96" s="7">
        <v>4.0</v>
      </c>
      <c r="D96" s="7">
        <v>0.116</v>
      </c>
      <c r="E96" s="7">
        <v>1.1501</v>
      </c>
      <c r="F96" s="7">
        <v>0.1393</v>
      </c>
      <c r="G96" s="5"/>
      <c r="H96" s="7">
        <f t="shared" si="1"/>
        <v>0.0233</v>
      </c>
      <c r="I96" s="7">
        <f t="shared" si="4"/>
        <v>0.0263</v>
      </c>
      <c r="J96" s="9">
        <f t="shared" si="3"/>
        <v>82.44514107</v>
      </c>
      <c r="K96" s="22">
        <v>44089.0</v>
      </c>
      <c r="L96" s="7" t="s">
        <v>49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6" t="s">
        <v>106</v>
      </c>
      <c r="B97" s="7">
        <f>99+93+94+11</f>
        <v>297</v>
      </c>
      <c r="C97" s="7">
        <v>5.0</v>
      </c>
      <c r="D97" s="7">
        <v>0.1196</v>
      </c>
      <c r="E97" s="7">
        <v>1.139</v>
      </c>
      <c r="F97" s="5"/>
      <c r="G97" s="7">
        <v>1.145</v>
      </c>
      <c r="H97" s="7">
        <f t="shared" si="1"/>
        <v>0.006</v>
      </c>
      <c r="I97" s="7">
        <f t="shared" si="4"/>
        <v>0.009</v>
      </c>
      <c r="J97" s="9">
        <f t="shared" si="3"/>
        <v>30.3030303</v>
      </c>
      <c r="K97" s="22">
        <v>44089.0</v>
      </c>
      <c r="L97" s="7" t="s">
        <v>49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6" t="s">
        <v>107</v>
      </c>
      <c r="B98" s="7">
        <f>96.5+91.5+95+9</f>
        <v>292</v>
      </c>
      <c r="C98" s="7">
        <v>6.0</v>
      </c>
      <c r="D98" s="7">
        <v>0.1165</v>
      </c>
      <c r="E98" s="7">
        <v>1.1365</v>
      </c>
      <c r="F98" s="7">
        <v>0.1224</v>
      </c>
      <c r="G98" s="5"/>
      <c r="H98" s="7">
        <f t="shared" si="1"/>
        <v>0.0059</v>
      </c>
      <c r="I98" s="7">
        <f t="shared" si="4"/>
        <v>0.0089</v>
      </c>
      <c r="J98" s="9">
        <f t="shared" si="3"/>
        <v>30.47945205</v>
      </c>
      <c r="K98" s="22">
        <v>44089.0</v>
      </c>
      <c r="L98" s="7" t="s">
        <v>49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6" t="s">
        <v>108</v>
      </c>
      <c r="B99" s="7">
        <f>96+99+97+58.25</f>
        <v>350.25</v>
      </c>
      <c r="C99" s="7">
        <v>7.0</v>
      </c>
      <c r="D99" s="7">
        <v>0.1162</v>
      </c>
      <c r="E99" s="7">
        <v>1.1106</v>
      </c>
      <c r="F99" s="7">
        <v>0.1257</v>
      </c>
      <c r="G99" s="5"/>
      <c r="H99" s="7">
        <f t="shared" si="1"/>
        <v>0.0095</v>
      </c>
      <c r="I99" s="7">
        <f t="shared" si="4"/>
        <v>0.0125</v>
      </c>
      <c r="J99" s="9">
        <f t="shared" si="3"/>
        <v>35.68879372</v>
      </c>
      <c r="K99" s="22">
        <v>44089.0</v>
      </c>
      <c r="L99" s="7" t="s">
        <v>49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6" t="s">
        <v>109</v>
      </c>
      <c r="B100" s="7">
        <f>95.75+95.75+93+68.75</f>
        <v>353.25</v>
      </c>
      <c r="C100" s="7">
        <v>8.0</v>
      </c>
      <c r="D100" s="7">
        <v>0.1163</v>
      </c>
      <c r="E100" s="7">
        <v>1.1608</v>
      </c>
      <c r="F100" s="7">
        <v>0.1266</v>
      </c>
      <c r="G100" s="5"/>
      <c r="H100" s="7">
        <f t="shared" si="1"/>
        <v>0.0103</v>
      </c>
      <c r="I100" s="7">
        <f t="shared" si="4"/>
        <v>0.0133</v>
      </c>
      <c r="J100" s="9">
        <f t="shared" si="3"/>
        <v>37.65038924</v>
      </c>
      <c r="K100" s="22">
        <v>44089.0</v>
      </c>
      <c r="L100" s="7" t="s">
        <v>49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6" t="s">
        <v>110</v>
      </c>
      <c r="B101" s="7">
        <f>93+99+97.25+57.75</f>
        <v>347</v>
      </c>
      <c r="C101" s="7">
        <v>9.0</v>
      </c>
      <c r="D101" s="7">
        <v>0.1163</v>
      </c>
      <c r="E101" s="7">
        <v>1.1604</v>
      </c>
      <c r="F101" s="5"/>
      <c r="G101" s="7">
        <v>1.1722</v>
      </c>
      <c r="H101" s="7">
        <f t="shared" si="1"/>
        <v>0.0118</v>
      </c>
      <c r="I101" s="7">
        <f t="shared" si="4"/>
        <v>0.0148</v>
      </c>
      <c r="J101" s="9">
        <f t="shared" si="3"/>
        <v>42.65129683</v>
      </c>
      <c r="K101" s="22">
        <v>44089.0</v>
      </c>
      <c r="L101" s="7" t="s">
        <v>49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6" t="s">
        <v>111</v>
      </c>
      <c r="B102" s="7">
        <f>93.5+92+97+63</f>
        <v>345.5</v>
      </c>
      <c r="C102" s="7">
        <v>10.0</v>
      </c>
      <c r="D102" s="7">
        <v>0.1193</v>
      </c>
      <c r="E102" s="7">
        <v>1.1434</v>
      </c>
      <c r="F102" s="7">
        <v>0.1226</v>
      </c>
      <c r="G102" s="5"/>
      <c r="H102" s="7">
        <f t="shared" si="1"/>
        <v>0.0033</v>
      </c>
      <c r="I102" s="7">
        <f t="shared" si="4"/>
        <v>0.0063</v>
      </c>
      <c r="J102" s="9">
        <f t="shared" si="3"/>
        <v>18.23444284</v>
      </c>
      <c r="K102" s="22">
        <v>44089.0</v>
      </c>
      <c r="L102" s="7" t="s">
        <v>49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6" t="s">
        <v>112</v>
      </c>
      <c r="B103" s="7">
        <f>96+96.5+94.25+53.5</f>
        <v>340.25</v>
      </c>
      <c r="C103" s="7">
        <v>11.0</v>
      </c>
      <c r="D103" s="7">
        <v>0.1184</v>
      </c>
      <c r="E103" s="7">
        <v>1.1381</v>
      </c>
      <c r="F103" s="7">
        <v>0.1221</v>
      </c>
      <c r="G103" s="5"/>
      <c r="H103" s="7">
        <f t="shared" si="1"/>
        <v>0.0037</v>
      </c>
      <c r="I103" s="7">
        <f t="shared" si="4"/>
        <v>0.0067</v>
      </c>
      <c r="J103" s="9">
        <f t="shared" si="3"/>
        <v>19.69140338</v>
      </c>
      <c r="K103" s="22">
        <v>44089.0</v>
      </c>
      <c r="L103" s="7" t="s">
        <v>49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6" t="s">
        <v>113</v>
      </c>
      <c r="B104" s="7">
        <f>94.75+96+93.75+66</f>
        <v>350.5</v>
      </c>
      <c r="C104" s="7">
        <v>12.0</v>
      </c>
      <c r="D104" s="7">
        <v>0.1179</v>
      </c>
      <c r="E104" s="7">
        <v>1.1433</v>
      </c>
      <c r="F104" s="7">
        <v>0.1209</v>
      </c>
      <c r="G104" s="5"/>
      <c r="H104" s="7">
        <f t="shared" si="1"/>
        <v>0.003</v>
      </c>
      <c r="I104" s="7">
        <f t="shared" si="4"/>
        <v>0.006</v>
      </c>
      <c r="J104" s="9">
        <f t="shared" si="3"/>
        <v>17.11840228</v>
      </c>
      <c r="K104" s="22">
        <v>44089.0</v>
      </c>
      <c r="L104" s="7" t="s">
        <v>49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6" t="s">
        <v>114</v>
      </c>
      <c r="B105" s="7">
        <f>92+89+89+50+97+65</f>
        <v>482</v>
      </c>
      <c r="C105" s="7">
        <v>8.0</v>
      </c>
      <c r="D105" s="7">
        <v>0.117</v>
      </c>
      <c r="E105" s="7">
        <v>1.1612</v>
      </c>
      <c r="F105" s="5"/>
      <c r="G105" s="7">
        <v>1.1729</v>
      </c>
      <c r="H105" s="7">
        <f t="shared" si="1"/>
        <v>0.0117</v>
      </c>
      <c r="I105" s="7">
        <f t="shared" si="4"/>
        <v>0.0147</v>
      </c>
      <c r="J105" s="9">
        <f t="shared" si="3"/>
        <v>47.51037344</v>
      </c>
      <c r="K105" s="24">
        <v>44111.0</v>
      </c>
      <c r="L105" s="7" t="s">
        <v>115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6" t="s">
        <v>114</v>
      </c>
      <c r="B106" s="7">
        <v>0.0</v>
      </c>
      <c r="C106" s="7">
        <v>10.0</v>
      </c>
      <c r="D106" s="7">
        <v>0.1188</v>
      </c>
      <c r="E106" s="7">
        <v>1.1429</v>
      </c>
      <c r="F106" s="7">
        <v>0.124</v>
      </c>
      <c r="G106" s="5"/>
      <c r="H106" s="7">
        <f t="shared" si="1"/>
        <v>0.0052</v>
      </c>
      <c r="I106" s="7">
        <f t="shared" si="4"/>
        <v>0.0082</v>
      </c>
      <c r="J106" s="9" t="str">
        <f t="shared" si="3"/>
        <v>see above</v>
      </c>
      <c r="K106" s="24">
        <v>44111.0</v>
      </c>
      <c r="L106" s="7" t="s">
        <v>115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6" t="s">
        <v>116</v>
      </c>
      <c r="B107" s="7">
        <f>99+90+93+97+96+29</f>
        <v>504</v>
      </c>
      <c r="C107" s="7">
        <v>3.0</v>
      </c>
      <c r="D107" s="7">
        <v>0.1161</v>
      </c>
      <c r="E107" s="7">
        <v>1.1421</v>
      </c>
      <c r="F107" s="5"/>
      <c r="G107" s="7">
        <v>1.1427</v>
      </c>
      <c r="H107" s="7">
        <f t="shared" si="1"/>
        <v>0.0006</v>
      </c>
      <c r="I107" s="7">
        <f t="shared" si="4"/>
        <v>0.0036</v>
      </c>
      <c r="J107" s="9">
        <f t="shared" si="3"/>
        <v>7.142857143</v>
      </c>
      <c r="K107" s="24">
        <v>44111.0</v>
      </c>
      <c r="L107" s="7" t="s">
        <v>115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6" t="s">
        <v>117</v>
      </c>
      <c r="B108" s="7">
        <f>93+100+90+92+94+29</f>
        <v>498</v>
      </c>
      <c r="C108" s="7">
        <v>1.0</v>
      </c>
      <c r="D108" s="7">
        <v>0.1155</v>
      </c>
      <c r="E108" s="7">
        <v>1.1442</v>
      </c>
      <c r="F108" s="7">
        <v>0.1186</v>
      </c>
      <c r="G108" s="5"/>
      <c r="H108" s="7">
        <f t="shared" si="1"/>
        <v>0.0031</v>
      </c>
      <c r="I108" s="7">
        <f t="shared" si="4"/>
        <v>0.0061</v>
      </c>
      <c r="J108" s="9">
        <f t="shared" si="3"/>
        <v>12.24899598</v>
      </c>
      <c r="K108" s="24">
        <v>44111.0</v>
      </c>
      <c r="L108" s="7" t="s">
        <v>115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6" t="s">
        <v>118</v>
      </c>
      <c r="B109" s="7">
        <f>93+93+91+94+63</f>
        <v>434</v>
      </c>
      <c r="C109" s="7">
        <v>2.0</v>
      </c>
      <c r="D109" s="7">
        <v>0.1154</v>
      </c>
      <c r="E109" s="7">
        <v>1.1382</v>
      </c>
      <c r="F109" s="7">
        <v>0.1168</v>
      </c>
      <c r="G109" s="5"/>
      <c r="H109" s="7">
        <f t="shared" si="1"/>
        <v>0.0014</v>
      </c>
      <c r="I109" s="7">
        <f t="shared" si="4"/>
        <v>0.0044</v>
      </c>
      <c r="J109" s="9">
        <f t="shared" si="3"/>
        <v>10.13824885</v>
      </c>
      <c r="K109" s="24">
        <v>44111.0</v>
      </c>
      <c r="L109" s="7" t="s">
        <v>115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6" t="s">
        <v>119</v>
      </c>
      <c r="B110" s="7">
        <f>95+98+98+51</f>
        <v>342</v>
      </c>
      <c r="C110" s="7">
        <v>4.0</v>
      </c>
      <c r="D110" s="7">
        <v>0.118</v>
      </c>
      <c r="E110" s="7">
        <v>1.1527</v>
      </c>
      <c r="F110" s="7">
        <v>0.1198</v>
      </c>
      <c r="G110" s="5"/>
      <c r="H110" s="7">
        <f t="shared" si="1"/>
        <v>0.0018</v>
      </c>
      <c r="I110" s="7">
        <f t="shared" si="4"/>
        <v>0.0048</v>
      </c>
      <c r="J110" s="9">
        <f t="shared" si="3"/>
        <v>14.03508772</v>
      </c>
      <c r="K110" s="24">
        <v>44111.0</v>
      </c>
      <c r="L110" s="7" t="s">
        <v>115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6" t="s">
        <v>120</v>
      </c>
      <c r="B111" s="7">
        <f>96+94+94+53</f>
        <v>337</v>
      </c>
      <c r="C111" s="7">
        <v>6.0</v>
      </c>
      <c r="D111" s="7">
        <v>0.1164</v>
      </c>
      <c r="E111" s="7">
        <v>1.1364</v>
      </c>
      <c r="F111" s="5"/>
      <c r="G111" s="7">
        <v>1.1378</v>
      </c>
      <c r="H111" s="7">
        <f t="shared" si="1"/>
        <v>0.0014</v>
      </c>
      <c r="I111" s="7">
        <f t="shared" si="4"/>
        <v>0.0044</v>
      </c>
      <c r="J111" s="9">
        <f t="shared" si="3"/>
        <v>13.05637982</v>
      </c>
      <c r="K111" s="24">
        <v>44111.0</v>
      </c>
      <c r="L111" s="7" t="s">
        <v>115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6" t="s">
        <v>121</v>
      </c>
      <c r="B112" s="7">
        <f>89+96+96+50</f>
        <v>331</v>
      </c>
      <c r="C112" s="7">
        <v>7.0</v>
      </c>
      <c r="D112" s="7">
        <v>0.1159</v>
      </c>
      <c r="E112" s="7">
        <v>1.1105</v>
      </c>
      <c r="F112" s="5"/>
      <c r="G112" s="7">
        <v>1.1174</v>
      </c>
      <c r="H112" s="7">
        <f t="shared" si="1"/>
        <v>0.0069</v>
      </c>
      <c r="I112" s="7">
        <f t="shared" si="4"/>
        <v>0.0099</v>
      </c>
      <c r="J112" s="9">
        <f t="shared" si="3"/>
        <v>38.67069486</v>
      </c>
      <c r="K112" s="24">
        <v>44111.0</v>
      </c>
      <c r="L112" s="7" t="s">
        <v>115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6" t="s">
        <v>121</v>
      </c>
      <c r="B113" s="7">
        <v>0.0</v>
      </c>
      <c r="C113" s="7">
        <v>11.0</v>
      </c>
      <c r="D113" s="7">
        <v>0.1159</v>
      </c>
      <c r="E113" s="7">
        <v>1.1353</v>
      </c>
      <c r="F113" s="5"/>
      <c r="G113" s="7">
        <v>1.1352</v>
      </c>
      <c r="H113" s="7">
        <f t="shared" si="1"/>
        <v>-0.0001</v>
      </c>
      <c r="I113" s="7">
        <f t="shared" si="4"/>
        <v>0.0029</v>
      </c>
      <c r="J113" s="9" t="str">
        <f t="shared" si="3"/>
        <v>see above</v>
      </c>
      <c r="K113" s="24">
        <v>44111.0</v>
      </c>
      <c r="L113" s="7" t="s">
        <v>115</v>
      </c>
      <c r="M113" s="23" t="s">
        <v>122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6" t="s">
        <v>123</v>
      </c>
      <c r="B114" s="7">
        <f>91+100+95+96+20</f>
        <v>402</v>
      </c>
      <c r="C114" s="7">
        <v>12.0</v>
      </c>
      <c r="D114" s="7">
        <v>0.1157</v>
      </c>
      <c r="E114" s="7">
        <v>1.1409</v>
      </c>
      <c r="F114" s="5"/>
      <c r="G114" s="7">
        <v>1.1425</v>
      </c>
      <c r="H114" s="7">
        <f t="shared" si="1"/>
        <v>0.0016</v>
      </c>
      <c r="I114" s="7">
        <f t="shared" si="4"/>
        <v>0.0046</v>
      </c>
      <c r="J114" s="9">
        <f t="shared" si="3"/>
        <v>11.44278607</v>
      </c>
      <c r="K114" s="24">
        <v>44111.0</v>
      </c>
      <c r="L114" s="7" t="s">
        <v>115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6" t="s">
        <v>124</v>
      </c>
      <c r="B115" s="7">
        <f>92+92+91+94+32</f>
        <v>401</v>
      </c>
      <c r="C115" s="7">
        <v>5.0</v>
      </c>
      <c r="D115" s="7">
        <v>0.119</v>
      </c>
      <c r="E115" s="7">
        <v>1.1344</v>
      </c>
      <c r="F115" s="7">
        <v>0.1199</v>
      </c>
      <c r="G115" s="5"/>
      <c r="H115" s="7">
        <f t="shared" si="1"/>
        <v>0.0009</v>
      </c>
      <c r="I115" s="7">
        <f t="shared" si="4"/>
        <v>0.0039</v>
      </c>
      <c r="J115" s="9">
        <f t="shared" si="3"/>
        <v>9.725685786</v>
      </c>
      <c r="K115" s="24">
        <v>44111.0</v>
      </c>
      <c r="L115" s="7" t="s">
        <v>115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 t="s">
        <v>125</v>
      </c>
      <c r="B116" s="25">
        <f>100+94+86+83+95+66</f>
        <v>524</v>
      </c>
      <c r="C116" s="26">
        <v>1.0</v>
      </c>
      <c r="D116" s="25">
        <v>0.1161</v>
      </c>
      <c r="E116" s="25">
        <v>1.1453</v>
      </c>
      <c r="F116" s="25">
        <v>0.1178</v>
      </c>
      <c r="G116" s="5"/>
      <c r="H116" s="7">
        <f t="shared" si="1"/>
        <v>0.0017</v>
      </c>
      <c r="I116" s="7">
        <f t="shared" si="4"/>
        <v>0.0047</v>
      </c>
      <c r="J116" s="9">
        <f t="shared" si="3"/>
        <v>8.969465649</v>
      </c>
      <c r="K116" s="27">
        <v>44125.0</v>
      </c>
      <c r="L116" s="25" t="s">
        <v>126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 t="s">
        <v>127</v>
      </c>
      <c r="B117" s="25">
        <f>98+93+91+92</f>
        <v>374</v>
      </c>
      <c r="C117" s="26">
        <v>2.0</v>
      </c>
      <c r="D117" s="25">
        <v>0.1164</v>
      </c>
      <c r="E117" s="25">
        <v>1.1387</v>
      </c>
      <c r="F117" s="25">
        <v>0.1203</v>
      </c>
      <c r="G117" s="5"/>
      <c r="H117" s="7">
        <f t="shared" si="1"/>
        <v>0.0039</v>
      </c>
      <c r="I117" s="7">
        <f t="shared" si="4"/>
        <v>0.0069</v>
      </c>
      <c r="J117" s="9">
        <f t="shared" si="3"/>
        <v>18.44919786</v>
      </c>
      <c r="K117" s="27">
        <v>44125.0</v>
      </c>
      <c r="L117" s="25" t="s">
        <v>126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 t="s">
        <v>128</v>
      </c>
      <c r="B118" s="25">
        <f>94+98+98+94+22</f>
        <v>406</v>
      </c>
      <c r="C118" s="26">
        <v>1.0</v>
      </c>
      <c r="D118" s="25">
        <v>0.115</v>
      </c>
      <c r="E118" s="25">
        <v>1.1323</v>
      </c>
      <c r="F118" s="25">
        <v>0.1174</v>
      </c>
      <c r="G118" s="5"/>
      <c r="H118" s="7">
        <f t="shared" si="1"/>
        <v>0.0024</v>
      </c>
      <c r="I118" s="7">
        <f t="shared" si="4"/>
        <v>0.0054</v>
      </c>
      <c r="J118" s="9">
        <f t="shared" si="3"/>
        <v>13.30049261</v>
      </c>
      <c r="K118" s="28">
        <v>44173.0</v>
      </c>
      <c r="L118" s="25" t="s">
        <v>126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 t="s">
        <v>129</v>
      </c>
      <c r="B119" s="25">
        <f>96+99+100+95+42</f>
        <v>432</v>
      </c>
      <c r="C119" s="26">
        <v>2.0</v>
      </c>
      <c r="D119" s="25">
        <v>0.1162</v>
      </c>
      <c r="E119" s="25">
        <v>1.127</v>
      </c>
      <c r="F119" s="25">
        <v>0.1184</v>
      </c>
      <c r="G119" s="5"/>
      <c r="H119" s="7">
        <f t="shared" si="1"/>
        <v>0.0022</v>
      </c>
      <c r="I119" s="7">
        <f t="shared" si="4"/>
        <v>0.0052</v>
      </c>
      <c r="J119" s="9">
        <f t="shared" si="3"/>
        <v>12.03703704</v>
      </c>
      <c r="K119" s="28">
        <v>44173.0</v>
      </c>
      <c r="L119" s="25" t="s">
        <v>126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 t="s">
        <v>130</v>
      </c>
      <c r="B120" s="25">
        <f>95+99+90+94+51</f>
        <v>429</v>
      </c>
      <c r="C120" s="26">
        <v>3.0</v>
      </c>
      <c r="D120" s="25">
        <v>0.1152</v>
      </c>
      <c r="E120" s="25">
        <v>1.1389</v>
      </c>
      <c r="F120" s="25">
        <v>0.1169</v>
      </c>
      <c r="G120" s="5"/>
      <c r="H120" s="7">
        <f t="shared" si="1"/>
        <v>0.0017</v>
      </c>
      <c r="I120" s="7">
        <f t="shared" si="4"/>
        <v>0.0047</v>
      </c>
      <c r="J120" s="9">
        <f t="shared" si="3"/>
        <v>10.95571096</v>
      </c>
      <c r="K120" s="28">
        <v>44173.0</v>
      </c>
      <c r="L120" s="25" t="s">
        <v>126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 t="s">
        <v>131</v>
      </c>
      <c r="B121" s="25">
        <f>100+98+100+98+38</f>
        <v>434</v>
      </c>
      <c r="C121" s="26">
        <v>4.0</v>
      </c>
      <c r="D121" s="25">
        <v>0.1176</v>
      </c>
      <c r="E121" s="25">
        <v>1.1257</v>
      </c>
      <c r="F121" s="25">
        <v>0.1202</v>
      </c>
      <c r="G121" s="5"/>
      <c r="H121" s="7">
        <f t="shared" si="1"/>
        <v>0.0026</v>
      </c>
      <c r="I121" s="7">
        <f t="shared" si="4"/>
        <v>0.0056</v>
      </c>
      <c r="J121" s="9">
        <f t="shared" si="3"/>
        <v>12.90322581</v>
      </c>
      <c r="K121" s="28">
        <v>44173.0</v>
      </c>
      <c r="L121" s="25" t="s">
        <v>126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 t="s">
        <v>132</v>
      </c>
      <c r="B122" s="25">
        <f>95+98+97+94+41</f>
        <v>425</v>
      </c>
      <c r="C122" s="26">
        <v>5.0</v>
      </c>
      <c r="D122" s="25">
        <v>0.1151</v>
      </c>
      <c r="E122" s="25">
        <v>1.1432</v>
      </c>
      <c r="F122" s="25">
        <v>0.1153</v>
      </c>
      <c r="G122" s="5"/>
      <c r="H122" s="7">
        <f t="shared" si="1"/>
        <v>0.0002</v>
      </c>
      <c r="I122" s="7">
        <f t="shared" si="4"/>
        <v>0.0032</v>
      </c>
      <c r="J122" s="9">
        <f t="shared" si="3"/>
        <v>7.529411765</v>
      </c>
      <c r="K122" s="28">
        <v>44173.0</v>
      </c>
      <c r="L122" s="25" t="s">
        <v>126</v>
      </c>
      <c r="M122" s="29" t="s">
        <v>133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 t="s">
        <v>134</v>
      </c>
      <c r="B123" s="25">
        <f>98+87+93+75+77</f>
        <v>430</v>
      </c>
      <c r="C123" s="26">
        <v>6.0</v>
      </c>
      <c r="D123" s="25">
        <v>0.1157</v>
      </c>
      <c r="E123" s="25">
        <v>1.1647</v>
      </c>
      <c r="F123" s="25">
        <v>0.1186</v>
      </c>
      <c r="G123" s="5"/>
      <c r="H123" s="7">
        <f t="shared" si="1"/>
        <v>0.0029</v>
      </c>
      <c r="I123" s="25">
        <f t="shared" ref="I123:I132" si="5">H123+0.0009</f>
        <v>0.0038</v>
      </c>
      <c r="J123" s="9">
        <f t="shared" si="3"/>
        <v>8.837209302</v>
      </c>
      <c r="K123" s="28">
        <v>44173.0</v>
      </c>
      <c r="L123" s="25" t="s">
        <v>126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 t="s">
        <v>135</v>
      </c>
      <c r="B124" s="25">
        <f>98+88+95+84+69</f>
        <v>434</v>
      </c>
      <c r="C124" s="26">
        <v>7.0</v>
      </c>
      <c r="D124" s="25">
        <v>0.1152</v>
      </c>
      <c r="E124" s="25">
        <v>1.1214</v>
      </c>
      <c r="F124" s="25">
        <v>0.1182</v>
      </c>
      <c r="G124" s="5"/>
      <c r="H124" s="7">
        <f t="shared" si="1"/>
        <v>0.003</v>
      </c>
      <c r="I124" s="25">
        <f t="shared" si="5"/>
        <v>0.0039</v>
      </c>
      <c r="J124" s="9">
        <f t="shared" si="3"/>
        <v>8.986175115</v>
      </c>
      <c r="K124" s="28">
        <v>44173.0</v>
      </c>
      <c r="L124" s="25" t="s">
        <v>126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 t="s">
        <v>136</v>
      </c>
      <c r="B125" s="25">
        <f>98+95+93+93+55</f>
        <v>434</v>
      </c>
      <c r="C125" s="26">
        <v>8.0</v>
      </c>
      <c r="D125" s="25">
        <v>0.1167</v>
      </c>
      <c r="E125" s="25">
        <v>1.1547</v>
      </c>
      <c r="F125" s="25">
        <v>0.1219</v>
      </c>
      <c r="G125" s="5"/>
      <c r="H125" s="7">
        <f t="shared" si="1"/>
        <v>0.0052</v>
      </c>
      <c r="I125" s="25">
        <f t="shared" si="5"/>
        <v>0.0061</v>
      </c>
      <c r="J125" s="9">
        <f t="shared" si="3"/>
        <v>14.05529954</v>
      </c>
      <c r="K125" s="28">
        <v>44173.0</v>
      </c>
      <c r="L125" s="25" t="s">
        <v>126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 t="s">
        <v>137</v>
      </c>
      <c r="B126" s="25">
        <f>100+74+92+95+68</f>
        <v>429</v>
      </c>
      <c r="C126" s="26">
        <v>9.0</v>
      </c>
      <c r="D126" s="25">
        <v>0.115</v>
      </c>
      <c r="E126" s="25">
        <v>1.1438</v>
      </c>
      <c r="F126" s="25">
        <v>0.1197</v>
      </c>
      <c r="G126" s="5"/>
      <c r="H126" s="7">
        <f t="shared" si="1"/>
        <v>0.0047</v>
      </c>
      <c r="I126" s="25">
        <f t="shared" si="5"/>
        <v>0.0056</v>
      </c>
      <c r="J126" s="9">
        <f t="shared" si="3"/>
        <v>13.05361305</v>
      </c>
      <c r="K126" s="28">
        <v>44173.0</v>
      </c>
      <c r="L126" s="25" t="s">
        <v>126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 t="s">
        <v>138</v>
      </c>
      <c r="B127" s="25">
        <f>98+92+93+96+47</f>
        <v>426</v>
      </c>
      <c r="C127" s="26">
        <v>10.0</v>
      </c>
      <c r="D127" s="25">
        <v>0.1151</v>
      </c>
      <c r="E127" s="25">
        <v>1.1481</v>
      </c>
      <c r="F127" s="25">
        <v>0.1195</v>
      </c>
      <c r="G127" s="5"/>
      <c r="H127" s="7">
        <f t="shared" si="1"/>
        <v>0.0044</v>
      </c>
      <c r="I127" s="25">
        <f t="shared" si="5"/>
        <v>0.0053</v>
      </c>
      <c r="J127" s="9">
        <f t="shared" si="3"/>
        <v>12.44131455</v>
      </c>
      <c r="K127" s="28">
        <v>44173.0</v>
      </c>
      <c r="L127" s="25" t="s">
        <v>126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 t="s">
        <v>139</v>
      </c>
      <c r="B128" s="25">
        <f>93+96+98+96+38</f>
        <v>421</v>
      </c>
      <c r="C128" s="26">
        <v>11.0</v>
      </c>
      <c r="D128" s="25">
        <v>0.1159</v>
      </c>
      <c r="E128" s="25">
        <v>1.1448</v>
      </c>
      <c r="F128" s="25">
        <v>0.1189</v>
      </c>
      <c r="G128" s="5"/>
      <c r="H128" s="7">
        <f t="shared" si="1"/>
        <v>0.003</v>
      </c>
      <c r="I128" s="25">
        <f t="shared" si="5"/>
        <v>0.0039</v>
      </c>
      <c r="J128" s="9">
        <f t="shared" si="3"/>
        <v>9.263657957</v>
      </c>
      <c r="K128" s="28">
        <v>44173.0</v>
      </c>
      <c r="L128" s="25" t="s">
        <v>126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 t="s">
        <v>140</v>
      </c>
      <c r="B129" s="25">
        <f>97+97+100+95+47</f>
        <v>436</v>
      </c>
      <c r="C129" s="26">
        <v>12.0</v>
      </c>
      <c r="D129" s="25">
        <v>0.1149</v>
      </c>
      <c r="E129" s="25">
        <v>1.1452</v>
      </c>
      <c r="F129" s="25">
        <v>0.12</v>
      </c>
      <c r="G129" s="5"/>
      <c r="H129" s="7">
        <f t="shared" si="1"/>
        <v>0.0051</v>
      </c>
      <c r="I129" s="25">
        <f t="shared" si="5"/>
        <v>0.006</v>
      </c>
      <c r="J129" s="9">
        <f t="shared" si="3"/>
        <v>13.76146789</v>
      </c>
      <c r="K129" s="28">
        <v>44173.0</v>
      </c>
      <c r="L129" s="25" t="s">
        <v>126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 t="s">
        <v>141</v>
      </c>
      <c r="B130" s="25">
        <f>96+81+82+62+100</f>
        <v>421</v>
      </c>
      <c r="C130" s="26">
        <v>13.0</v>
      </c>
      <c r="D130" s="25">
        <v>0.1167</v>
      </c>
      <c r="E130" s="25">
        <v>1.1617</v>
      </c>
      <c r="F130" s="25">
        <v>0.1419</v>
      </c>
      <c r="G130" s="5"/>
      <c r="H130" s="7">
        <f t="shared" si="1"/>
        <v>0.0252</v>
      </c>
      <c r="I130" s="25">
        <f t="shared" si="5"/>
        <v>0.0261</v>
      </c>
      <c r="J130" s="9">
        <f t="shared" si="3"/>
        <v>76.00950119</v>
      </c>
      <c r="K130" s="28">
        <v>44173.0</v>
      </c>
      <c r="L130" s="25" t="s">
        <v>126</v>
      </c>
      <c r="M130" s="5" t="s">
        <v>142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 t="s">
        <v>141</v>
      </c>
      <c r="B131" s="25">
        <v>0.0</v>
      </c>
      <c r="C131" s="26">
        <v>14.0</v>
      </c>
      <c r="D131" s="25">
        <v>0.1154</v>
      </c>
      <c r="E131" s="25">
        <v>1.172</v>
      </c>
      <c r="F131" s="25">
        <v>0.1204</v>
      </c>
      <c r="G131" s="5"/>
      <c r="H131" s="7">
        <f t="shared" si="1"/>
        <v>0.005</v>
      </c>
      <c r="I131" s="25">
        <f t="shared" si="5"/>
        <v>0.0059</v>
      </c>
      <c r="J131" s="9" t="str">
        <f t="shared" si="3"/>
        <v>see above</v>
      </c>
      <c r="K131" s="28">
        <v>44173.0</v>
      </c>
      <c r="L131" s="25" t="s">
        <v>126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 t="s">
        <v>143</v>
      </c>
      <c r="B132" s="25">
        <f>95+99+89+80+29</f>
        <v>392</v>
      </c>
      <c r="C132" s="26">
        <v>15.0</v>
      </c>
      <c r="D132" s="25">
        <v>0.1165</v>
      </c>
      <c r="E132" s="25">
        <v>1.155</v>
      </c>
      <c r="F132" s="5"/>
      <c r="G132" s="25">
        <v>1.1696</v>
      </c>
      <c r="H132" s="7">
        <f t="shared" si="1"/>
        <v>0.0146</v>
      </c>
      <c r="I132" s="25">
        <f t="shared" si="5"/>
        <v>0.0155</v>
      </c>
      <c r="J132" s="9">
        <f t="shared" si="3"/>
        <v>39.54081633</v>
      </c>
      <c r="K132" s="28">
        <v>44173.0</v>
      </c>
      <c r="L132" s="25" t="s">
        <v>126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6" t="s">
        <v>144</v>
      </c>
      <c r="B133" s="7">
        <f>90+95.5+89+97.5+95.5+20</f>
        <v>487.5</v>
      </c>
      <c r="C133" s="8">
        <v>12.0</v>
      </c>
      <c r="D133" s="7">
        <v>0.1217</v>
      </c>
      <c r="E133" s="7">
        <v>1.1519</v>
      </c>
      <c r="F133" s="5"/>
      <c r="G133" s="7">
        <v>1.1544</v>
      </c>
      <c r="H133" s="7">
        <f t="shared" si="1"/>
        <v>0.0025</v>
      </c>
      <c r="I133" s="7">
        <f t="shared" ref="I133:I134" si="6">H133+0.0004</f>
        <v>0.0029</v>
      </c>
      <c r="J133" s="9">
        <f t="shared" si="3"/>
        <v>5.948717949</v>
      </c>
      <c r="K133" s="10">
        <v>44532.0</v>
      </c>
      <c r="L133" s="7" t="s">
        <v>145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2" t="s">
        <v>146</v>
      </c>
      <c r="B134" s="7">
        <f>96+95+88</f>
        <v>279</v>
      </c>
      <c r="C134" s="8">
        <v>12.0</v>
      </c>
      <c r="D134" s="7">
        <v>0.1215</v>
      </c>
      <c r="E134" s="7">
        <v>1.2519</v>
      </c>
      <c r="F134" s="5"/>
      <c r="G134" s="7">
        <v>1.2664</v>
      </c>
      <c r="H134" s="7">
        <v>0.0291</v>
      </c>
      <c r="I134" s="7">
        <f t="shared" si="6"/>
        <v>0.0295</v>
      </c>
      <c r="J134" s="9">
        <f t="shared" si="3"/>
        <v>105.734767</v>
      </c>
      <c r="K134" s="14">
        <v>44728.0</v>
      </c>
      <c r="L134" s="7" t="s">
        <v>147</v>
      </c>
      <c r="M134" s="26">
        <v>0.4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2" t="s">
        <v>146</v>
      </c>
      <c r="B135" s="8">
        <f>88+95</f>
        <v>183</v>
      </c>
      <c r="C135" s="8">
        <v>13.0</v>
      </c>
      <c r="D135" s="7">
        <v>0.1227</v>
      </c>
      <c r="E135" s="7">
        <v>1.27</v>
      </c>
      <c r="F135" s="5"/>
      <c r="G135" s="7">
        <v>1.2763</v>
      </c>
      <c r="H135" s="5"/>
      <c r="I135" s="5"/>
      <c r="J135" s="30"/>
      <c r="K135" s="14">
        <v>44728.0</v>
      </c>
      <c r="L135" s="7" t="s">
        <v>147</v>
      </c>
      <c r="M135" s="31">
        <v>0.4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2" t="s">
        <v>146</v>
      </c>
      <c r="B136" s="8">
        <f>79+27</f>
        <v>106</v>
      </c>
      <c r="C136" s="8">
        <v>61.0</v>
      </c>
      <c r="D136" s="7">
        <v>0.1214</v>
      </c>
      <c r="E136" s="7">
        <v>1.2634</v>
      </c>
      <c r="F136" s="7">
        <v>0.1297</v>
      </c>
      <c r="G136" s="5"/>
      <c r="H136" s="5"/>
      <c r="I136" s="5"/>
      <c r="J136" s="30"/>
      <c r="K136" s="14">
        <v>44728.0</v>
      </c>
      <c r="L136" s="7" t="s">
        <v>147</v>
      </c>
      <c r="M136" s="31">
        <v>0.4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2" t="s">
        <v>148</v>
      </c>
      <c r="B137" s="8">
        <f>95+96+87+88+85</f>
        <v>451</v>
      </c>
      <c r="C137" s="8">
        <v>9.0</v>
      </c>
      <c r="D137" s="7">
        <v>0.1223</v>
      </c>
      <c r="E137" s="7">
        <v>1.2539</v>
      </c>
      <c r="F137" s="7">
        <v>0.1284</v>
      </c>
      <c r="G137" s="5"/>
      <c r="H137" s="7">
        <f t="shared" ref="H137:H171" si="7">IF(F137="",G137-E137,F137-D137)</f>
        <v>0.0061</v>
      </c>
      <c r="I137" s="7">
        <f t="shared" ref="I137:I171" si="8">H137+0.0004</f>
        <v>0.0065</v>
      </c>
      <c r="J137" s="9">
        <f t="shared" ref="J137:J171" si="9">if(A138=A137,((I137+I138)*1000)/(B137/1000),IF(AND(A137=A136,B137=0),"see above",(I137*1000)/(B137/1000)))</f>
        <v>14.41241685</v>
      </c>
      <c r="K137" s="14">
        <v>44728.0</v>
      </c>
      <c r="L137" s="7" t="s">
        <v>147</v>
      </c>
      <c r="M137" s="31">
        <v>0.4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1" t="s">
        <v>149</v>
      </c>
      <c r="B138" s="7">
        <f>95+95+99+100+73</f>
        <v>462</v>
      </c>
      <c r="C138" s="8">
        <v>10.0</v>
      </c>
      <c r="D138" s="7">
        <v>0.122</v>
      </c>
      <c r="E138" s="7">
        <v>1.2525</v>
      </c>
      <c r="F138" s="7">
        <v>0.128</v>
      </c>
      <c r="G138" s="5"/>
      <c r="H138" s="7">
        <f t="shared" si="7"/>
        <v>0.006</v>
      </c>
      <c r="I138" s="7">
        <f t="shared" si="8"/>
        <v>0.0064</v>
      </c>
      <c r="J138" s="9">
        <f t="shared" si="9"/>
        <v>13.85281385</v>
      </c>
      <c r="K138" s="10">
        <v>44735.0</v>
      </c>
      <c r="L138" s="7" t="s">
        <v>147</v>
      </c>
      <c r="M138" s="26">
        <v>0.4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2" t="s">
        <v>150</v>
      </c>
      <c r="B139" s="8">
        <f>97+99+93+89+53+50</f>
        <v>481</v>
      </c>
      <c r="C139" s="8">
        <v>10.0</v>
      </c>
      <c r="D139" s="7">
        <v>0.1215</v>
      </c>
      <c r="E139" s="7">
        <v>1.2526</v>
      </c>
      <c r="F139" s="7">
        <v>0.1278</v>
      </c>
      <c r="G139" s="5"/>
      <c r="H139" s="7">
        <f t="shared" si="7"/>
        <v>0.0063</v>
      </c>
      <c r="I139" s="7">
        <f t="shared" si="8"/>
        <v>0.0067</v>
      </c>
      <c r="J139" s="9">
        <f t="shared" si="9"/>
        <v>13.92931393</v>
      </c>
      <c r="K139" s="14">
        <v>44728.0</v>
      </c>
      <c r="L139" s="7" t="s">
        <v>147</v>
      </c>
      <c r="M139" s="31">
        <v>0.3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2" t="s">
        <v>151</v>
      </c>
      <c r="B140" s="7">
        <f>99.5+88+94+94+98+16</f>
        <v>489.5</v>
      </c>
      <c r="C140" s="8">
        <v>11.0</v>
      </c>
      <c r="D140" s="7">
        <v>0.1225</v>
      </c>
      <c r="E140" s="7">
        <v>1.2579</v>
      </c>
      <c r="F140" s="7">
        <v>0.1298</v>
      </c>
      <c r="G140" s="5"/>
      <c r="H140" s="7">
        <f t="shared" si="7"/>
        <v>0.0073</v>
      </c>
      <c r="I140" s="7">
        <f t="shared" si="8"/>
        <v>0.0077</v>
      </c>
      <c r="J140" s="9">
        <f t="shared" si="9"/>
        <v>15.73033708</v>
      </c>
      <c r="K140" s="14">
        <v>44728.0</v>
      </c>
      <c r="L140" s="7" t="s">
        <v>147</v>
      </c>
      <c r="M140" s="26">
        <v>0.3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2" t="s">
        <v>152</v>
      </c>
      <c r="B141" s="8">
        <f>97+100+96+85+98+23</f>
        <v>499</v>
      </c>
      <c r="C141" s="8">
        <v>71.0</v>
      </c>
      <c r="D141" s="7">
        <v>0.1232</v>
      </c>
      <c r="E141" s="7">
        <v>1.2594</v>
      </c>
      <c r="F141" s="5"/>
      <c r="G141" s="7">
        <v>1.289</v>
      </c>
      <c r="H141" s="7">
        <f t="shared" si="7"/>
        <v>0.0296</v>
      </c>
      <c r="I141" s="7">
        <f t="shared" si="8"/>
        <v>0.03</v>
      </c>
      <c r="J141" s="9">
        <f t="shared" si="9"/>
        <v>60.12024048</v>
      </c>
      <c r="K141" s="14">
        <v>44728.0</v>
      </c>
      <c r="L141" s="7" t="s">
        <v>147</v>
      </c>
      <c r="M141" s="31">
        <v>32.2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1" t="s">
        <v>153</v>
      </c>
      <c r="B142" s="7">
        <f>91+92+100+90+95+48</f>
        <v>516</v>
      </c>
      <c r="C142" s="8">
        <v>12.0</v>
      </c>
      <c r="D142" s="7">
        <v>0.1222</v>
      </c>
      <c r="E142" s="32">
        <v>1.251</v>
      </c>
      <c r="F142" s="7">
        <v>0.1289</v>
      </c>
      <c r="G142" s="5"/>
      <c r="H142" s="7">
        <f t="shared" si="7"/>
        <v>0.0067</v>
      </c>
      <c r="I142" s="7">
        <f t="shared" si="8"/>
        <v>0.0071</v>
      </c>
      <c r="J142" s="9">
        <f t="shared" si="9"/>
        <v>13.75968992</v>
      </c>
      <c r="K142" s="10">
        <v>44735.0</v>
      </c>
      <c r="L142" s="7" t="s">
        <v>147</v>
      </c>
      <c r="M142" s="26">
        <v>32.9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1" t="s">
        <v>154</v>
      </c>
      <c r="B143" s="7">
        <f>93+96+94+88+48+59</f>
        <v>478</v>
      </c>
      <c r="C143" s="8">
        <v>13.0</v>
      </c>
      <c r="D143" s="7">
        <v>0.1215</v>
      </c>
      <c r="E143" s="7">
        <v>1.2529</v>
      </c>
      <c r="F143" s="7">
        <v>0.127</v>
      </c>
      <c r="G143" s="5"/>
      <c r="H143" s="7">
        <f t="shared" si="7"/>
        <v>0.0055</v>
      </c>
      <c r="I143" s="7">
        <f t="shared" si="8"/>
        <v>0.0059</v>
      </c>
      <c r="J143" s="9">
        <f t="shared" si="9"/>
        <v>12.34309623</v>
      </c>
      <c r="K143" s="10">
        <v>44735.0</v>
      </c>
      <c r="L143" s="7" t="s">
        <v>147</v>
      </c>
      <c r="M143" s="26">
        <v>30.2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2" t="s">
        <v>155</v>
      </c>
      <c r="B144" s="8">
        <f>98+98+80</f>
        <v>276</v>
      </c>
      <c r="C144" s="8">
        <v>3.0</v>
      </c>
      <c r="D144" s="7">
        <v>0.1219</v>
      </c>
      <c r="E144" s="7">
        <v>1.1376</v>
      </c>
      <c r="F144" s="5"/>
      <c r="G144" s="7">
        <v>1.1458</v>
      </c>
      <c r="H144" s="7">
        <f t="shared" si="7"/>
        <v>0.0082</v>
      </c>
      <c r="I144" s="7">
        <f t="shared" si="8"/>
        <v>0.0086</v>
      </c>
      <c r="J144" s="9">
        <f t="shared" si="9"/>
        <v>31.15942029</v>
      </c>
      <c r="K144" s="10">
        <v>44532.0</v>
      </c>
      <c r="L144" s="7" t="s">
        <v>145</v>
      </c>
      <c r="M144" s="16" t="s">
        <v>156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2" t="s">
        <v>157</v>
      </c>
      <c r="B145" s="7">
        <f>97+99.5+100+67.5</f>
        <v>364</v>
      </c>
      <c r="C145" s="8">
        <v>21.0</v>
      </c>
      <c r="D145" s="7">
        <v>0.1222</v>
      </c>
      <c r="E145" s="7">
        <v>1.1385</v>
      </c>
      <c r="F145" s="5"/>
      <c r="G145" s="7">
        <v>1.1399</v>
      </c>
      <c r="H145" s="7">
        <f t="shared" si="7"/>
        <v>0.0014</v>
      </c>
      <c r="I145" s="7">
        <f t="shared" si="8"/>
        <v>0.0018</v>
      </c>
      <c r="J145" s="9">
        <f t="shared" si="9"/>
        <v>4.945054945</v>
      </c>
      <c r="K145" s="10">
        <v>44532.0</v>
      </c>
      <c r="L145" s="7" t="s">
        <v>145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1" t="s">
        <v>158</v>
      </c>
      <c r="B146" s="7">
        <v>305.0</v>
      </c>
      <c r="C146" s="8">
        <v>2.0</v>
      </c>
      <c r="D146" s="7">
        <v>0.1232</v>
      </c>
      <c r="E146" s="7">
        <v>1.2537</v>
      </c>
      <c r="F146" s="5"/>
      <c r="G146" s="7">
        <v>1.2551</v>
      </c>
      <c r="H146" s="7">
        <f t="shared" si="7"/>
        <v>0.0014</v>
      </c>
      <c r="I146" s="7">
        <f t="shared" si="8"/>
        <v>0.0018</v>
      </c>
      <c r="J146" s="9">
        <f t="shared" si="9"/>
        <v>5.901639344</v>
      </c>
      <c r="K146" s="10">
        <v>44532.0</v>
      </c>
      <c r="L146" s="7" t="s">
        <v>145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2" t="s">
        <v>159</v>
      </c>
      <c r="B147" s="8">
        <f>97+94+54</f>
        <v>245</v>
      </c>
      <c r="C147" s="8">
        <v>1.0</v>
      </c>
      <c r="D147" s="7">
        <v>0.1214</v>
      </c>
      <c r="E147" s="7">
        <v>1.1437</v>
      </c>
      <c r="F147" s="7">
        <v>0.1237</v>
      </c>
      <c r="G147" s="5"/>
      <c r="H147" s="7">
        <f t="shared" si="7"/>
        <v>0.0023</v>
      </c>
      <c r="I147" s="7">
        <f t="shared" si="8"/>
        <v>0.0027</v>
      </c>
      <c r="J147" s="9">
        <f t="shared" si="9"/>
        <v>11.02040816</v>
      </c>
      <c r="K147" s="10">
        <v>44735.0</v>
      </c>
      <c r="L147" s="7" t="s">
        <v>147</v>
      </c>
      <c r="M147" s="31">
        <v>0.6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3" t="s">
        <v>160</v>
      </c>
      <c r="B148" s="8">
        <f>97.5+99+92</f>
        <v>288.5</v>
      </c>
      <c r="C148" s="8">
        <v>15.0</v>
      </c>
      <c r="D148" s="7">
        <v>0.1207</v>
      </c>
      <c r="E148" s="7">
        <v>1.2436</v>
      </c>
      <c r="F148" s="5"/>
      <c r="G148" s="7">
        <v>1.2468</v>
      </c>
      <c r="H148" s="7">
        <f t="shared" si="7"/>
        <v>0.0032</v>
      </c>
      <c r="I148" s="7">
        <f t="shared" si="8"/>
        <v>0.0036</v>
      </c>
      <c r="J148" s="9">
        <f t="shared" si="9"/>
        <v>12.47833622</v>
      </c>
      <c r="K148" s="10">
        <v>44532.0</v>
      </c>
      <c r="L148" s="7" t="s">
        <v>145</v>
      </c>
      <c r="M148" s="23" t="s">
        <v>161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3" t="s">
        <v>162</v>
      </c>
      <c r="B149" s="8">
        <f>98+37</f>
        <v>135</v>
      </c>
      <c r="C149" s="8">
        <v>1.0</v>
      </c>
      <c r="D149" s="7">
        <v>0.1217</v>
      </c>
      <c r="E149" s="7">
        <v>1.1439</v>
      </c>
      <c r="F149" s="7">
        <v>0.1237</v>
      </c>
      <c r="G149" s="5"/>
      <c r="H149" s="7">
        <f t="shared" si="7"/>
        <v>0.002</v>
      </c>
      <c r="I149" s="7">
        <f t="shared" si="8"/>
        <v>0.0024</v>
      </c>
      <c r="J149" s="9">
        <f t="shared" si="9"/>
        <v>17.77777778</v>
      </c>
      <c r="K149" s="10">
        <v>44532.0</v>
      </c>
      <c r="L149" s="7" t="s">
        <v>145</v>
      </c>
      <c r="M149" s="16" t="s">
        <v>163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6" t="s">
        <v>164</v>
      </c>
      <c r="B150" s="8">
        <v>97.0</v>
      </c>
      <c r="C150" s="8">
        <v>2.0</v>
      </c>
      <c r="D150" s="7">
        <v>0.1226</v>
      </c>
      <c r="E150" s="7">
        <v>1.2501</v>
      </c>
      <c r="F150" s="5"/>
      <c r="G150" s="7">
        <v>1.2627</v>
      </c>
      <c r="H150" s="7">
        <f t="shared" si="7"/>
        <v>0.0126</v>
      </c>
      <c r="I150" s="7">
        <f t="shared" si="8"/>
        <v>0.013</v>
      </c>
      <c r="J150" s="9">
        <f t="shared" si="9"/>
        <v>134.0206186</v>
      </c>
      <c r="K150" s="10">
        <v>44735.0</v>
      </c>
      <c r="L150" s="7" t="s">
        <v>147</v>
      </c>
      <c r="M150" s="31">
        <v>0.3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1" t="s">
        <v>165</v>
      </c>
      <c r="B151" s="7">
        <f>97+92.5+97.5+21</f>
        <v>308</v>
      </c>
      <c r="C151" s="8">
        <v>7.0</v>
      </c>
      <c r="D151" s="7">
        <v>0.1213</v>
      </c>
      <c r="E151" s="7">
        <v>1.2541</v>
      </c>
      <c r="F151" s="5"/>
      <c r="G151" s="7">
        <v>1.2648</v>
      </c>
      <c r="H151" s="7">
        <f t="shared" si="7"/>
        <v>0.0107</v>
      </c>
      <c r="I151" s="7">
        <f t="shared" si="8"/>
        <v>0.0111</v>
      </c>
      <c r="J151" s="9">
        <f t="shared" si="9"/>
        <v>36.03896104</v>
      </c>
      <c r="K151" s="10">
        <v>44532.0</v>
      </c>
      <c r="L151" s="7" t="s">
        <v>145</v>
      </c>
      <c r="M151" s="16" t="s">
        <v>166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1" t="s">
        <v>167</v>
      </c>
      <c r="B152" s="7">
        <f>97.5+95+96+93</f>
        <v>381.5</v>
      </c>
      <c r="C152" s="8">
        <v>13.0</v>
      </c>
      <c r="D152" s="7">
        <v>0.1216</v>
      </c>
      <c r="E152" s="7">
        <v>1.2598</v>
      </c>
      <c r="F152" s="7">
        <v>0.1243</v>
      </c>
      <c r="G152" s="5"/>
      <c r="H152" s="7">
        <f t="shared" si="7"/>
        <v>0.0027</v>
      </c>
      <c r="I152" s="7">
        <f t="shared" si="8"/>
        <v>0.0031</v>
      </c>
      <c r="J152" s="9">
        <f t="shared" si="9"/>
        <v>8.125819135</v>
      </c>
      <c r="K152" s="10">
        <v>44532.0</v>
      </c>
      <c r="L152" s="7" t="s">
        <v>145</v>
      </c>
      <c r="M152" s="16" t="s">
        <v>168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3" t="s">
        <v>169</v>
      </c>
      <c r="B153" s="8">
        <f>97.5+96.5+100+72</f>
        <v>366</v>
      </c>
      <c r="C153" s="8">
        <v>71.0</v>
      </c>
      <c r="D153" s="7">
        <v>0.122</v>
      </c>
      <c r="E153" s="7">
        <v>1.258</v>
      </c>
      <c r="F153" s="7">
        <v>0.1257</v>
      </c>
      <c r="G153" s="5"/>
      <c r="H153" s="7">
        <f t="shared" si="7"/>
        <v>0.0037</v>
      </c>
      <c r="I153" s="7">
        <f t="shared" si="8"/>
        <v>0.0041</v>
      </c>
      <c r="J153" s="9">
        <f t="shared" si="9"/>
        <v>11.20218579</v>
      </c>
      <c r="K153" s="10">
        <v>44532.0</v>
      </c>
      <c r="L153" s="7" t="s">
        <v>145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2" t="s">
        <v>170</v>
      </c>
      <c r="B154" s="8">
        <v>11.0</v>
      </c>
      <c r="C154" s="8">
        <v>3.0</v>
      </c>
      <c r="D154" s="7">
        <v>0.1213</v>
      </c>
      <c r="E154" s="7">
        <v>1.2591</v>
      </c>
      <c r="F154" s="5"/>
      <c r="G154" s="7">
        <v>1.261</v>
      </c>
      <c r="H154" s="7">
        <f t="shared" si="7"/>
        <v>0.0019</v>
      </c>
      <c r="I154" s="7">
        <f t="shared" si="8"/>
        <v>0.0023</v>
      </c>
      <c r="J154" s="9">
        <f t="shared" si="9"/>
        <v>209.0909091</v>
      </c>
      <c r="K154" s="10">
        <v>44735.0</v>
      </c>
      <c r="L154" s="7" t="s">
        <v>147</v>
      </c>
      <c r="M154" s="31">
        <v>0.1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2" t="s">
        <v>171</v>
      </c>
      <c r="B155" s="8">
        <v>53.0</v>
      </c>
      <c r="C155" s="8">
        <v>4.0</v>
      </c>
      <c r="D155" s="7">
        <v>0.1224</v>
      </c>
      <c r="E155" s="5"/>
      <c r="F155" s="7">
        <v>0.1264</v>
      </c>
      <c r="G155" s="7">
        <v>1.2557</v>
      </c>
      <c r="H155" s="7">
        <f t="shared" si="7"/>
        <v>0.004</v>
      </c>
      <c r="I155" s="7">
        <f t="shared" si="8"/>
        <v>0.0044</v>
      </c>
      <c r="J155" s="9">
        <f t="shared" si="9"/>
        <v>83.01886792</v>
      </c>
      <c r="K155" s="10">
        <v>44735.0</v>
      </c>
      <c r="L155" s="7" t="s">
        <v>147</v>
      </c>
      <c r="M155" s="31">
        <v>0.1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2" t="s">
        <v>172</v>
      </c>
      <c r="B156" s="8">
        <v>48.0</v>
      </c>
      <c r="C156" s="8">
        <v>5.0</v>
      </c>
      <c r="D156" s="7">
        <v>0.1219</v>
      </c>
      <c r="E156" s="7">
        <v>1.2665</v>
      </c>
      <c r="F156" s="5"/>
      <c r="G156" s="7">
        <v>1.2671</v>
      </c>
      <c r="H156" s="7">
        <f t="shared" si="7"/>
        <v>0.0006</v>
      </c>
      <c r="I156" s="7">
        <f t="shared" si="8"/>
        <v>0.001</v>
      </c>
      <c r="J156" s="9">
        <f t="shared" si="9"/>
        <v>20.83333333</v>
      </c>
      <c r="K156" s="10">
        <v>44735.0</v>
      </c>
      <c r="L156" s="7" t="s">
        <v>147</v>
      </c>
      <c r="M156" s="31">
        <v>0.1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6" t="s">
        <v>173</v>
      </c>
      <c r="B157" s="8">
        <v>69.0</v>
      </c>
      <c r="C157" s="8">
        <v>6.0</v>
      </c>
      <c r="D157" s="7">
        <v>0.1224</v>
      </c>
      <c r="E157" s="7">
        <v>1.1467</v>
      </c>
      <c r="F157" s="5"/>
      <c r="G157" s="7">
        <v>1.1476</v>
      </c>
      <c r="H157" s="7">
        <f t="shared" si="7"/>
        <v>0.0009</v>
      </c>
      <c r="I157" s="7">
        <f t="shared" si="8"/>
        <v>0.0013</v>
      </c>
      <c r="J157" s="9">
        <f t="shared" si="9"/>
        <v>18.84057971</v>
      </c>
      <c r="K157" s="10">
        <v>44735.0</v>
      </c>
      <c r="L157" s="7" t="s">
        <v>147</v>
      </c>
      <c r="M157" s="31">
        <v>0.1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6" t="s">
        <v>174</v>
      </c>
      <c r="B158" s="7">
        <f>88+46</f>
        <v>134</v>
      </c>
      <c r="C158" s="8">
        <v>7.0</v>
      </c>
      <c r="D158" s="7">
        <v>0.1222</v>
      </c>
      <c r="E158" s="7">
        <v>1.2553</v>
      </c>
      <c r="F158" s="5"/>
      <c r="G158" s="7">
        <v>1.2589</v>
      </c>
      <c r="H158" s="7">
        <f t="shared" si="7"/>
        <v>0.0036</v>
      </c>
      <c r="I158" s="7">
        <f t="shared" si="8"/>
        <v>0.004</v>
      </c>
      <c r="J158" s="9">
        <f t="shared" si="9"/>
        <v>29.85074627</v>
      </c>
      <c r="K158" s="10">
        <v>44735.0</v>
      </c>
      <c r="L158" s="7" t="s">
        <v>147</v>
      </c>
      <c r="M158" s="26">
        <v>0.1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2" t="s">
        <v>175</v>
      </c>
      <c r="B159" s="7">
        <f>98+89+24</f>
        <v>211</v>
      </c>
      <c r="C159" s="8">
        <v>8.0</v>
      </c>
      <c r="D159" s="7">
        <v>0.122</v>
      </c>
      <c r="E159" s="7">
        <v>1.1844</v>
      </c>
      <c r="F159" s="7">
        <v>0.1273</v>
      </c>
      <c r="G159" s="5"/>
      <c r="H159" s="7">
        <f t="shared" si="7"/>
        <v>0.0053</v>
      </c>
      <c r="I159" s="7">
        <f t="shared" si="8"/>
        <v>0.0057</v>
      </c>
      <c r="J159" s="9">
        <f t="shared" si="9"/>
        <v>27.01421801</v>
      </c>
      <c r="K159" s="10">
        <v>44735.0</v>
      </c>
      <c r="L159" s="7" t="s">
        <v>147</v>
      </c>
      <c r="M159" s="26">
        <v>0.1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1" t="s">
        <v>176</v>
      </c>
      <c r="B160" s="7">
        <f>91+95+97+99</f>
        <v>382</v>
      </c>
      <c r="C160" s="8">
        <v>9.0</v>
      </c>
      <c r="D160" s="7">
        <v>0.1217</v>
      </c>
      <c r="E160" s="7">
        <v>1.2533</v>
      </c>
      <c r="F160" s="5"/>
      <c r="G160" s="7">
        <v>1.2668</v>
      </c>
      <c r="H160" s="7">
        <f t="shared" si="7"/>
        <v>0.0135</v>
      </c>
      <c r="I160" s="7">
        <f t="shared" si="8"/>
        <v>0.0139</v>
      </c>
      <c r="J160" s="9">
        <f t="shared" si="9"/>
        <v>36.38743455</v>
      </c>
      <c r="K160" s="10">
        <v>44735.0</v>
      </c>
      <c r="L160" s="7" t="s">
        <v>147</v>
      </c>
      <c r="M160" s="26">
        <v>30.5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1" t="s">
        <v>177</v>
      </c>
      <c r="B161" s="7">
        <f>97+99+91+87</f>
        <v>374</v>
      </c>
      <c r="C161" s="7">
        <v>61.0</v>
      </c>
      <c r="D161" s="7">
        <v>0.1217</v>
      </c>
      <c r="E161" s="7">
        <v>1.2642</v>
      </c>
      <c r="F161" s="5"/>
      <c r="G161" s="7">
        <v>1.2712</v>
      </c>
      <c r="H161" s="7">
        <f t="shared" si="7"/>
        <v>0.007</v>
      </c>
      <c r="I161" s="7">
        <f t="shared" si="8"/>
        <v>0.0074</v>
      </c>
      <c r="J161" s="9">
        <f t="shared" si="9"/>
        <v>19.78609626</v>
      </c>
      <c r="K161" s="10">
        <v>44735.0</v>
      </c>
      <c r="L161" s="7" t="s">
        <v>147</v>
      </c>
      <c r="M161" s="26">
        <v>0.7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2" t="s">
        <v>178</v>
      </c>
      <c r="B162" s="8">
        <f>91.5+93+100+63.5</f>
        <v>348</v>
      </c>
      <c r="C162" s="8">
        <v>1.0</v>
      </c>
      <c r="D162" s="7">
        <v>0.1221</v>
      </c>
      <c r="E162" s="7">
        <v>1.1445</v>
      </c>
      <c r="F162" s="7">
        <v>0.1246</v>
      </c>
      <c r="G162" s="5"/>
      <c r="H162" s="7">
        <f t="shared" si="7"/>
        <v>0.0025</v>
      </c>
      <c r="I162" s="7">
        <f t="shared" si="8"/>
        <v>0.0029</v>
      </c>
      <c r="J162" s="9">
        <f t="shared" si="9"/>
        <v>8.333333333</v>
      </c>
      <c r="K162" s="14">
        <v>44728.0</v>
      </c>
      <c r="L162" s="7" t="s">
        <v>147</v>
      </c>
      <c r="M162" s="31">
        <v>0.5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2" t="s">
        <v>179</v>
      </c>
      <c r="B163" s="8">
        <f>95+91+94+56</f>
        <v>336</v>
      </c>
      <c r="C163" s="8">
        <v>2.0</v>
      </c>
      <c r="D163" s="7">
        <v>0.1222</v>
      </c>
      <c r="E163" s="7">
        <v>1.2495</v>
      </c>
      <c r="F163" s="7">
        <v>0.1245</v>
      </c>
      <c r="G163" s="5"/>
      <c r="H163" s="7">
        <f t="shared" si="7"/>
        <v>0.0023</v>
      </c>
      <c r="I163" s="7">
        <f t="shared" si="8"/>
        <v>0.0027</v>
      </c>
      <c r="J163" s="9">
        <f t="shared" si="9"/>
        <v>8.035714286</v>
      </c>
      <c r="K163" s="14">
        <v>44728.0</v>
      </c>
      <c r="L163" s="7" t="s">
        <v>147</v>
      </c>
      <c r="M163" s="31">
        <v>0.5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2" t="s">
        <v>180</v>
      </c>
      <c r="B164" s="8">
        <f>97+96+88+58</f>
        <v>339</v>
      </c>
      <c r="C164" s="8">
        <v>3.0</v>
      </c>
      <c r="D164" s="7">
        <v>0.1228</v>
      </c>
      <c r="E164" s="7">
        <v>1.2603</v>
      </c>
      <c r="F164" s="7">
        <v>0.1254</v>
      </c>
      <c r="G164" s="5"/>
      <c r="H164" s="7">
        <f t="shared" si="7"/>
        <v>0.0026</v>
      </c>
      <c r="I164" s="7">
        <f t="shared" si="8"/>
        <v>0.003</v>
      </c>
      <c r="J164" s="9">
        <f t="shared" si="9"/>
        <v>8.849557522</v>
      </c>
      <c r="K164" s="14">
        <v>44728.0</v>
      </c>
      <c r="L164" s="7" t="s">
        <v>147</v>
      </c>
      <c r="M164" s="31">
        <v>0.5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6" t="s">
        <v>181</v>
      </c>
      <c r="B165" s="8">
        <f>100+100+90+64</f>
        <v>354</v>
      </c>
      <c r="C165" s="8">
        <v>4.0</v>
      </c>
      <c r="D165" s="7">
        <v>0.1222</v>
      </c>
      <c r="E165" s="7">
        <v>1.2516</v>
      </c>
      <c r="F165" s="7">
        <v>0.1252</v>
      </c>
      <c r="G165" s="5"/>
      <c r="H165" s="7">
        <f t="shared" si="7"/>
        <v>0.003</v>
      </c>
      <c r="I165" s="7">
        <f t="shared" si="8"/>
        <v>0.0034</v>
      </c>
      <c r="J165" s="9">
        <f t="shared" si="9"/>
        <v>9.604519774</v>
      </c>
      <c r="K165" s="14">
        <v>44728.0</v>
      </c>
      <c r="L165" s="7" t="s">
        <v>147</v>
      </c>
      <c r="M165" s="31">
        <v>0.5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6" t="s">
        <v>182</v>
      </c>
      <c r="B166" s="8">
        <f>94+96+100+58.5</f>
        <v>348.5</v>
      </c>
      <c r="C166" s="8">
        <v>5.0</v>
      </c>
      <c r="D166" s="7">
        <v>0.1222</v>
      </c>
      <c r="E166" s="7">
        <v>1.1407</v>
      </c>
      <c r="F166" s="5"/>
      <c r="G166" s="7">
        <v>1.1425</v>
      </c>
      <c r="H166" s="7">
        <f t="shared" si="7"/>
        <v>0.0018</v>
      </c>
      <c r="I166" s="7">
        <f t="shared" si="8"/>
        <v>0.0022</v>
      </c>
      <c r="J166" s="9">
        <f t="shared" si="9"/>
        <v>6.31276901</v>
      </c>
      <c r="K166" s="14">
        <v>44728.0</v>
      </c>
      <c r="L166" s="7" t="s">
        <v>147</v>
      </c>
      <c r="M166" s="31">
        <v>0.5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6" t="s">
        <v>183</v>
      </c>
      <c r="B167" s="8">
        <f>90+94+94+67</f>
        <v>345</v>
      </c>
      <c r="C167" s="8">
        <v>6.0</v>
      </c>
      <c r="D167" s="7">
        <v>0.1232</v>
      </c>
      <c r="E167" s="7">
        <v>1.1472</v>
      </c>
      <c r="F167" s="7">
        <v>0.1247</v>
      </c>
      <c r="G167" s="5"/>
      <c r="H167" s="7">
        <f t="shared" si="7"/>
        <v>0.0015</v>
      </c>
      <c r="I167" s="7">
        <f t="shared" si="8"/>
        <v>0.0019</v>
      </c>
      <c r="J167" s="9">
        <f t="shared" si="9"/>
        <v>5.507246377</v>
      </c>
      <c r="K167" s="14">
        <v>44728.0</v>
      </c>
      <c r="L167" s="7" t="s">
        <v>147</v>
      </c>
      <c r="M167" s="31">
        <v>0.5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6" t="s">
        <v>184</v>
      </c>
      <c r="B168" s="8">
        <f>94+89+91+60</f>
        <v>334</v>
      </c>
      <c r="C168" s="8">
        <v>7.0</v>
      </c>
      <c r="D168" s="7">
        <v>0.1221</v>
      </c>
      <c r="E168" s="7">
        <v>1.2548</v>
      </c>
      <c r="F168" s="7">
        <v>0.1234</v>
      </c>
      <c r="G168" s="5"/>
      <c r="H168" s="7">
        <f t="shared" si="7"/>
        <v>0.0013</v>
      </c>
      <c r="I168" s="7">
        <f t="shared" si="8"/>
        <v>0.0017</v>
      </c>
      <c r="J168" s="9">
        <f t="shared" si="9"/>
        <v>5.089820359</v>
      </c>
      <c r="K168" s="14">
        <v>44728.0</v>
      </c>
      <c r="L168" s="7" t="s">
        <v>147</v>
      </c>
      <c r="M168" s="31">
        <v>0.5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6" t="s">
        <v>185</v>
      </c>
      <c r="B169" s="8">
        <f>95+96+94+73</f>
        <v>358</v>
      </c>
      <c r="C169" s="8">
        <v>8.0</v>
      </c>
      <c r="D169" s="7">
        <v>0.1217</v>
      </c>
      <c r="E169" s="7">
        <v>1.184</v>
      </c>
      <c r="F169" s="7">
        <v>0.1233</v>
      </c>
      <c r="G169" s="5"/>
      <c r="H169" s="7">
        <f t="shared" si="7"/>
        <v>0.0016</v>
      </c>
      <c r="I169" s="7">
        <f t="shared" si="8"/>
        <v>0.002</v>
      </c>
      <c r="J169" s="9">
        <f t="shared" si="9"/>
        <v>5.586592179</v>
      </c>
      <c r="K169" s="14">
        <v>44728.0</v>
      </c>
      <c r="L169" s="7" t="s">
        <v>147</v>
      </c>
      <c r="M169" s="31">
        <v>0.5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6" t="s">
        <v>186</v>
      </c>
      <c r="B170" s="7">
        <f>96+94+97+99</f>
        <v>386</v>
      </c>
      <c r="C170" s="8">
        <v>11.0</v>
      </c>
      <c r="D170" s="7">
        <v>0.121</v>
      </c>
      <c r="E170" s="7">
        <v>1.2557</v>
      </c>
      <c r="F170" s="7">
        <v>0.1374</v>
      </c>
      <c r="G170" s="5"/>
      <c r="H170" s="7">
        <f t="shared" si="7"/>
        <v>0.0164</v>
      </c>
      <c r="I170" s="7">
        <f t="shared" si="8"/>
        <v>0.0168</v>
      </c>
      <c r="J170" s="9">
        <f t="shared" si="9"/>
        <v>43.52331606</v>
      </c>
      <c r="K170" s="10">
        <v>44735.0</v>
      </c>
      <c r="L170" s="7" t="s">
        <v>147</v>
      </c>
      <c r="M170" s="26">
        <v>27.2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6" t="s">
        <v>187</v>
      </c>
      <c r="B171" s="7">
        <f>96+90+93+98</f>
        <v>377</v>
      </c>
      <c r="C171" s="7">
        <v>51.0</v>
      </c>
      <c r="D171" s="7">
        <v>0.1221</v>
      </c>
      <c r="E171" s="7">
        <v>1.1376</v>
      </c>
      <c r="F171" s="7">
        <v>0.1261</v>
      </c>
      <c r="G171" s="5"/>
      <c r="H171" s="7">
        <f t="shared" si="7"/>
        <v>0.004</v>
      </c>
      <c r="I171" s="7">
        <f t="shared" si="8"/>
        <v>0.0044</v>
      </c>
      <c r="J171" s="9">
        <f t="shared" si="9"/>
        <v>11.67108753</v>
      </c>
      <c r="K171" s="10">
        <v>44735.0</v>
      </c>
      <c r="L171" s="7" t="s">
        <v>147</v>
      </c>
      <c r="M171" s="26">
        <v>0.8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2.75"/>
  </cols>
  <sheetData>
    <row r="1">
      <c r="A1" s="1" t="s">
        <v>0</v>
      </c>
      <c r="B1" s="4" t="s">
        <v>188</v>
      </c>
      <c r="C1" s="2" t="s">
        <v>189</v>
      </c>
      <c r="D1" s="2" t="s">
        <v>190</v>
      </c>
      <c r="E1" s="4" t="s">
        <v>191</v>
      </c>
      <c r="F1" s="2" t="s">
        <v>192</v>
      </c>
      <c r="G1" s="7" t="s">
        <v>193</v>
      </c>
      <c r="H1" s="7" t="s">
        <v>194</v>
      </c>
      <c r="I1" s="2" t="s">
        <v>195</v>
      </c>
      <c r="J1" s="2" t="s">
        <v>196</v>
      </c>
      <c r="K1" s="2" t="s">
        <v>197</v>
      </c>
      <c r="L1" s="2" t="s">
        <v>198</v>
      </c>
      <c r="M1" s="4" t="s">
        <v>199</v>
      </c>
      <c r="N1" s="7" t="s">
        <v>200</v>
      </c>
      <c r="O1" s="7" t="s">
        <v>201</v>
      </c>
      <c r="P1" s="7" t="s">
        <v>202</v>
      </c>
      <c r="Q1" s="2" t="s">
        <v>202</v>
      </c>
      <c r="R1" s="1" t="s">
        <v>11</v>
      </c>
      <c r="S1" s="3" t="s">
        <v>12</v>
      </c>
    </row>
    <row r="2">
      <c r="A2" s="33" t="s">
        <v>203</v>
      </c>
      <c r="B2" s="34"/>
      <c r="C2" s="34"/>
      <c r="D2" s="34"/>
      <c r="E2" s="25">
        <v>47.0</v>
      </c>
      <c r="F2" s="25">
        <v>64.43</v>
      </c>
      <c r="G2" s="25"/>
      <c r="H2" s="25"/>
      <c r="I2" s="25">
        <v>281.9</v>
      </c>
      <c r="J2" s="7">
        <f t="shared" ref="J2:J318" si="1">I2-F2</f>
        <v>217.47</v>
      </c>
      <c r="K2" s="25">
        <v>64.53</v>
      </c>
      <c r="L2" s="7">
        <f t="shared" ref="L2:L318" si="2">K2-F2</f>
        <v>0.1</v>
      </c>
      <c r="M2" s="35">
        <f t="shared" ref="M2:M318" si="3">L2/(J2/1000)</f>
        <v>0.4598335403</v>
      </c>
      <c r="N2" s="36">
        <f t="shared" ref="N2:N318" si="4">M2*1000</f>
        <v>459.8335403</v>
      </c>
      <c r="Q2" s="27">
        <v>44118.0</v>
      </c>
      <c r="R2" s="16" t="s">
        <v>126</v>
      </c>
      <c r="S2" s="5"/>
    </row>
    <row r="3">
      <c r="A3" s="33" t="s">
        <v>204</v>
      </c>
      <c r="B3" s="37" t="s">
        <v>205</v>
      </c>
      <c r="C3" s="38">
        <v>43796.0</v>
      </c>
      <c r="D3" s="39">
        <v>0.125</v>
      </c>
      <c r="E3" s="25">
        <v>19.0</v>
      </c>
      <c r="F3" s="25">
        <v>64.17</v>
      </c>
      <c r="G3" s="25"/>
      <c r="H3" s="25"/>
      <c r="I3" s="25">
        <v>168.51</v>
      </c>
      <c r="J3" s="7">
        <f t="shared" si="1"/>
        <v>104.34</v>
      </c>
      <c r="K3" s="25">
        <v>64.36</v>
      </c>
      <c r="L3" s="7">
        <f t="shared" si="2"/>
        <v>0.19</v>
      </c>
      <c r="M3" s="35">
        <f t="shared" si="3"/>
        <v>1.820969906</v>
      </c>
      <c r="N3" s="36">
        <f t="shared" si="4"/>
        <v>1820.969906</v>
      </c>
      <c r="Q3" s="5"/>
      <c r="R3" s="5"/>
      <c r="S3" s="5"/>
    </row>
    <row r="4">
      <c r="A4" s="33" t="s">
        <v>206</v>
      </c>
      <c r="B4" s="34"/>
      <c r="C4" s="34"/>
      <c r="D4" s="34"/>
      <c r="E4" s="25">
        <v>56.0</v>
      </c>
      <c r="F4" s="25">
        <v>64.33</v>
      </c>
      <c r="G4" s="25"/>
      <c r="H4" s="25"/>
      <c r="I4" s="25">
        <v>288.41</v>
      </c>
      <c r="J4" s="7">
        <f t="shared" si="1"/>
        <v>224.08</v>
      </c>
      <c r="K4" s="25">
        <v>64.35</v>
      </c>
      <c r="L4" s="7">
        <f t="shared" si="2"/>
        <v>0.02</v>
      </c>
      <c r="M4" s="35">
        <f t="shared" si="3"/>
        <v>0.08925383792</v>
      </c>
      <c r="N4" s="36">
        <f t="shared" si="4"/>
        <v>89.25383792</v>
      </c>
      <c r="Q4" s="27">
        <v>44118.0</v>
      </c>
      <c r="R4" s="16" t="s">
        <v>126</v>
      </c>
      <c r="S4" s="5"/>
    </row>
    <row r="5">
      <c r="A5" s="33" t="s">
        <v>207</v>
      </c>
      <c r="B5" s="34"/>
      <c r="C5" s="34"/>
      <c r="D5" s="34"/>
      <c r="E5" s="25">
        <v>89.0</v>
      </c>
      <c r="F5" s="25">
        <v>64.29</v>
      </c>
      <c r="G5" s="25"/>
      <c r="H5" s="25"/>
      <c r="I5" s="25">
        <v>286.67</v>
      </c>
      <c r="J5" s="7">
        <f t="shared" si="1"/>
        <v>222.38</v>
      </c>
      <c r="K5" s="25">
        <v>64.32</v>
      </c>
      <c r="L5" s="7">
        <f t="shared" si="2"/>
        <v>0.03</v>
      </c>
      <c r="M5" s="35">
        <f t="shared" si="3"/>
        <v>0.134904218</v>
      </c>
      <c r="N5" s="36">
        <f t="shared" si="4"/>
        <v>134.904218</v>
      </c>
      <c r="Q5" s="27">
        <v>44118.0</v>
      </c>
      <c r="R5" s="16" t="s">
        <v>126</v>
      </c>
      <c r="S5" s="5"/>
    </row>
    <row r="6">
      <c r="A6" s="33" t="s">
        <v>208</v>
      </c>
      <c r="B6" s="34"/>
      <c r="C6" s="34"/>
      <c r="D6" s="34"/>
      <c r="E6" s="25">
        <v>72.0</v>
      </c>
      <c r="F6" s="25">
        <v>64.33</v>
      </c>
      <c r="G6" s="25"/>
      <c r="H6" s="25"/>
      <c r="I6" s="25">
        <v>267.69</v>
      </c>
      <c r="J6" s="7">
        <f t="shared" si="1"/>
        <v>203.36</v>
      </c>
      <c r="K6" s="25">
        <v>64.34</v>
      </c>
      <c r="L6" s="7">
        <f t="shared" si="2"/>
        <v>0.01</v>
      </c>
      <c r="M6" s="35">
        <f t="shared" si="3"/>
        <v>0.04917387884</v>
      </c>
      <c r="N6" s="36">
        <f t="shared" si="4"/>
        <v>49.17387884</v>
      </c>
      <c r="Q6" s="25" t="s">
        <v>209</v>
      </c>
      <c r="R6" s="5" t="s">
        <v>210</v>
      </c>
      <c r="S6" s="29" t="s">
        <v>211</v>
      </c>
    </row>
    <row r="7">
      <c r="A7" s="33" t="s">
        <v>212</v>
      </c>
      <c r="B7" s="34"/>
      <c r="C7" s="34"/>
      <c r="D7" s="34"/>
      <c r="E7" s="25">
        <v>71.0</v>
      </c>
      <c r="F7" s="25">
        <v>64.13</v>
      </c>
      <c r="G7" s="25"/>
      <c r="H7" s="25"/>
      <c r="I7" s="25">
        <v>270.2</v>
      </c>
      <c r="J7" s="7">
        <f t="shared" si="1"/>
        <v>206.07</v>
      </c>
      <c r="K7" s="25">
        <v>64.15</v>
      </c>
      <c r="L7" s="7">
        <f t="shared" si="2"/>
        <v>0.02</v>
      </c>
      <c r="M7" s="35">
        <f t="shared" si="3"/>
        <v>0.09705439899</v>
      </c>
      <c r="N7" s="36">
        <f t="shared" si="4"/>
        <v>97.05439899</v>
      </c>
      <c r="Q7" s="25" t="s">
        <v>209</v>
      </c>
      <c r="R7" s="5" t="s">
        <v>210</v>
      </c>
      <c r="S7" s="5"/>
    </row>
    <row r="8">
      <c r="A8" s="33" t="s">
        <v>213</v>
      </c>
      <c r="B8" s="34"/>
      <c r="C8" s="34"/>
      <c r="D8" s="34"/>
      <c r="E8" s="25">
        <v>45.0</v>
      </c>
      <c r="F8" s="25">
        <v>64.3</v>
      </c>
      <c r="G8" s="25"/>
      <c r="H8" s="25"/>
      <c r="I8" s="25">
        <v>274.55</v>
      </c>
      <c r="J8" s="7">
        <f t="shared" si="1"/>
        <v>210.25</v>
      </c>
      <c r="K8" s="25">
        <v>64.34</v>
      </c>
      <c r="L8" s="7">
        <f t="shared" si="2"/>
        <v>0.04</v>
      </c>
      <c r="M8" s="35">
        <f t="shared" si="3"/>
        <v>0.1902497027</v>
      </c>
      <c r="N8" s="36">
        <f t="shared" si="4"/>
        <v>190.2497027</v>
      </c>
      <c r="Q8" s="25" t="s">
        <v>209</v>
      </c>
      <c r="R8" s="5" t="s">
        <v>210</v>
      </c>
      <c r="S8" s="5"/>
    </row>
    <row r="9">
      <c r="A9" s="33" t="s">
        <v>214</v>
      </c>
      <c r="B9" s="34"/>
      <c r="C9" s="34"/>
      <c r="D9" s="34"/>
      <c r="E9" s="25">
        <v>35.0</v>
      </c>
      <c r="F9" s="25">
        <v>64.19</v>
      </c>
      <c r="G9" s="25"/>
      <c r="H9" s="25"/>
      <c r="I9" s="25">
        <v>283.55</v>
      </c>
      <c r="J9" s="7">
        <f t="shared" si="1"/>
        <v>219.36</v>
      </c>
      <c r="K9" s="25">
        <v>64.21</v>
      </c>
      <c r="L9" s="7">
        <f t="shared" si="2"/>
        <v>0.02</v>
      </c>
      <c r="M9" s="35">
        <f t="shared" si="3"/>
        <v>0.09117432531</v>
      </c>
      <c r="N9" s="36">
        <f t="shared" si="4"/>
        <v>91.17432531</v>
      </c>
      <c r="Q9" s="27">
        <v>44118.0</v>
      </c>
      <c r="R9" s="16" t="s">
        <v>126</v>
      </c>
      <c r="S9" s="5"/>
    </row>
    <row r="10">
      <c r="A10" s="11" t="s">
        <v>215</v>
      </c>
      <c r="B10" s="34"/>
      <c r="C10" s="34"/>
      <c r="D10" s="34"/>
      <c r="E10" s="7">
        <v>57.0</v>
      </c>
      <c r="F10" s="7">
        <v>64.17</v>
      </c>
      <c r="G10" s="7"/>
      <c r="H10" s="7"/>
      <c r="I10" s="7">
        <v>282.53</v>
      </c>
      <c r="J10" s="7">
        <f t="shared" si="1"/>
        <v>218.36</v>
      </c>
      <c r="K10" s="7">
        <v>64.19</v>
      </c>
      <c r="L10" s="7">
        <f t="shared" si="2"/>
        <v>0.02</v>
      </c>
      <c r="M10" s="35">
        <f t="shared" si="3"/>
        <v>0.09159186664</v>
      </c>
      <c r="N10" s="36">
        <f t="shared" si="4"/>
        <v>91.59186664</v>
      </c>
      <c r="Q10" s="24">
        <v>44111.0</v>
      </c>
      <c r="R10" s="16" t="s">
        <v>126</v>
      </c>
      <c r="S10" s="5"/>
    </row>
    <row r="11">
      <c r="A11" s="33" t="s">
        <v>216</v>
      </c>
      <c r="B11" s="34"/>
      <c r="C11" s="34"/>
      <c r="D11" s="34"/>
      <c r="E11" s="25">
        <v>57.0</v>
      </c>
      <c r="F11" s="25">
        <v>64.34</v>
      </c>
      <c r="G11" s="25"/>
      <c r="H11" s="25"/>
      <c r="I11" s="25">
        <v>292.17</v>
      </c>
      <c r="J11" s="7">
        <f t="shared" si="1"/>
        <v>227.83</v>
      </c>
      <c r="K11" s="25">
        <v>83.1</v>
      </c>
      <c r="L11" s="7">
        <f t="shared" si="2"/>
        <v>18.76</v>
      </c>
      <c r="M11" s="35">
        <f t="shared" si="3"/>
        <v>82.34209718</v>
      </c>
      <c r="N11" s="36">
        <f t="shared" si="4"/>
        <v>82342.09718</v>
      </c>
      <c r="Q11" s="27">
        <v>44118.0</v>
      </c>
      <c r="R11" s="16" t="s">
        <v>126</v>
      </c>
      <c r="S11" s="5"/>
    </row>
    <row r="12">
      <c r="A12" s="33" t="s">
        <v>217</v>
      </c>
      <c r="B12" s="37" t="s">
        <v>218</v>
      </c>
      <c r="C12" s="40">
        <v>43803.0</v>
      </c>
      <c r="D12" s="39">
        <v>0.041666666666666664</v>
      </c>
      <c r="E12" s="25">
        <v>11.0</v>
      </c>
      <c r="F12" s="25">
        <v>64.27</v>
      </c>
      <c r="G12" s="25"/>
      <c r="H12" s="25"/>
      <c r="I12" s="25">
        <v>230.67</v>
      </c>
      <c r="J12" s="7">
        <f t="shared" si="1"/>
        <v>166.4</v>
      </c>
      <c r="K12" s="25">
        <v>71.02</v>
      </c>
      <c r="L12" s="7">
        <f t="shared" si="2"/>
        <v>6.75</v>
      </c>
      <c r="M12" s="35">
        <f t="shared" si="3"/>
        <v>40.56490385</v>
      </c>
      <c r="N12" s="36">
        <f t="shared" si="4"/>
        <v>40564.90385</v>
      </c>
      <c r="Q12" s="5"/>
      <c r="R12" s="5"/>
      <c r="S12" s="5"/>
    </row>
    <row r="13">
      <c r="A13" s="11" t="s">
        <v>219</v>
      </c>
      <c r="B13" s="34"/>
      <c r="C13" s="34"/>
      <c r="D13" s="34"/>
      <c r="E13" s="7">
        <v>80.0</v>
      </c>
      <c r="F13" s="7">
        <v>64.4</v>
      </c>
      <c r="G13" s="7"/>
      <c r="H13" s="7"/>
      <c r="I13" s="7">
        <v>288.43</v>
      </c>
      <c r="J13" s="7">
        <f t="shared" si="1"/>
        <v>224.03</v>
      </c>
      <c r="K13" s="7">
        <v>71.6</v>
      </c>
      <c r="L13" s="7">
        <f t="shared" si="2"/>
        <v>7.2</v>
      </c>
      <c r="M13" s="35">
        <f t="shared" si="3"/>
        <v>32.13855287</v>
      </c>
      <c r="N13" s="36">
        <f t="shared" si="4"/>
        <v>32138.55287</v>
      </c>
      <c r="Q13" s="24">
        <v>44111.0</v>
      </c>
      <c r="R13" s="16" t="s">
        <v>126</v>
      </c>
      <c r="S13" s="5"/>
    </row>
    <row r="14">
      <c r="A14" s="11" t="s">
        <v>220</v>
      </c>
      <c r="B14" s="37" t="s">
        <v>218</v>
      </c>
      <c r="C14" s="40">
        <v>43803.0</v>
      </c>
      <c r="D14" s="39">
        <v>0.6666666666666666</v>
      </c>
      <c r="E14" s="25">
        <v>22.0</v>
      </c>
      <c r="F14" s="25">
        <v>64.08</v>
      </c>
      <c r="G14" s="25"/>
      <c r="H14" s="25"/>
      <c r="I14" s="25">
        <v>216.97</v>
      </c>
      <c r="J14" s="7">
        <f t="shared" si="1"/>
        <v>152.89</v>
      </c>
      <c r="K14" s="25">
        <v>67.65</v>
      </c>
      <c r="L14" s="7">
        <f t="shared" si="2"/>
        <v>3.57</v>
      </c>
      <c r="M14" s="35">
        <f t="shared" si="3"/>
        <v>23.350121</v>
      </c>
      <c r="N14" s="36">
        <f t="shared" si="4"/>
        <v>23350.121</v>
      </c>
      <c r="Q14" s="5"/>
      <c r="R14" s="5"/>
      <c r="S14" s="5"/>
    </row>
    <row r="15">
      <c r="A15" s="33" t="s">
        <v>221</v>
      </c>
      <c r="B15" s="34"/>
      <c r="C15" s="34"/>
      <c r="D15" s="34"/>
      <c r="E15" s="25">
        <v>11.0</v>
      </c>
      <c r="F15" s="25">
        <v>64.35</v>
      </c>
      <c r="G15" s="25"/>
      <c r="H15" s="25"/>
      <c r="I15" s="25">
        <v>286.81</v>
      </c>
      <c r="J15" s="7">
        <f t="shared" si="1"/>
        <v>222.46</v>
      </c>
      <c r="K15" s="25">
        <v>64.47</v>
      </c>
      <c r="L15" s="7">
        <f t="shared" si="2"/>
        <v>0.12</v>
      </c>
      <c r="M15" s="35">
        <f t="shared" si="3"/>
        <v>0.5394228176</v>
      </c>
      <c r="N15" s="36">
        <f t="shared" si="4"/>
        <v>539.4228176</v>
      </c>
      <c r="Q15" s="27">
        <v>44118.0</v>
      </c>
      <c r="R15" s="16" t="s">
        <v>126</v>
      </c>
      <c r="S15" s="5"/>
    </row>
    <row r="16">
      <c r="A16" s="11" t="s">
        <v>222</v>
      </c>
      <c r="B16" s="34"/>
      <c r="C16" s="34"/>
      <c r="D16" s="34"/>
      <c r="E16" s="7">
        <v>55.0</v>
      </c>
      <c r="F16" s="7">
        <v>64.23</v>
      </c>
      <c r="G16" s="7"/>
      <c r="H16" s="7"/>
      <c r="I16" s="7">
        <v>287.43</v>
      </c>
      <c r="J16" s="7">
        <f t="shared" si="1"/>
        <v>223.2</v>
      </c>
      <c r="K16" s="7">
        <v>64.34</v>
      </c>
      <c r="L16" s="7">
        <f t="shared" si="2"/>
        <v>0.11</v>
      </c>
      <c r="M16" s="35">
        <f t="shared" si="3"/>
        <v>0.4928315412</v>
      </c>
      <c r="N16" s="36">
        <f t="shared" si="4"/>
        <v>492.8315412</v>
      </c>
      <c r="Q16" s="24">
        <v>44116.0</v>
      </c>
      <c r="R16" s="16" t="s">
        <v>126</v>
      </c>
      <c r="S16" s="5"/>
    </row>
    <row r="17">
      <c r="A17" s="11" t="s">
        <v>223</v>
      </c>
      <c r="B17" s="34"/>
      <c r="C17" s="34"/>
      <c r="D17" s="34"/>
      <c r="E17" s="7">
        <v>46.0</v>
      </c>
      <c r="F17" s="7">
        <v>64.48</v>
      </c>
      <c r="G17" s="7"/>
      <c r="H17" s="7"/>
      <c r="I17" s="7">
        <v>291.16</v>
      </c>
      <c r="J17" s="7">
        <f t="shared" si="1"/>
        <v>226.68</v>
      </c>
      <c r="K17" s="7">
        <v>64.55</v>
      </c>
      <c r="L17" s="7">
        <f t="shared" si="2"/>
        <v>0.07</v>
      </c>
      <c r="M17" s="35">
        <f t="shared" si="3"/>
        <v>0.3088053644</v>
      </c>
      <c r="N17" s="36">
        <f t="shared" si="4"/>
        <v>308.8053644</v>
      </c>
      <c r="Q17" s="24">
        <v>44116.0</v>
      </c>
      <c r="R17" s="16" t="s">
        <v>126</v>
      </c>
      <c r="S17" s="5"/>
    </row>
    <row r="18">
      <c r="A18" s="11" t="s">
        <v>224</v>
      </c>
      <c r="B18" s="34"/>
      <c r="C18" s="34"/>
      <c r="D18" s="34"/>
      <c r="E18" s="7">
        <v>35.0</v>
      </c>
      <c r="F18" s="7">
        <v>64.23</v>
      </c>
      <c r="G18" s="7"/>
      <c r="H18" s="7"/>
      <c r="I18" s="7">
        <v>291.05</v>
      </c>
      <c r="J18" s="7">
        <f t="shared" si="1"/>
        <v>226.82</v>
      </c>
      <c r="K18" s="7">
        <v>64.37</v>
      </c>
      <c r="L18" s="7">
        <f t="shared" si="2"/>
        <v>0.14</v>
      </c>
      <c r="M18" s="35">
        <f t="shared" si="3"/>
        <v>0.6172295212</v>
      </c>
      <c r="N18" s="36">
        <f t="shared" si="4"/>
        <v>617.2295212</v>
      </c>
      <c r="Q18" s="24">
        <v>44111.0</v>
      </c>
      <c r="R18" s="16" t="s">
        <v>126</v>
      </c>
      <c r="S18" s="5"/>
    </row>
    <row r="19">
      <c r="A19" s="11" t="s">
        <v>225</v>
      </c>
      <c r="B19" s="25" t="s">
        <v>226</v>
      </c>
      <c r="C19" s="27">
        <v>43900.0</v>
      </c>
      <c r="D19" s="41">
        <v>0.9166666666666666</v>
      </c>
      <c r="E19" s="25">
        <v>39.0</v>
      </c>
      <c r="F19" s="25">
        <v>64.46</v>
      </c>
      <c r="G19" s="25"/>
      <c r="H19" s="25"/>
      <c r="I19" s="25">
        <v>141.77</v>
      </c>
      <c r="J19" s="7">
        <f t="shared" si="1"/>
        <v>77.31</v>
      </c>
      <c r="K19" s="25">
        <v>64.51</v>
      </c>
      <c r="L19" s="7">
        <f t="shared" si="2"/>
        <v>0.05</v>
      </c>
      <c r="M19" s="35">
        <f t="shared" si="3"/>
        <v>0.6467468633</v>
      </c>
      <c r="N19" s="36">
        <f t="shared" si="4"/>
        <v>646.7468633</v>
      </c>
      <c r="Q19" s="5"/>
      <c r="R19" s="5"/>
      <c r="S19" s="5"/>
    </row>
    <row r="20">
      <c r="A20" s="11" t="s">
        <v>227</v>
      </c>
      <c r="B20" s="5"/>
      <c r="C20" s="5"/>
      <c r="D20" s="5"/>
      <c r="E20" s="7">
        <v>44.0</v>
      </c>
      <c r="F20" s="7">
        <v>64.44</v>
      </c>
      <c r="G20" s="7"/>
      <c r="H20" s="7"/>
      <c r="I20" s="7">
        <v>287.31</v>
      </c>
      <c r="J20" s="7">
        <f t="shared" si="1"/>
        <v>222.87</v>
      </c>
      <c r="K20" s="7">
        <v>64.51</v>
      </c>
      <c r="L20" s="7">
        <f t="shared" si="2"/>
        <v>0.07</v>
      </c>
      <c r="M20" s="35">
        <f t="shared" si="3"/>
        <v>0.3140844438</v>
      </c>
      <c r="N20" s="36">
        <f t="shared" si="4"/>
        <v>314.0844438</v>
      </c>
      <c r="Q20" s="24">
        <v>44116.0</v>
      </c>
      <c r="R20" s="16" t="s">
        <v>126</v>
      </c>
      <c r="S20" s="5"/>
    </row>
    <row r="21">
      <c r="A21" s="16" t="s">
        <v>228</v>
      </c>
      <c r="B21" s="5"/>
      <c r="C21" s="5"/>
      <c r="D21" s="5"/>
      <c r="E21" s="7">
        <v>27.0</v>
      </c>
      <c r="F21" s="7">
        <v>64.14</v>
      </c>
      <c r="G21" s="7"/>
      <c r="H21" s="7"/>
      <c r="I21" s="7">
        <v>291.63</v>
      </c>
      <c r="J21" s="7">
        <f t="shared" si="1"/>
        <v>227.49</v>
      </c>
      <c r="K21" s="7">
        <v>64.21</v>
      </c>
      <c r="L21" s="7">
        <f t="shared" si="2"/>
        <v>0.07</v>
      </c>
      <c r="M21" s="35">
        <f t="shared" si="3"/>
        <v>0.3077058332</v>
      </c>
      <c r="N21" s="36">
        <f t="shared" si="4"/>
        <v>307.7058332</v>
      </c>
      <c r="Q21" s="24">
        <v>44111.0</v>
      </c>
      <c r="R21" s="16" t="s">
        <v>126</v>
      </c>
      <c r="S21" s="5"/>
    </row>
    <row r="22">
      <c r="A22" s="16" t="s">
        <v>229</v>
      </c>
      <c r="B22" s="5"/>
      <c r="C22" s="5"/>
      <c r="D22" s="5"/>
      <c r="E22" s="7">
        <v>56.0</v>
      </c>
      <c r="F22" s="7">
        <v>64.33</v>
      </c>
      <c r="G22" s="7"/>
      <c r="H22" s="7"/>
      <c r="I22" s="7">
        <v>285.95</v>
      </c>
      <c r="J22" s="7">
        <f t="shared" si="1"/>
        <v>221.62</v>
      </c>
      <c r="K22" s="7">
        <v>64.41</v>
      </c>
      <c r="L22" s="7">
        <f t="shared" si="2"/>
        <v>0.08</v>
      </c>
      <c r="M22" s="35">
        <f t="shared" si="3"/>
        <v>0.3609782511</v>
      </c>
      <c r="N22" s="36">
        <f t="shared" si="4"/>
        <v>360.9782511</v>
      </c>
      <c r="Q22" s="24">
        <v>44111.0</v>
      </c>
      <c r="R22" s="16" t="s">
        <v>126</v>
      </c>
      <c r="S22" s="5"/>
    </row>
    <row r="23">
      <c r="A23" s="5" t="s">
        <v>230</v>
      </c>
      <c r="B23" s="5"/>
      <c r="C23" s="5"/>
      <c r="D23" s="5"/>
      <c r="E23" s="25">
        <v>81.0</v>
      </c>
      <c r="F23" s="25">
        <v>64.27</v>
      </c>
      <c r="G23" s="25"/>
      <c r="H23" s="25"/>
      <c r="I23" s="25">
        <v>276.15</v>
      </c>
      <c r="J23" s="7">
        <f t="shared" si="1"/>
        <v>211.88</v>
      </c>
      <c r="K23" s="25">
        <v>64.32</v>
      </c>
      <c r="L23" s="7">
        <f t="shared" si="2"/>
        <v>0.05</v>
      </c>
      <c r="M23" s="35">
        <f t="shared" si="3"/>
        <v>0.2359826317</v>
      </c>
      <c r="N23" s="36">
        <f t="shared" si="4"/>
        <v>235.9826317</v>
      </c>
      <c r="Q23" s="27">
        <v>44118.0</v>
      </c>
      <c r="R23" s="16" t="s">
        <v>126</v>
      </c>
      <c r="S23" s="5"/>
    </row>
    <row r="24">
      <c r="A24" s="5" t="s">
        <v>231</v>
      </c>
      <c r="B24" s="5"/>
      <c r="C24" s="5"/>
      <c r="D24" s="5"/>
      <c r="E24" s="25">
        <v>70.0</v>
      </c>
      <c r="F24" s="25">
        <v>64.08</v>
      </c>
      <c r="G24" s="25"/>
      <c r="H24" s="25"/>
      <c r="I24" s="25">
        <v>273.21</v>
      </c>
      <c r="J24" s="7">
        <f t="shared" si="1"/>
        <v>209.13</v>
      </c>
      <c r="K24" s="25">
        <v>64.09</v>
      </c>
      <c r="L24" s="7">
        <f t="shared" si="2"/>
        <v>0.01</v>
      </c>
      <c r="M24" s="35">
        <f t="shared" si="3"/>
        <v>0.04781714723</v>
      </c>
      <c r="N24" s="36">
        <f t="shared" si="4"/>
        <v>47.81714723</v>
      </c>
      <c r="Q24" s="25" t="s">
        <v>209</v>
      </c>
      <c r="R24" s="5" t="s">
        <v>210</v>
      </c>
      <c r="S24" s="5"/>
    </row>
    <row r="25">
      <c r="A25" s="5" t="s">
        <v>232</v>
      </c>
      <c r="B25" s="25" t="s">
        <v>205</v>
      </c>
      <c r="C25" s="27">
        <v>43901.0</v>
      </c>
      <c r="D25" s="41">
        <v>0.16666666666666666</v>
      </c>
      <c r="E25" s="25">
        <v>47.0</v>
      </c>
      <c r="F25" s="25">
        <v>64.3</v>
      </c>
      <c r="G25" s="25"/>
      <c r="H25" s="25"/>
      <c r="I25" s="25">
        <v>152.43</v>
      </c>
      <c r="J25" s="7">
        <f t="shared" si="1"/>
        <v>88.13</v>
      </c>
      <c r="K25" s="25">
        <v>64.3</v>
      </c>
      <c r="L25" s="7">
        <f t="shared" si="2"/>
        <v>0</v>
      </c>
      <c r="M25" s="35">
        <f t="shared" si="3"/>
        <v>0</v>
      </c>
      <c r="N25" s="36">
        <f t="shared" si="4"/>
        <v>0</v>
      </c>
      <c r="Q25" s="5"/>
      <c r="R25" s="5"/>
      <c r="S25" s="5"/>
    </row>
    <row r="26">
      <c r="A26" s="11" t="s">
        <v>233</v>
      </c>
      <c r="B26" s="5"/>
      <c r="C26" s="5"/>
      <c r="D26" s="5"/>
      <c r="E26" s="7">
        <v>39.0</v>
      </c>
      <c r="F26" s="7">
        <v>64.46</v>
      </c>
      <c r="G26" s="7"/>
      <c r="H26" s="7"/>
      <c r="I26" s="7">
        <v>287.24</v>
      </c>
      <c r="J26" s="7">
        <f t="shared" si="1"/>
        <v>222.78</v>
      </c>
      <c r="K26" s="7">
        <v>64.51</v>
      </c>
      <c r="L26" s="7">
        <f t="shared" si="2"/>
        <v>0.05</v>
      </c>
      <c r="M26" s="35">
        <f t="shared" si="3"/>
        <v>0.224436664</v>
      </c>
      <c r="N26" s="36">
        <f t="shared" si="4"/>
        <v>224.436664</v>
      </c>
      <c r="Q26" s="24">
        <v>44111.0</v>
      </c>
      <c r="R26" s="16" t="s">
        <v>126</v>
      </c>
      <c r="S26" s="5"/>
    </row>
    <row r="27">
      <c r="A27" s="16" t="s">
        <v>234</v>
      </c>
      <c r="B27" s="5"/>
      <c r="C27" s="5"/>
      <c r="D27" s="5"/>
      <c r="E27" s="7">
        <v>22.0</v>
      </c>
      <c r="F27" s="7">
        <v>64.1</v>
      </c>
      <c r="G27" s="7"/>
      <c r="H27" s="7"/>
      <c r="I27" s="7">
        <v>294.41</v>
      </c>
      <c r="J27" s="7">
        <f t="shared" si="1"/>
        <v>230.31</v>
      </c>
      <c r="K27" s="7">
        <v>64.12</v>
      </c>
      <c r="L27" s="7">
        <f t="shared" si="2"/>
        <v>0.02</v>
      </c>
      <c r="M27" s="35">
        <f t="shared" si="3"/>
        <v>0.08683947723</v>
      </c>
      <c r="N27" s="36">
        <f t="shared" si="4"/>
        <v>86.83947723</v>
      </c>
      <c r="Q27" s="24">
        <v>44111.0</v>
      </c>
      <c r="R27" s="16" t="s">
        <v>126</v>
      </c>
      <c r="S27" s="5"/>
    </row>
    <row r="28">
      <c r="A28" s="5" t="s">
        <v>235</v>
      </c>
      <c r="B28" s="5"/>
      <c r="C28" s="5"/>
      <c r="D28" s="5"/>
      <c r="E28" s="25">
        <v>55.0</v>
      </c>
      <c r="F28" s="25">
        <v>64.23</v>
      </c>
      <c r="G28" s="25"/>
      <c r="H28" s="25"/>
      <c r="I28" s="25">
        <v>276.29</v>
      </c>
      <c r="J28" s="7">
        <f t="shared" si="1"/>
        <v>212.06</v>
      </c>
      <c r="K28" s="25">
        <v>64.23</v>
      </c>
      <c r="L28" s="7">
        <f t="shared" si="2"/>
        <v>0</v>
      </c>
      <c r="M28" s="35">
        <f t="shared" si="3"/>
        <v>0</v>
      </c>
      <c r="N28" s="36">
        <f t="shared" si="4"/>
        <v>0</v>
      </c>
      <c r="Q28" s="25" t="s">
        <v>209</v>
      </c>
      <c r="R28" s="5" t="s">
        <v>210</v>
      </c>
      <c r="S28" s="5"/>
    </row>
    <row r="29">
      <c r="A29" s="16" t="s">
        <v>236</v>
      </c>
      <c r="B29" s="5"/>
      <c r="C29" s="5"/>
      <c r="D29" s="5"/>
      <c r="E29" s="7">
        <v>53.0</v>
      </c>
      <c r="F29" s="7">
        <v>64.19</v>
      </c>
      <c r="G29" s="7"/>
      <c r="H29" s="7"/>
      <c r="I29" s="7">
        <v>289.71</v>
      </c>
      <c r="J29" s="7">
        <f t="shared" si="1"/>
        <v>225.52</v>
      </c>
      <c r="K29" s="7">
        <v>64.21</v>
      </c>
      <c r="L29" s="7">
        <f t="shared" si="2"/>
        <v>0.02</v>
      </c>
      <c r="M29" s="35">
        <f t="shared" si="3"/>
        <v>0.08868393047</v>
      </c>
      <c r="N29" s="36">
        <f t="shared" si="4"/>
        <v>88.68393047</v>
      </c>
      <c r="Q29" s="24">
        <v>44116.0</v>
      </c>
      <c r="R29" s="16" t="s">
        <v>126</v>
      </c>
      <c r="S29" s="5"/>
    </row>
    <row r="30">
      <c r="A30" s="11" t="s">
        <v>237</v>
      </c>
      <c r="B30" s="5"/>
      <c r="C30" s="5"/>
      <c r="D30" s="5"/>
      <c r="E30" s="7">
        <v>34.0</v>
      </c>
      <c r="F30" s="7">
        <v>64.38</v>
      </c>
      <c r="G30" s="7"/>
      <c r="H30" s="7"/>
      <c r="I30" s="7">
        <v>290.55</v>
      </c>
      <c r="J30" s="7">
        <f t="shared" si="1"/>
        <v>226.17</v>
      </c>
      <c r="K30" s="7">
        <v>64.39</v>
      </c>
      <c r="L30" s="7">
        <f t="shared" si="2"/>
        <v>0.01</v>
      </c>
      <c r="M30" s="35">
        <f t="shared" si="3"/>
        <v>0.04421452889</v>
      </c>
      <c r="N30" s="36">
        <f t="shared" si="4"/>
        <v>44.21452889</v>
      </c>
      <c r="Q30" s="24">
        <v>44116.0</v>
      </c>
      <c r="R30" s="16" t="s">
        <v>126</v>
      </c>
      <c r="S30" s="5"/>
    </row>
    <row r="31">
      <c r="A31" s="16" t="s">
        <v>238</v>
      </c>
      <c r="B31" s="5"/>
      <c r="C31" s="5"/>
      <c r="D31" s="5"/>
      <c r="E31" s="7">
        <v>14.0</v>
      </c>
      <c r="F31" s="7">
        <v>64.09</v>
      </c>
      <c r="G31" s="7"/>
      <c r="H31" s="7"/>
      <c r="I31" s="7">
        <v>297.2</v>
      </c>
      <c r="J31" s="7">
        <f t="shared" si="1"/>
        <v>233.11</v>
      </c>
      <c r="K31" s="7">
        <v>64.12</v>
      </c>
      <c r="L31" s="7">
        <f t="shared" si="2"/>
        <v>0.03</v>
      </c>
      <c r="M31" s="35">
        <f t="shared" si="3"/>
        <v>0.1286946077</v>
      </c>
      <c r="N31" s="36">
        <f t="shared" si="4"/>
        <v>128.6946077</v>
      </c>
      <c r="Q31" s="24">
        <v>44116.0</v>
      </c>
      <c r="R31" s="16" t="s">
        <v>126</v>
      </c>
      <c r="S31" s="5"/>
    </row>
    <row r="32">
      <c r="A32" s="5" t="s">
        <v>239</v>
      </c>
      <c r="B32" s="5"/>
      <c r="C32" s="5"/>
      <c r="D32" s="5"/>
      <c r="E32" s="25">
        <v>44.0</v>
      </c>
      <c r="F32" s="25">
        <v>64.44</v>
      </c>
      <c r="G32" s="25"/>
      <c r="H32" s="25"/>
      <c r="I32" s="25">
        <v>272.31</v>
      </c>
      <c r="J32" s="7">
        <f t="shared" si="1"/>
        <v>207.87</v>
      </c>
      <c r="K32" s="25">
        <v>64.46</v>
      </c>
      <c r="L32" s="7">
        <f t="shared" si="2"/>
        <v>0.02</v>
      </c>
      <c r="M32" s="35">
        <f t="shared" si="3"/>
        <v>0.09621397989</v>
      </c>
      <c r="N32" s="36">
        <f t="shared" si="4"/>
        <v>96.21397989</v>
      </c>
      <c r="Q32" s="25" t="s">
        <v>209</v>
      </c>
      <c r="R32" s="5" t="s">
        <v>210</v>
      </c>
      <c r="S32" s="5"/>
    </row>
    <row r="33">
      <c r="A33" s="16" t="s">
        <v>240</v>
      </c>
      <c r="B33" s="5"/>
      <c r="C33" s="5"/>
      <c r="D33" s="5"/>
      <c r="E33" s="7">
        <v>38.0</v>
      </c>
      <c r="F33" s="7">
        <v>64.45</v>
      </c>
      <c r="G33" s="7"/>
      <c r="H33" s="7"/>
      <c r="I33" s="7">
        <v>294.75</v>
      </c>
      <c r="J33" s="7">
        <f t="shared" si="1"/>
        <v>230.3</v>
      </c>
      <c r="K33" s="7">
        <v>64.47</v>
      </c>
      <c r="L33" s="7">
        <f t="shared" si="2"/>
        <v>0.02</v>
      </c>
      <c r="M33" s="35">
        <f t="shared" si="3"/>
        <v>0.08684324794</v>
      </c>
      <c r="N33" s="36">
        <f t="shared" si="4"/>
        <v>86.84324794</v>
      </c>
      <c r="Q33" s="24">
        <v>44116.0</v>
      </c>
      <c r="R33" s="16" t="s">
        <v>126</v>
      </c>
      <c r="S33" s="5"/>
    </row>
    <row r="34">
      <c r="A34" s="16" t="s">
        <v>241</v>
      </c>
      <c r="B34" s="5"/>
      <c r="C34" s="5"/>
      <c r="D34" s="5"/>
      <c r="E34" s="7">
        <v>36.0</v>
      </c>
      <c r="F34" s="7">
        <v>64.26</v>
      </c>
      <c r="G34" s="7"/>
      <c r="H34" s="7"/>
      <c r="I34" s="7">
        <v>298.95</v>
      </c>
      <c r="J34" s="7">
        <f t="shared" si="1"/>
        <v>234.69</v>
      </c>
      <c r="K34" s="7">
        <v>64.29</v>
      </c>
      <c r="L34" s="7">
        <f t="shared" si="2"/>
        <v>0.03</v>
      </c>
      <c r="M34" s="35">
        <f t="shared" si="3"/>
        <v>0.1278281989</v>
      </c>
      <c r="N34" s="36">
        <f t="shared" si="4"/>
        <v>127.8281989</v>
      </c>
      <c r="Q34" s="24">
        <v>44116.0</v>
      </c>
      <c r="R34" s="16" t="s">
        <v>126</v>
      </c>
      <c r="S34" s="5"/>
    </row>
    <row r="35">
      <c r="A35" s="16" t="s">
        <v>242</v>
      </c>
      <c r="B35" s="5"/>
      <c r="C35" s="5"/>
      <c r="D35" s="5"/>
      <c r="E35" s="7">
        <v>66.0</v>
      </c>
      <c r="F35" s="7">
        <v>64.24</v>
      </c>
      <c r="G35" s="7"/>
      <c r="H35" s="7"/>
      <c r="I35" s="7">
        <v>294.69</v>
      </c>
      <c r="J35" s="7">
        <f t="shared" si="1"/>
        <v>230.45</v>
      </c>
      <c r="K35" s="7">
        <v>64.27</v>
      </c>
      <c r="L35" s="7">
        <f t="shared" si="2"/>
        <v>0.03</v>
      </c>
      <c r="M35" s="35">
        <f t="shared" si="3"/>
        <v>0.1301800824</v>
      </c>
      <c r="N35" s="36">
        <f t="shared" si="4"/>
        <v>130.1800824</v>
      </c>
      <c r="Q35" s="24">
        <v>44116.0</v>
      </c>
      <c r="R35" s="16" t="s">
        <v>126</v>
      </c>
      <c r="S35" s="5"/>
    </row>
    <row r="36">
      <c r="A36" s="11" t="s">
        <v>243</v>
      </c>
      <c r="B36" s="5"/>
      <c r="C36" s="5"/>
      <c r="D36" s="5"/>
      <c r="E36" s="7">
        <v>70.0</v>
      </c>
      <c r="F36" s="7">
        <v>64.07</v>
      </c>
      <c r="G36" s="7"/>
      <c r="H36" s="7"/>
      <c r="I36" s="7">
        <v>289.75</v>
      </c>
      <c r="J36" s="7">
        <f t="shared" si="1"/>
        <v>225.68</v>
      </c>
      <c r="K36" s="7">
        <v>64.12</v>
      </c>
      <c r="L36" s="7">
        <f t="shared" si="2"/>
        <v>0.05</v>
      </c>
      <c r="M36" s="35">
        <f t="shared" si="3"/>
        <v>0.2215526409</v>
      </c>
      <c r="N36" s="36">
        <f t="shared" si="4"/>
        <v>221.5526409</v>
      </c>
      <c r="Q36" s="24">
        <v>44116.0</v>
      </c>
      <c r="R36" s="16" t="s">
        <v>126</v>
      </c>
      <c r="S36" s="5"/>
    </row>
    <row r="37">
      <c r="A37" s="16" t="s">
        <v>244</v>
      </c>
      <c r="B37" s="5"/>
      <c r="C37" s="5"/>
      <c r="D37" s="5"/>
      <c r="E37" s="7">
        <v>72.0</v>
      </c>
      <c r="F37" s="7">
        <v>64.32</v>
      </c>
      <c r="G37" s="7"/>
      <c r="H37" s="7"/>
      <c r="I37" s="7">
        <v>290.73</v>
      </c>
      <c r="J37" s="7">
        <f t="shared" si="1"/>
        <v>226.41</v>
      </c>
      <c r="K37" s="7">
        <v>64.38</v>
      </c>
      <c r="L37" s="7">
        <f t="shared" si="2"/>
        <v>0.06</v>
      </c>
      <c r="M37" s="35">
        <f t="shared" si="3"/>
        <v>0.2650059626</v>
      </c>
      <c r="N37" s="36">
        <f t="shared" si="4"/>
        <v>265.0059626</v>
      </c>
      <c r="Q37" s="24">
        <v>44116.0</v>
      </c>
      <c r="R37" s="16" t="s">
        <v>126</v>
      </c>
      <c r="S37" s="5"/>
    </row>
    <row r="38">
      <c r="A38" s="11" t="s">
        <v>245</v>
      </c>
      <c r="B38" s="5"/>
      <c r="C38" s="5"/>
      <c r="D38" s="5"/>
      <c r="E38" s="7">
        <v>15.0</v>
      </c>
      <c r="F38" s="7">
        <v>64.32</v>
      </c>
      <c r="G38" s="7"/>
      <c r="H38" s="7"/>
      <c r="I38" s="7">
        <v>291.52</v>
      </c>
      <c r="J38" s="7">
        <f t="shared" si="1"/>
        <v>227.2</v>
      </c>
      <c r="K38" s="7">
        <v>64.33</v>
      </c>
      <c r="L38" s="7">
        <f t="shared" si="2"/>
        <v>0.01</v>
      </c>
      <c r="M38" s="35">
        <f t="shared" si="3"/>
        <v>0.04401408451</v>
      </c>
      <c r="N38" s="36">
        <f t="shared" si="4"/>
        <v>44.01408451</v>
      </c>
      <c r="Q38" s="24">
        <v>44116.0</v>
      </c>
      <c r="R38" s="16" t="s">
        <v>126</v>
      </c>
      <c r="S38" s="5"/>
    </row>
    <row r="39">
      <c r="A39" s="33" t="s">
        <v>246</v>
      </c>
      <c r="B39" s="5"/>
      <c r="C39" s="5"/>
      <c r="D39" s="5"/>
      <c r="E39" s="25">
        <v>27.0</v>
      </c>
      <c r="F39" s="25">
        <v>64.3</v>
      </c>
      <c r="G39" s="25"/>
      <c r="H39" s="25"/>
      <c r="I39" s="25">
        <v>280.57</v>
      </c>
      <c r="J39" s="7">
        <f t="shared" si="1"/>
        <v>216.27</v>
      </c>
      <c r="K39" s="25">
        <v>64.31</v>
      </c>
      <c r="L39" s="7">
        <f t="shared" si="2"/>
        <v>0.01</v>
      </c>
      <c r="M39" s="35">
        <f t="shared" si="3"/>
        <v>0.04623849817</v>
      </c>
      <c r="N39" s="36">
        <f t="shared" si="4"/>
        <v>46.23849817</v>
      </c>
      <c r="Q39" s="27">
        <v>44118.0</v>
      </c>
      <c r="R39" s="16" t="s">
        <v>126</v>
      </c>
      <c r="S39" s="5"/>
    </row>
    <row r="40">
      <c r="A40" s="33" t="s">
        <v>247</v>
      </c>
      <c r="B40" s="5"/>
      <c r="C40" s="5"/>
      <c r="D40" s="5"/>
      <c r="E40" s="25">
        <v>19.0</v>
      </c>
      <c r="F40" s="25">
        <v>64.22</v>
      </c>
      <c r="G40" s="25"/>
      <c r="H40" s="25"/>
      <c r="I40" s="25">
        <v>292.03</v>
      </c>
      <c r="J40" s="7">
        <f t="shared" si="1"/>
        <v>227.81</v>
      </c>
      <c r="K40" s="25">
        <v>64.4</v>
      </c>
      <c r="L40" s="7">
        <f t="shared" si="2"/>
        <v>0.18</v>
      </c>
      <c r="M40" s="35">
        <f t="shared" si="3"/>
        <v>0.7901321277</v>
      </c>
      <c r="N40" s="36">
        <f t="shared" si="4"/>
        <v>790.1321277</v>
      </c>
      <c r="Q40" s="27">
        <v>44118.0</v>
      </c>
      <c r="R40" s="16" t="s">
        <v>126</v>
      </c>
      <c r="S40" s="5"/>
    </row>
    <row r="41">
      <c r="A41" s="42" t="s">
        <v>248</v>
      </c>
      <c r="B41" s="43"/>
      <c r="C41" s="43"/>
      <c r="D41" s="43"/>
      <c r="E41" s="44">
        <v>39.0</v>
      </c>
      <c r="F41" s="44">
        <v>64.78</v>
      </c>
      <c r="G41" s="44"/>
      <c r="H41" s="44"/>
      <c r="I41" s="44">
        <v>295.31</v>
      </c>
      <c r="J41" s="45">
        <f t="shared" si="1"/>
        <v>230.53</v>
      </c>
      <c r="K41" s="44">
        <v>64.52</v>
      </c>
      <c r="L41" s="45">
        <f t="shared" si="2"/>
        <v>-0.26</v>
      </c>
      <c r="M41" s="46">
        <f t="shared" si="3"/>
        <v>-1.127835857</v>
      </c>
      <c r="N41" s="36">
        <f t="shared" si="4"/>
        <v>-1127.835857</v>
      </c>
      <c r="Q41" s="47">
        <v>44118.0</v>
      </c>
      <c r="R41" s="48" t="s">
        <v>126</v>
      </c>
      <c r="S41" s="49">
        <v>64.46</v>
      </c>
    </row>
    <row r="42">
      <c r="A42" s="33" t="s">
        <v>249</v>
      </c>
      <c r="B42" s="5"/>
      <c r="C42" s="5"/>
      <c r="D42" s="5"/>
      <c r="E42" s="25">
        <v>64.0</v>
      </c>
      <c r="F42" s="25">
        <v>64.28</v>
      </c>
      <c r="G42" s="25"/>
      <c r="H42" s="25"/>
      <c r="I42" s="25">
        <v>287.58</v>
      </c>
      <c r="J42" s="7">
        <f t="shared" si="1"/>
        <v>223.3</v>
      </c>
      <c r="K42" s="25">
        <v>64.35</v>
      </c>
      <c r="L42" s="7">
        <f t="shared" si="2"/>
        <v>0.07</v>
      </c>
      <c r="M42" s="35">
        <f t="shared" si="3"/>
        <v>0.3134796238</v>
      </c>
      <c r="N42" s="36">
        <f t="shared" si="4"/>
        <v>313.4796238</v>
      </c>
      <c r="Q42" s="27">
        <v>44118.0</v>
      </c>
      <c r="R42" s="16" t="s">
        <v>126</v>
      </c>
      <c r="S42" s="5"/>
    </row>
    <row r="43">
      <c r="A43" s="42" t="s">
        <v>250</v>
      </c>
      <c r="B43" s="43"/>
      <c r="C43" s="43"/>
      <c r="D43" s="43"/>
      <c r="E43" s="44">
        <v>43.0</v>
      </c>
      <c r="F43" s="44">
        <v>64.35</v>
      </c>
      <c r="G43" s="44"/>
      <c r="H43" s="44"/>
      <c r="I43" s="44">
        <v>298.37</v>
      </c>
      <c r="J43" s="45">
        <f t="shared" si="1"/>
        <v>234.02</v>
      </c>
      <c r="K43" s="44">
        <v>64.33</v>
      </c>
      <c r="L43" s="45">
        <f t="shared" si="2"/>
        <v>-0.02</v>
      </c>
      <c r="M43" s="46">
        <f t="shared" si="3"/>
        <v>-0.08546278096</v>
      </c>
      <c r="N43" s="36">
        <f t="shared" si="4"/>
        <v>-85.46278096</v>
      </c>
      <c r="Q43" s="47">
        <v>44118.0</v>
      </c>
      <c r="R43" s="48" t="s">
        <v>126</v>
      </c>
      <c r="S43" s="49">
        <v>64.27</v>
      </c>
    </row>
    <row r="44">
      <c r="A44" s="33" t="s">
        <v>251</v>
      </c>
      <c r="B44" s="5"/>
      <c r="C44" s="5"/>
      <c r="D44" s="5"/>
      <c r="E44" s="25">
        <v>53.0</v>
      </c>
      <c r="F44" s="25">
        <v>64.2</v>
      </c>
      <c r="G44" s="25"/>
      <c r="H44" s="25"/>
      <c r="I44" s="25">
        <v>270.85</v>
      </c>
      <c r="J44" s="7">
        <f t="shared" si="1"/>
        <v>206.65</v>
      </c>
      <c r="K44" s="25">
        <v>64.22</v>
      </c>
      <c r="L44" s="7">
        <f t="shared" si="2"/>
        <v>0.02</v>
      </c>
      <c r="M44" s="35">
        <f t="shared" si="3"/>
        <v>0.09678199855</v>
      </c>
      <c r="N44" s="36">
        <f t="shared" si="4"/>
        <v>96.78199855</v>
      </c>
      <c r="Q44" s="25" t="s">
        <v>209</v>
      </c>
      <c r="R44" s="5" t="s">
        <v>210</v>
      </c>
      <c r="S44" s="5"/>
    </row>
    <row r="45">
      <c r="A45" s="33" t="s">
        <v>252</v>
      </c>
      <c r="B45" s="25" t="s">
        <v>226</v>
      </c>
      <c r="C45" s="27">
        <v>43906.0</v>
      </c>
      <c r="D45" s="41">
        <v>0.3333333333333333</v>
      </c>
      <c r="E45" s="25">
        <v>57.0</v>
      </c>
      <c r="F45" s="25">
        <v>64.16</v>
      </c>
      <c r="G45" s="25"/>
      <c r="H45" s="25"/>
      <c r="I45" s="25">
        <v>206.51</v>
      </c>
      <c r="J45" s="7">
        <f t="shared" si="1"/>
        <v>142.35</v>
      </c>
      <c r="K45" s="25">
        <v>64.18</v>
      </c>
      <c r="L45" s="7">
        <f t="shared" si="2"/>
        <v>0.02</v>
      </c>
      <c r="M45" s="35">
        <f t="shared" si="3"/>
        <v>0.1404987706</v>
      </c>
      <c r="N45" s="36">
        <f t="shared" si="4"/>
        <v>140.4987706</v>
      </c>
      <c r="Q45" s="5"/>
      <c r="R45" s="5"/>
      <c r="S45" s="5"/>
    </row>
    <row r="46">
      <c r="A46" s="33" t="s">
        <v>253</v>
      </c>
      <c r="B46" s="5"/>
      <c r="C46" s="5"/>
      <c r="D46" s="5"/>
      <c r="E46" s="25">
        <v>66.0</v>
      </c>
      <c r="F46" s="25">
        <v>64.27</v>
      </c>
      <c r="G46" s="25"/>
      <c r="H46" s="25"/>
      <c r="I46" s="25">
        <v>268.05</v>
      </c>
      <c r="J46" s="7">
        <f t="shared" si="1"/>
        <v>203.78</v>
      </c>
      <c r="K46" s="25">
        <v>64.28</v>
      </c>
      <c r="L46" s="7">
        <f t="shared" si="2"/>
        <v>0.01</v>
      </c>
      <c r="M46" s="35">
        <f t="shared" si="3"/>
        <v>0.0490725292</v>
      </c>
      <c r="N46" s="36">
        <f t="shared" si="4"/>
        <v>49.0725292</v>
      </c>
      <c r="Q46" s="25" t="s">
        <v>209</v>
      </c>
      <c r="R46" s="5" t="s">
        <v>210</v>
      </c>
      <c r="S46" s="5"/>
    </row>
    <row r="47">
      <c r="A47" s="33" t="s">
        <v>254</v>
      </c>
      <c r="B47" s="5"/>
      <c r="C47" s="5"/>
      <c r="D47" s="5"/>
      <c r="E47" s="25">
        <v>50.0</v>
      </c>
      <c r="F47" s="25">
        <v>64.34</v>
      </c>
      <c r="G47" s="25"/>
      <c r="H47" s="25"/>
      <c r="I47" s="25">
        <v>275.16</v>
      </c>
      <c r="J47" s="7">
        <f t="shared" si="1"/>
        <v>210.82</v>
      </c>
      <c r="K47" s="25">
        <v>64.38</v>
      </c>
      <c r="L47" s="7">
        <f t="shared" si="2"/>
        <v>0.04</v>
      </c>
      <c r="M47" s="35">
        <f t="shared" si="3"/>
        <v>0.1897353192</v>
      </c>
      <c r="N47" s="36">
        <f t="shared" si="4"/>
        <v>189.7353192</v>
      </c>
      <c r="Q47" s="25" t="s">
        <v>209</v>
      </c>
      <c r="R47" s="5" t="s">
        <v>210</v>
      </c>
      <c r="S47" s="5"/>
    </row>
    <row r="48">
      <c r="A48" s="42" t="s">
        <v>255</v>
      </c>
      <c r="B48" s="43"/>
      <c r="C48" s="43"/>
      <c r="D48" s="43"/>
      <c r="E48" s="44">
        <v>62.0</v>
      </c>
      <c r="F48" s="44">
        <v>64.23</v>
      </c>
      <c r="G48" s="44"/>
      <c r="H48" s="44"/>
      <c r="I48" s="44">
        <v>281.3</v>
      </c>
      <c r="J48" s="45">
        <f t="shared" si="1"/>
        <v>217.07</v>
      </c>
      <c r="K48" s="44">
        <v>64.23</v>
      </c>
      <c r="L48" s="45">
        <f t="shared" si="2"/>
        <v>0</v>
      </c>
      <c r="M48" s="46">
        <f t="shared" si="3"/>
        <v>0</v>
      </c>
      <c r="N48" s="36">
        <f t="shared" si="4"/>
        <v>0</v>
      </c>
      <c r="Q48" s="47">
        <v>44118.0</v>
      </c>
      <c r="R48" s="48" t="s">
        <v>126</v>
      </c>
      <c r="S48" s="49">
        <v>64.15</v>
      </c>
    </row>
    <row r="49">
      <c r="A49" s="33" t="s">
        <v>256</v>
      </c>
      <c r="B49" s="5"/>
      <c r="C49" s="5"/>
      <c r="D49" s="5"/>
      <c r="E49" s="25">
        <v>69.0</v>
      </c>
      <c r="F49" s="25">
        <v>64.6</v>
      </c>
      <c r="G49" s="25"/>
      <c r="H49" s="25"/>
      <c r="I49" s="25">
        <v>268.35</v>
      </c>
      <c r="J49" s="7">
        <f t="shared" si="1"/>
        <v>203.75</v>
      </c>
      <c r="K49" s="25">
        <v>64.53</v>
      </c>
      <c r="L49" s="7">
        <f t="shared" si="2"/>
        <v>-0.07</v>
      </c>
      <c r="M49" s="35">
        <f t="shared" si="3"/>
        <v>-0.3435582822</v>
      </c>
      <c r="N49" s="36">
        <f t="shared" si="4"/>
        <v>-343.5582822</v>
      </c>
      <c r="Q49" s="25" t="s">
        <v>209</v>
      </c>
      <c r="R49" s="5" t="s">
        <v>210</v>
      </c>
      <c r="S49" s="5" t="s">
        <v>257</v>
      </c>
    </row>
    <row r="50">
      <c r="A50" s="33" t="s">
        <v>258</v>
      </c>
      <c r="B50" s="5"/>
      <c r="C50" s="5"/>
      <c r="D50" s="5"/>
      <c r="E50" s="25">
        <v>88.0</v>
      </c>
      <c r="F50" s="25">
        <v>64.24</v>
      </c>
      <c r="G50" s="25"/>
      <c r="H50" s="25"/>
      <c r="I50" s="25">
        <v>292.84</v>
      </c>
      <c r="J50" s="7">
        <f t="shared" si="1"/>
        <v>228.6</v>
      </c>
      <c r="K50" s="25">
        <v>64.3</v>
      </c>
      <c r="L50" s="7">
        <f t="shared" si="2"/>
        <v>0.06</v>
      </c>
      <c r="M50" s="35">
        <f t="shared" si="3"/>
        <v>0.2624671916</v>
      </c>
      <c r="N50" s="36">
        <f t="shared" si="4"/>
        <v>262.4671916</v>
      </c>
      <c r="Q50" s="27">
        <v>44118.0</v>
      </c>
      <c r="R50" s="16" t="s">
        <v>126</v>
      </c>
      <c r="S50" s="5"/>
    </row>
    <row r="51">
      <c r="A51" s="33" t="s">
        <v>259</v>
      </c>
      <c r="B51" s="5"/>
      <c r="C51" s="5"/>
      <c r="D51" s="5"/>
      <c r="E51" s="25">
        <v>68.0</v>
      </c>
      <c r="F51" s="25">
        <v>64.05</v>
      </c>
      <c r="G51" s="25"/>
      <c r="H51" s="25"/>
      <c r="I51" s="25">
        <v>283.06</v>
      </c>
      <c r="J51" s="7">
        <f t="shared" si="1"/>
        <v>219.01</v>
      </c>
      <c r="K51" s="25">
        <v>64.14</v>
      </c>
      <c r="L51" s="7">
        <f t="shared" si="2"/>
        <v>0.09</v>
      </c>
      <c r="M51" s="35">
        <f t="shared" si="3"/>
        <v>0.4109401397</v>
      </c>
      <c r="N51" s="36">
        <f t="shared" si="4"/>
        <v>410.9401397</v>
      </c>
      <c r="Q51" s="25" t="s">
        <v>209</v>
      </c>
      <c r="R51" s="5" t="s">
        <v>210</v>
      </c>
      <c r="S51" s="5"/>
    </row>
    <row r="52">
      <c r="A52" s="33" t="s">
        <v>260</v>
      </c>
      <c r="B52" s="5"/>
      <c r="C52" s="5"/>
      <c r="D52" s="5"/>
      <c r="E52" s="25">
        <v>34.0</v>
      </c>
      <c r="F52" s="25">
        <v>64.42</v>
      </c>
      <c r="G52" s="25"/>
      <c r="H52" s="25"/>
      <c r="I52" s="25">
        <v>270.1</v>
      </c>
      <c r="J52" s="7">
        <f t="shared" si="1"/>
        <v>205.68</v>
      </c>
      <c r="K52" s="25">
        <v>64.45</v>
      </c>
      <c r="L52" s="7">
        <f t="shared" si="2"/>
        <v>0.03</v>
      </c>
      <c r="M52" s="35">
        <f t="shared" si="3"/>
        <v>0.1458576429</v>
      </c>
      <c r="N52" s="36">
        <f t="shared" si="4"/>
        <v>145.8576429</v>
      </c>
      <c r="Q52" s="25" t="s">
        <v>209</v>
      </c>
      <c r="R52" s="5" t="s">
        <v>210</v>
      </c>
      <c r="S52" s="5"/>
    </row>
    <row r="53">
      <c r="A53" s="5" t="s">
        <v>261</v>
      </c>
      <c r="B53" s="5"/>
      <c r="C53" s="5"/>
      <c r="D53" s="5"/>
      <c r="E53" s="25">
        <v>36.0</v>
      </c>
      <c r="F53" s="25">
        <v>64.26</v>
      </c>
      <c r="G53" s="25"/>
      <c r="H53" s="25"/>
      <c r="I53" s="25">
        <v>274.31</v>
      </c>
      <c r="J53" s="7">
        <f t="shared" si="1"/>
        <v>210.05</v>
      </c>
      <c r="K53" s="25">
        <v>64.57</v>
      </c>
      <c r="L53" s="7">
        <f t="shared" si="2"/>
        <v>0.31</v>
      </c>
      <c r="M53" s="35">
        <f t="shared" si="3"/>
        <v>1.475839086</v>
      </c>
      <c r="N53" s="36">
        <f t="shared" si="4"/>
        <v>1475.839086</v>
      </c>
      <c r="Q53" s="25" t="s">
        <v>209</v>
      </c>
      <c r="R53" s="5" t="s">
        <v>210</v>
      </c>
      <c r="S53" s="5"/>
    </row>
    <row r="54">
      <c r="A54" s="33" t="s">
        <v>262</v>
      </c>
      <c r="B54" s="5"/>
      <c r="C54" s="5"/>
      <c r="D54" s="5"/>
      <c r="E54" s="25">
        <v>14.0</v>
      </c>
      <c r="F54" s="25">
        <v>64.08</v>
      </c>
      <c r="G54" s="25"/>
      <c r="H54" s="25"/>
      <c r="I54" s="25">
        <v>267.17</v>
      </c>
      <c r="J54" s="7">
        <f t="shared" si="1"/>
        <v>203.09</v>
      </c>
      <c r="K54" s="25">
        <v>64.36</v>
      </c>
      <c r="L54" s="7">
        <f t="shared" si="2"/>
        <v>0.28</v>
      </c>
      <c r="M54" s="35">
        <f t="shared" si="3"/>
        <v>1.378699099</v>
      </c>
      <c r="N54" s="36">
        <f t="shared" si="4"/>
        <v>1378.699099</v>
      </c>
      <c r="Q54" s="25" t="s">
        <v>209</v>
      </c>
      <c r="R54" s="5" t="s">
        <v>210</v>
      </c>
      <c r="S54" s="5"/>
    </row>
    <row r="55">
      <c r="A55" s="33" t="s">
        <v>263</v>
      </c>
      <c r="B55" s="5"/>
      <c r="C55" s="5"/>
      <c r="D55" s="5"/>
      <c r="E55" s="25">
        <v>22.0</v>
      </c>
      <c r="F55" s="25">
        <v>64.36</v>
      </c>
      <c r="G55" s="25"/>
      <c r="H55" s="25"/>
      <c r="I55" s="25">
        <v>288.76</v>
      </c>
      <c r="J55" s="7">
        <f t="shared" si="1"/>
        <v>224.4</v>
      </c>
      <c r="K55" s="25">
        <v>64.39</v>
      </c>
      <c r="L55" s="7">
        <f t="shared" si="2"/>
        <v>0.03</v>
      </c>
      <c r="M55" s="35">
        <f t="shared" si="3"/>
        <v>0.1336898396</v>
      </c>
      <c r="N55" s="36">
        <f t="shared" si="4"/>
        <v>133.6898396</v>
      </c>
      <c r="Q55" s="27">
        <v>44118.0</v>
      </c>
      <c r="R55" s="16" t="s">
        <v>126</v>
      </c>
      <c r="S55" s="5"/>
    </row>
    <row r="56">
      <c r="A56" s="5" t="s">
        <v>264</v>
      </c>
      <c r="B56" s="5"/>
      <c r="C56" s="5"/>
      <c r="D56" s="5"/>
      <c r="E56" s="25">
        <v>80.0</v>
      </c>
      <c r="F56" s="25">
        <v>64.6</v>
      </c>
      <c r="G56" s="25"/>
      <c r="H56" s="25"/>
      <c r="I56" s="25">
        <v>294.9</v>
      </c>
      <c r="J56" s="7">
        <f t="shared" si="1"/>
        <v>230.3</v>
      </c>
      <c r="K56" s="25">
        <v>64.78</v>
      </c>
      <c r="L56" s="7">
        <f t="shared" si="2"/>
        <v>0.18</v>
      </c>
      <c r="M56" s="35">
        <f t="shared" si="3"/>
        <v>0.7815892314</v>
      </c>
      <c r="N56" s="36">
        <f t="shared" si="4"/>
        <v>781.5892314</v>
      </c>
      <c r="Q56" s="27">
        <v>44118.0</v>
      </c>
      <c r="R56" s="16" t="s">
        <v>126</v>
      </c>
      <c r="S56" s="5"/>
    </row>
    <row r="57">
      <c r="A57" s="42" t="s">
        <v>265</v>
      </c>
      <c r="B57" s="43"/>
      <c r="C57" s="43"/>
      <c r="D57" s="43"/>
      <c r="E57" s="44">
        <v>52.0</v>
      </c>
      <c r="F57" s="44">
        <v>65.13</v>
      </c>
      <c r="G57" s="44"/>
      <c r="H57" s="44"/>
      <c r="I57" s="44">
        <v>292.96</v>
      </c>
      <c r="J57" s="45">
        <f t="shared" si="1"/>
        <v>227.83</v>
      </c>
      <c r="K57" s="44">
        <v>64.82</v>
      </c>
      <c r="L57" s="45">
        <f t="shared" si="2"/>
        <v>-0.31</v>
      </c>
      <c r="M57" s="46">
        <f t="shared" si="3"/>
        <v>-1.360663653</v>
      </c>
      <c r="N57" s="36">
        <f t="shared" si="4"/>
        <v>-1360.663653</v>
      </c>
      <c r="Q57" s="47">
        <v>44118.0</v>
      </c>
      <c r="R57" s="48" t="s">
        <v>126</v>
      </c>
      <c r="S57" s="49">
        <v>64.49</v>
      </c>
    </row>
    <row r="58">
      <c r="A58" s="5" t="s">
        <v>266</v>
      </c>
      <c r="B58" s="25" t="s">
        <v>218</v>
      </c>
      <c r="C58" s="27">
        <v>43906.0</v>
      </c>
      <c r="D58" s="41">
        <v>0.8333333333333334</v>
      </c>
      <c r="E58" s="25">
        <v>43.0</v>
      </c>
      <c r="F58" s="25">
        <v>64.28</v>
      </c>
      <c r="G58" s="25"/>
      <c r="H58" s="25"/>
      <c r="I58" s="25">
        <v>284.25</v>
      </c>
      <c r="J58" s="7">
        <f t="shared" si="1"/>
        <v>219.97</v>
      </c>
      <c r="K58" s="25">
        <v>64.52</v>
      </c>
      <c r="L58" s="7">
        <f t="shared" si="2"/>
        <v>0.24</v>
      </c>
      <c r="M58" s="35">
        <f t="shared" si="3"/>
        <v>1.091057872</v>
      </c>
      <c r="N58" s="36">
        <f t="shared" si="4"/>
        <v>1091.057872</v>
      </c>
      <c r="Q58" s="5"/>
      <c r="R58" s="5"/>
      <c r="S58" s="5"/>
    </row>
    <row r="59">
      <c r="A59" s="33" t="s">
        <v>267</v>
      </c>
      <c r="B59" s="25" t="s">
        <v>218</v>
      </c>
      <c r="C59" s="27">
        <v>43906.0</v>
      </c>
      <c r="D59" s="41">
        <v>0.8333333333333334</v>
      </c>
      <c r="E59" s="25">
        <v>81.0</v>
      </c>
      <c r="F59" s="25">
        <v>64.33</v>
      </c>
      <c r="G59" s="25"/>
      <c r="H59" s="25"/>
      <c r="I59" s="25">
        <v>229.74</v>
      </c>
      <c r="J59" s="7">
        <f t="shared" si="1"/>
        <v>165.41</v>
      </c>
      <c r="K59" s="25">
        <v>64.46</v>
      </c>
      <c r="L59" s="7">
        <f t="shared" si="2"/>
        <v>0.13</v>
      </c>
      <c r="M59" s="35">
        <f t="shared" si="3"/>
        <v>0.7859258811</v>
      </c>
      <c r="N59" s="36">
        <f t="shared" si="4"/>
        <v>785.9258811</v>
      </c>
      <c r="Q59" s="5"/>
      <c r="R59" s="5"/>
      <c r="S59" s="5"/>
    </row>
    <row r="60">
      <c r="A60" s="33" t="s">
        <v>268</v>
      </c>
      <c r="B60" s="5"/>
      <c r="C60" s="5"/>
      <c r="D60" s="5"/>
      <c r="E60" s="25">
        <v>13.0</v>
      </c>
      <c r="F60" s="25">
        <v>64.48</v>
      </c>
      <c r="G60" s="25"/>
      <c r="H60" s="25"/>
      <c r="I60" s="25">
        <v>293.43</v>
      </c>
      <c r="J60" s="7">
        <f t="shared" si="1"/>
        <v>228.95</v>
      </c>
      <c r="K60" s="25">
        <v>64.49</v>
      </c>
      <c r="L60" s="7">
        <f t="shared" si="2"/>
        <v>0.01</v>
      </c>
      <c r="M60" s="35">
        <f t="shared" si="3"/>
        <v>0.04367765888</v>
      </c>
      <c r="N60" s="36">
        <f t="shared" si="4"/>
        <v>43.67765888</v>
      </c>
      <c r="Q60" s="27">
        <v>44118.0</v>
      </c>
      <c r="R60" s="16" t="s">
        <v>126</v>
      </c>
      <c r="S60" s="5"/>
    </row>
    <row r="61">
      <c r="A61" s="33" t="s">
        <v>269</v>
      </c>
      <c r="B61" s="25" t="s">
        <v>205</v>
      </c>
      <c r="C61" s="27">
        <v>43796.0</v>
      </c>
      <c r="D61" s="41">
        <v>0.4583333333333333</v>
      </c>
      <c r="E61" s="25">
        <v>11.0</v>
      </c>
      <c r="F61" s="25">
        <v>64.28</v>
      </c>
      <c r="G61" s="25"/>
      <c r="H61" s="25"/>
      <c r="I61" s="25">
        <v>283.28</v>
      </c>
      <c r="J61" s="7">
        <f t="shared" si="1"/>
        <v>219</v>
      </c>
      <c r="K61" s="25">
        <v>64.32</v>
      </c>
      <c r="L61" s="7">
        <f t="shared" si="2"/>
        <v>0.04</v>
      </c>
      <c r="M61" s="35">
        <f t="shared" si="3"/>
        <v>0.1826484018</v>
      </c>
      <c r="N61" s="36">
        <f t="shared" si="4"/>
        <v>182.6484018</v>
      </c>
      <c r="Q61" s="25" t="s">
        <v>270</v>
      </c>
      <c r="R61" s="5" t="s">
        <v>14</v>
      </c>
      <c r="S61" s="5"/>
    </row>
    <row r="62">
      <c r="A62" s="5" t="s">
        <v>271</v>
      </c>
      <c r="B62" s="25" t="s">
        <v>218</v>
      </c>
      <c r="C62" s="28">
        <v>44169.0</v>
      </c>
      <c r="D62" s="41">
        <v>0.08333333333333333</v>
      </c>
      <c r="E62" s="25">
        <v>14.0</v>
      </c>
      <c r="F62" s="25">
        <v>64.06</v>
      </c>
      <c r="G62" s="25"/>
      <c r="H62" s="25"/>
      <c r="I62" s="25">
        <v>287.41</v>
      </c>
      <c r="J62" s="7">
        <f t="shared" si="1"/>
        <v>223.35</v>
      </c>
      <c r="K62" s="25">
        <v>77.32</v>
      </c>
      <c r="L62" s="7">
        <f t="shared" si="2"/>
        <v>13.26</v>
      </c>
      <c r="M62" s="35">
        <f t="shared" si="3"/>
        <v>59.36870383</v>
      </c>
      <c r="N62" s="36">
        <f t="shared" si="4"/>
        <v>59368.70383</v>
      </c>
      <c r="Q62" s="25" t="s">
        <v>270</v>
      </c>
      <c r="R62" s="5" t="s">
        <v>14</v>
      </c>
      <c r="S62" s="29" t="s">
        <v>272</v>
      </c>
    </row>
    <row r="63">
      <c r="A63" s="5" t="s">
        <v>273</v>
      </c>
      <c r="B63" s="25" t="s">
        <v>218</v>
      </c>
      <c r="C63" s="28">
        <v>44169.0</v>
      </c>
      <c r="D63" s="41">
        <v>0.3333333333333333</v>
      </c>
      <c r="E63" s="25">
        <v>19.0</v>
      </c>
      <c r="F63" s="25">
        <v>64.15</v>
      </c>
      <c r="G63" s="25"/>
      <c r="H63" s="25"/>
      <c r="I63" s="25">
        <v>291.78</v>
      </c>
      <c r="J63" s="7">
        <f t="shared" si="1"/>
        <v>227.63</v>
      </c>
      <c r="K63" s="25">
        <v>76.23</v>
      </c>
      <c r="L63" s="7">
        <f t="shared" si="2"/>
        <v>12.08</v>
      </c>
      <c r="M63" s="35">
        <f t="shared" si="3"/>
        <v>53.0685762</v>
      </c>
      <c r="N63" s="36">
        <f t="shared" si="4"/>
        <v>53068.5762</v>
      </c>
      <c r="Q63" s="25" t="s">
        <v>270</v>
      </c>
      <c r="R63" s="5" t="s">
        <v>14</v>
      </c>
      <c r="S63" s="29" t="s">
        <v>272</v>
      </c>
    </row>
    <row r="64">
      <c r="A64" s="5" t="s">
        <v>274</v>
      </c>
      <c r="B64" s="25" t="s">
        <v>226</v>
      </c>
      <c r="C64" s="28">
        <v>44169.0</v>
      </c>
      <c r="D64" s="41">
        <v>0.3333333333333333</v>
      </c>
      <c r="E64" s="25">
        <v>34.0</v>
      </c>
      <c r="F64" s="25">
        <v>64.33</v>
      </c>
      <c r="G64" s="25"/>
      <c r="H64" s="25"/>
      <c r="I64" s="25">
        <v>287.54</v>
      </c>
      <c r="J64" s="7">
        <f t="shared" si="1"/>
        <v>223.21</v>
      </c>
      <c r="K64" s="25">
        <v>64.33</v>
      </c>
      <c r="L64" s="7">
        <f t="shared" si="2"/>
        <v>0</v>
      </c>
      <c r="M64" s="35">
        <f t="shared" si="3"/>
        <v>0</v>
      </c>
      <c r="N64" s="36">
        <f t="shared" si="4"/>
        <v>0</v>
      </c>
      <c r="Q64" s="25" t="s">
        <v>270</v>
      </c>
      <c r="R64" s="5" t="s">
        <v>14</v>
      </c>
      <c r="S64" s="5"/>
    </row>
    <row r="65">
      <c r="A65" s="33" t="s">
        <v>275</v>
      </c>
      <c r="B65" s="25" t="s">
        <v>218</v>
      </c>
      <c r="C65" s="28">
        <v>44169.0</v>
      </c>
      <c r="D65" s="41">
        <v>0.5833333333333334</v>
      </c>
      <c r="E65" s="25">
        <v>36.0</v>
      </c>
      <c r="F65" s="25">
        <v>64.24</v>
      </c>
      <c r="G65" s="25"/>
      <c r="H65" s="25"/>
      <c r="I65" s="25">
        <v>293.34</v>
      </c>
      <c r="J65" s="7">
        <f t="shared" si="1"/>
        <v>229.1</v>
      </c>
      <c r="K65" s="25">
        <v>74.29</v>
      </c>
      <c r="L65" s="7">
        <f t="shared" si="2"/>
        <v>10.05</v>
      </c>
      <c r="M65" s="35">
        <f t="shared" si="3"/>
        <v>43.86730685</v>
      </c>
      <c r="N65" s="36">
        <f t="shared" si="4"/>
        <v>43867.30685</v>
      </c>
      <c r="Q65" s="25" t="s">
        <v>270</v>
      </c>
      <c r="R65" s="5" t="s">
        <v>14</v>
      </c>
      <c r="S65" s="29" t="s">
        <v>276</v>
      </c>
    </row>
    <row r="66">
      <c r="A66" s="5" t="s">
        <v>277</v>
      </c>
      <c r="B66" s="25" t="s">
        <v>205</v>
      </c>
      <c r="C66" s="27">
        <v>43900.0</v>
      </c>
      <c r="D66" s="41">
        <v>0.6666666666666666</v>
      </c>
      <c r="E66" s="25">
        <v>39.0</v>
      </c>
      <c r="F66" s="25">
        <v>64.46</v>
      </c>
      <c r="G66" s="25"/>
      <c r="H66" s="25"/>
      <c r="I66" s="25">
        <v>283.68</v>
      </c>
      <c r="J66" s="7">
        <f t="shared" si="1"/>
        <v>219.22</v>
      </c>
      <c r="K66" s="25">
        <v>64.47</v>
      </c>
      <c r="L66" s="7">
        <f t="shared" si="2"/>
        <v>0.01</v>
      </c>
      <c r="M66" s="35">
        <f t="shared" si="3"/>
        <v>0.04561627589</v>
      </c>
      <c r="N66" s="36">
        <f t="shared" si="4"/>
        <v>45.61627589</v>
      </c>
      <c r="Q66" s="25" t="s">
        <v>270</v>
      </c>
      <c r="R66" s="5" t="s">
        <v>14</v>
      </c>
      <c r="S66" s="5"/>
    </row>
    <row r="67">
      <c r="A67" s="5" t="s">
        <v>278</v>
      </c>
      <c r="B67" s="25" t="s">
        <v>205</v>
      </c>
      <c r="C67" s="27">
        <v>43900.0</v>
      </c>
      <c r="D67" s="41">
        <v>0.7083333333333334</v>
      </c>
      <c r="E67" s="25">
        <v>44.0</v>
      </c>
      <c r="F67" s="25">
        <v>64.43</v>
      </c>
      <c r="G67" s="25"/>
      <c r="H67" s="25"/>
      <c r="I67" s="25">
        <v>280.47</v>
      </c>
      <c r="J67" s="7">
        <f t="shared" si="1"/>
        <v>216.04</v>
      </c>
      <c r="K67" s="25">
        <v>64.45</v>
      </c>
      <c r="L67" s="7">
        <f t="shared" si="2"/>
        <v>0.02</v>
      </c>
      <c r="M67" s="35">
        <f t="shared" si="3"/>
        <v>0.09257544899</v>
      </c>
      <c r="N67" s="36">
        <f t="shared" si="4"/>
        <v>92.57544899</v>
      </c>
      <c r="Q67" s="25" t="s">
        <v>270</v>
      </c>
      <c r="R67" s="5" t="s">
        <v>14</v>
      </c>
      <c r="S67" s="5"/>
    </row>
    <row r="68">
      <c r="A68" s="33" t="s">
        <v>279</v>
      </c>
      <c r="B68" s="25" t="s">
        <v>226</v>
      </c>
      <c r="C68" s="27">
        <v>43900.0</v>
      </c>
      <c r="D68" s="41">
        <v>0.7916666666666666</v>
      </c>
      <c r="E68" s="25">
        <v>45.0</v>
      </c>
      <c r="F68" s="25">
        <v>64.25</v>
      </c>
      <c r="G68" s="25"/>
      <c r="H68" s="25"/>
      <c r="I68" s="25">
        <v>283.78</v>
      </c>
      <c r="J68" s="7">
        <f t="shared" si="1"/>
        <v>219.53</v>
      </c>
      <c r="K68" s="25">
        <v>64.39</v>
      </c>
      <c r="L68" s="7">
        <f t="shared" si="2"/>
        <v>0.14</v>
      </c>
      <c r="M68" s="35">
        <f t="shared" si="3"/>
        <v>0.6377260511</v>
      </c>
      <c r="N68" s="36">
        <f t="shared" si="4"/>
        <v>637.7260511</v>
      </c>
      <c r="Q68" s="25" t="s">
        <v>270</v>
      </c>
      <c r="R68" s="5" t="s">
        <v>14</v>
      </c>
      <c r="S68" s="5"/>
    </row>
    <row r="69">
      <c r="A69" s="33" t="s">
        <v>280</v>
      </c>
      <c r="B69" s="25" t="s">
        <v>205</v>
      </c>
      <c r="C69" s="27">
        <v>43901.0</v>
      </c>
      <c r="D69" s="41">
        <v>0.041666666666666664</v>
      </c>
      <c r="E69" s="25">
        <v>50.0</v>
      </c>
      <c r="F69" s="25">
        <v>64.34</v>
      </c>
      <c r="G69" s="25"/>
      <c r="H69" s="25"/>
      <c r="I69" s="25">
        <v>283.77</v>
      </c>
      <c r="J69" s="7">
        <f t="shared" si="1"/>
        <v>219.43</v>
      </c>
      <c r="K69" s="25">
        <v>64.39</v>
      </c>
      <c r="L69" s="7">
        <f t="shared" si="2"/>
        <v>0.05</v>
      </c>
      <c r="M69" s="35">
        <f t="shared" si="3"/>
        <v>0.2278630998</v>
      </c>
      <c r="N69" s="36">
        <f t="shared" si="4"/>
        <v>227.8630998</v>
      </c>
      <c r="Q69" s="25" t="s">
        <v>270</v>
      </c>
      <c r="R69" s="5" t="s">
        <v>14</v>
      </c>
      <c r="S69" s="5"/>
    </row>
    <row r="70">
      <c r="A70" s="5" t="s">
        <v>281</v>
      </c>
      <c r="B70" s="25" t="s">
        <v>205</v>
      </c>
      <c r="C70" s="27">
        <v>43901.0</v>
      </c>
      <c r="D70" s="41">
        <v>0.125</v>
      </c>
      <c r="E70" s="25">
        <v>52.0</v>
      </c>
      <c r="F70" s="25">
        <v>64.48</v>
      </c>
      <c r="G70" s="25"/>
      <c r="H70" s="25"/>
      <c r="I70" s="25">
        <v>277.24</v>
      </c>
      <c r="J70" s="7">
        <f t="shared" si="1"/>
        <v>212.76</v>
      </c>
      <c r="K70" s="25">
        <v>64.51</v>
      </c>
      <c r="L70" s="7">
        <f t="shared" si="2"/>
        <v>0.03</v>
      </c>
      <c r="M70" s="35">
        <f t="shared" si="3"/>
        <v>0.1410039481</v>
      </c>
      <c r="N70" s="36">
        <f t="shared" si="4"/>
        <v>141.0039481</v>
      </c>
      <c r="Q70" s="25" t="s">
        <v>270</v>
      </c>
      <c r="R70" s="5" t="s">
        <v>14</v>
      </c>
      <c r="S70" s="5"/>
    </row>
    <row r="71">
      <c r="A71" s="33" t="s">
        <v>282</v>
      </c>
      <c r="B71" s="25" t="s">
        <v>226</v>
      </c>
      <c r="C71" s="27">
        <v>43901.0</v>
      </c>
      <c r="D71" s="41">
        <v>0.16666666666666666</v>
      </c>
      <c r="E71" s="25">
        <v>53.0</v>
      </c>
      <c r="F71" s="25">
        <v>64.18</v>
      </c>
      <c r="G71" s="25"/>
      <c r="H71" s="25"/>
      <c r="I71" s="25">
        <v>285.55</v>
      </c>
      <c r="J71" s="7">
        <f t="shared" si="1"/>
        <v>221.37</v>
      </c>
      <c r="K71" s="25">
        <v>64.25</v>
      </c>
      <c r="L71" s="7">
        <f t="shared" si="2"/>
        <v>0.07</v>
      </c>
      <c r="M71" s="35">
        <f t="shared" si="3"/>
        <v>0.3162126756</v>
      </c>
      <c r="N71" s="36">
        <f t="shared" si="4"/>
        <v>316.2126756</v>
      </c>
      <c r="Q71" s="25" t="s">
        <v>270</v>
      </c>
      <c r="R71" s="5" t="s">
        <v>14</v>
      </c>
      <c r="S71" s="5"/>
    </row>
    <row r="72">
      <c r="A72" s="33" t="s">
        <v>283</v>
      </c>
      <c r="B72" s="25" t="s">
        <v>226</v>
      </c>
      <c r="C72" s="27">
        <v>43901.0</v>
      </c>
      <c r="D72" s="41">
        <v>0.2916666666666667</v>
      </c>
      <c r="E72" s="25">
        <v>55.0</v>
      </c>
      <c r="F72" s="25">
        <v>64.22</v>
      </c>
      <c r="G72" s="25"/>
      <c r="H72" s="25"/>
      <c r="I72" s="25">
        <v>276.22</v>
      </c>
      <c r="J72" s="7">
        <f t="shared" si="1"/>
        <v>212</v>
      </c>
      <c r="K72" s="25">
        <v>64.27</v>
      </c>
      <c r="L72" s="7">
        <f t="shared" si="2"/>
        <v>0.05</v>
      </c>
      <c r="M72" s="35">
        <f t="shared" si="3"/>
        <v>0.2358490566</v>
      </c>
      <c r="N72" s="36">
        <f t="shared" si="4"/>
        <v>235.8490566</v>
      </c>
      <c r="Q72" s="25" t="s">
        <v>270</v>
      </c>
      <c r="R72" s="5" t="s">
        <v>14</v>
      </c>
      <c r="S72" s="5"/>
    </row>
    <row r="73">
      <c r="A73" s="33" t="s">
        <v>284</v>
      </c>
      <c r="B73" s="25" t="s">
        <v>226</v>
      </c>
      <c r="C73" s="27">
        <v>43906.0</v>
      </c>
      <c r="D73" s="41">
        <v>0.0</v>
      </c>
      <c r="E73" s="25">
        <v>62.0</v>
      </c>
      <c r="F73" s="25">
        <v>64.15</v>
      </c>
      <c r="G73" s="25"/>
      <c r="H73" s="25"/>
      <c r="I73" s="25">
        <v>287.45</v>
      </c>
      <c r="J73" s="7">
        <f t="shared" si="1"/>
        <v>223.3</v>
      </c>
      <c r="K73" s="25">
        <v>64.35</v>
      </c>
      <c r="L73" s="7">
        <f t="shared" si="2"/>
        <v>0.2</v>
      </c>
      <c r="M73" s="35">
        <f t="shared" si="3"/>
        <v>0.8956560681</v>
      </c>
      <c r="N73" s="36">
        <f t="shared" si="4"/>
        <v>895.6560681</v>
      </c>
      <c r="Q73" s="25" t="s">
        <v>270</v>
      </c>
      <c r="R73" s="5" t="s">
        <v>14</v>
      </c>
      <c r="S73" s="5"/>
    </row>
    <row r="74">
      <c r="A74" s="33" t="s">
        <v>285</v>
      </c>
      <c r="B74" s="25" t="s">
        <v>226</v>
      </c>
      <c r="C74" s="27">
        <v>43906.0</v>
      </c>
      <c r="D74" s="41">
        <v>0.20833333333333334</v>
      </c>
      <c r="E74" s="25">
        <v>68.0</v>
      </c>
      <c r="F74" s="25">
        <v>64.05</v>
      </c>
      <c r="G74" s="25"/>
      <c r="H74" s="25"/>
      <c r="I74" s="25">
        <v>285.33</v>
      </c>
      <c r="J74" s="7">
        <f t="shared" si="1"/>
        <v>221.28</v>
      </c>
      <c r="K74" s="25">
        <v>64.17</v>
      </c>
      <c r="L74" s="7">
        <f t="shared" si="2"/>
        <v>0.12</v>
      </c>
      <c r="M74" s="35">
        <f t="shared" si="3"/>
        <v>0.5422993492</v>
      </c>
      <c r="N74" s="36">
        <f t="shared" si="4"/>
        <v>542.2993492</v>
      </c>
      <c r="Q74" s="25" t="s">
        <v>270</v>
      </c>
      <c r="R74" s="5" t="s">
        <v>14</v>
      </c>
      <c r="S74" s="5"/>
    </row>
    <row r="75">
      <c r="A75" s="33" t="s">
        <v>286</v>
      </c>
      <c r="B75" s="25" t="s">
        <v>218</v>
      </c>
      <c r="C75" s="27">
        <v>43906.0</v>
      </c>
      <c r="D75" s="41">
        <v>0.4583333333333333</v>
      </c>
      <c r="E75" s="25">
        <v>70.0</v>
      </c>
      <c r="F75" s="25">
        <v>64.09</v>
      </c>
      <c r="G75" s="25"/>
      <c r="H75" s="25"/>
      <c r="I75" s="25">
        <v>283.14</v>
      </c>
      <c r="J75" s="7">
        <f t="shared" si="1"/>
        <v>219.05</v>
      </c>
      <c r="K75" s="25">
        <v>64.8</v>
      </c>
      <c r="L75" s="7">
        <f t="shared" si="2"/>
        <v>0.71</v>
      </c>
      <c r="M75" s="35">
        <f t="shared" si="3"/>
        <v>3.241269117</v>
      </c>
      <c r="N75" s="36">
        <f t="shared" si="4"/>
        <v>3241.269117</v>
      </c>
      <c r="Q75" s="25" t="s">
        <v>270</v>
      </c>
      <c r="R75" s="5" t="s">
        <v>14</v>
      </c>
      <c r="S75" s="5"/>
    </row>
    <row r="76">
      <c r="A76" s="33" t="s">
        <v>287</v>
      </c>
      <c r="B76" s="25" t="s">
        <v>226</v>
      </c>
      <c r="C76" s="27">
        <v>43906.0</v>
      </c>
      <c r="D76" s="41">
        <v>0.5833333333333334</v>
      </c>
      <c r="E76" s="25">
        <v>71.0</v>
      </c>
      <c r="F76" s="25">
        <v>64.1</v>
      </c>
      <c r="G76" s="25"/>
      <c r="H76" s="25"/>
      <c r="I76" s="25">
        <v>278.16</v>
      </c>
      <c r="J76" s="7">
        <f t="shared" si="1"/>
        <v>214.06</v>
      </c>
      <c r="K76" s="25">
        <v>64.14</v>
      </c>
      <c r="L76" s="7">
        <f t="shared" si="2"/>
        <v>0.04</v>
      </c>
      <c r="M76" s="35">
        <f t="shared" si="3"/>
        <v>0.1868634962</v>
      </c>
      <c r="N76" s="36">
        <f t="shared" si="4"/>
        <v>186.8634962</v>
      </c>
      <c r="Q76" s="25" t="s">
        <v>270</v>
      </c>
      <c r="R76" s="5" t="s">
        <v>14</v>
      </c>
      <c r="S76" s="5"/>
    </row>
    <row r="77">
      <c r="A77" s="33" t="s">
        <v>288</v>
      </c>
      <c r="B77" s="25" t="s">
        <v>218</v>
      </c>
      <c r="C77" s="27">
        <v>43906.0</v>
      </c>
      <c r="D77" s="41">
        <v>0.625</v>
      </c>
      <c r="E77" s="25">
        <v>80.0</v>
      </c>
      <c r="F77" s="25">
        <v>64.38</v>
      </c>
      <c r="G77" s="25"/>
      <c r="H77" s="25"/>
      <c r="I77" s="25">
        <v>271.58</v>
      </c>
      <c r="J77" s="7">
        <f t="shared" si="1"/>
        <v>207.2</v>
      </c>
      <c r="K77" s="25">
        <v>64.63</v>
      </c>
      <c r="L77" s="7">
        <f t="shared" si="2"/>
        <v>0.25</v>
      </c>
      <c r="M77" s="35">
        <f t="shared" si="3"/>
        <v>1.206563707</v>
      </c>
      <c r="N77" s="36">
        <f t="shared" si="4"/>
        <v>1206.563707</v>
      </c>
      <c r="Q77" s="25" t="s">
        <v>270</v>
      </c>
      <c r="R77" s="5" t="s">
        <v>14</v>
      </c>
      <c r="S77" s="5"/>
    </row>
    <row r="78">
      <c r="A78" s="33" t="s">
        <v>289</v>
      </c>
      <c r="B78" s="25" t="s">
        <v>205</v>
      </c>
      <c r="C78" s="27">
        <v>43906.0</v>
      </c>
      <c r="D78" s="41">
        <v>0.7916666666666666</v>
      </c>
      <c r="E78" s="25">
        <v>89.0</v>
      </c>
      <c r="F78" s="25">
        <v>64.28</v>
      </c>
      <c r="G78" s="25"/>
      <c r="H78" s="25"/>
      <c r="I78" s="25">
        <v>285.96</v>
      </c>
      <c r="J78" s="7">
        <f t="shared" si="1"/>
        <v>221.68</v>
      </c>
      <c r="K78" s="25">
        <v>64.33</v>
      </c>
      <c r="L78" s="7">
        <f t="shared" si="2"/>
        <v>0.05</v>
      </c>
      <c r="M78" s="35">
        <f t="shared" si="3"/>
        <v>0.2255503428</v>
      </c>
      <c r="N78" s="36">
        <f t="shared" si="4"/>
        <v>225.5503428</v>
      </c>
      <c r="Q78" s="25" t="s">
        <v>270</v>
      </c>
      <c r="R78" s="5" t="s">
        <v>14</v>
      </c>
      <c r="S78" s="5"/>
    </row>
    <row r="79">
      <c r="A79" s="16" t="s">
        <v>290</v>
      </c>
      <c r="B79" s="5"/>
      <c r="C79" s="5"/>
      <c r="D79" s="5"/>
      <c r="E79" s="7">
        <v>15.0</v>
      </c>
      <c r="F79" s="7">
        <v>64.25</v>
      </c>
      <c r="G79" s="7"/>
      <c r="H79" s="7"/>
      <c r="I79" s="7">
        <v>307.36</v>
      </c>
      <c r="J79" s="7">
        <f t="shared" si="1"/>
        <v>243.11</v>
      </c>
      <c r="K79" s="7">
        <v>80.54</v>
      </c>
      <c r="L79" s="7">
        <f t="shared" si="2"/>
        <v>16.29</v>
      </c>
      <c r="M79" s="35">
        <f t="shared" si="3"/>
        <v>67.00670478</v>
      </c>
      <c r="N79" s="36">
        <f t="shared" si="4"/>
        <v>67006.70478</v>
      </c>
      <c r="Q79" s="24">
        <v>44082.0</v>
      </c>
      <c r="R79" s="16" t="s">
        <v>86</v>
      </c>
      <c r="S79" s="5"/>
    </row>
    <row r="80">
      <c r="A80" s="16" t="s">
        <v>291</v>
      </c>
      <c r="B80" s="25" t="s">
        <v>218</v>
      </c>
      <c r="C80" s="27">
        <v>43795.0</v>
      </c>
      <c r="D80" s="41">
        <v>0.7430555555555556</v>
      </c>
      <c r="E80" s="25">
        <v>62.0</v>
      </c>
      <c r="F80" s="25">
        <v>64.15</v>
      </c>
      <c r="G80" s="25"/>
      <c r="H80" s="25"/>
      <c r="I80" s="25">
        <v>245.35</v>
      </c>
      <c r="J80" s="7">
        <f t="shared" si="1"/>
        <v>181.2</v>
      </c>
      <c r="K80" s="25">
        <v>79.92</v>
      </c>
      <c r="L80" s="7">
        <f t="shared" si="2"/>
        <v>15.77</v>
      </c>
      <c r="M80" s="35">
        <f t="shared" si="3"/>
        <v>87.03090508</v>
      </c>
      <c r="N80" s="36">
        <f t="shared" si="4"/>
        <v>87030.90508</v>
      </c>
      <c r="Q80" s="5"/>
      <c r="R80" s="5"/>
      <c r="S80" s="5"/>
    </row>
    <row r="81">
      <c r="A81" s="16" t="s">
        <v>292</v>
      </c>
      <c r="B81" s="5"/>
      <c r="C81" s="5"/>
      <c r="D81" s="5"/>
      <c r="E81" s="7">
        <v>21.0</v>
      </c>
      <c r="F81" s="7">
        <v>64.32</v>
      </c>
      <c r="G81" s="7"/>
      <c r="H81" s="7"/>
      <c r="I81" s="7">
        <v>302.86</v>
      </c>
      <c r="J81" s="7">
        <f t="shared" si="1"/>
        <v>238.54</v>
      </c>
      <c r="K81" s="7">
        <v>78.92</v>
      </c>
      <c r="L81" s="7">
        <f t="shared" si="2"/>
        <v>14.6</v>
      </c>
      <c r="M81" s="35">
        <f t="shared" si="3"/>
        <v>61.20566781</v>
      </c>
      <c r="N81" s="36">
        <f t="shared" si="4"/>
        <v>61205.66781</v>
      </c>
      <c r="Q81" s="24">
        <v>44082.0</v>
      </c>
      <c r="R81" s="16" t="s">
        <v>86</v>
      </c>
      <c r="S81" s="5"/>
    </row>
    <row r="82">
      <c r="A82" s="11" t="s">
        <v>293</v>
      </c>
      <c r="B82" s="5"/>
      <c r="C82" s="5"/>
      <c r="D82" s="5"/>
      <c r="E82" s="7">
        <v>34.0</v>
      </c>
      <c r="F82" s="7">
        <v>64.38</v>
      </c>
      <c r="G82" s="7"/>
      <c r="H82" s="7"/>
      <c r="I82" s="7">
        <v>301.81</v>
      </c>
      <c r="J82" s="7">
        <f t="shared" si="1"/>
        <v>237.43</v>
      </c>
      <c r="K82" s="7">
        <v>64.89</v>
      </c>
      <c r="L82" s="7">
        <f t="shared" si="2"/>
        <v>0.51</v>
      </c>
      <c r="M82" s="35">
        <f t="shared" si="3"/>
        <v>2.148001516</v>
      </c>
      <c r="N82" s="36">
        <f t="shared" si="4"/>
        <v>2148.001516</v>
      </c>
      <c r="Q82" s="24">
        <v>44082.0</v>
      </c>
      <c r="R82" s="16" t="s">
        <v>86</v>
      </c>
      <c r="S82" s="23" t="s">
        <v>294</v>
      </c>
    </row>
    <row r="83">
      <c r="A83" s="16" t="s">
        <v>295</v>
      </c>
      <c r="B83" s="5"/>
      <c r="C83" s="5"/>
      <c r="D83" s="5"/>
      <c r="E83" s="7">
        <v>37.0</v>
      </c>
      <c r="F83" s="7">
        <v>64.27</v>
      </c>
      <c r="G83" s="7"/>
      <c r="H83" s="7"/>
      <c r="I83" s="7">
        <v>303.55</v>
      </c>
      <c r="J83" s="7">
        <f t="shared" si="1"/>
        <v>239.28</v>
      </c>
      <c r="K83" s="7">
        <v>64.64</v>
      </c>
      <c r="L83" s="7">
        <f t="shared" si="2"/>
        <v>0.37</v>
      </c>
      <c r="M83" s="35">
        <f t="shared" si="3"/>
        <v>1.546305583</v>
      </c>
      <c r="N83" s="36">
        <f t="shared" si="4"/>
        <v>1546.305583</v>
      </c>
      <c r="Q83" s="24">
        <v>44082.0</v>
      </c>
      <c r="R83" s="16" t="s">
        <v>86</v>
      </c>
      <c r="S83" s="5"/>
    </row>
    <row r="84">
      <c r="A84" s="11" t="s">
        <v>296</v>
      </c>
      <c r="B84" s="5"/>
      <c r="C84" s="5"/>
      <c r="D84" s="5"/>
      <c r="E84" s="7">
        <v>14.0</v>
      </c>
      <c r="F84" s="7">
        <v>64.08</v>
      </c>
      <c r="G84" s="7"/>
      <c r="H84" s="7"/>
      <c r="I84" s="7">
        <v>301.84</v>
      </c>
      <c r="J84" s="7">
        <f t="shared" si="1"/>
        <v>237.76</v>
      </c>
      <c r="K84" s="7">
        <v>64.27</v>
      </c>
      <c r="L84" s="7">
        <f t="shared" si="2"/>
        <v>0.19</v>
      </c>
      <c r="M84" s="35">
        <f t="shared" si="3"/>
        <v>0.7991251682</v>
      </c>
      <c r="N84" s="36">
        <f t="shared" si="4"/>
        <v>799.1251682</v>
      </c>
      <c r="Q84" s="24">
        <v>44082.0</v>
      </c>
      <c r="R84" s="16" t="s">
        <v>86</v>
      </c>
      <c r="S84" s="5"/>
    </row>
    <row r="85">
      <c r="A85" s="16" t="s">
        <v>297</v>
      </c>
      <c r="B85" s="5"/>
      <c r="C85" s="5"/>
      <c r="D85" s="5"/>
      <c r="E85" s="7">
        <v>38.0</v>
      </c>
      <c r="F85" s="7">
        <v>64.44</v>
      </c>
      <c r="G85" s="7"/>
      <c r="H85" s="7"/>
      <c r="I85" s="7">
        <v>301.51</v>
      </c>
      <c r="J85" s="7">
        <f t="shared" si="1"/>
        <v>237.07</v>
      </c>
      <c r="K85" s="7">
        <v>64.69</v>
      </c>
      <c r="L85" s="7">
        <f t="shared" si="2"/>
        <v>0.25</v>
      </c>
      <c r="M85" s="35">
        <f t="shared" si="3"/>
        <v>1.054540853</v>
      </c>
      <c r="N85" s="36">
        <f t="shared" si="4"/>
        <v>1054.540853</v>
      </c>
      <c r="Q85" s="24">
        <v>44082.0</v>
      </c>
      <c r="R85" s="16" t="s">
        <v>86</v>
      </c>
      <c r="S85" s="5"/>
    </row>
    <row r="86">
      <c r="A86" s="11" t="s">
        <v>298</v>
      </c>
      <c r="B86" s="5"/>
      <c r="C86" s="5"/>
      <c r="D86" s="5"/>
      <c r="E86" s="7">
        <v>44.0</v>
      </c>
      <c r="F86" s="7">
        <v>64.44</v>
      </c>
      <c r="G86" s="7"/>
      <c r="H86" s="7"/>
      <c r="I86" s="7">
        <v>303.61</v>
      </c>
      <c r="J86" s="7">
        <f t="shared" si="1"/>
        <v>239.17</v>
      </c>
      <c r="K86" s="7">
        <v>64.53</v>
      </c>
      <c r="L86" s="7">
        <f t="shared" si="2"/>
        <v>0.09</v>
      </c>
      <c r="M86" s="35">
        <f t="shared" si="3"/>
        <v>0.3763013756</v>
      </c>
      <c r="N86" s="36">
        <f t="shared" si="4"/>
        <v>376.3013756</v>
      </c>
      <c r="Q86" s="24">
        <v>44082.0</v>
      </c>
      <c r="R86" s="16" t="s">
        <v>86</v>
      </c>
      <c r="S86" s="5"/>
    </row>
    <row r="87">
      <c r="A87" s="16" t="s">
        <v>299</v>
      </c>
      <c r="B87" s="5"/>
      <c r="C87" s="5"/>
      <c r="D87" s="5"/>
      <c r="E87" s="7">
        <v>45.0</v>
      </c>
      <c r="F87" s="7">
        <v>64.27</v>
      </c>
      <c r="G87" s="7"/>
      <c r="H87" s="7"/>
      <c r="I87" s="7">
        <v>300.85</v>
      </c>
      <c r="J87" s="7">
        <f t="shared" si="1"/>
        <v>236.58</v>
      </c>
      <c r="K87" s="7">
        <v>65.45</v>
      </c>
      <c r="L87" s="7">
        <f t="shared" si="2"/>
        <v>1.18</v>
      </c>
      <c r="M87" s="35">
        <f t="shared" si="3"/>
        <v>4.98774199</v>
      </c>
      <c r="N87" s="36">
        <f t="shared" si="4"/>
        <v>4987.74199</v>
      </c>
      <c r="Q87" s="24">
        <v>44082.0</v>
      </c>
      <c r="R87" s="16" t="s">
        <v>86</v>
      </c>
      <c r="S87" s="5"/>
    </row>
    <row r="88">
      <c r="A88" s="16" t="s">
        <v>300</v>
      </c>
      <c r="B88" s="25" t="s">
        <v>226</v>
      </c>
      <c r="C88" s="27">
        <v>43796.0</v>
      </c>
      <c r="D88" s="41">
        <v>0.28125</v>
      </c>
      <c r="E88" s="25">
        <v>52.0</v>
      </c>
      <c r="F88" s="25">
        <v>64.49</v>
      </c>
      <c r="G88" s="25"/>
      <c r="H88" s="25"/>
      <c r="I88" s="25">
        <v>233.44</v>
      </c>
      <c r="J88" s="7">
        <f t="shared" si="1"/>
        <v>168.95</v>
      </c>
      <c r="K88" s="25">
        <v>64.6</v>
      </c>
      <c r="L88" s="7">
        <f t="shared" si="2"/>
        <v>0.11</v>
      </c>
      <c r="M88" s="35">
        <f t="shared" si="3"/>
        <v>0.6510802012</v>
      </c>
      <c r="N88" s="36">
        <f t="shared" si="4"/>
        <v>651.0802012</v>
      </c>
      <c r="Q88" s="5"/>
      <c r="R88" s="5"/>
      <c r="S88" s="5"/>
    </row>
    <row r="89">
      <c r="A89" s="16" t="s">
        <v>301</v>
      </c>
      <c r="B89" s="5"/>
      <c r="C89" s="5"/>
      <c r="D89" s="5"/>
      <c r="E89" s="7">
        <v>52.0</v>
      </c>
      <c r="F89" s="7">
        <v>64.49</v>
      </c>
      <c r="G89" s="7"/>
      <c r="H89" s="7"/>
      <c r="I89" s="7">
        <v>286.51</v>
      </c>
      <c r="J89" s="7">
        <f t="shared" si="1"/>
        <v>222.02</v>
      </c>
      <c r="K89" s="7">
        <v>64.65</v>
      </c>
      <c r="L89" s="7">
        <f t="shared" si="2"/>
        <v>0.16</v>
      </c>
      <c r="M89" s="35">
        <f t="shared" si="3"/>
        <v>0.7206557968</v>
      </c>
      <c r="N89" s="36">
        <f t="shared" si="4"/>
        <v>720.6557968</v>
      </c>
      <c r="Q89" s="24">
        <v>44111.0</v>
      </c>
      <c r="R89" s="16" t="s">
        <v>126</v>
      </c>
      <c r="S89" s="5"/>
    </row>
    <row r="90">
      <c r="A90" s="16" t="s">
        <v>302</v>
      </c>
      <c r="B90" s="5"/>
      <c r="C90" s="5"/>
      <c r="D90" s="5"/>
      <c r="E90" s="7">
        <v>46.0</v>
      </c>
      <c r="F90" s="7">
        <v>64.48</v>
      </c>
      <c r="G90" s="7"/>
      <c r="H90" s="7"/>
      <c r="I90" s="7">
        <v>303.13</v>
      </c>
      <c r="J90" s="7">
        <f t="shared" si="1"/>
        <v>238.65</v>
      </c>
      <c r="K90" s="7">
        <v>64.54</v>
      </c>
      <c r="L90" s="7">
        <f t="shared" si="2"/>
        <v>0.06</v>
      </c>
      <c r="M90" s="35">
        <f t="shared" si="3"/>
        <v>0.2514142049</v>
      </c>
      <c r="N90" s="36">
        <f t="shared" si="4"/>
        <v>251.4142049</v>
      </c>
      <c r="Q90" s="24">
        <v>44082.0</v>
      </c>
      <c r="R90" s="16" t="s">
        <v>86</v>
      </c>
      <c r="S90" s="5"/>
    </row>
    <row r="91">
      <c r="A91" s="11" t="s">
        <v>303</v>
      </c>
      <c r="B91" s="5"/>
      <c r="C91" s="5"/>
      <c r="D91" s="5"/>
      <c r="E91" s="7">
        <v>50.0</v>
      </c>
      <c r="F91" s="7">
        <v>64.33</v>
      </c>
      <c r="G91" s="7"/>
      <c r="H91" s="7"/>
      <c r="I91" s="7">
        <v>302.59</v>
      </c>
      <c r="J91" s="7">
        <f t="shared" si="1"/>
        <v>238.26</v>
      </c>
      <c r="K91" s="7">
        <v>64.39</v>
      </c>
      <c r="L91" s="7">
        <f t="shared" si="2"/>
        <v>0.06</v>
      </c>
      <c r="M91" s="35">
        <f t="shared" si="3"/>
        <v>0.2518257366</v>
      </c>
      <c r="N91" s="36">
        <f t="shared" si="4"/>
        <v>251.8257366</v>
      </c>
      <c r="Q91" s="24">
        <v>44082.0</v>
      </c>
      <c r="R91" s="16" t="s">
        <v>86</v>
      </c>
      <c r="S91" s="5"/>
    </row>
    <row r="92">
      <c r="A92" s="16" t="s">
        <v>304</v>
      </c>
      <c r="B92" s="5"/>
      <c r="C92" s="5"/>
      <c r="D92" s="5"/>
      <c r="E92" s="7">
        <v>19.0</v>
      </c>
      <c r="F92" s="7">
        <v>64.25</v>
      </c>
      <c r="G92" s="7"/>
      <c r="H92" s="7"/>
      <c r="I92" s="7">
        <v>271.49</v>
      </c>
      <c r="J92" s="7">
        <f t="shared" si="1"/>
        <v>207.24</v>
      </c>
      <c r="K92" s="7">
        <v>64.26</v>
      </c>
      <c r="L92" s="7">
        <f t="shared" si="2"/>
        <v>0.01</v>
      </c>
      <c r="M92" s="35">
        <f t="shared" si="3"/>
        <v>0.04825323297</v>
      </c>
      <c r="N92" s="36">
        <f t="shared" si="4"/>
        <v>48.25323297</v>
      </c>
      <c r="Q92" s="24">
        <v>44111.0</v>
      </c>
      <c r="R92" s="16" t="s">
        <v>126</v>
      </c>
      <c r="S92" s="5"/>
    </row>
    <row r="93">
      <c r="A93" s="16" t="s">
        <v>305</v>
      </c>
      <c r="B93" s="5"/>
      <c r="C93" s="5"/>
      <c r="D93" s="5"/>
      <c r="E93" s="7">
        <v>62.0</v>
      </c>
      <c r="F93" s="7">
        <v>64.15</v>
      </c>
      <c r="G93" s="7"/>
      <c r="H93" s="7"/>
      <c r="I93" s="7">
        <v>289.44</v>
      </c>
      <c r="J93" s="7">
        <f t="shared" si="1"/>
        <v>225.29</v>
      </c>
      <c r="K93" s="7">
        <v>64.22</v>
      </c>
      <c r="L93" s="7">
        <f t="shared" si="2"/>
        <v>0.07</v>
      </c>
      <c r="M93" s="35">
        <f t="shared" si="3"/>
        <v>0.3107106396</v>
      </c>
      <c r="N93" s="36">
        <f t="shared" si="4"/>
        <v>310.7106396</v>
      </c>
      <c r="Q93" s="24">
        <v>44111.0</v>
      </c>
      <c r="R93" s="16" t="s">
        <v>126</v>
      </c>
      <c r="S93" s="5"/>
    </row>
    <row r="94">
      <c r="A94" s="16" t="s">
        <v>306</v>
      </c>
      <c r="B94" s="5"/>
      <c r="C94" s="5"/>
      <c r="D94" s="5"/>
      <c r="E94" s="7">
        <v>53.0</v>
      </c>
      <c r="F94" s="7">
        <v>64.19</v>
      </c>
      <c r="G94" s="7"/>
      <c r="H94" s="7"/>
      <c r="I94" s="7">
        <v>300.32</v>
      </c>
      <c r="J94" s="7">
        <f t="shared" si="1"/>
        <v>236.13</v>
      </c>
      <c r="K94" s="7">
        <v>64.22</v>
      </c>
      <c r="L94" s="7">
        <f t="shared" si="2"/>
        <v>0.03</v>
      </c>
      <c r="M94" s="35">
        <f t="shared" si="3"/>
        <v>0.1270486596</v>
      </c>
      <c r="N94" s="36">
        <f t="shared" si="4"/>
        <v>127.0486596</v>
      </c>
      <c r="Q94" s="24">
        <v>44082.0</v>
      </c>
      <c r="R94" s="16" t="s">
        <v>86</v>
      </c>
      <c r="S94" s="5"/>
    </row>
    <row r="95">
      <c r="A95" s="16" t="s">
        <v>307</v>
      </c>
      <c r="B95" s="25" t="s">
        <v>308</v>
      </c>
      <c r="C95" s="28">
        <v>43803.0</v>
      </c>
      <c r="D95" s="41">
        <v>0.041666666666666664</v>
      </c>
      <c r="E95" s="25">
        <v>27.0</v>
      </c>
      <c r="F95" s="25">
        <v>64.13</v>
      </c>
      <c r="G95" s="25"/>
      <c r="H95" s="25"/>
      <c r="I95" s="25">
        <v>284.74</v>
      </c>
      <c r="J95" s="7">
        <f t="shared" si="1"/>
        <v>220.61</v>
      </c>
      <c r="K95" s="25">
        <v>64.15</v>
      </c>
      <c r="L95" s="7">
        <f t="shared" si="2"/>
        <v>0.02</v>
      </c>
      <c r="M95" s="35">
        <f t="shared" si="3"/>
        <v>0.09065772177</v>
      </c>
      <c r="N95" s="36">
        <f t="shared" si="4"/>
        <v>90.65772177</v>
      </c>
      <c r="Q95" s="5"/>
      <c r="R95" s="5"/>
      <c r="S95" s="5"/>
    </row>
    <row r="96">
      <c r="A96" s="16" t="s">
        <v>309</v>
      </c>
      <c r="B96" s="5"/>
      <c r="C96" s="5"/>
      <c r="D96" s="5"/>
      <c r="E96" s="7">
        <v>55.0</v>
      </c>
      <c r="F96" s="7">
        <v>64.23</v>
      </c>
      <c r="G96" s="7"/>
      <c r="H96" s="7"/>
      <c r="I96" s="7">
        <v>299.26</v>
      </c>
      <c r="J96" s="7">
        <f t="shared" si="1"/>
        <v>235.03</v>
      </c>
      <c r="K96" s="7">
        <v>64.26</v>
      </c>
      <c r="L96" s="7">
        <f t="shared" si="2"/>
        <v>0.03</v>
      </c>
      <c r="M96" s="35">
        <f t="shared" si="3"/>
        <v>0.1276432796</v>
      </c>
      <c r="N96" s="36">
        <f t="shared" si="4"/>
        <v>127.6432796</v>
      </c>
      <c r="Q96" s="24">
        <v>44082.0</v>
      </c>
      <c r="R96" s="16" t="s">
        <v>86</v>
      </c>
      <c r="S96" s="5"/>
    </row>
    <row r="97">
      <c r="A97" s="16" t="s">
        <v>310</v>
      </c>
      <c r="B97" s="5"/>
      <c r="C97" s="5"/>
      <c r="D97" s="5"/>
      <c r="E97" s="7">
        <v>66.0</v>
      </c>
      <c r="F97" s="7">
        <v>64.24</v>
      </c>
      <c r="G97" s="7"/>
      <c r="H97" s="7"/>
      <c r="I97" s="7">
        <v>298.64</v>
      </c>
      <c r="J97" s="7">
        <f t="shared" si="1"/>
        <v>234.4</v>
      </c>
      <c r="K97" s="7">
        <v>65.72</v>
      </c>
      <c r="L97" s="7">
        <f t="shared" si="2"/>
        <v>1.48</v>
      </c>
      <c r="M97" s="35">
        <f t="shared" si="3"/>
        <v>6.313993174</v>
      </c>
      <c r="N97" s="36">
        <f t="shared" si="4"/>
        <v>6313.993174</v>
      </c>
      <c r="Q97" s="24">
        <v>44082.0</v>
      </c>
      <c r="R97" s="16" t="s">
        <v>86</v>
      </c>
      <c r="S97" s="5"/>
    </row>
    <row r="98">
      <c r="A98" s="16" t="s">
        <v>311</v>
      </c>
      <c r="B98" s="5"/>
      <c r="C98" s="5"/>
      <c r="D98" s="5"/>
      <c r="E98" s="7">
        <v>88.0</v>
      </c>
      <c r="F98" s="7">
        <v>64.23</v>
      </c>
      <c r="G98" s="7"/>
      <c r="H98" s="7"/>
      <c r="I98" s="7">
        <v>287.43</v>
      </c>
      <c r="J98" s="7">
        <f t="shared" si="1"/>
        <v>223.2</v>
      </c>
      <c r="K98" s="7">
        <v>64.63</v>
      </c>
      <c r="L98" s="7">
        <f t="shared" si="2"/>
        <v>0.4</v>
      </c>
      <c r="M98" s="35">
        <f t="shared" si="3"/>
        <v>1.792114695</v>
      </c>
      <c r="N98" s="36">
        <f t="shared" si="4"/>
        <v>1792.114695</v>
      </c>
      <c r="Q98" s="24">
        <v>44111.0</v>
      </c>
      <c r="R98" s="16" t="s">
        <v>126</v>
      </c>
      <c r="S98" s="5"/>
    </row>
    <row r="99">
      <c r="A99" s="16" t="s">
        <v>312</v>
      </c>
      <c r="B99" s="5"/>
      <c r="C99" s="5"/>
      <c r="D99" s="5"/>
      <c r="E99" s="7">
        <v>68.0</v>
      </c>
      <c r="F99" s="7">
        <v>64.05</v>
      </c>
      <c r="G99" s="7"/>
      <c r="H99" s="7"/>
      <c r="I99" s="7">
        <v>299.8</v>
      </c>
      <c r="J99" s="7">
        <f t="shared" si="1"/>
        <v>235.75</v>
      </c>
      <c r="K99" s="7">
        <v>64.12</v>
      </c>
      <c r="L99" s="7">
        <f t="shared" si="2"/>
        <v>0.07</v>
      </c>
      <c r="M99" s="35">
        <f t="shared" si="3"/>
        <v>0.2969247084</v>
      </c>
      <c r="N99" s="36">
        <f t="shared" si="4"/>
        <v>296.9247084</v>
      </c>
      <c r="Q99" s="24">
        <v>44082.0</v>
      </c>
      <c r="R99" s="16" t="s">
        <v>86</v>
      </c>
      <c r="S99" s="5"/>
    </row>
    <row r="100">
      <c r="A100" s="16" t="s">
        <v>313</v>
      </c>
      <c r="B100" s="5"/>
      <c r="C100" s="5"/>
      <c r="D100" s="5"/>
      <c r="E100" s="7">
        <v>13.0</v>
      </c>
      <c r="F100" s="7">
        <v>64.27</v>
      </c>
      <c r="G100" s="7"/>
      <c r="H100" s="7"/>
      <c r="I100" s="7">
        <v>294.03</v>
      </c>
      <c r="J100" s="7">
        <f t="shared" si="1"/>
        <v>229.76</v>
      </c>
      <c r="K100" s="7">
        <v>64.29</v>
      </c>
      <c r="L100" s="7">
        <f t="shared" si="2"/>
        <v>0.02</v>
      </c>
      <c r="M100" s="35">
        <f t="shared" si="3"/>
        <v>0.08704735376</v>
      </c>
      <c r="N100" s="36">
        <f t="shared" si="4"/>
        <v>87.04735376</v>
      </c>
      <c r="Q100" s="24">
        <v>44111.0</v>
      </c>
      <c r="R100" s="16" t="s">
        <v>126</v>
      </c>
      <c r="S100" s="5"/>
    </row>
    <row r="101">
      <c r="A101" s="16" t="s">
        <v>314</v>
      </c>
      <c r="B101" s="5"/>
      <c r="C101" s="5"/>
      <c r="D101" s="5"/>
      <c r="E101" s="7">
        <v>69.0</v>
      </c>
      <c r="F101" s="7">
        <v>64.49</v>
      </c>
      <c r="G101" s="7"/>
      <c r="H101" s="7"/>
      <c r="I101" s="7">
        <v>303.24</v>
      </c>
      <c r="J101" s="7">
        <f t="shared" si="1"/>
        <v>238.75</v>
      </c>
      <c r="K101" s="7">
        <v>64.64</v>
      </c>
      <c r="L101" s="7">
        <f t="shared" si="2"/>
        <v>0.15</v>
      </c>
      <c r="M101" s="35">
        <f t="shared" si="3"/>
        <v>0.6282722513</v>
      </c>
      <c r="N101" s="36">
        <f t="shared" si="4"/>
        <v>628.2722513</v>
      </c>
      <c r="Q101" s="24">
        <v>44082.0</v>
      </c>
      <c r="R101" s="16" t="s">
        <v>86</v>
      </c>
      <c r="S101" s="16" t="s">
        <v>315</v>
      </c>
    </row>
    <row r="102">
      <c r="A102" s="16" t="s">
        <v>316</v>
      </c>
      <c r="B102" s="5"/>
      <c r="C102" s="5"/>
      <c r="D102" s="5"/>
      <c r="E102" s="7">
        <v>43.0</v>
      </c>
      <c r="F102" s="7">
        <v>64.27</v>
      </c>
      <c r="G102" s="7"/>
      <c r="H102" s="7"/>
      <c r="I102" s="7">
        <v>283.79</v>
      </c>
      <c r="J102" s="7">
        <f t="shared" si="1"/>
        <v>219.52</v>
      </c>
      <c r="K102" s="7">
        <v>64.39</v>
      </c>
      <c r="L102" s="7">
        <f t="shared" si="2"/>
        <v>0.12</v>
      </c>
      <c r="M102" s="35">
        <f t="shared" si="3"/>
        <v>0.5466472303</v>
      </c>
      <c r="N102" s="36">
        <f t="shared" si="4"/>
        <v>546.6472303</v>
      </c>
      <c r="Q102" s="24">
        <v>44111.0</v>
      </c>
      <c r="R102" s="16" t="s">
        <v>126</v>
      </c>
      <c r="S102" s="5"/>
    </row>
    <row r="103">
      <c r="A103" s="16" t="s">
        <v>317</v>
      </c>
      <c r="B103" s="25" t="s">
        <v>205</v>
      </c>
      <c r="C103" s="27">
        <v>43815.0</v>
      </c>
      <c r="D103" s="41">
        <v>0.59375</v>
      </c>
      <c r="E103" s="25">
        <v>35.0</v>
      </c>
      <c r="F103" s="25">
        <v>64.13</v>
      </c>
      <c r="G103" s="25"/>
      <c r="H103" s="25"/>
      <c r="I103" s="25">
        <v>292.56</v>
      </c>
      <c r="J103" s="7">
        <f t="shared" si="1"/>
        <v>228.43</v>
      </c>
      <c r="K103" s="25">
        <v>64.23</v>
      </c>
      <c r="L103" s="7">
        <f t="shared" si="2"/>
        <v>0.1</v>
      </c>
      <c r="M103" s="35">
        <f t="shared" si="3"/>
        <v>0.4377708707</v>
      </c>
      <c r="N103" s="36">
        <f t="shared" si="4"/>
        <v>437.7708707</v>
      </c>
      <c r="Q103" s="5"/>
      <c r="R103" s="5"/>
      <c r="S103" s="5"/>
    </row>
    <row r="104">
      <c r="A104" s="16" t="s">
        <v>318</v>
      </c>
      <c r="B104" s="5"/>
      <c r="C104" s="5"/>
      <c r="D104" s="5"/>
      <c r="E104" s="7">
        <v>70.0</v>
      </c>
      <c r="F104" s="7">
        <v>64.08</v>
      </c>
      <c r="G104" s="7"/>
      <c r="H104" s="7"/>
      <c r="I104" s="7">
        <v>300.41</v>
      </c>
      <c r="J104" s="7">
        <f t="shared" si="1"/>
        <v>236.33</v>
      </c>
      <c r="K104" s="7">
        <v>64.15</v>
      </c>
      <c r="L104" s="7">
        <f t="shared" si="2"/>
        <v>0.07</v>
      </c>
      <c r="M104" s="35">
        <f t="shared" si="3"/>
        <v>0.2961959971</v>
      </c>
      <c r="N104" s="36">
        <f t="shared" si="4"/>
        <v>296.1959971</v>
      </c>
      <c r="Q104" s="24">
        <v>44082.0</v>
      </c>
      <c r="R104" s="16" t="s">
        <v>86</v>
      </c>
      <c r="S104" s="5"/>
    </row>
    <row r="105">
      <c r="A105" s="5" t="s">
        <v>319</v>
      </c>
      <c r="B105" s="25" t="s">
        <v>218</v>
      </c>
      <c r="C105" s="27">
        <v>43821.0</v>
      </c>
      <c r="D105" s="41">
        <v>0.5277777777777778</v>
      </c>
      <c r="E105" s="25">
        <v>13.0</v>
      </c>
      <c r="F105" s="25">
        <v>64.23</v>
      </c>
      <c r="G105" s="25"/>
      <c r="H105" s="25"/>
      <c r="I105" s="25">
        <v>287.26</v>
      </c>
      <c r="J105" s="7">
        <f t="shared" si="1"/>
        <v>223.03</v>
      </c>
      <c r="K105" s="25">
        <v>65.81</v>
      </c>
      <c r="L105" s="7">
        <f t="shared" si="2"/>
        <v>1.58</v>
      </c>
      <c r="M105" s="35">
        <f t="shared" si="3"/>
        <v>7.084248756</v>
      </c>
      <c r="N105" s="36">
        <f t="shared" si="4"/>
        <v>7084.248756</v>
      </c>
      <c r="Q105" s="5"/>
      <c r="R105" s="5"/>
      <c r="S105" s="5"/>
    </row>
    <row r="106">
      <c r="A106" s="5" t="s">
        <v>320</v>
      </c>
      <c r="B106" s="25" t="s">
        <v>218</v>
      </c>
      <c r="C106" s="27">
        <v>43821.0</v>
      </c>
      <c r="D106" s="41">
        <v>0.5277777777777778</v>
      </c>
      <c r="E106" s="25">
        <v>88.0</v>
      </c>
      <c r="F106" s="25">
        <v>64.24</v>
      </c>
      <c r="G106" s="25"/>
      <c r="H106" s="25"/>
      <c r="I106" s="25">
        <v>286.32</v>
      </c>
      <c r="J106" s="7">
        <f t="shared" si="1"/>
        <v>222.08</v>
      </c>
      <c r="K106" s="25">
        <v>65.79</v>
      </c>
      <c r="L106" s="7">
        <f t="shared" si="2"/>
        <v>1.55</v>
      </c>
      <c r="M106" s="35">
        <f t="shared" si="3"/>
        <v>6.979466859</v>
      </c>
      <c r="N106" s="36">
        <f t="shared" si="4"/>
        <v>6979.466859</v>
      </c>
      <c r="Q106" s="5"/>
      <c r="R106" s="5"/>
      <c r="S106" s="5"/>
    </row>
    <row r="107">
      <c r="A107" s="16" t="s">
        <v>321</v>
      </c>
      <c r="B107" s="5"/>
      <c r="C107" s="5"/>
      <c r="D107" s="5"/>
      <c r="E107" s="7">
        <v>47.0</v>
      </c>
      <c r="F107" s="7">
        <v>64.3</v>
      </c>
      <c r="G107" s="7"/>
      <c r="H107" s="7"/>
      <c r="I107" s="7">
        <v>283.42</v>
      </c>
      <c r="J107" s="7">
        <f t="shared" si="1"/>
        <v>219.12</v>
      </c>
      <c r="K107" s="7">
        <v>64.3</v>
      </c>
      <c r="L107" s="7">
        <f t="shared" si="2"/>
        <v>0</v>
      </c>
      <c r="M107" s="35">
        <f t="shared" si="3"/>
        <v>0</v>
      </c>
      <c r="N107" s="36">
        <f t="shared" si="4"/>
        <v>0</v>
      </c>
      <c r="Q107" s="24">
        <v>44111.0</v>
      </c>
      <c r="R107" s="16" t="s">
        <v>126</v>
      </c>
      <c r="S107" s="5"/>
    </row>
    <row r="108">
      <c r="A108" s="16" t="s">
        <v>322</v>
      </c>
      <c r="B108" s="5"/>
      <c r="C108" s="5"/>
      <c r="D108" s="5"/>
      <c r="E108" s="7">
        <v>45.0</v>
      </c>
      <c r="F108" s="7">
        <v>64.28</v>
      </c>
      <c r="G108" s="7"/>
      <c r="H108" s="7"/>
      <c r="I108" s="7">
        <v>287.42</v>
      </c>
      <c r="J108" s="7">
        <f t="shared" si="1"/>
        <v>223.14</v>
      </c>
      <c r="K108" s="7">
        <v>64.34</v>
      </c>
      <c r="L108" s="7">
        <f t="shared" si="2"/>
        <v>0.06</v>
      </c>
      <c r="M108" s="35">
        <f t="shared" si="3"/>
        <v>0.2688894864</v>
      </c>
      <c r="N108" s="36">
        <f t="shared" si="4"/>
        <v>268.8894864</v>
      </c>
      <c r="Q108" s="24">
        <v>44116.0</v>
      </c>
      <c r="R108" s="16" t="s">
        <v>126</v>
      </c>
      <c r="S108" s="5"/>
    </row>
    <row r="109">
      <c r="A109" s="16" t="s">
        <v>323</v>
      </c>
      <c r="B109" s="25" t="s">
        <v>226</v>
      </c>
      <c r="C109" s="27">
        <v>43821.0</v>
      </c>
      <c r="D109" s="41">
        <v>0.5451388888888888</v>
      </c>
      <c r="E109" s="25">
        <v>89.0</v>
      </c>
      <c r="F109" s="25">
        <v>64.29</v>
      </c>
      <c r="G109" s="25"/>
      <c r="H109" s="25"/>
      <c r="I109" s="25">
        <v>282.14</v>
      </c>
      <c r="J109" s="7">
        <f t="shared" si="1"/>
        <v>217.85</v>
      </c>
      <c r="K109" s="25">
        <v>64.34</v>
      </c>
      <c r="L109" s="7">
        <f t="shared" si="2"/>
        <v>0.05</v>
      </c>
      <c r="M109" s="35">
        <f t="shared" si="3"/>
        <v>0.2295157218</v>
      </c>
      <c r="N109" s="36">
        <f t="shared" si="4"/>
        <v>229.5157218</v>
      </c>
      <c r="Q109" s="5"/>
      <c r="R109" s="5"/>
      <c r="S109" s="5"/>
    </row>
    <row r="110">
      <c r="A110" s="16" t="s">
        <v>324</v>
      </c>
      <c r="B110" s="5"/>
      <c r="C110" s="5"/>
      <c r="D110" s="5"/>
      <c r="E110" s="7">
        <v>69.0</v>
      </c>
      <c r="F110" s="7">
        <v>64.5</v>
      </c>
      <c r="G110" s="7"/>
      <c r="H110" s="7"/>
      <c r="I110" s="7">
        <v>287.51</v>
      </c>
      <c r="J110" s="7">
        <f t="shared" si="1"/>
        <v>223.01</v>
      </c>
      <c r="K110" s="7">
        <v>64.52</v>
      </c>
      <c r="L110" s="7">
        <f t="shared" si="2"/>
        <v>0.02</v>
      </c>
      <c r="M110" s="35">
        <f t="shared" si="3"/>
        <v>0.08968207704</v>
      </c>
      <c r="N110" s="36">
        <f t="shared" si="4"/>
        <v>89.68207704</v>
      </c>
      <c r="Q110" s="24">
        <v>44116.0</v>
      </c>
      <c r="R110" s="16" t="s">
        <v>126</v>
      </c>
      <c r="S110" s="5"/>
    </row>
    <row r="111">
      <c r="A111" s="5" t="s">
        <v>325</v>
      </c>
      <c r="B111" s="25" t="s">
        <v>205</v>
      </c>
      <c r="C111" s="28">
        <v>43838.0</v>
      </c>
      <c r="D111" s="41">
        <v>0.3958333333333333</v>
      </c>
      <c r="E111" s="25">
        <v>64.0</v>
      </c>
      <c r="F111" s="25">
        <v>64.28</v>
      </c>
      <c r="G111" s="25"/>
      <c r="H111" s="25"/>
      <c r="I111" s="25">
        <v>287.61</v>
      </c>
      <c r="J111" s="7">
        <f t="shared" si="1"/>
        <v>223.33</v>
      </c>
      <c r="K111" s="25">
        <v>64.37</v>
      </c>
      <c r="L111" s="7">
        <f t="shared" si="2"/>
        <v>0.09</v>
      </c>
      <c r="M111" s="35">
        <f t="shared" si="3"/>
        <v>0.4029910894</v>
      </c>
      <c r="N111" s="36">
        <f t="shared" si="4"/>
        <v>402.9910894</v>
      </c>
      <c r="Q111" s="5"/>
      <c r="R111" s="5"/>
      <c r="S111" s="5"/>
    </row>
    <row r="112">
      <c r="A112" s="5" t="s">
        <v>326</v>
      </c>
      <c r="B112" s="25" t="s">
        <v>205</v>
      </c>
      <c r="C112" s="28">
        <v>43838.0</v>
      </c>
      <c r="D112" s="41">
        <v>0.3958333333333333</v>
      </c>
      <c r="E112" s="25">
        <v>80.0</v>
      </c>
      <c r="F112" s="25">
        <v>64.4</v>
      </c>
      <c r="G112" s="25"/>
      <c r="H112" s="25"/>
      <c r="I112" s="25">
        <v>287.53</v>
      </c>
      <c r="J112" s="7">
        <f t="shared" si="1"/>
        <v>223.13</v>
      </c>
      <c r="K112" s="25">
        <v>64.49</v>
      </c>
      <c r="L112" s="7">
        <f t="shared" si="2"/>
        <v>0.09</v>
      </c>
      <c r="M112" s="35">
        <f t="shared" si="3"/>
        <v>0.4033523058</v>
      </c>
      <c r="N112" s="36">
        <f t="shared" si="4"/>
        <v>403.3523058</v>
      </c>
      <c r="Q112" s="5"/>
      <c r="R112" s="5"/>
      <c r="S112" s="5"/>
    </row>
    <row r="113">
      <c r="A113" s="16" t="s">
        <v>327</v>
      </c>
      <c r="B113" s="5"/>
      <c r="C113" s="5"/>
      <c r="D113" s="5"/>
      <c r="E113" s="7">
        <v>68.0</v>
      </c>
      <c r="F113" s="7">
        <v>64.05</v>
      </c>
      <c r="G113" s="7"/>
      <c r="H113" s="7"/>
      <c r="I113" s="7">
        <v>295.05</v>
      </c>
      <c r="J113" s="7">
        <f t="shared" si="1"/>
        <v>231</v>
      </c>
      <c r="K113" s="7">
        <v>64.07</v>
      </c>
      <c r="L113" s="7">
        <f t="shared" si="2"/>
        <v>0.02</v>
      </c>
      <c r="M113" s="35">
        <f t="shared" si="3"/>
        <v>0.08658008658</v>
      </c>
      <c r="N113" s="36">
        <f t="shared" si="4"/>
        <v>86.58008658</v>
      </c>
      <c r="Q113" s="24">
        <v>44116.0</v>
      </c>
      <c r="R113" s="16" t="s">
        <v>126</v>
      </c>
      <c r="S113" s="5"/>
    </row>
    <row r="114">
      <c r="A114" s="16" t="s">
        <v>328</v>
      </c>
      <c r="B114" s="5"/>
      <c r="C114" s="5"/>
      <c r="D114" s="5"/>
      <c r="E114" s="7">
        <v>71.0</v>
      </c>
      <c r="F114" s="7">
        <v>64.1</v>
      </c>
      <c r="G114" s="7"/>
      <c r="H114" s="7"/>
      <c r="I114" s="7">
        <v>290.69</v>
      </c>
      <c r="J114" s="7">
        <f t="shared" si="1"/>
        <v>226.59</v>
      </c>
      <c r="K114" s="7">
        <v>64.17</v>
      </c>
      <c r="L114" s="7">
        <f t="shared" si="2"/>
        <v>0.07</v>
      </c>
      <c r="M114" s="35">
        <f t="shared" si="3"/>
        <v>0.3089280198</v>
      </c>
      <c r="N114" s="36">
        <f t="shared" si="4"/>
        <v>308.9280198</v>
      </c>
      <c r="Q114" s="24">
        <v>44116.0</v>
      </c>
      <c r="R114" s="16" t="s">
        <v>126</v>
      </c>
      <c r="S114" s="5"/>
    </row>
    <row r="115">
      <c r="A115" s="16" t="s">
        <v>329</v>
      </c>
      <c r="B115" s="5"/>
      <c r="C115" s="5"/>
      <c r="D115" s="5"/>
      <c r="E115" s="7">
        <v>37.0</v>
      </c>
      <c r="F115" s="7">
        <v>64.45</v>
      </c>
      <c r="G115" s="7"/>
      <c r="H115" s="7"/>
      <c r="I115" s="7">
        <v>289.82</v>
      </c>
      <c r="J115" s="7">
        <f t="shared" si="1"/>
        <v>225.37</v>
      </c>
      <c r="K115" s="7">
        <v>64.49</v>
      </c>
      <c r="L115" s="7">
        <f t="shared" si="2"/>
        <v>0.04</v>
      </c>
      <c r="M115" s="35">
        <f t="shared" si="3"/>
        <v>0.1774859121</v>
      </c>
      <c r="N115" s="36">
        <f t="shared" si="4"/>
        <v>177.4859121</v>
      </c>
      <c r="Q115" s="24">
        <v>44116.0</v>
      </c>
      <c r="R115" s="16" t="s">
        <v>126</v>
      </c>
      <c r="S115" s="5"/>
    </row>
    <row r="116">
      <c r="A116" s="16" t="s">
        <v>330</v>
      </c>
      <c r="B116" s="25" t="s">
        <v>308</v>
      </c>
      <c r="C116" s="27">
        <v>43900.0</v>
      </c>
      <c r="D116" s="41">
        <v>0.5798611111111112</v>
      </c>
      <c r="E116" s="25">
        <v>56.0</v>
      </c>
      <c r="F116" s="25">
        <v>64.32</v>
      </c>
      <c r="G116" s="25"/>
      <c r="H116" s="25"/>
      <c r="I116" s="25">
        <v>283.13</v>
      </c>
      <c r="J116" s="7">
        <f t="shared" si="1"/>
        <v>218.81</v>
      </c>
      <c r="K116" s="25">
        <v>64.36</v>
      </c>
      <c r="L116" s="7">
        <f t="shared" si="2"/>
        <v>0.04</v>
      </c>
      <c r="M116" s="35">
        <f t="shared" si="3"/>
        <v>0.1828070015</v>
      </c>
      <c r="N116" s="36">
        <f t="shared" si="4"/>
        <v>182.8070015</v>
      </c>
      <c r="Q116" s="5"/>
      <c r="R116" s="5"/>
      <c r="S116" s="5"/>
    </row>
    <row r="117">
      <c r="A117" s="16" t="s">
        <v>331</v>
      </c>
      <c r="B117" s="5"/>
      <c r="C117" s="5"/>
      <c r="D117" s="5"/>
      <c r="E117" s="7">
        <v>71.0</v>
      </c>
      <c r="F117" s="7">
        <v>64.1</v>
      </c>
      <c r="G117" s="7"/>
      <c r="H117" s="7"/>
      <c r="I117" s="7">
        <v>303.37</v>
      </c>
      <c r="J117" s="7">
        <f t="shared" si="1"/>
        <v>239.27</v>
      </c>
      <c r="K117" s="7">
        <v>64.15</v>
      </c>
      <c r="L117" s="7">
        <f t="shared" si="2"/>
        <v>0.05</v>
      </c>
      <c r="M117" s="35">
        <f t="shared" si="3"/>
        <v>0.2089689472</v>
      </c>
      <c r="N117" s="36">
        <f t="shared" si="4"/>
        <v>208.9689472</v>
      </c>
      <c r="Q117" s="24">
        <v>44082.0</v>
      </c>
      <c r="R117" s="16" t="s">
        <v>86</v>
      </c>
      <c r="S117" s="5"/>
    </row>
    <row r="118">
      <c r="A118" s="16" t="s">
        <v>332</v>
      </c>
      <c r="B118" s="5"/>
      <c r="C118" s="5"/>
      <c r="D118" s="5"/>
      <c r="E118" s="7">
        <v>64.0</v>
      </c>
      <c r="F118" s="7">
        <v>64.28</v>
      </c>
      <c r="G118" s="7"/>
      <c r="H118" s="7"/>
      <c r="I118" s="7">
        <v>287.78</v>
      </c>
      <c r="J118" s="7">
        <f t="shared" si="1"/>
        <v>223.5</v>
      </c>
      <c r="K118" s="7">
        <v>64.29</v>
      </c>
      <c r="L118" s="7">
        <f t="shared" si="2"/>
        <v>0.01</v>
      </c>
      <c r="M118" s="35">
        <f t="shared" si="3"/>
        <v>0.04474272931</v>
      </c>
      <c r="N118" s="36">
        <f t="shared" si="4"/>
        <v>44.74272931</v>
      </c>
      <c r="Q118" s="24">
        <v>44111.0</v>
      </c>
      <c r="R118" s="16" t="s">
        <v>126</v>
      </c>
      <c r="S118" s="5"/>
    </row>
    <row r="119">
      <c r="A119" s="16" t="s">
        <v>333</v>
      </c>
      <c r="B119" s="5"/>
      <c r="C119" s="5"/>
      <c r="D119" s="5"/>
      <c r="E119" s="7">
        <v>50.0</v>
      </c>
      <c r="F119" s="7">
        <v>64.33</v>
      </c>
      <c r="G119" s="7"/>
      <c r="H119" s="7"/>
      <c r="I119" s="7">
        <v>293.03</v>
      </c>
      <c r="J119" s="7">
        <f t="shared" si="1"/>
        <v>228.7</v>
      </c>
      <c r="K119" s="7">
        <v>64.37</v>
      </c>
      <c r="L119" s="7">
        <f t="shared" si="2"/>
        <v>0.04</v>
      </c>
      <c r="M119" s="35">
        <f t="shared" si="3"/>
        <v>0.1749016178</v>
      </c>
      <c r="N119" s="36">
        <f t="shared" si="4"/>
        <v>174.9016178</v>
      </c>
      <c r="Q119" s="24">
        <v>44116.0</v>
      </c>
      <c r="R119" s="16" t="s">
        <v>126</v>
      </c>
      <c r="S119" s="5"/>
    </row>
    <row r="120">
      <c r="A120" s="16" t="s">
        <v>334</v>
      </c>
      <c r="B120" s="5"/>
      <c r="C120" s="5"/>
      <c r="D120" s="5"/>
      <c r="E120" s="7">
        <v>72.0</v>
      </c>
      <c r="F120" s="7">
        <v>64.33</v>
      </c>
      <c r="G120" s="7"/>
      <c r="H120" s="7"/>
      <c r="I120" s="7">
        <v>303.29</v>
      </c>
      <c r="J120" s="7">
        <f t="shared" si="1"/>
        <v>238.96</v>
      </c>
      <c r="K120" s="7">
        <v>64.38</v>
      </c>
      <c r="L120" s="7">
        <f t="shared" si="2"/>
        <v>0.05</v>
      </c>
      <c r="M120" s="35">
        <f t="shared" si="3"/>
        <v>0.2092400402</v>
      </c>
      <c r="N120" s="36">
        <f t="shared" si="4"/>
        <v>209.2400402</v>
      </c>
      <c r="Q120" s="24">
        <v>44082.0</v>
      </c>
      <c r="R120" s="16" t="s">
        <v>86</v>
      </c>
      <c r="S120" s="5"/>
    </row>
    <row r="121">
      <c r="A121" s="16" t="s">
        <v>335</v>
      </c>
      <c r="B121" s="5"/>
      <c r="C121" s="5"/>
      <c r="D121" s="5"/>
      <c r="E121" s="7">
        <v>81.0</v>
      </c>
      <c r="F121" s="7">
        <v>64.27</v>
      </c>
      <c r="G121" s="7"/>
      <c r="H121" s="7"/>
      <c r="I121" s="7">
        <v>288.0</v>
      </c>
      <c r="J121" s="7">
        <f t="shared" si="1"/>
        <v>223.73</v>
      </c>
      <c r="K121" s="7">
        <v>64.33</v>
      </c>
      <c r="L121" s="7">
        <f t="shared" si="2"/>
        <v>0.06</v>
      </c>
      <c r="M121" s="35">
        <f t="shared" si="3"/>
        <v>0.268180396</v>
      </c>
      <c r="N121" s="36">
        <f t="shared" si="4"/>
        <v>268.180396</v>
      </c>
      <c r="P121" s="5"/>
      <c r="Q121" s="24">
        <v>44111.0</v>
      </c>
      <c r="R121" s="16" t="s">
        <v>126</v>
      </c>
    </row>
    <row r="122">
      <c r="A122" s="16" t="s">
        <v>336</v>
      </c>
      <c r="B122" s="5"/>
      <c r="C122" s="5"/>
      <c r="D122" s="5"/>
      <c r="E122" s="7">
        <v>11.0</v>
      </c>
      <c r="F122" s="7">
        <v>64.29</v>
      </c>
      <c r="G122" s="7"/>
      <c r="H122" s="7"/>
      <c r="I122" s="7">
        <v>290.61</v>
      </c>
      <c r="J122" s="7">
        <f t="shared" si="1"/>
        <v>226.32</v>
      </c>
      <c r="K122" s="7">
        <v>64.29</v>
      </c>
      <c r="L122" s="7">
        <f t="shared" si="2"/>
        <v>0</v>
      </c>
      <c r="M122" s="35">
        <f t="shared" si="3"/>
        <v>0</v>
      </c>
      <c r="N122" s="36">
        <f t="shared" si="4"/>
        <v>0</v>
      </c>
      <c r="P122" s="5"/>
      <c r="Q122" s="24">
        <v>44111.0</v>
      </c>
      <c r="R122" s="16" t="s">
        <v>126</v>
      </c>
    </row>
    <row r="123">
      <c r="A123" s="16" t="s">
        <v>337</v>
      </c>
      <c r="B123" s="5"/>
      <c r="C123" s="5"/>
      <c r="D123" s="5"/>
      <c r="E123" s="7">
        <v>89.0</v>
      </c>
      <c r="F123" s="7">
        <v>64.29</v>
      </c>
      <c r="G123" s="7"/>
      <c r="H123" s="7"/>
      <c r="I123" s="7">
        <v>287.0</v>
      </c>
      <c r="J123" s="7">
        <f t="shared" si="1"/>
        <v>222.71</v>
      </c>
      <c r="K123" s="7">
        <v>64.77</v>
      </c>
      <c r="L123" s="7">
        <f t="shared" si="2"/>
        <v>0.48</v>
      </c>
      <c r="M123" s="35">
        <f t="shared" si="3"/>
        <v>2.155269184</v>
      </c>
      <c r="N123" s="36">
        <f t="shared" si="4"/>
        <v>2155.269184</v>
      </c>
      <c r="P123" s="5"/>
      <c r="Q123" s="24">
        <v>44111.0</v>
      </c>
      <c r="R123" s="16" t="s">
        <v>126</v>
      </c>
    </row>
    <row r="124">
      <c r="A124" s="6" t="s">
        <v>338</v>
      </c>
      <c r="B124" s="50" t="s">
        <v>339</v>
      </c>
      <c r="C124" s="51">
        <v>44192.0</v>
      </c>
      <c r="D124" s="52">
        <v>0.9375</v>
      </c>
      <c r="E124" s="25">
        <v>55.0</v>
      </c>
      <c r="F124" s="25">
        <v>64.22</v>
      </c>
      <c r="G124" s="25"/>
      <c r="H124" s="25"/>
      <c r="I124" s="25">
        <v>285.38</v>
      </c>
      <c r="J124" s="7">
        <f t="shared" si="1"/>
        <v>221.16</v>
      </c>
      <c r="K124" s="25">
        <v>64.25</v>
      </c>
      <c r="L124" s="7">
        <f t="shared" si="2"/>
        <v>0.03</v>
      </c>
      <c r="M124" s="35">
        <f t="shared" si="3"/>
        <v>0.1356483993</v>
      </c>
      <c r="N124" s="36">
        <f t="shared" si="4"/>
        <v>135.6483993</v>
      </c>
      <c r="Q124" s="25" t="s">
        <v>340</v>
      </c>
      <c r="R124" s="16" t="s">
        <v>341</v>
      </c>
      <c r="S124" s="5"/>
    </row>
    <row r="125">
      <c r="A125" s="6" t="s">
        <v>342</v>
      </c>
      <c r="B125" s="50" t="s">
        <v>343</v>
      </c>
      <c r="C125" s="51">
        <v>44192.0</v>
      </c>
      <c r="D125" s="52">
        <v>0.9583333333333334</v>
      </c>
      <c r="E125" s="7">
        <v>61.0</v>
      </c>
      <c r="F125" s="7">
        <v>64.5</v>
      </c>
      <c r="G125" s="7"/>
      <c r="H125" s="7"/>
      <c r="I125" s="7">
        <v>285.55</v>
      </c>
      <c r="J125" s="7">
        <f t="shared" si="1"/>
        <v>221.05</v>
      </c>
      <c r="K125" s="7">
        <v>64.7</v>
      </c>
      <c r="L125" s="7">
        <f t="shared" si="2"/>
        <v>0.2</v>
      </c>
      <c r="M125" s="35">
        <f t="shared" si="3"/>
        <v>0.9047726759</v>
      </c>
      <c r="N125" s="36">
        <f t="shared" si="4"/>
        <v>904.7726759</v>
      </c>
      <c r="Q125" s="25" t="s">
        <v>340</v>
      </c>
      <c r="R125" s="16" t="s">
        <v>341</v>
      </c>
      <c r="S125" s="5"/>
    </row>
    <row r="126">
      <c r="A126" s="6" t="s">
        <v>344</v>
      </c>
      <c r="B126" s="50" t="s">
        <v>345</v>
      </c>
      <c r="C126" s="51">
        <v>44192.0</v>
      </c>
      <c r="D126" s="52">
        <v>0.9791666666666666</v>
      </c>
      <c r="E126" s="25">
        <v>62.0</v>
      </c>
      <c r="F126" s="25">
        <v>64.14</v>
      </c>
      <c r="G126" s="25"/>
      <c r="H126" s="25"/>
      <c r="I126" s="25">
        <v>285.17</v>
      </c>
      <c r="J126" s="7">
        <f t="shared" si="1"/>
        <v>221.03</v>
      </c>
      <c r="K126" s="25">
        <v>64.17</v>
      </c>
      <c r="L126" s="7">
        <f t="shared" si="2"/>
        <v>0.03</v>
      </c>
      <c r="M126" s="35">
        <f t="shared" si="3"/>
        <v>0.1357281817</v>
      </c>
      <c r="N126" s="36">
        <f t="shared" si="4"/>
        <v>135.7281817</v>
      </c>
      <c r="Q126" s="25" t="s">
        <v>340</v>
      </c>
      <c r="R126" s="16" t="s">
        <v>341</v>
      </c>
      <c r="S126" s="5"/>
    </row>
    <row r="127">
      <c r="A127" s="6" t="s">
        <v>346</v>
      </c>
      <c r="B127" s="50" t="s">
        <v>347</v>
      </c>
      <c r="C127" s="51">
        <v>44193.0</v>
      </c>
      <c r="D127" s="52">
        <v>0.3333333333333333</v>
      </c>
      <c r="E127" s="25">
        <v>64.0</v>
      </c>
      <c r="F127" s="25">
        <v>64.27</v>
      </c>
      <c r="G127" s="25"/>
      <c r="H127" s="25"/>
      <c r="I127" s="25">
        <v>283.59</v>
      </c>
      <c r="J127" s="7">
        <f t="shared" si="1"/>
        <v>219.32</v>
      </c>
      <c r="K127" s="25">
        <v>64.4</v>
      </c>
      <c r="L127" s="7">
        <f t="shared" si="2"/>
        <v>0.13</v>
      </c>
      <c r="M127" s="35">
        <f t="shared" si="3"/>
        <v>0.5927412001</v>
      </c>
      <c r="N127" s="36">
        <f t="shared" si="4"/>
        <v>592.7412001</v>
      </c>
      <c r="Q127" s="25" t="s">
        <v>340</v>
      </c>
      <c r="R127" s="16" t="s">
        <v>341</v>
      </c>
      <c r="S127" s="5"/>
    </row>
    <row r="128">
      <c r="A128" s="6" t="s">
        <v>348</v>
      </c>
      <c r="B128" s="50" t="s">
        <v>349</v>
      </c>
      <c r="C128" s="51">
        <v>44193.0</v>
      </c>
      <c r="D128" s="52">
        <v>0.34375</v>
      </c>
      <c r="E128" s="7">
        <v>68.0</v>
      </c>
      <c r="F128" s="7">
        <v>64.05</v>
      </c>
      <c r="G128" s="7"/>
      <c r="H128" s="7"/>
      <c r="I128" s="7">
        <v>287.81</v>
      </c>
      <c r="J128" s="7">
        <f t="shared" si="1"/>
        <v>223.76</v>
      </c>
      <c r="K128" s="7">
        <v>64.07</v>
      </c>
      <c r="L128" s="7">
        <f t="shared" si="2"/>
        <v>0.02</v>
      </c>
      <c r="M128" s="35">
        <f t="shared" si="3"/>
        <v>0.08938148016</v>
      </c>
      <c r="N128" s="36">
        <f t="shared" si="4"/>
        <v>89.38148016</v>
      </c>
      <c r="Q128" s="25" t="s">
        <v>340</v>
      </c>
      <c r="R128" s="16" t="s">
        <v>341</v>
      </c>
      <c r="S128" s="5"/>
    </row>
    <row r="129">
      <c r="A129" s="6" t="s">
        <v>350</v>
      </c>
      <c r="B129" s="25" t="s">
        <v>351</v>
      </c>
      <c r="C129" s="51">
        <v>44193.0</v>
      </c>
      <c r="D129" s="52">
        <v>0.3645833333333333</v>
      </c>
      <c r="E129" s="25">
        <v>69.0</v>
      </c>
      <c r="F129" s="25">
        <v>64.49</v>
      </c>
      <c r="G129" s="25"/>
      <c r="H129" s="25"/>
      <c r="I129" s="25">
        <v>279.87</v>
      </c>
      <c r="J129" s="7">
        <f t="shared" si="1"/>
        <v>215.38</v>
      </c>
      <c r="K129" s="25">
        <v>64.75</v>
      </c>
      <c r="L129" s="7">
        <f t="shared" si="2"/>
        <v>0.26</v>
      </c>
      <c r="M129" s="35">
        <f t="shared" si="3"/>
        <v>1.207168725</v>
      </c>
      <c r="N129" s="36">
        <f t="shared" si="4"/>
        <v>1207.168725</v>
      </c>
      <c r="Q129" s="25" t="s">
        <v>340</v>
      </c>
      <c r="R129" s="16" t="s">
        <v>341</v>
      </c>
      <c r="S129" s="5"/>
    </row>
    <row r="130">
      <c r="A130" s="6" t="s">
        <v>352</v>
      </c>
      <c r="B130" s="50" t="s">
        <v>349</v>
      </c>
      <c r="C130" s="51">
        <v>44193.0</v>
      </c>
      <c r="D130" s="52">
        <v>0.6666666666666666</v>
      </c>
      <c r="E130" s="25">
        <v>70.0</v>
      </c>
      <c r="F130" s="25">
        <v>64.08</v>
      </c>
      <c r="G130" s="25"/>
      <c r="H130" s="25"/>
      <c r="I130" s="25">
        <v>288.77</v>
      </c>
      <c r="J130" s="7">
        <f t="shared" si="1"/>
        <v>224.69</v>
      </c>
      <c r="K130" s="25">
        <v>64.13</v>
      </c>
      <c r="L130" s="7">
        <f t="shared" si="2"/>
        <v>0.05</v>
      </c>
      <c r="M130" s="35">
        <f t="shared" si="3"/>
        <v>0.2225288175</v>
      </c>
      <c r="N130" s="36">
        <f t="shared" si="4"/>
        <v>222.5288175</v>
      </c>
      <c r="Q130" s="25" t="s">
        <v>340</v>
      </c>
      <c r="R130" s="16" t="s">
        <v>341</v>
      </c>
      <c r="S130" s="5"/>
    </row>
    <row r="131">
      <c r="A131" s="6" t="s">
        <v>353</v>
      </c>
      <c r="B131" s="50" t="s">
        <v>351</v>
      </c>
      <c r="C131" s="51">
        <v>44193.0</v>
      </c>
      <c r="D131" s="52">
        <v>0.6875</v>
      </c>
      <c r="E131" s="7">
        <v>71.0</v>
      </c>
      <c r="F131" s="7">
        <v>64.09</v>
      </c>
      <c r="G131" s="7"/>
      <c r="H131" s="7"/>
      <c r="I131" s="7">
        <v>287.22</v>
      </c>
      <c r="J131" s="7">
        <f t="shared" si="1"/>
        <v>223.13</v>
      </c>
      <c r="K131" s="7">
        <v>64.21</v>
      </c>
      <c r="L131" s="7">
        <f t="shared" si="2"/>
        <v>0.12</v>
      </c>
      <c r="M131" s="35">
        <f t="shared" si="3"/>
        <v>0.5378030744</v>
      </c>
      <c r="N131" s="36">
        <f t="shared" si="4"/>
        <v>537.8030744</v>
      </c>
      <c r="Q131" s="25" t="s">
        <v>340</v>
      </c>
      <c r="R131" s="16" t="s">
        <v>341</v>
      </c>
      <c r="S131" s="5"/>
    </row>
    <row r="132">
      <c r="A132" s="6" t="s">
        <v>354</v>
      </c>
      <c r="B132" s="50" t="s">
        <v>355</v>
      </c>
      <c r="C132" s="51">
        <v>44193.0</v>
      </c>
      <c r="D132" s="52">
        <v>0.6979166666666666</v>
      </c>
      <c r="E132" s="7">
        <v>72.0</v>
      </c>
      <c r="F132" s="7">
        <v>64.32</v>
      </c>
      <c r="G132" s="7"/>
      <c r="H132" s="7"/>
      <c r="I132" s="7">
        <v>290.55</v>
      </c>
      <c r="J132" s="7">
        <f t="shared" si="1"/>
        <v>226.23</v>
      </c>
      <c r="K132" s="7">
        <v>64.33</v>
      </c>
      <c r="L132" s="7">
        <f t="shared" si="2"/>
        <v>0.01</v>
      </c>
      <c r="M132" s="35">
        <f t="shared" si="3"/>
        <v>0.04420280246</v>
      </c>
      <c r="N132" s="36">
        <f t="shared" si="4"/>
        <v>44.20280246</v>
      </c>
      <c r="Q132" s="25" t="s">
        <v>340</v>
      </c>
      <c r="R132" s="16" t="s">
        <v>341</v>
      </c>
      <c r="S132" s="5"/>
    </row>
    <row r="133">
      <c r="A133" s="6" t="s">
        <v>356</v>
      </c>
      <c r="B133" s="50" t="s">
        <v>343</v>
      </c>
      <c r="C133" s="51">
        <v>44193.0</v>
      </c>
      <c r="D133" s="52">
        <v>0.7083333333333334</v>
      </c>
      <c r="E133" s="7">
        <v>80.0</v>
      </c>
      <c r="F133" s="7">
        <v>64.4</v>
      </c>
      <c r="G133" s="7"/>
      <c r="H133" s="7"/>
      <c r="I133" s="7">
        <v>281.93</v>
      </c>
      <c r="J133" s="7">
        <f t="shared" si="1"/>
        <v>217.53</v>
      </c>
      <c r="K133" s="7">
        <v>64.49</v>
      </c>
      <c r="L133" s="7">
        <f t="shared" si="2"/>
        <v>0.09</v>
      </c>
      <c r="M133" s="35">
        <f t="shared" si="3"/>
        <v>0.4137360364</v>
      </c>
      <c r="N133" s="36">
        <f t="shared" si="4"/>
        <v>413.7360364</v>
      </c>
      <c r="Q133" s="25" t="s">
        <v>340</v>
      </c>
      <c r="R133" s="16" t="s">
        <v>341</v>
      </c>
      <c r="S133" s="5"/>
    </row>
    <row r="134">
      <c r="A134" s="6" t="s">
        <v>357</v>
      </c>
      <c r="B134" s="25" t="s">
        <v>351</v>
      </c>
      <c r="C134" s="27">
        <v>44194.0</v>
      </c>
      <c r="D134" s="41">
        <v>0.375</v>
      </c>
      <c r="E134" s="25">
        <v>89.0</v>
      </c>
      <c r="F134" s="25">
        <v>64.29</v>
      </c>
      <c r="G134" s="25"/>
      <c r="H134" s="25"/>
      <c r="I134" s="25">
        <v>292.07</v>
      </c>
      <c r="J134" s="7">
        <f t="shared" si="1"/>
        <v>227.78</v>
      </c>
      <c r="K134" s="25">
        <v>64.38</v>
      </c>
      <c r="L134" s="7">
        <f t="shared" si="2"/>
        <v>0.09</v>
      </c>
      <c r="M134" s="35">
        <f t="shared" si="3"/>
        <v>0.3951180964</v>
      </c>
      <c r="N134" s="36">
        <f t="shared" si="4"/>
        <v>395.1180964</v>
      </c>
      <c r="Q134" s="25" t="s">
        <v>340</v>
      </c>
      <c r="R134" s="16" t="s">
        <v>341</v>
      </c>
      <c r="S134" s="5"/>
    </row>
    <row r="135">
      <c r="A135" s="6" t="s">
        <v>358</v>
      </c>
      <c r="B135" s="7" t="s">
        <v>343</v>
      </c>
      <c r="C135" s="53">
        <v>44221.0</v>
      </c>
      <c r="D135" s="54">
        <v>0.625</v>
      </c>
      <c r="E135" s="7">
        <v>24.0</v>
      </c>
      <c r="F135" s="7">
        <v>64.31</v>
      </c>
      <c r="G135" s="7"/>
      <c r="H135" s="7"/>
      <c r="I135" s="7">
        <v>271.78</v>
      </c>
      <c r="J135" s="7">
        <f t="shared" si="1"/>
        <v>207.47</v>
      </c>
      <c r="K135" s="7">
        <v>64.4</v>
      </c>
      <c r="L135" s="7">
        <f t="shared" si="2"/>
        <v>0.09</v>
      </c>
      <c r="M135" s="35">
        <f t="shared" si="3"/>
        <v>0.4337976575</v>
      </c>
      <c r="N135" s="36">
        <f t="shared" si="4"/>
        <v>433.7976575</v>
      </c>
      <c r="Q135" s="7" t="s">
        <v>359</v>
      </c>
      <c r="R135" s="16" t="s">
        <v>341</v>
      </c>
      <c r="S135" s="5"/>
    </row>
    <row r="136">
      <c r="A136" s="6" t="s">
        <v>360</v>
      </c>
      <c r="B136" s="7" t="s">
        <v>355</v>
      </c>
      <c r="C136" s="53">
        <v>44221.0</v>
      </c>
      <c r="D136" s="54">
        <v>0.6354166666666666</v>
      </c>
      <c r="E136" s="7">
        <v>58.0</v>
      </c>
      <c r="F136" s="7">
        <v>64.33</v>
      </c>
      <c r="G136" s="7"/>
      <c r="H136" s="7"/>
      <c r="I136" s="7">
        <v>285.51</v>
      </c>
      <c r="J136" s="7">
        <f t="shared" si="1"/>
        <v>221.18</v>
      </c>
      <c r="K136" s="7">
        <v>64.37</v>
      </c>
      <c r="L136" s="7">
        <f t="shared" si="2"/>
        <v>0.04</v>
      </c>
      <c r="M136" s="35">
        <f t="shared" si="3"/>
        <v>0.180848178</v>
      </c>
      <c r="N136" s="36">
        <f t="shared" si="4"/>
        <v>180.848178</v>
      </c>
      <c r="Q136" s="7" t="s">
        <v>359</v>
      </c>
      <c r="R136" s="16" t="s">
        <v>341</v>
      </c>
      <c r="S136" s="16" t="s">
        <v>361</v>
      </c>
    </row>
    <row r="137">
      <c r="A137" s="48" t="s">
        <v>362</v>
      </c>
      <c r="B137" s="43"/>
      <c r="C137" s="55"/>
      <c r="D137" s="56"/>
      <c r="E137" s="44">
        <v>84.0</v>
      </c>
      <c r="F137" s="44">
        <v>64.26</v>
      </c>
      <c r="G137" s="44"/>
      <c r="H137" s="44"/>
      <c r="I137" s="44">
        <v>291.36</v>
      </c>
      <c r="J137" s="45">
        <f t="shared" si="1"/>
        <v>227.1</v>
      </c>
      <c r="K137" s="44">
        <v>69.16</v>
      </c>
      <c r="L137" s="45">
        <f t="shared" si="2"/>
        <v>4.9</v>
      </c>
      <c r="M137" s="46">
        <f t="shared" si="3"/>
        <v>21.57639806</v>
      </c>
      <c r="N137" s="36">
        <f t="shared" si="4"/>
        <v>21576.39806</v>
      </c>
      <c r="Q137" s="45" t="s">
        <v>363</v>
      </c>
      <c r="R137" s="48" t="s">
        <v>341</v>
      </c>
      <c r="S137" s="43" t="s">
        <v>364</v>
      </c>
    </row>
    <row r="138">
      <c r="A138" s="16" t="s">
        <v>365</v>
      </c>
      <c r="B138" s="7" t="s">
        <v>349</v>
      </c>
      <c r="C138" s="53">
        <v>44223.0</v>
      </c>
      <c r="D138" s="54">
        <v>0.3541666666666667</v>
      </c>
      <c r="E138" s="7">
        <v>37.0</v>
      </c>
      <c r="F138" s="7">
        <v>64.44</v>
      </c>
      <c r="G138" s="7"/>
      <c r="H138" s="7"/>
      <c r="I138" s="7">
        <v>282.2</v>
      </c>
      <c r="J138" s="7">
        <f t="shared" si="1"/>
        <v>217.76</v>
      </c>
      <c r="K138" s="7">
        <v>64.46</v>
      </c>
      <c r="L138" s="7">
        <f t="shared" si="2"/>
        <v>0.02</v>
      </c>
      <c r="M138" s="35">
        <f t="shared" si="3"/>
        <v>0.09184423218</v>
      </c>
      <c r="N138" s="36">
        <f t="shared" si="4"/>
        <v>91.84423218</v>
      </c>
      <c r="Q138" s="7" t="s">
        <v>359</v>
      </c>
      <c r="R138" s="16" t="s">
        <v>341</v>
      </c>
      <c r="S138" s="5"/>
    </row>
    <row r="139">
      <c r="A139" s="16" t="s">
        <v>366</v>
      </c>
      <c r="B139" s="5"/>
      <c r="C139" s="5"/>
      <c r="D139" s="5"/>
      <c r="E139" s="7">
        <v>43.0</v>
      </c>
      <c r="F139" s="7">
        <v>64.28</v>
      </c>
      <c r="G139" s="7"/>
      <c r="H139" s="7"/>
      <c r="I139" s="7">
        <v>290.13</v>
      </c>
      <c r="J139" s="7">
        <f t="shared" si="1"/>
        <v>225.85</v>
      </c>
      <c r="K139" s="7">
        <v>64.67</v>
      </c>
      <c r="L139" s="7">
        <f t="shared" si="2"/>
        <v>0.39</v>
      </c>
      <c r="M139" s="35">
        <f t="shared" si="3"/>
        <v>1.72680983</v>
      </c>
      <c r="N139" s="36">
        <f t="shared" si="4"/>
        <v>1726.80983</v>
      </c>
      <c r="Q139" s="7" t="s">
        <v>363</v>
      </c>
      <c r="R139" s="16" t="s">
        <v>341</v>
      </c>
      <c r="S139" s="5"/>
    </row>
    <row r="140">
      <c r="A140" s="16" t="s">
        <v>367</v>
      </c>
      <c r="B140" s="5"/>
      <c r="C140" s="21"/>
      <c r="D140" s="57"/>
      <c r="E140" s="25">
        <v>56.0</v>
      </c>
      <c r="F140" s="25">
        <v>64.32</v>
      </c>
      <c r="G140" s="25"/>
      <c r="H140" s="25"/>
      <c r="I140" s="25">
        <v>291.74</v>
      </c>
      <c r="J140" s="7">
        <f t="shared" si="1"/>
        <v>227.42</v>
      </c>
      <c r="K140" s="25">
        <v>64.38</v>
      </c>
      <c r="L140" s="7">
        <f t="shared" si="2"/>
        <v>0.06</v>
      </c>
      <c r="M140" s="35">
        <f t="shared" si="3"/>
        <v>0.2638290388</v>
      </c>
      <c r="N140" s="36">
        <f t="shared" si="4"/>
        <v>263.8290388</v>
      </c>
      <c r="Q140" s="7" t="s">
        <v>363</v>
      </c>
      <c r="R140" s="16" t="s">
        <v>341</v>
      </c>
      <c r="S140" s="5"/>
    </row>
    <row r="141">
      <c r="A141" s="16" t="s">
        <v>368</v>
      </c>
      <c r="B141" s="5"/>
      <c r="C141" s="5"/>
      <c r="D141" s="5"/>
      <c r="E141" s="7">
        <v>64.0</v>
      </c>
      <c r="F141" s="7">
        <v>64.27</v>
      </c>
      <c r="G141" s="7"/>
      <c r="H141" s="7"/>
      <c r="I141" s="7">
        <v>291.62</v>
      </c>
      <c r="J141" s="7">
        <f t="shared" si="1"/>
        <v>227.35</v>
      </c>
      <c r="K141" s="7">
        <v>64.42</v>
      </c>
      <c r="L141" s="7">
        <f t="shared" si="2"/>
        <v>0.15</v>
      </c>
      <c r="M141" s="35">
        <f t="shared" si="3"/>
        <v>0.6597756763</v>
      </c>
      <c r="N141" s="36">
        <f t="shared" si="4"/>
        <v>659.7756763</v>
      </c>
      <c r="Q141" s="7" t="s">
        <v>363</v>
      </c>
      <c r="R141" s="16" t="s">
        <v>341</v>
      </c>
      <c r="S141" s="5"/>
    </row>
    <row r="142">
      <c r="A142" s="16" t="s">
        <v>369</v>
      </c>
      <c r="B142" s="5"/>
      <c r="C142" s="5"/>
      <c r="D142" s="5"/>
      <c r="E142" s="7">
        <v>76.0</v>
      </c>
      <c r="F142" s="7">
        <v>64.31</v>
      </c>
      <c r="G142" s="7"/>
      <c r="H142" s="7"/>
      <c r="I142" s="7">
        <v>292.25</v>
      </c>
      <c r="J142" s="7">
        <f t="shared" si="1"/>
        <v>227.94</v>
      </c>
      <c r="K142" s="7">
        <v>64.37</v>
      </c>
      <c r="L142" s="7">
        <f t="shared" si="2"/>
        <v>0.06</v>
      </c>
      <c r="M142" s="35">
        <f t="shared" si="3"/>
        <v>0.263227165</v>
      </c>
      <c r="N142" s="36">
        <f t="shared" si="4"/>
        <v>263.227165</v>
      </c>
      <c r="Q142" s="7" t="s">
        <v>363</v>
      </c>
      <c r="R142" s="16" t="s">
        <v>341</v>
      </c>
      <c r="S142" s="5"/>
    </row>
    <row r="143">
      <c r="A143" s="16" t="s">
        <v>370</v>
      </c>
      <c r="B143" s="5"/>
      <c r="C143" s="20"/>
      <c r="D143" s="57"/>
      <c r="E143" s="25">
        <v>71.0</v>
      </c>
      <c r="F143" s="25">
        <v>64.11</v>
      </c>
      <c r="G143" s="25"/>
      <c r="H143" s="25"/>
      <c r="I143" s="25">
        <v>290.8</v>
      </c>
      <c r="J143" s="7">
        <f t="shared" si="1"/>
        <v>226.69</v>
      </c>
      <c r="K143" s="25">
        <v>64.25</v>
      </c>
      <c r="L143" s="7">
        <f t="shared" si="2"/>
        <v>0.14</v>
      </c>
      <c r="M143" s="35">
        <f t="shared" si="3"/>
        <v>0.6175834841</v>
      </c>
      <c r="N143" s="36">
        <f t="shared" si="4"/>
        <v>617.5834841</v>
      </c>
      <c r="Q143" s="7" t="s">
        <v>363</v>
      </c>
      <c r="R143" s="16" t="s">
        <v>341</v>
      </c>
      <c r="S143" s="5"/>
    </row>
    <row r="144">
      <c r="A144" s="5" t="s">
        <v>371</v>
      </c>
      <c r="B144" s="25" t="s">
        <v>349</v>
      </c>
      <c r="C144" s="27">
        <v>44224.0</v>
      </c>
      <c r="D144" s="41">
        <v>0.625</v>
      </c>
      <c r="E144" s="25">
        <v>57.0</v>
      </c>
      <c r="F144" s="25">
        <v>64.15</v>
      </c>
      <c r="G144" s="25"/>
      <c r="H144" s="25"/>
      <c r="I144" s="25">
        <v>281.39</v>
      </c>
      <c r="J144" s="7">
        <f t="shared" si="1"/>
        <v>217.24</v>
      </c>
      <c r="K144" s="25">
        <v>64.26</v>
      </c>
      <c r="L144" s="7">
        <f t="shared" si="2"/>
        <v>0.11</v>
      </c>
      <c r="M144" s="35">
        <f t="shared" si="3"/>
        <v>0.5063524213</v>
      </c>
      <c r="N144" s="36">
        <f t="shared" si="4"/>
        <v>506.3524213</v>
      </c>
      <c r="Q144" s="7" t="s">
        <v>359</v>
      </c>
      <c r="R144" s="16" t="s">
        <v>341</v>
      </c>
      <c r="S144" s="5"/>
    </row>
    <row r="145">
      <c r="A145" s="16" t="s">
        <v>372</v>
      </c>
      <c r="B145" s="7" t="s">
        <v>351</v>
      </c>
      <c r="C145" s="53">
        <v>44224.0</v>
      </c>
      <c r="D145" s="54">
        <v>0.6354166666666666</v>
      </c>
      <c r="E145" s="7">
        <v>67.0</v>
      </c>
      <c r="F145" s="7">
        <v>64.41</v>
      </c>
      <c r="G145" s="7"/>
      <c r="H145" s="7"/>
      <c r="I145" s="7">
        <v>284.44</v>
      </c>
      <c r="J145" s="7">
        <f t="shared" si="1"/>
        <v>220.03</v>
      </c>
      <c r="K145" s="7">
        <v>64.55</v>
      </c>
      <c r="L145" s="7">
        <f t="shared" si="2"/>
        <v>0.14</v>
      </c>
      <c r="M145" s="35">
        <f t="shared" si="3"/>
        <v>0.6362768713</v>
      </c>
      <c r="N145" s="36">
        <f t="shared" si="4"/>
        <v>636.2768713</v>
      </c>
      <c r="Q145" s="7" t="s">
        <v>359</v>
      </c>
      <c r="R145" s="16" t="s">
        <v>341</v>
      </c>
      <c r="S145" s="5"/>
    </row>
    <row r="146">
      <c r="A146" s="16" t="s">
        <v>373</v>
      </c>
      <c r="B146" s="7" t="s">
        <v>349</v>
      </c>
      <c r="C146" s="53">
        <v>44225.0</v>
      </c>
      <c r="D146" s="54">
        <v>0.3645833333333333</v>
      </c>
      <c r="E146" s="7">
        <v>60.0</v>
      </c>
      <c r="F146" s="7">
        <v>64.3</v>
      </c>
      <c r="G146" s="7"/>
      <c r="H146" s="7"/>
      <c r="I146" s="7">
        <v>286.24</v>
      </c>
      <c r="J146" s="7">
        <f t="shared" si="1"/>
        <v>221.94</v>
      </c>
      <c r="K146" s="7">
        <v>64.37</v>
      </c>
      <c r="L146" s="7">
        <f t="shared" si="2"/>
        <v>0.07</v>
      </c>
      <c r="M146" s="35">
        <f t="shared" si="3"/>
        <v>0.3154005587</v>
      </c>
      <c r="N146" s="36">
        <f t="shared" si="4"/>
        <v>315.4005587</v>
      </c>
      <c r="Q146" s="7" t="s">
        <v>359</v>
      </c>
      <c r="R146" s="16" t="s">
        <v>341</v>
      </c>
      <c r="S146" s="5"/>
    </row>
    <row r="147">
      <c r="A147" s="16" t="s">
        <v>374</v>
      </c>
      <c r="B147" s="7" t="s">
        <v>351</v>
      </c>
      <c r="C147" s="53">
        <v>44225.0</v>
      </c>
      <c r="D147" s="54">
        <v>0.375</v>
      </c>
      <c r="E147" s="7">
        <v>43.0</v>
      </c>
      <c r="F147" s="7">
        <v>64.27</v>
      </c>
      <c r="G147" s="7"/>
      <c r="H147" s="7"/>
      <c r="I147" s="7">
        <v>280.81</v>
      </c>
      <c r="J147" s="7">
        <f t="shared" si="1"/>
        <v>216.54</v>
      </c>
      <c r="K147" s="7">
        <v>64.42</v>
      </c>
      <c r="L147" s="7">
        <f t="shared" si="2"/>
        <v>0.15</v>
      </c>
      <c r="M147" s="35">
        <f t="shared" si="3"/>
        <v>0.6927126628</v>
      </c>
      <c r="N147" s="36">
        <f t="shared" si="4"/>
        <v>692.7126628</v>
      </c>
      <c r="Q147" s="7" t="s">
        <v>359</v>
      </c>
      <c r="R147" s="16" t="s">
        <v>341</v>
      </c>
      <c r="S147" s="5"/>
    </row>
    <row r="148">
      <c r="A148" s="16" t="s">
        <v>375</v>
      </c>
      <c r="B148" s="5"/>
      <c r="C148" s="5"/>
      <c r="D148" s="5"/>
      <c r="E148" s="7">
        <v>75.0</v>
      </c>
      <c r="F148" s="7">
        <v>64.12</v>
      </c>
      <c r="G148" s="7"/>
      <c r="H148" s="7"/>
      <c r="I148" s="7">
        <v>291.67</v>
      </c>
      <c r="J148" s="7">
        <f t="shared" si="1"/>
        <v>227.55</v>
      </c>
      <c r="K148" s="7">
        <v>65.4</v>
      </c>
      <c r="L148" s="7">
        <f t="shared" si="2"/>
        <v>1.28</v>
      </c>
      <c r="M148" s="35">
        <f t="shared" si="3"/>
        <v>5.625137332</v>
      </c>
      <c r="N148" s="36">
        <f t="shared" si="4"/>
        <v>5625.137332</v>
      </c>
      <c r="Q148" s="7" t="s">
        <v>363</v>
      </c>
      <c r="R148" s="16" t="s">
        <v>341</v>
      </c>
      <c r="S148" s="5"/>
    </row>
    <row r="149">
      <c r="A149" s="16" t="s">
        <v>376</v>
      </c>
      <c r="B149" s="5"/>
      <c r="C149" s="5"/>
      <c r="D149" s="5"/>
      <c r="E149" s="7">
        <v>65.0</v>
      </c>
      <c r="F149" s="7">
        <v>64.26</v>
      </c>
      <c r="G149" s="7"/>
      <c r="H149" s="7"/>
      <c r="I149" s="7">
        <v>296.67</v>
      </c>
      <c r="J149" s="7">
        <f t="shared" si="1"/>
        <v>232.41</v>
      </c>
      <c r="K149" s="7">
        <v>65.42</v>
      </c>
      <c r="L149" s="7">
        <f t="shared" si="2"/>
        <v>1.16</v>
      </c>
      <c r="M149" s="35">
        <f t="shared" si="3"/>
        <v>4.991179381</v>
      </c>
      <c r="N149" s="36">
        <f t="shared" si="4"/>
        <v>4991.179381</v>
      </c>
      <c r="Q149" s="7" t="s">
        <v>363</v>
      </c>
      <c r="R149" s="16" t="s">
        <v>341</v>
      </c>
      <c r="S149" s="5"/>
    </row>
    <row r="150">
      <c r="A150" s="6" t="s">
        <v>377</v>
      </c>
      <c r="B150" s="7" t="s">
        <v>378</v>
      </c>
      <c r="C150" s="53">
        <v>44224.0</v>
      </c>
      <c r="D150" s="54">
        <v>0.6666666666666666</v>
      </c>
      <c r="E150" s="7">
        <v>66.0</v>
      </c>
      <c r="F150" s="7">
        <v>64.24</v>
      </c>
      <c r="G150" s="7"/>
      <c r="H150" s="7"/>
      <c r="I150" s="7">
        <v>284.21</v>
      </c>
      <c r="J150" s="7">
        <f t="shared" si="1"/>
        <v>219.97</v>
      </c>
      <c r="K150" s="7">
        <v>64.63</v>
      </c>
      <c r="L150" s="7">
        <f t="shared" si="2"/>
        <v>0.39</v>
      </c>
      <c r="M150" s="35">
        <f t="shared" si="3"/>
        <v>1.772969041</v>
      </c>
      <c r="N150" s="36">
        <f t="shared" si="4"/>
        <v>1772.969041</v>
      </c>
      <c r="Q150" s="7" t="s">
        <v>359</v>
      </c>
      <c r="R150" s="16" t="s">
        <v>341</v>
      </c>
      <c r="S150" s="5"/>
    </row>
    <row r="151">
      <c r="A151" s="5" t="s">
        <v>379</v>
      </c>
      <c r="B151" s="25" t="s">
        <v>378</v>
      </c>
      <c r="C151" s="17">
        <v>44224.0</v>
      </c>
      <c r="D151" s="41">
        <v>0.6875</v>
      </c>
      <c r="E151" s="25">
        <v>63.0</v>
      </c>
      <c r="F151" s="25">
        <v>64.51</v>
      </c>
      <c r="G151" s="25"/>
      <c r="H151" s="25"/>
      <c r="I151" s="25">
        <v>287.01</v>
      </c>
      <c r="J151" s="7">
        <f t="shared" si="1"/>
        <v>222.5</v>
      </c>
      <c r="K151" s="25">
        <v>64.81</v>
      </c>
      <c r="L151" s="7">
        <f t="shared" si="2"/>
        <v>0.3</v>
      </c>
      <c r="M151" s="35">
        <f t="shared" si="3"/>
        <v>1.348314607</v>
      </c>
      <c r="N151" s="36">
        <f t="shared" si="4"/>
        <v>1348.314607</v>
      </c>
      <c r="Q151" s="7" t="s">
        <v>359</v>
      </c>
      <c r="R151" s="16" t="s">
        <v>341</v>
      </c>
      <c r="S151" s="5"/>
    </row>
    <row r="152">
      <c r="A152" s="5" t="s">
        <v>380</v>
      </c>
      <c r="B152" s="25" t="s">
        <v>378</v>
      </c>
      <c r="C152" s="17">
        <v>44224.0</v>
      </c>
      <c r="D152" s="41">
        <v>0.7083333333333334</v>
      </c>
      <c r="E152" s="25">
        <v>49.0</v>
      </c>
      <c r="F152" s="25">
        <v>64.38</v>
      </c>
      <c r="G152" s="25"/>
      <c r="H152" s="25"/>
      <c r="I152" s="25">
        <v>283.57</v>
      </c>
      <c r="J152" s="7">
        <f t="shared" si="1"/>
        <v>219.19</v>
      </c>
      <c r="K152" s="25">
        <v>64.71</v>
      </c>
      <c r="L152" s="7">
        <f t="shared" si="2"/>
        <v>0.33</v>
      </c>
      <c r="M152" s="35">
        <f t="shared" si="3"/>
        <v>1.505543136</v>
      </c>
      <c r="N152" s="36">
        <f t="shared" si="4"/>
        <v>1505.543136</v>
      </c>
      <c r="Q152" s="7" t="s">
        <v>359</v>
      </c>
      <c r="R152" s="16" t="s">
        <v>341</v>
      </c>
      <c r="S152" s="5"/>
    </row>
    <row r="153">
      <c r="A153" s="16" t="s">
        <v>381</v>
      </c>
      <c r="B153" s="7" t="s">
        <v>378</v>
      </c>
      <c r="C153" s="53">
        <v>44224.0</v>
      </c>
      <c r="D153" s="54">
        <v>0.7291666666666666</v>
      </c>
      <c r="E153" s="7">
        <v>77.0</v>
      </c>
      <c r="F153" s="7">
        <v>64.33</v>
      </c>
      <c r="G153" s="7"/>
      <c r="H153" s="7"/>
      <c r="I153" s="7">
        <v>289.38</v>
      </c>
      <c r="J153" s="7">
        <f t="shared" si="1"/>
        <v>225.05</v>
      </c>
      <c r="K153" s="7">
        <v>64.6</v>
      </c>
      <c r="L153" s="7">
        <f t="shared" si="2"/>
        <v>0.27</v>
      </c>
      <c r="M153" s="35">
        <f t="shared" si="3"/>
        <v>1.199733393</v>
      </c>
      <c r="N153" s="36">
        <f t="shared" si="4"/>
        <v>1199.733393</v>
      </c>
      <c r="Q153" s="7" t="s">
        <v>359</v>
      </c>
      <c r="R153" s="16" t="s">
        <v>341</v>
      </c>
      <c r="S153" s="5"/>
    </row>
    <row r="154">
      <c r="A154" s="16" t="s">
        <v>382</v>
      </c>
      <c r="B154" s="7" t="s">
        <v>378</v>
      </c>
      <c r="C154" s="53">
        <v>44224.0</v>
      </c>
      <c r="D154" s="54">
        <v>0.75</v>
      </c>
      <c r="E154" s="7">
        <v>81.0</v>
      </c>
      <c r="F154" s="7">
        <v>64.27</v>
      </c>
      <c r="G154" s="7"/>
      <c r="H154" s="7"/>
      <c r="I154" s="7">
        <v>283.23</v>
      </c>
      <c r="J154" s="7">
        <f t="shared" si="1"/>
        <v>218.96</v>
      </c>
      <c r="K154" s="7">
        <v>64.53</v>
      </c>
      <c r="L154" s="7">
        <f t="shared" si="2"/>
        <v>0.26</v>
      </c>
      <c r="M154" s="35">
        <f t="shared" si="3"/>
        <v>1.187431494</v>
      </c>
      <c r="N154" s="36">
        <f t="shared" si="4"/>
        <v>1187.431494</v>
      </c>
      <c r="Q154" s="7" t="s">
        <v>359</v>
      </c>
      <c r="R154" s="16" t="s">
        <v>341</v>
      </c>
      <c r="S154" s="5"/>
    </row>
    <row r="155">
      <c r="A155" s="16" t="s">
        <v>383</v>
      </c>
      <c r="B155" s="7" t="s">
        <v>378</v>
      </c>
      <c r="C155" s="53">
        <v>44224.0</v>
      </c>
      <c r="D155" s="54">
        <v>0.7708333333333334</v>
      </c>
      <c r="E155" s="7">
        <v>84.0</v>
      </c>
      <c r="F155" s="7">
        <v>64.25</v>
      </c>
      <c r="G155" s="7"/>
      <c r="H155" s="7"/>
      <c r="I155" s="7">
        <v>285.14</v>
      </c>
      <c r="J155" s="7">
        <f t="shared" si="1"/>
        <v>220.89</v>
      </c>
      <c r="K155" s="7">
        <v>64.55</v>
      </c>
      <c r="L155" s="7">
        <f t="shared" si="2"/>
        <v>0.3</v>
      </c>
      <c r="M155" s="35">
        <f t="shared" si="3"/>
        <v>1.358142062</v>
      </c>
      <c r="N155" s="36">
        <f t="shared" si="4"/>
        <v>1358.142062</v>
      </c>
      <c r="Q155" s="7" t="s">
        <v>359</v>
      </c>
      <c r="R155" s="16" t="s">
        <v>341</v>
      </c>
      <c r="S155" s="5"/>
    </row>
    <row r="156">
      <c r="A156" s="5" t="s">
        <v>384</v>
      </c>
      <c r="B156" s="25" t="s">
        <v>378</v>
      </c>
      <c r="C156" s="17">
        <v>44224.0</v>
      </c>
      <c r="D156" s="41">
        <v>0.8125</v>
      </c>
      <c r="E156" s="25">
        <v>56.0</v>
      </c>
      <c r="F156" s="25">
        <v>64.32</v>
      </c>
      <c r="G156" s="25"/>
      <c r="H156" s="25"/>
      <c r="I156" s="25">
        <v>290.24</v>
      </c>
      <c r="J156" s="7">
        <f t="shared" si="1"/>
        <v>225.92</v>
      </c>
      <c r="K156" s="25">
        <v>64.67</v>
      </c>
      <c r="L156" s="7">
        <f t="shared" si="2"/>
        <v>0.35</v>
      </c>
      <c r="M156" s="35">
        <f t="shared" si="3"/>
        <v>1.549220963</v>
      </c>
      <c r="N156" s="36">
        <f t="shared" si="4"/>
        <v>1549.220963</v>
      </c>
      <c r="Q156" s="7" t="s">
        <v>359</v>
      </c>
      <c r="R156" s="16" t="s">
        <v>341</v>
      </c>
      <c r="S156" s="5"/>
    </row>
    <row r="157">
      <c r="A157" s="5" t="s">
        <v>385</v>
      </c>
      <c r="B157" s="25" t="s">
        <v>378</v>
      </c>
      <c r="C157" s="17">
        <v>44224.0</v>
      </c>
      <c r="D157" s="41">
        <v>0.8541666666666666</v>
      </c>
      <c r="E157" s="25">
        <v>75.0</v>
      </c>
      <c r="F157" s="25">
        <v>64.12</v>
      </c>
      <c r="G157" s="25"/>
      <c r="H157" s="25"/>
      <c r="I157" s="25">
        <v>286.84</v>
      </c>
      <c r="J157" s="7">
        <f t="shared" si="1"/>
        <v>222.72</v>
      </c>
      <c r="K157" s="25">
        <v>64.37</v>
      </c>
      <c r="L157" s="7">
        <f t="shared" si="2"/>
        <v>0.25</v>
      </c>
      <c r="M157" s="35">
        <f t="shared" si="3"/>
        <v>1.122485632</v>
      </c>
      <c r="N157" s="36">
        <f t="shared" si="4"/>
        <v>1122.485632</v>
      </c>
      <c r="Q157" s="7" t="s">
        <v>359</v>
      </c>
      <c r="R157" s="16" t="s">
        <v>341</v>
      </c>
      <c r="S157" s="5"/>
    </row>
    <row r="158">
      <c r="A158" s="16" t="s">
        <v>386</v>
      </c>
      <c r="B158" s="7" t="s">
        <v>378</v>
      </c>
      <c r="C158" s="53">
        <v>44224.0</v>
      </c>
      <c r="D158" s="54">
        <v>0.8958333333333334</v>
      </c>
      <c r="E158" s="7">
        <v>65.0</v>
      </c>
      <c r="F158" s="7">
        <v>64.26</v>
      </c>
      <c r="G158" s="7"/>
      <c r="H158" s="7"/>
      <c r="I158" s="7">
        <v>276.25</v>
      </c>
      <c r="J158" s="7">
        <f t="shared" si="1"/>
        <v>211.99</v>
      </c>
      <c r="K158" s="7">
        <v>64.52</v>
      </c>
      <c r="L158" s="7">
        <f t="shared" si="2"/>
        <v>0.26</v>
      </c>
      <c r="M158" s="35">
        <f t="shared" si="3"/>
        <v>1.226472947</v>
      </c>
      <c r="N158" s="36">
        <f t="shared" si="4"/>
        <v>1226.472947</v>
      </c>
      <c r="Q158" s="7" t="s">
        <v>359</v>
      </c>
      <c r="R158" s="16" t="s">
        <v>341</v>
      </c>
      <c r="S158" s="5"/>
    </row>
    <row r="159">
      <c r="A159" s="16" t="s">
        <v>387</v>
      </c>
      <c r="B159" s="5"/>
      <c r="C159" s="5"/>
      <c r="D159" s="5"/>
      <c r="E159" s="7">
        <v>50.0</v>
      </c>
      <c r="F159" s="7">
        <v>64.33</v>
      </c>
      <c r="G159" s="7"/>
      <c r="H159" s="7"/>
      <c r="I159" s="7">
        <v>289.1</v>
      </c>
      <c r="J159" s="7">
        <f t="shared" si="1"/>
        <v>224.77</v>
      </c>
      <c r="K159" s="7">
        <v>64.42</v>
      </c>
      <c r="L159" s="7">
        <f t="shared" si="2"/>
        <v>0.09</v>
      </c>
      <c r="M159" s="35">
        <f t="shared" si="3"/>
        <v>0.4004093073</v>
      </c>
      <c r="N159" s="36">
        <f t="shared" si="4"/>
        <v>400.4093073</v>
      </c>
      <c r="Q159" s="7" t="s">
        <v>363</v>
      </c>
      <c r="R159" s="16" t="s">
        <v>341</v>
      </c>
      <c r="S159" s="5"/>
    </row>
    <row r="160">
      <c r="A160" s="16" t="s">
        <v>388</v>
      </c>
      <c r="B160" s="5"/>
      <c r="C160" s="5"/>
      <c r="D160" s="5"/>
      <c r="E160" s="7">
        <v>58.0</v>
      </c>
      <c r="F160" s="7">
        <v>64.33</v>
      </c>
      <c r="G160" s="7"/>
      <c r="H160" s="7"/>
      <c r="I160" s="7">
        <v>291.45</v>
      </c>
      <c r="J160" s="7">
        <f t="shared" si="1"/>
        <v>227.12</v>
      </c>
      <c r="K160" s="7">
        <v>64.43</v>
      </c>
      <c r="L160" s="7">
        <f t="shared" si="2"/>
        <v>0.1</v>
      </c>
      <c r="M160" s="35">
        <f t="shared" si="3"/>
        <v>0.4402958788</v>
      </c>
      <c r="N160" s="36">
        <f t="shared" si="4"/>
        <v>440.2958788</v>
      </c>
      <c r="Q160" s="7" t="s">
        <v>363</v>
      </c>
      <c r="R160" s="16" t="s">
        <v>341</v>
      </c>
      <c r="S160" s="5"/>
    </row>
    <row r="161">
      <c r="A161" s="16" t="s">
        <v>389</v>
      </c>
      <c r="B161" s="5"/>
      <c r="C161" s="5"/>
      <c r="D161" s="5"/>
      <c r="E161" s="7">
        <v>55.0</v>
      </c>
      <c r="F161" s="7">
        <v>64.22</v>
      </c>
      <c r="G161" s="7"/>
      <c r="H161" s="7"/>
      <c r="I161" s="7">
        <v>294.98</v>
      </c>
      <c r="J161" s="7">
        <f t="shared" si="1"/>
        <v>230.76</v>
      </c>
      <c r="K161" s="7">
        <v>64.87</v>
      </c>
      <c r="L161" s="7">
        <f t="shared" si="2"/>
        <v>0.65</v>
      </c>
      <c r="M161" s="35">
        <f t="shared" si="3"/>
        <v>2.816779338</v>
      </c>
      <c r="N161" s="36">
        <f t="shared" si="4"/>
        <v>2816.779338</v>
      </c>
      <c r="Q161" s="7" t="s">
        <v>363</v>
      </c>
      <c r="R161" s="16" t="s">
        <v>341</v>
      </c>
      <c r="S161" s="5"/>
    </row>
    <row r="162">
      <c r="A162" s="16" t="s">
        <v>390</v>
      </c>
      <c r="B162" s="5"/>
      <c r="C162" s="5"/>
      <c r="D162" s="5"/>
      <c r="E162" s="7">
        <v>60.0</v>
      </c>
      <c r="F162" s="7">
        <v>64.3</v>
      </c>
      <c r="G162" s="7"/>
      <c r="H162" s="7"/>
      <c r="I162" s="7">
        <v>297.37</v>
      </c>
      <c r="J162" s="7">
        <f t="shared" si="1"/>
        <v>233.07</v>
      </c>
      <c r="K162" s="7">
        <v>64.46</v>
      </c>
      <c r="L162" s="7">
        <f t="shared" si="2"/>
        <v>0.16</v>
      </c>
      <c r="M162" s="35">
        <f t="shared" si="3"/>
        <v>0.6864890376</v>
      </c>
      <c r="N162" s="36">
        <f t="shared" si="4"/>
        <v>686.4890376</v>
      </c>
      <c r="Q162" s="7" t="s">
        <v>363</v>
      </c>
      <c r="R162" s="16" t="s">
        <v>341</v>
      </c>
      <c r="S162" s="5"/>
    </row>
    <row r="163">
      <c r="A163" s="6" t="s">
        <v>391</v>
      </c>
      <c r="B163" s="25" t="s">
        <v>345</v>
      </c>
      <c r="C163" s="27">
        <v>44265.0</v>
      </c>
      <c r="D163" s="41">
        <v>0.0</v>
      </c>
      <c r="E163" s="25">
        <v>89.0</v>
      </c>
      <c r="F163" s="25">
        <v>64.29</v>
      </c>
      <c r="G163" s="25"/>
      <c r="H163" s="25"/>
      <c r="I163" s="25">
        <v>285.11</v>
      </c>
      <c r="J163" s="7">
        <f t="shared" si="1"/>
        <v>220.82</v>
      </c>
      <c r="K163" s="25">
        <v>64.36</v>
      </c>
      <c r="L163" s="7">
        <f t="shared" si="2"/>
        <v>0.07</v>
      </c>
      <c r="M163" s="35">
        <f t="shared" si="3"/>
        <v>0.3170002717</v>
      </c>
      <c r="N163" s="36">
        <f t="shared" si="4"/>
        <v>317.0002717</v>
      </c>
      <c r="Q163" s="25" t="s">
        <v>392</v>
      </c>
      <c r="R163" s="16" t="s">
        <v>341</v>
      </c>
      <c r="S163" s="5"/>
    </row>
    <row r="164">
      <c r="A164" s="7" t="s">
        <v>393</v>
      </c>
      <c r="B164" s="7" t="s">
        <v>349</v>
      </c>
      <c r="C164" s="53">
        <v>44494.0</v>
      </c>
      <c r="D164" s="54">
        <v>0.37083333333333335</v>
      </c>
      <c r="E164" s="7">
        <v>57.0</v>
      </c>
      <c r="F164" s="7">
        <v>64.16</v>
      </c>
      <c r="G164" s="7">
        <v>0.1</v>
      </c>
      <c r="H164" s="7">
        <f t="shared" ref="H164:H177" si="5">G164/(1000/J164)</f>
        <v>0.021755</v>
      </c>
      <c r="I164" s="7">
        <v>281.71</v>
      </c>
      <c r="J164" s="7">
        <f t="shared" si="1"/>
        <v>217.55</v>
      </c>
      <c r="K164" s="7">
        <v>64.53</v>
      </c>
      <c r="L164" s="7">
        <f t="shared" si="2"/>
        <v>0.37</v>
      </c>
      <c r="M164" s="35">
        <f t="shared" si="3"/>
        <v>1.700758446</v>
      </c>
      <c r="N164" s="7">
        <f t="shared" si="4"/>
        <v>1700.758446</v>
      </c>
      <c r="O164" s="7">
        <f t="shared" ref="O164:O177" si="6">N164-H164</f>
        <v>1700.736691</v>
      </c>
      <c r="Q164" s="7" t="s">
        <v>394</v>
      </c>
      <c r="R164" s="7" t="s">
        <v>395</v>
      </c>
    </row>
    <row r="165">
      <c r="A165" s="7" t="s">
        <v>396</v>
      </c>
      <c r="B165" s="7" t="s">
        <v>349</v>
      </c>
      <c r="C165" s="51">
        <v>44494.0</v>
      </c>
      <c r="D165" s="52">
        <v>0.4791666666666667</v>
      </c>
      <c r="E165" s="7">
        <v>39.0</v>
      </c>
      <c r="F165" s="7">
        <v>64.46</v>
      </c>
      <c r="G165" s="7">
        <v>0.1</v>
      </c>
      <c r="H165" s="7">
        <f t="shared" si="5"/>
        <v>0.022068</v>
      </c>
      <c r="I165" s="7">
        <v>285.14</v>
      </c>
      <c r="J165" s="7">
        <f t="shared" si="1"/>
        <v>220.68</v>
      </c>
      <c r="K165" s="7">
        <v>64.52</v>
      </c>
      <c r="L165" s="7">
        <f t="shared" si="2"/>
        <v>0.06</v>
      </c>
      <c r="M165" s="35">
        <f t="shared" si="3"/>
        <v>0.2718868951</v>
      </c>
      <c r="N165" s="7">
        <f t="shared" si="4"/>
        <v>271.8868951</v>
      </c>
      <c r="O165" s="7">
        <f t="shared" si="6"/>
        <v>271.8648271</v>
      </c>
      <c r="Q165" s="7" t="s">
        <v>397</v>
      </c>
      <c r="R165" s="7" t="s">
        <v>147</v>
      </c>
    </row>
    <row r="166">
      <c r="A166" s="7" t="s">
        <v>398</v>
      </c>
      <c r="B166" s="7" t="s">
        <v>399</v>
      </c>
      <c r="C166" s="53">
        <v>44509.0</v>
      </c>
      <c r="D166" s="54">
        <v>0.3958333333333333</v>
      </c>
      <c r="E166" s="7">
        <v>66.0</v>
      </c>
      <c r="F166" s="7">
        <v>64.24</v>
      </c>
      <c r="G166" s="7">
        <v>1.2</v>
      </c>
      <c r="H166" s="7">
        <f t="shared" si="5"/>
        <v>0.26304</v>
      </c>
      <c r="I166" s="7">
        <v>283.44</v>
      </c>
      <c r="J166" s="7">
        <f t="shared" si="1"/>
        <v>219.2</v>
      </c>
      <c r="K166" s="7">
        <v>64.92</v>
      </c>
      <c r="L166" s="7">
        <f t="shared" si="2"/>
        <v>0.68</v>
      </c>
      <c r="M166" s="35">
        <f t="shared" si="3"/>
        <v>3.102189781</v>
      </c>
      <c r="N166" s="7">
        <f t="shared" si="4"/>
        <v>3102.189781</v>
      </c>
      <c r="O166" s="7">
        <f t="shared" si="6"/>
        <v>3101.926741</v>
      </c>
      <c r="Q166" s="7" t="s">
        <v>400</v>
      </c>
      <c r="R166" s="7" t="s">
        <v>395</v>
      </c>
    </row>
    <row r="167">
      <c r="A167" s="7" t="s">
        <v>401</v>
      </c>
      <c r="B167" s="7" t="s">
        <v>349</v>
      </c>
      <c r="C167" s="58">
        <v>44544.0</v>
      </c>
      <c r="D167" s="52">
        <v>0.2916666666666667</v>
      </c>
      <c r="E167" s="7">
        <v>76.0</v>
      </c>
      <c r="F167" s="7">
        <v>64.31</v>
      </c>
      <c r="G167" s="7">
        <v>0.2</v>
      </c>
      <c r="H167" s="7">
        <f t="shared" si="5"/>
        <v>0.045692</v>
      </c>
      <c r="I167" s="7">
        <v>292.77</v>
      </c>
      <c r="J167" s="7">
        <f t="shared" si="1"/>
        <v>228.46</v>
      </c>
      <c r="K167" s="7">
        <v>64.39</v>
      </c>
      <c r="L167" s="7">
        <f t="shared" si="2"/>
        <v>0.08</v>
      </c>
      <c r="M167" s="35">
        <f t="shared" si="3"/>
        <v>0.3501707082</v>
      </c>
      <c r="N167" s="7">
        <f t="shared" si="4"/>
        <v>350.1707082</v>
      </c>
      <c r="O167" s="7">
        <f t="shared" si="6"/>
        <v>350.1250162</v>
      </c>
      <c r="Q167" s="7" t="s">
        <v>402</v>
      </c>
      <c r="R167" s="7" t="s">
        <v>147</v>
      </c>
    </row>
    <row r="168">
      <c r="A168" s="7" t="s">
        <v>403</v>
      </c>
      <c r="B168" s="7" t="s">
        <v>349</v>
      </c>
      <c r="C168" s="51">
        <v>44544.0</v>
      </c>
      <c r="D168" s="52">
        <v>0.3333333333333333</v>
      </c>
      <c r="E168" s="7">
        <v>77.0</v>
      </c>
      <c r="F168" s="7">
        <v>64.33</v>
      </c>
      <c r="G168" s="7">
        <v>0.2</v>
      </c>
      <c r="H168" s="7">
        <f t="shared" si="5"/>
        <v>0.045458</v>
      </c>
      <c r="I168" s="7">
        <v>291.62</v>
      </c>
      <c r="J168" s="7">
        <f t="shared" si="1"/>
        <v>227.29</v>
      </c>
      <c r="K168" s="7">
        <v>64.4</v>
      </c>
      <c r="L168" s="7">
        <f t="shared" si="2"/>
        <v>0.07</v>
      </c>
      <c r="M168" s="35">
        <f t="shared" si="3"/>
        <v>0.3079765938</v>
      </c>
      <c r="N168" s="7">
        <f t="shared" si="4"/>
        <v>307.9765938</v>
      </c>
      <c r="O168" s="7">
        <f t="shared" si="6"/>
        <v>307.9311358</v>
      </c>
      <c r="Q168" s="7" t="s">
        <v>402</v>
      </c>
      <c r="R168" s="7" t="s">
        <v>147</v>
      </c>
    </row>
    <row r="169">
      <c r="A169" s="7" t="s">
        <v>404</v>
      </c>
      <c r="B169" s="7" t="s">
        <v>349</v>
      </c>
      <c r="C169" s="58">
        <v>44544.0</v>
      </c>
      <c r="D169" s="52">
        <v>0.375</v>
      </c>
      <c r="E169" s="7">
        <v>80.0</v>
      </c>
      <c r="F169" s="7">
        <v>64.39</v>
      </c>
      <c r="G169" s="7">
        <v>0.1</v>
      </c>
      <c r="H169" s="7">
        <f t="shared" si="5"/>
        <v>0.021698</v>
      </c>
      <c r="I169" s="7">
        <v>281.37</v>
      </c>
      <c r="J169" s="7">
        <f t="shared" si="1"/>
        <v>216.98</v>
      </c>
      <c r="K169" s="7">
        <v>64.46</v>
      </c>
      <c r="L169" s="7">
        <f t="shared" si="2"/>
        <v>0.07</v>
      </c>
      <c r="M169" s="35">
        <f t="shared" si="3"/>
        <v>0.3226103788</v>
      </c>
      <c r="N169" s="7">
        <f t="shared" si="4"/>
        <v>322.6103788</v>
      </c>
      <c r="O169" s="7">
        <f t="shared" si="6"/>
        <v>322.5886808</v>
      </c>
      <c r="Q169" s="7" t="s">
        <v>402</v>
      </c>
      <c r="R169" s="7" t="s">
        <v>147</v>
      </c>
    </row>
    <row r="170">
      <c r="A170" s="7" t="s">
        <v>405</v>
      </c>
      <c r="B170" s="7" t="s">
        <v>349</v>
      </c>
      <c r="C170" s="51">
        <v>44544.0</v>
      </c>
      <c r="D170" s="52">
        <v>0.5</v>
      </c>
      <c r="E170" s="7">
        <v>81.0</v>
      </c>
      <c r="F170" s="7">
        <v>64.27</v>
      </c>
      <c r="G170" s="7">
        <v>0.1</v>
      </c>
      <c r="H170" s="7">
        <f t="shared" si="5"/>
        <v>0.022298</v>
      </c>
      <c r="I170" s="7">
        <v>287.25</v>
      </c>
      <c r="J170" s="7">
        <f t="shared" si="1"/>
        <v>222.98</v>
      </c>
      <c r="K170" s="7">
        <v>64.33</v>
      </c>
      <c r="L170" s="7">
        <f t="shared" si="2"/>
        <v>0.06</v>
      </c>
      <c r="M170" s="35">
        <f t="shared" si="3"/>
        <v>0.2690824289</v>
      </c>
      <c r="N170" s="7">
        <f t="shared" si="4"/>
        <v>269.0824289</v>
      </c>
      <c r="O170" s="7">
        <f t="shared" si="6"/>
        <v>269.0601309</v>
      </c>
      <c r="Q170" s="7" t="s">
        <v>402</v>
      </c>
      <c r="R170" s="7" t="s">
        <v>147</v>
      </c>
    </row>
    <row r="171">
      <c r="A171" s="7" t="s">
        <v>406</v>
      </c>
      <c r="B171" s="7" t="s">
        <v>349</v>
      </c>
      <c r="C171" s="51">
        <v>44553.0</v>
      </c>
      <c r="D171" s="52">
        <v>0.59375</v>
      </c>
      <c r="E171" s="7">
        <v>84.0</v>
      </c>
      <c r="F171" s="7">
        <v>64.25</v>
      </c>
      <c r="G171" s="7">
        <v>0.1</v>
      </c>
      <c r="H171" s="7">
        <f t="shared" si="5"/>
        <v>0.022459</v>
      </c>
      <c r="I171" s="7">
        <v>288.84</v>
      </c>
      <c r="J171" s="7">
        <f t="shared" si="1"/>
        <v>224.59</v>
      </c>
      <c r="K171" s="7">
        <v>64.37</v>
      </c>
      <c r="L171" s="7">
        <f t="shared" si="2"/>
        <v>0.12</v>
      </c>
      <c r="M171" s="35">
        <f t="shared" si="3"/>
        <v>0.5343069593</v>
      </c>
      <c r="N171" s="7">
        <f t="shared" si="4"/>
        <v>534.3069593</v>
      </c>
      <c r="O171" s="7">
        <f t="shared" si="6"/>
        <v>534.2845003</v>
      </c>
      <c r="Q171" s="7" t="s">
        <v>402</v>
      </c>
      <c r="R171" s="7" t="s">
        <v>147</v>
      </c>
    </row>
    <row r="172">
      <c r="A172" s="7" t="s">
        <v>407</v>
      </c>
      <c r="B172" s="7" t="s">
        <v>347</v>
      </c>
      <c r="C172" s="51">
        <v>44553.0</v>
      </c>
      <c r="D172" s="52">
        <v>0.6041666666666666</v>
      </c>
      <c r="E172" s="7">
        <v>61.0</v>
      </c>
      <c r="F172" s="7">
        <v>64.49</v>
      </c>
      <c r="G172" s="7">
        <v>0.2</v>
      </c>
      <c r="H172" s="7">
        <f t="shared" si="5"/>
        <v>0.046924</v>
      </c>
      <c r="I172" s="7">
        <v>299.11</v>
      </c>
      <c r="J172" s="7">
        <f t="shared" si="1"/>
        <v>234.62</v>
      </c>
      <c r="K172" s="7">
        <v>64.58</v>
      </c>
      <c r="L172" s="7">
        <f t="shared" si="2"/>
        <v>0.09</v>
      </c>
      <c r="M172" s="35">
        <f t="shared" si="3"/>
        <v>0.3835990112</v>
      </c>
      <c r="N172" s="7">
        <f t="shared" si="4"/>
        <v>383.5990112</v>
      </c>
      <c r="O172" s="7">
        <f t="shared" si="6"/>
        <v>383.5520872</v>
      </c>
      <c r="Q172" s="7" t="s">
        <v>397</v>
      </c>
      <c r="R172" s="7" t="s">
        <v>147</v>
      </c>
    </row>
    <row r="173">
      <c r="A173" s="7" t="s">
        <v>408</v>
      </c>
      <c r="B173" s="7" t="s">
        <v>355</v>
      </c>
      <c r="C173" s="51">
        <v>44553.0</v>
      </c>
      <c r="D173" s="52">
        <v>0.6145833333333334</v>
      </c>
      <c r="E173" s="7">
        <v>88.0</v>
      </c>
      <c r="F173" s="7">
        <v>64.23</v>
      </c>
      <c r="G173" s="7">
        <v>0.1</v>
      </c>
      <c r="H173" s="7">
        <f t="shared" si="5"/>
        <v>0.02316</v>
      </c>
      <c r="I173" s="7">
        <v>295.83</v>
      </c>
      <c r="J173" s="7">
        <f t="shared" si="1"/>
        <v>231.6</v>
      </c>
      <c r="K173" s="7">
        <v>64.26</v>
      </c>
      <c r="L173" s="7">
        <f t="shared" si="2"/>
        <v>0.03</v>
      </c>
      <c r="M173" s="35">
        <f t="shared" si="3"/>
        <v>0.1295336788</v>
      </c>
      <c r="N173" s="7">
        <f t="shared" si="4"/>
        <v>129.5336788</v>
      </c>
      <c r="O173" s="7">
        <f t="shared" si="6"/>
        <v>129.5105188</v>
      </c>
      <c r="Q173" s="7" t="s">
        <v>402</v>
      </c>
      <c r="R173" s="7" t="s">
        <v>147</v>
      </c>
    </row>
    <row r="174">
      <c r="A174" s="7" t="s">
        <v>409</v>
      </c>
      <c r="B174" s="5"/>
      <c r="C174" s="59"/>
      <c r="D174" s="57"/>
      <c r="E174" s="7">
        <v>72.0</v>
      </c>
      <c r="F174" s="7">
        <v>64.33</v>
      </c>
      <c r="G174" s="7">
        <v>0.1</v>
      </c>
      <c r="H174" s="7">
        <f t="shared" si="5"/>
        <v>0.021831</v>
      </c>
      <c r="I174" s="7">
        <v>282.64</v>
      </c>
      <c r="J174" s="7">
        <f t="shared" si="1"/>
        <v>218.31</v>
      </c>
      <c r="K174" s="7">
        <v>64.35</v>
      </c>
      <c r="L174" s="7">
        <f t="shared" si="2"/>
        <v>0.02</v>
      </c>
      <c r="M174" s="35">
        <f t="shared" si="3"/>
        <v>0.09161284412</v>
      </c>
      <c r="N174" s="7">
        <f t="shared" si="4"/>
        <v>91.61284412</v>
      </c>
      <c r="O174" s="7">
        <f t="shared" si="6"/>
        <v>91.59101312</v>
      </c>
      <c r="Q174" s="7" t="s">
        <v>410</v>
      </c>
      <c r="R174" s="7" t="s">
        <v>147</v>
      </c>
    </row>
    <row r="175">
      <c r="A175" s="7" t="s">
        <v>411</v>
      </c>
      <c r="B175" s="5"/>
      <c r="C175" s="20"/>
      <c r="D175" s="57"/>
      <c r="E175" s="7">
        <v>75.0</v>
      </c>
      <c r="F175" s="7">
        <v>64.12</v>
      </c>
      <c r="G175" s="7">
        <v>0.1</v>
      </c>
      <c r="H175" s="7">
        <f t="shared" si="5"/>
        <v>0.022044</v>
      </c>
      <c r="I175" s="7">
        <v>284.56</v>
      </c>
      <c r="J175" s="7">
        <f t="shared" si="1"/>
        <v>220.44</v>
      </c>
      <c r="K175" s="7">
        <v>64.14</v>
      </c>
      <c r="L175" s="7">
        <f t="shared" si="2"/>
        <v>0.02</v>
      </c>
      <c r="M175" s="35">
        <f t="shared" si="3"/>
        <v>0.09072763564</v>
      </c>
      <c r="N175" s="7">
        <f t="shared" si="4"/>
        <v>90.72763564</v>
      </c>
      <c r="O175" s="7">
        <f t="shared" si="6"/>
        <v>90.70559164</v>
      </c>
      <c r="Q175" s="7" t="s">
        <v>410</v>
      </c>
      <c r="R175" s="7" t="s">
        <v>147</v>
      </c>
    </row>
    <row r="176">
      <c r="A176" s="7" t="s">
        <v>412</v>
      </c>
      <c r="B176" s="5"/>
      <c r="C176" s="20"/>
      <c r="D176" s="57"/>
      <c r="E176" s="7">
        <v>93.0</v>
      </c>
      <c r="F176" s="7">
        <v>64.28</v>
      </c>
      <c r="G176" s="7">
        <v>0.1</v>
      </c>
      <c r="H176" s="7">
        <f t="shared" si="5"/>
        <v>0.022108</v>
      </c>
      <c r="I176" s="7">
        <v>285.36</v>
      </c>
      <c r="J176" s="7">
        <f t="shared" si="1"/>
        <v>221.08</v>
      </c>
      <c r="K176" s="7">
        <v>64.31</v>
      </c>
      <c r="L176" s="7">
        <f t="shared" si="2"/>
        <v>0.03</v>
      </c>
      <c r="M176" s="35">
        <f t="shared" si="3"/>
        <v>0.1356974851</v>
      </c>
      <c r="N176" s="7">
        <f t="shared" si="4"/>
        <v>135.6974851</v>
      </c>
      <c r="O176" s="7">
        <f t="shared" si="6"/>
        <v>135.6753771</v>
      </c>
      <c r="Q176" s="7" t="s">
        <v>410</v>
      </c>
      <c r="R176" s="7" t="s">
        <v>147</v>
      </c>
    </row>
    <row r="177">
      <c r="A177" s="7" t="s">
        <v>413</v>
      </c>
      <c r="B177" s="5"/>
      <c r="C177" s="5"/>
      <c r="D177" s="5"/>
      <c r="E177" s="7">
        <v>108.0</v>
      </c>
      <c r="F177" s="7">
        <v>64.29</v>
      </c>
      <c r="G177" s="7">
        <v>0.1</v>
      </c>
      <c r="H177" s="7">
        <f t="shared" si="5"/>
        <v>0.022463</v>
      </c>
      <c r="I177" s="7">
        <v>288.92</v>
      </c>
      <c r="J177" s="7">
        <f t="shared" si="1"/>
        <v>224.63</v>
      </c>
      <c r="K177" s="7">
        <v>64.33</v>
      </c>
      <c r="L177" s="7">
        <f t="shared" si="2"/>
        <v>0.04</v>
      </c>
      <c r="M177" s="35">
        <f t="shared" si="3"/>
        <v>0.178070605</v>
      </c>
      <c r="N177" s="7">
        <f t="shared" si="4"/>
        <v>178.070605</v>
      </c>
      <c r="O177" s="7">
        <f t="shared" si="6"/>
        <v>178.048142</v>
      </c>
      <c r="Q177" s="7" t="s">
        <v>410</v>
      </c>
      <c r="R177" s="7" t="s">
        <v>147</v>
      </c>
    </row>
    <row r="178">
      <c r="A178" s="16" t="s">
        <v>414</v>
      </c>
      <c r="B178" s="5"/>
      <c r="C178" s="5"/>
      <c r="D178" s="5"/>
      <c r="E178" s="7">
        <v>81.0</v>
      </c>
      <c r="F178" s="7">
        <v>64.27</v>
      </c>
      <c r="G178" s="7"/>
      <c r="H178" s="7"/>
      <c r="I178" s="7">
        <v>298.89</v>
      </c>
      <c r="J178" s="7">
        <f t="shared" si="1"/>
        <v>234.62</v>
      </c>
      <c r="K178" s="7">
        <v>64.73</v>
      </c>
      <c r="L178" s="7">
        <f t="shared" si="2"/>
        <v>0.46</v>
      </c>
      <c r="M178" s="35">
        <f t="shared" si="3"/>
        <v>1.960617168</v>
      </c>
      <c r="N178" s="36">
        <f t="shared" si="4"/>
        <v>1960.617168</v>
      </c>
      <c r="Q178" s="7" t="s">
        <v>363</v>
      </c>
      <c r="R178" s="16" t="s">
        <v>341</v>
      </c>
      <c r="S178" s="5"/>
    </row>
    <row r="179">
      <c r="A179" s="16" t="s">
        <v>415</v>
      </c>
      <c r="B179" s="5"/>
      <c r="C179" s="5"/>
      <c r="D179" s="5"/>
      <c r="E179" s="7">
        <v>88.0</v>
      </c>
      <c r="F179" s="7">
        <v>64.24</v>
      </c>
      <c r="G179" s="7"/>
      <c r="H179" s="7"/>
      <c r="I179" s="7">
        <v>287.65</v>
      </c>
      <c r="J179" s="7">
        <f t="shared" si="1"/>
        <v>223.41</v>
      </c>
      <c r="K179" s="7">
        <v>64.67</v>
      </c>
      <c r="L179" s="7">
        <f t="shared" si="2"/>
        <v>0.43</v>
      </c>
      <c r="M179" s="35">
        <f t="shared" si="3"/>
        <v>1.924712412</v>
      </c>
      <c r="N179" s="36">
        <f t="shared" si="4"/>
        <v>1924.712412</v>
      </c>
      <c r="Q179" s="7" t="s">
        <v>363</v>
      </c>
      <c r="R179" s="16" t="s">
        <v>341</v>
      </c>
      <c r="S179" s="5"/>
    </row>
    <row r="180">
      <c r="A180" s="6" t="s">
        <v>416</v>
      </c>
      <c r="B180" s="50" t="s">
        <v>343</v>
      </c>
      <c r="C180" s="51">
        <v>44192.0</v>
      </c>
      <c r="D180" s="52">
        <v>0.9583333333333334</v>
      </c>
      <c r="E180" s="25">
        <v>39.0</v>
      </c>
      <c r="F180" s="25">
        <v>64.46</v>
      </c>
      <c r="G180" s="25"/>
      <c r="H180" s="25"/>
      <c r="I180" s="25">
        <v>289.24</v>
      </c>
      <c r="J180" s="7">
        <f t="shared" si="1"/>
        <v>224.78</v>
      </c>
      <c r="K180" s="25">
        <v>64.78</v>
      </c>
      <c r="L180" s="7">
        <f t="shared" si="2"/>
        <v>0.32</v>
      </c>
      <c r="M180" s="35">
        <f t="shared" si="3"/>
        <v>1.423614201</v>
      </c>
      <c r="N180" s="36">
        <f t="shared" si="4"/>
        <v>1423.614201</v>
      </c>
      <c r="Q180" s="25" t="s">
        <v>340</v>
      </c>
      <c r="R180" s="16" t="s">
        <v>341</v>
      </c>
      <c r="S180" s="5"/>
    </row>
    <row r="181">
      <c r="A181" s="6" t="s">
        <v>417</v>
      </c>
      <c r="B181" s="50" t="s">
        <v>343</v>
      </c>
      <c r="C181" s="51">
        <v>44193.0</v>
      </c>
      <c r="D181" s="52">
        <v>0.0</v>
      </c>
      <c r="E181" s="25">
        <v>44.0</v>
      </c>
      <c r="F181" s="25">
        <v>64.43</v>
      </c>
      <c r="G181" s="25"/>
      <c r="H181" s="25"/>
      <c r="I181" s="25">
        <v>284.05</v>
      </c>
      <c r="J181" s="7">
        <f t="shared" si="1"/>
        <v>219.62</v>
      </c>
      <c r="K181" s="25">
        <v>64.62</v>
      </c>
      <c r="L181" s="7">
        <f t="shared" si="2"/>
        <v>0.19</v>
      </c>
      <c r="M181" s="35">
        <f t="shared" si="3"/>
        <v>0.8651306803</v>
      </c>
      <c r="N181" s="36">
        <f t="shared" si="4"/>
        <v>865.1306803</v>
      </c>
      <c r="Q181" s="25" t="s">
        <v>340</v>
      </c>
      <c r="R181" s="16" t="s">
        <v>341</v>
      </c>
      <c r="S181" s="5"/>
    </row>
    <row r="182">
      <c r="A182" s="6" t="s">
        <v>418</v>
      </c>
      <c r="B182" s="50" t="s">
        <v>343</v>
      </c>
      <c r="C182" s="51">
        <v>44193.0</v>
      </c>
      <c r="D182" s="52">
        <v>0.041666666666666664</v>
      </c>
      <c r="E182" s="25">
        <v>45.0</v>
      </c>
      <c r="F182" s="25">
        <v>64.27</v>
      </c>
      <c r="G182" s="25"/>
      <c r="H182" s="25"/>
      <c r="I182" s="25">
        <v>290.72</v>
      </c>
      <c r="J182" s="7">
        <f t="shared" si="1"/>
        <v>226.45</v>
      </c>
      <c r="K182" s="25">
        <v>64.43</v>
      </c>
      <c r="L182" s="7">
        <f t="shared" si="2"/>
        <v>0.16</v>
      </c>
      <c r="M182" s="35">
        <f t="shared" si="3"/>
        <v>0.706557739</v>
      </c>
      <c r="N182" s="36">
        <f t="shared" si="4"/>
        <v>706.557739</v>
      </c>
      <c r="Q182" s="25" t="s">
        <v>340</v>
      </c>
      <c r="R182" s="16" t="s">
        <v>341</v>
      </c>
      <c r="S182" s="5"/>
    </row>
    <row r="183">
      <c r="A183" s="6" t="s">
        <v>419</v>
      </c>
      <c r="B183" s="50" t="s">
        <v>343</v>
      </c>
      <c r="C183" s="51">
        <v>44193.0</v>
      </c>
      <c r="D183" s="52">
        <v>0.08333333333333333</v>
      </c>
      <c r="E183" s="25">
        <v>46.0</v>
      </c>
      <c r="F183" s="25">
        <v>64.47</v>
      </c>
      <c r="G183" s="25"/>
      <c r="H183" s="25"/>
      <c r="I183" s="25">
        <v>286.95</v>
      </c>
      <c r="J183" s="7">
        <f t="shared" si="1"/>
        <v>222.48</v>
      </c>
      <c r="K183" s="25">
        <v>64.62</v>
      </c>
      <c r="L183" s="7">
        <f t="shared" si="2"/>
        <v>0.15</v>
      </c>
      <c r="M183" s="35">
        <f t="shared" si="3"/>
        <v>0.6742179072</v>
      </c>
      <c r="N183" s="36">
        <f t="shared" si="4"/>
        <v>674.2179072</v>
      </c>
      <c r="Q183" s="25" t="s">
        <v>340</v>
      </c>
      <c r="R183" s="16" t="s">
        <v>341</v>
      </c>
      <c r="S183" s="5"/>
    </row>
    <row r="184">
      <c r="A184" s="6" t="s">
        <v>420</v>
      </c>
      <c r="B184" s="50" t="s">
        <v>343</v>
      </c>
      <c r="C184" s="51">
        <v>44193.0</v>
      </c>
      <c r="D184" s="52">
        <v>0.125</v>
      </c>
      <c r="E184" s="25">
        <v>50.0</v>
      </c>
      <c r="F184" s="25">
        <v>64.33</v>
      </c>
      <c r="G184" s="25"/>
      <c r="H184" s="25"/>
      <c r="I184" s="25">
        <v>288.63</v>
      </c>
      <c r="J184" s="7">
        <f t="shared" si="1"/>
        <v>224.3</v>
      </c>
      <c r="K184" s="25">
        <v>64.45</v>
      </c>
      <c r="L184" s="7">
        <f t="shared" si="2"/>
        <v>0.12</v>
      </c>
      <c r="M184" s="35">
        <f t="shared" si="3"/>
        <v>0.5349977708</v>
      </c>
      <c r="N184" s="36">
        <f t="shared" si="4"/>
        <v>534.9977708</v>
      </c>
      <c r="Q184" s="25" t="s">
        <v>340</v>
      </c>
      <c r="R184" s="16" t="s">
        <v>341</v>
      </c>
      <c r="S184" s="5"/>
    </row>
    <row r="185">
      <c r="A185" s="6" t="s">
        <v>421</v>
      </c>
      <c r="B185" s="50" t="s">
        <v>343</v>
      </c>
      <c r="C185" s="51">
        <v>44193.0</v>
      </c>
      <c r="D185" s="52">
        <v>0.16666666666666666</v>
      </c>
      <c r="E185" s="25">
        <v>53.0</v>
      </c>
      <c r="F185" s="25">
        <v>64.18</v>
      </c>
      <c r="G185" s="25"/>
      <c r="H185" s="25"/>
      <c r="I185" s="25">
        <v>286.52</v>
      </c>
      <c r="J185" s="7">
        <f t="shared" si="1"/>
        <v>222.34</v>
      </c>
      <c r="K185" s="25">
        <v>64.28</v>
      </c>
      <c r="L185" s="7">
        <f t="shared" si="2"/>
        <v>0.1</v>
      </c>
      <c r="M185" s="35">
        <f t="shared" si="3"/>
        <v>0.4497616263</v>
      </c>
      <c r="N185" s="36">
        <f t="shared" si="4"/>
        <v>449.7616263</v>
      </c>
      <c r="Q185" s="25" t="s">
        <v>340</v>
      </c>
      <c r="R185" s="16" t="s">
        <v>341</v>
      </c>
      <c r="S185" s="5"/>
    </row>
    <row r="186">
      <c r="A186" s="6" t="s">
        <v>422</v>
      </c>
      <c r="B186" s="50" t="s">
        <v>343</v>
      </c>
      <c r="C186" s="51">
        <v>44193.0</v>
      </c>
      <c r="D186" s="52">
        <v>0.20833333333333334</v>
      </c>
      <c r="E186" s="25">
        <v>52.0</v>
      </c>
      <c r="F186" s="25">
        <v>64.48</v>
      </c>
      <c r="G186" s="25"/>
      <c r="H186" s="25"/>
      <c r="I186" s="25">
        <v>288.76</v>
      </c>
      <c r="J186" s="7">
        <f t="shared" si="1"/>
        <v>224.28</v>
      </c>
      <c r="K186" s="25">
        <v>64.58</v>
      </c>
      <c r="L186" s="7">
        <f t="shared" si="2"/>
        <v>0.1</v>
      </c>
      <c r="M186" s="35">
        <f t="shared" si="3"/>
        <v>0.4458712324</v>
      </c>
      <c r="N186" s="36">
        <f t="shared" si="4"/>
        <v>445.8712324</v>
      </c>
      <c r="Q186" s="25" t="s">
        <v>340</v>
      </c>
      <c r="R186" s="16" t="s">
        <v>341</v>
      </c>
      <c r="S186" s="5"/>
    </row>
    <row r="187">
      <c r="A187" s="6" t="s">
        <v>423</v>
      </c>
      <c r="B187" s="7" t="s">
        <v>343</v>
      </c>
      <c r="C187" s="53">
        <v>44193.0</v>
      </c>
      <c r="D187" s="54">
        <v>0.25</v>
      </c>
      <c r="E187" s="7">
        <v>39.0</v>
      </c>
      <c r="F187" s="7">
        <v>64.46</v>
      </c>
      <c r="G187" s="7"/>
      <c r="H187" s="7"/>
      <c r="I187" s="7">
        <v>282.82</v>
      </c>
      <c r="J187" s="7">
        <f t="shared" si="1"/>
        <v>218.36</v>
      </c>
      <c r="K187" s="7">
        <v>64.58</v>
      </c>
      <c r="L187" s="7">
        <f t="shared" si="2"/>
        <v>0.12</v>
      </c>
      <c r="M187" s="35">
        <f t="shared" si="3"/>
        <v>0.5495511999</v>
      </c>
      <c r="N187" s="36">
        <f t="shared" si="4"/>
        <v>549.5511999</v>
      </c>
      <c r="Q187" s="7" t="s">
        <v>424</v>
      </c>
      <c r="R187" s="16" t="s">
        <v>341</v>
      </c>
      <c r="S187" s="5"/>
    </row>
    <row r="188">
      <c r="A188" s="6" t="s">
        <v>425</v>
      </c>
      <c r="B188" s="7" t="s">
        <v>347</v>
      </c>
      <c r="C188" s="53">
        <v>44193.0</v>
      </c>
      <c r="D188" s="41">
        <v>0.2916666666666667</v>
      </c>
      <c r="E188" s="25">
        <v>44.0</v>
      </c>
      <c r="F188" s="25">
        <v>64.44</v>
      </c>
      <c r="G188" s="25"/>
      <c r="H188" s="25"/>
      <c r="I188" s="25">
        <v>287.45</v>
      </c>
      <c r="J188" s="7">
        <f t="shared" si="1"/>
        <v>223.01</v>
      </c>
      <c r="K188" s="25">
        <v>64.57</v>
      </c>
      <c r="L188" s="7">
        <f t="shared" si="2"/>
        <v>0.13</v>
      </c>
      <c r="M188" s="35">
        <f t="shared" si="3"/>
        <v>0.5829335007</v>
      </c>
      <c r="N188" s="36">
        <f t="shared" si="4"/>
        <v>582.9335007</v>
      </c>
      <c r="Q188" s="7" t="s">
        <v>424</v>
      </c>
      <c r="R188" s="16" t="s">
        <v>341</v>
      </c>
      <c r="S188" s="5"/>
    </row>
    <row r="189">
      <c r="A189" s="6" t="s">
        <v>426</v>
      </c>
      <c r="B189" s="7" t="s">
        <v>343</v>
      </c>
      <c r="C189" s="53">
        <v>44193.0</v>
      </c>
      <c r="D189" s="54">
        <v>0.3333333333333333</v>
      </c>
      <c r="E189" s="25">
        <v>45.0</v>
      </c>
      <c r="F189" s="25">
        <v>64.28</v>
      </c>
      <c r="G189" s="25"/>
      <c r="H189" s="25"/>
      <c r="I189" s="25">
        <v>292.3</v>
      </c>
      <c r="J189" s="7">
        <f t="shared" si="1"/>
        <v>228.02</v>
      </c>
      <c r="K189" s="25">
        <v>64.41</v>
      </c>
      <c r="L189" s="7">
        <f t="shared" si="2"/>
        <v>0.13</v>
      </c>
      <c r="M189" s="35">
        <f t="shared" si="3"/>
        <v>0.5701254276</v>
      </c>
      <c r="N189" s="36">
        <f t="shared" si="4"/>
        <v>570.1254276</v>
      </c>
      <c r="Q189" s="7" t="s">
        <v>424</v>
      </c>
      <c r="R189" s="16" t="s">
        <v>341</v>
      </c>
      <c r="S189" s="5"/>
    </row>
    <row r="190">
      <c r="A190" s="6" t="s">
        <v>427</v>
      </c>
      <c r="B190" s="7" t="s">
        <v>347</v>
      </c>
      <c r="C190" s="53">
        <v>44193.0</v>
      </c>
      <c r="D190" s="41">
        <v>0.375</v>
      </c>
      <c r="E190" s="25">
        <v>46.0</v>
      </c>
      <c r="F190" s="25">
        <v>64.47</v>
      </c>
      <c r="G190" s="25"/>
      <c r="H190" s="25"/>
      <c r="I190" s="25">
        <v>289.88</v>
      </c>
      <c r="J190" s="7">
        <f t="shared" si="1"/>
        <v>225.41</v>
      </c>
      <c r="K190" s="25">
        <v>64.61</v>
      </c>
      <c r="L190" s="7">
        <f t="shared" si="2"/>
        <v>0.14</v>
      </c>
      <c r="M190" s="35">
        <f t="shared" si="3"/>
        <v>0.6210904574</v>
      </c>
      <c r="N190" s="36">
        <f t="shared" si="4"/>
        <v>621.0904574</v>
      </c>
      <c r="Q190" s="7" t="s">
        <v>424</v>
      </c>
      <c r="R190" s="16" t="s">
        <v>341</v>
      </c>
      <c r="S190" s="5"/>
    </row>
    <row r="191">
      <c r="A191" s="6" t="s">
        <v>428</v>
      </c>
      <c r="B191" s="7" t="s">
        <v>343</v>
      </c>
      <c r="C191" s="53">
        <v>44193.0</v>
      </c>
      <c r="D191" s="54">
        <v>0.4166666666666667</v>
      </c>
      <c r="E191" s="25">
        <v>50.0</v>
      </c>
      <c r="F191" s="25">
        <v>64.33</v>
      </c>
      <c r="G191" s="25"/>
      <c r="H191" s="25"/>
      <c r="I191" s="25">
        <v>290.61</v>
      </c>
      <c r="J191" s="7">
        <f t="shared" si="1"/>
        <v>226.28</v>
      </c>
      <c r="K191" s="25">
        <v>64.48</v>
      </c>
      <c r="L191" s="7">
        <f t="shared" si="2"/>
        <v>0.15</v>
      </c>
      <c r="M191" s="35">
        <f t="shared" si="3"/>
        <v>0.6628955277</v>
      </c>
      <c r="N191" s="36">
        <f t="shared" si="4"/>
        <v>662.8955277</v>
      </c>
      <c r="Q191" s="7" t="s">
        <v>424</v>
      </c>
      <c r="R191" s="16" t="s">
        <v>341</v>
      </c>
      <c r="S191" s="5"/>
    </row>
    <row r="192">
      <c r="A192" s="6" t="s">
        <v>429</v>
      </c>
      <c r="B192" s="7" t="s">
        <v>347</v>
      </c>
      <c r="C192" s="53">
        <v>44193.0</v>
      </c>
      <c r="D192" s="41">
        <v>0.4583333333333333</v>
      </c>
      <c r="E192" s="25">
        <v>52.0</v>
      </c>
      <c r="F192" s="25">
        <v>64.49</v>
      </c>
      <c r="G192" s="25"/>
      <c r="H192" s="25"/>
      <c r="I192" s="25">
        <v>290.08</v>
      </c>
      <c r="J192" s="7">
        <f t="shared" si="1"/>
        <v>225.59</v>
      </c>
      <c r="K192" s="25">
        <v>64.58</v>
      </c>
      <c r="L192" s="7">
        <f t="shared" si="2"/>
        <v>0.09</v>
      </c>
      <c r="M192" s="35">
        <f t="shared" si="3"/>
        <v>0.3989538543</v>
      </c>
      <c r="N192" s="36">
        <f t="shared" si="4"/>
        <v>398.9538543</v>
      </c>
      <c r="Q192" s="7" t="s">
        <v>424</v>
      </c>
      <c r="R192" s="16" t="s">
        <v>341</v>
      </c>
      <c r="S192" s="5"/>
    </row>
    <row r="193">
      <c r="A193" s="6" t="s">
        <v>430</v>
      </c>
      <c r="B193" s="7" t="s">
        <v>343</v>
      </c>
      <c r="C193" s="53">
        <v>44193.0</v>
      </c>
      <c r="D193" s="54">
        <v>0.5</v>
      </c>
      <c r="E193" s="25">
        <v>53.0</v>
      </c>
      <c r="F193" s="25">
        <v>64.19</v>
      </c>
      <c r="G193" s="25"/>
      <c r="H193" s="25"/>
      <c r="I193" s="25">
        <v>287.84</v>
      </c>
      <c r="J193" s="7">
        <f t="shared" si="1"/>
        <v>223.65</v>
      </c>
      <c r="K193" s="25">
        <v>64.24</v>
      </c>
      <c r="L193" s="7">
        <f t="shared" si="2"/>
        <v>0.05</v>
      </c>
      <c r="M193" s="35">
        <f t="shared" si="3"/>
        <v>0.2235636038</v>
      </c>
      <c r="N193" s="36">
        <f t="shared" si="4"/>
        <v>223.5636038</v>
      </c>
      <c r="Q193" s="7" t="s">
        <v>424</v>
      </c>
      <c r="R193" s="16" t="s">
        <v>341</v>
      </c>
      <c r="S193" s="5"/>
    </row>
    <row r="194">
      <c r="A194" s="6" t="s">
        <v>431</v>
      </c>
      <c r="B194" s="7" t="s">
        <v>347</v>
      </c>
      <c r="C194" s="53">
        <v>44193.0</v>
      </c>
      <c r="D194" s="41">
        <v>0.5416666666666666</v>
      </c>
      <c r="E194" s="25">
        <v>55.0</v>
      </c>
      <c r="F194" s="25">
        <v>64.22</v>
      </c>
      <c r="G194" s="25"/>
      <c r="H194" s="25"/>
      <c r="I194" s="25">
        <v>289.51</v>
      </c>
      <c r="J194" s="7">
        <f t="shared" si="1"/>
        <v>225.29</v>
      </c>
      <c r="K194" s="25">
        <v>64.28</v>
      </c>
      <c r="L194" s="7">
        <f t="shared" si="2"/>
        <v>0.06</v>
      </c>
      <c r="M194" s="35">
        <f t="shared" si="3"/>
        <v>0.2663234054</v>
      </c>
      <c r="N194" s="36">
        <f t="shared" si="4"/>
        <v>266.3234054</v>
      </c>
      <c r="Q194" s="7" t="s">
        <v>424</v>
      </c>
      <c r="R194" s="16" t="s">
        <v>341</v>
      </c>
      <c r="S194" s="5"/>
    </row>
    <row r="195">
      <c r="A195" s="6" t="s">
        <v>432</v>
      </c>
      <c r="B195" s="7" t="s">
        <v>343</v>
      </c>
      <c r="C195" s="53">
        <v>44193.0</v>
      </c>
      <c r="D195" s="54">
        <v>0.5833333333333334</v>
      </c>
      <c r="E195" s="25">
        <v>61.0</v>
      </c>
      <c r="F195" s="25">
        <v>64.5</v>
      </c>
      <c r="G195" s="25"/>
      <c r="H195" s="25"/>
      <c r="I195" s="25">
        <v>288.89</v>
      </c>
      <c r="J195" s="7">
        <f t="shared" si="1"/>
        <v>224.39</v>
      </c>
      <c r="K195" s="25">
        <v>64.57</v>
      </c>
      <c r="L195" s="7">
        <f t="shared" si="2"/>
        <v>0.07</v>
      </c>
      <c r="M195" s="35">
        <f t="shared" si="3"/>
        <v>0.3119568608</v>
      </c>
      <c r="N195" s="36">
        <f t="shared" si="4"/>
        <v>311.9568608</v>
      </c>
      <c r="Q195" s="7" t="s">
        <v>424</v>
      </c>
      <c r="R195" s="16" t="s">
        <v>341</v>
      </c>
      <c r="S195" s="5"/>
    </row>
    <row r="196">
      <c r="A196" s="6" t="s">
        <v>433</v>
      </c>
      <c r="B196" s="7" t="s">
        <v>343</v>
      </c>
      <c r="C196" s="53">
        <v>44193.0</v>
      </c>
      <c r="D196" s="54">
        <v>0.625</v>
      </c>
      <c r="E196" s="7">
        <v>88.0</v>
      </c>
      <c r="F196" s="7">
        <v>64.24</v>
      </c>
      <c r="G196" s="7"/>
      <c r="H196" s="7"/>
      <c r="I196" s="7">
        <v>289.91</v>
      </c>
      <c r="J196" s="7">
        <f t="shared" si="1"/>
        <v>225.67</v>
      </c>
      <c r="K196" s="7">
        <v>64.35</v>
      </c>
      <c r="L196" s="7">
        <f t="shared" si="2"/>
        <v>0.11</v>
      </c>
      <c r="M196" s="35">
        <f t="shared" si="3"/>
        <v>0.4874374086</v>
      </c>
      <c r="N196" s="36">
        <f t="shared" si="4"/>
        <v>487.4374086</v>
      </c>
      <c r="Q196" s="7" t="s">
        <v>359</v>
      </c>
      <c r="R196" s="16" t="s">
        <v>341</v>
      </c>
      <c r="S196" s="5"/>
    </row>
    <row r="197">
      <c r="A197" s="16" t="s">
        <v>434</v>
      </c>
      <c r="B197" s="7" t="s">
        <v>347</v>
      </c>
      <c r="C197" s="53">
        <v>44193.0</v>
      </c>
      <c r="D197" s="54">
        <v>0.6666666666666666</v>
      </c>
      <c r="E197" s="7">
        <v>93.0</v>
      </c>
      <c r="F197" s="7">
        <v>64.28</v>
      </c>
      <c r="G197" s="7"/>
      <c r="H197" s="7"/>
      <c r="I197" s="7">
        <v>273.35</v>
      </c>
      <c r="J197" s="7">
        <f t="shared" si="1"/>
        <v>209.07</v>
      </c>
      <c r="K197" s="7">
        <v>64.36</v>
      </c>
      <c r="L197" s="7">
        <f t="shared" si="2"/>
        <v>0.08</v>
      </c>
      <c r="M197" s="35">
        <f t="shared" si="3"/>
        <v>0.3826469603</v>
      </c>
      <c r="N197" s="36">
        <f t="shared" si="4"/>
        <v>382.6469603</v>
      </c>
      <c r="Q197" s="7" t="s">
        <v>359</v>
      </c>
      <c r="R197" s="16" t="s">
        <v>341</v>
      </c>
      <c r="S197" s="5"/>
    </row>
    <row r="198">
      <c r="A198" s="6" t="s">
        <v>435</v>
      </c>
      <c r="B198" s="7" t="s">
        <v>343</v>
      </c>
      <c r="C198" s="53">
        <v>44193.0</v>
      </c>
      <c r="D198" s="41">
        <v>0.7083333333333334</v>
      </c>
      <c r="E198" s="25">
        <v>62.0</v>
      </c>
      <c r="F198" s="25">
        <v>64.14</v>
      </c>
      <c r="G198" s="25"/>
      <c r="H198" s="25"/>
      <c r="I198" s="25">
        <v>291.43</v>
      </c>
      <c r="J198" s="7">
        <f t="shared" si="1"/>
        <v>227.29</v>
      </c>
      <c r="K198" s="25">
        <v>64.21</v>
      </c>
      <c r="L198" s="7">
        <f t="shared" si="2"/>
        <v>0.07</v>
      </c>
      <c r="M198" s="35">
        <f t="shared" si="3"/>
        <v>0.3079765938</v>
      </c>
      <c r="N198" s="36">
        <f t="shared" si="4"/>
        <v>307.9765938</v>
      </c>
      <c r="Q198" s="7" t="s">
        <v>424</v>
      </c>
      <c r="R198" s="16" t="s">
        <v>341</v>
      </c>
      <c r="S198" s="5"/>
    </row>
    <row r="199">
      <c r="A199" s="6" t="s">
        <v>436</v>
      </c>
      <c r="B199" s="7" t="s">
        <v>343</v>
      </c>
      <c r="C199" s="53">
        <v>44193.0</v>
      </c>
      <c r="D199" s="41">
        <v>0.75</v>
      </c>
      <c r="E199" s="25">
        <v>64.0</v>
      </c>
      <c r="F199" s="25">
        <v>64.28</v>
      </c>
      <c r="G199" s="25"/>
      <c r="H199" s="25"/>
      <c r="I199" s="25">
        <v>289.46</v>
      </c>
      <c r="J199" s="7">
        <f t="shared" si="1"/>
        <v>225.18</v>
      </c>
      <c r="K199" s="25">
        <v>64.37</v>
      </c>
      <c r="L199" s="7">
        <f t="shared" si="2"/>
        <v>0.09</v>
      </c>
      <c r="M199" s="35">
        <f t="shared" si="3"/>
        <v>0.3996802558</v>
      </c>
      <c r="N199" s="36">
        <f t="shared" si="4"/>
        <v>399.6802558</v>
      </c>
      <c r="Q199" s="7" t="s">
        <v>424</v>
      </c>
      <c r="R199" s="16" t="s">
        <v>341</v>
      </c>
      <c r="S199" s="5"/>
    </row>
    <row r="200">
      <c r="A200" s="6" t="s">
        <v>437</v>
      </c>
      <c r="B200" s="7" t="s">
        <v>343</v>
      </c>
      <c r="C200" s="53">
        <v>44193.0</v>
      </c>
      <c r="D200" s="41">
        <v>0.7916666666666666</v>
      </c>
      <c r="E200" s="25">
        <v>68.0</v>
      </c>
      <c r="F200" s="25">
        <v>64.05</v>
      </c>
      <c r="G200" s="25"/>
      <c r="H200" s="25"/>
      <c r="I200" s="25">
        <v>290.43</v>
      </c>
      <c r="J200" s="7">
        <f t="shared" si="1"/>
        <v>226.38</v>
      </c>
      <c r="K200" s="25">
        <v>64.14</v>
      </c>
      <c r="L200" s="7">
        <f t="shared" si="2"/>
        <v>0.09</v>
      </c>
      <c r="M200" s="35">
        <f t="shared" si="3"/>
        <v>0.3975616221</v>
      </c>
      <c r="N200" s="36">
        <f t="shared" si="4"/>
        <v>397.5616221</v>
      </c>
      <c r="Q200" s="7" t="s">
        <v>424</v>
      </c>
      <c r="R200" s="16" t="s">
        <v>341</v>
      </c>
      <c r="S200" s="5"/>
    </row>
    <row r="201">
      <c r="A201" s="6" t="s">
        <v>438</v>
      </c>
      <c r="B201" s="7" t="s">
        <v>343</v>
      </c>
      <c r="C201" s="53">
        <v>44193.0</v>
      </c>
      <c r="D201" s="41">
        <v>0.8333333333333334</v>
      </c>
      <c r="E201" s="25">
        <v>69.0</v>
      </c>
      <c r="F201" s="25">
        <v>64.49</v>
      </c>
      <c r="G201" s="25"/>
      <c r="H201" s="25"/>
      <c r="I201" s="25">
        <v>292.38</v>
      </c>
      <c r="J201" s="7">
        <f t="shared" si="1"/>
        <v>227.89</v>
      </c>
      <c r="K201" s="25">
        <v>64.62</v>
      </c>
      <c r="L201" s="7">
        <f t="shared" si="2"/>
        <v>0.13</v>
      </c>
      <c r="M201" s="35">
        <f t="shared" si="3"/>
        <v>0.570450656</v>
      </c>
      <c r="N201" s="36">
        <f t="shared" si="4"/>
        <v>570.450656</v>
      </c>
      <c r="Q201" s="7" t="s">
        <v>424</v>
      </c>
      <c r="R201" s="16" t="s">
        <v>341</v>
      </c>
      <c r="S201" s="5"/>
    </row>
    <row r="202">
      <c r="A202" s="16" t="s">
        <v>439</v>
      </c>
      <c r="B202" s="5"/>
      <c r="C202" s="5"/>
      <c r="D202" s="5"/>
      <c r="E202" s="7">
        <v>37.0</v>
      </c>
      <c r="F202" s="7">
        <v>64.44</v>
      </c>
      <c r="G202" s="7"/>
      <c r="H202" s="7"/>
      <c r="I202" s="7">
        <v>291.87</v>
      </c>
      <c r="J202" s="7">
        <f t="shared" si="1"/>
        <v>227.43</v>
      </c>
      <c r="K202" s="7">
        <v>64.55</v>
      </c>
      <c r="L202" s="7">
        <f t="shared" si="2"/>
        <v>0.11</v>
      </c>
      <c r="M202" s="35">
        <f t="shared" si="3"/>
        <v>0.4836653036</v>
      </c>
      <c r="N202" s="36">
        <f t="shared" si="4"/>
        <v>483.6653036</v>
      </c>
      <c r="Q202" s="25" t="s">
        <v>440</v>
      </c>
      <c r="R202" s="16" t="s">
        <v>341</v>
      </c>
      <c r="S202" s="5"/>
    </row>
    <row r="203">
      <c r="A203" s="5" t="s">
        <v>441</v>
      </c>
      <c r="B203" s="25" t="s">
        <v>343</v>
      </c>
      <c r="C203" s="28">
        <v>44223.0</v>
      </c>
      <c r="D203" s="41">
        <v>0.3333333333333333</v>
      </c>
      <c r="E203" s="25">
        <v>67.0</v>
      </c>
      <c r="F203" s="25">
        <v>64.41</v>
      </c>
      <c r="G203" s="25"/>
      <c r="H203" s="25"/>
      <c r="I203" s="25">
        <v>292.03</v>
      </c>
      <c r="J203" s="7">
        <f t="shared" si="1"/>
        <v>227.62</v>
      </c>
      <c r="K203" s="25">
        <v>64.46</v>
      </c>
      <c r="L203" s="7">
        <f t="shared" si="2"/>
        <v>0.05</v>
      </c>
      <c r="M203" s="35">
        <f t="shared" si="3"/>
        <v>0.2196643529</v>
      </c>
      <c r="N203" s="36">
        <f t="shared" si="4"/>
        <v>219.6643529</v>
      </c>
      <c r="Q203" s="25" t="s">
        <v>392</v>
      </c>
      <c r="R203" s="16" t="s">
        <v>341</v>
      </c>
      <c r="S203" s="5"/>
    </row>
    <row r="204">
      <c r="A204" s="5" t="s">
        <v>442</v>
      </c>
      <c r="B204" s="25" t="s">
        <v>343</v>
      </c>
      <c r="C204" s="28">
        <v>44223.0</v>
      </c>
      <c r="D204" s="41">
        <v>0.4583333333333333</v>
      </c>
      <c r="E204" s="25">
        <v>61.0</v>
      </c>
      <c r="F204" s="25">
        <v>64.49</v>
      </c>
      <c r="G204" s="25"/>
      <c r="H204" s="25"/>
      <c r="I204" s="25">
        <v>281.68</v>
      </c>
      <c r="J204" s="7">
        <f t="shared" si="1"/>
        <v>217.19</v>
      </c>
      <c r="K204" s="25">
        <v>64.55</v>
      </c>
      <c r="L204" s="7">
        <f t="shared" si="2"/>
        <v>0.06</v>
      </c>
      <c r="M204" s="35">
        <f t="shared" si="3"/>
        <v>0.2762558129</v>
      </c>
      <c r="N204" s="36">
        <f t="shared" si="4"/>
        <v>276.2558129</v>
      </c>
      <c r="Q204" s="25" t="s">
        <v>392</v>
      </c>
      <c r="R204" s="16" t="s">
        <v>341</v>
      </c>
      <c r="S204" s="5"/>
    </row>
    <row r="205">
      <c r="A205" s="5" t="s">
        <v>443</v>
      </c>
      <c r="B205" s="5"/>
      <c r="C205" s="20"/>
      <c r="D205" s="57"/>
      <c r="E205" s="25">
        <v>45.0</v>
      </c>
      <c r="F205" s="25">
        <v>64.27</v>
      </c>
      <c r="G205" s="25"/>
      <c r="H205" s="25"/>
      <c r="I205" s="25">
        <v>295.53</v>
      </c>
      <c r="J205" s="7">
        <f t="shared" si="1"/>
        <v>231.26</v>
      </c>
      <c r="K205" s="25">
        <v>64.33</v>
      </c>
      <c r="L205" s="7">
        <f t="shared" si="2"/>
        <v>0.06</v>
      </c>
      <c r="M205" s="35">
        <f t="shared" si="3"/>
        <v>0.2594482401</v>
      </c>
      <c r="N205" s="36">
        <f t="shared" si="4"/>
        <v>259.4482401</v>
      </c>
      <c r="Q205" s="25" t="s">
        <v>392</v>
      </c>
      <c r="R205" s="16" t="s">
        <v>341</v>
      </c>
      <c r="S205" s="5"/>
    </row>
    <row r="206">
      <c r="A206" s="16" t="s">
        <v>444</v>
      </c>
      <c r="B206" s="5"/>
      <c r="C206" s="5"/>
      <c r="D206" s="5"/>
      <c r="E206" s="7">
        <v>55.0</v>
      </c>
      <c r="F206" s="7">
        <v>64.22</v>
      </c>
      <c r="G206" s="7"/>
      <c r="H206" s="7"/>
      <c r="I206" s="7">
        <v>295.63</v>
      </c>
      <c r="J206" s="7">
        <f t="shared" si="1"/>
        <v>231.41</v>
      </c>
      <c r="K206" s="7">
        <v>64.29</v>
      </c>
      <c r="L206" s="7">
        <f t="shared" si="2"/>
        <v>0.07</v>
      </c>
      <c r="M206" s="35">
        <f t="shared" si="3"/>
        <v>0.30249341</v>
      </c>
      <c r="N206" s="36">
        <f t="shared" si="4"/>
        <v>302.49341</v>
      </c>
      <c r="Q206" s="25" t="s">
        <v>440</v>
      </c>
      <c r="R206" s="16" t="s">
        <v>341</v>
      </c>
      <c r="S206" s="5"/>
    </row>
    <row r="207">
      <c r="A207" s="6" t="s">
        <v>445</v>
      </c>
      <c r="B207" s="25" t="s">
        <v>343</v>
      </c>
      <c r="C207" s="17">
        <v>44224.0</v>
      </c>
      <c r="D207" s="41">
        <v>0.5833333333333334</v>
      </c>
      <c r="E207" s="25">
        <v>70.0</v>
      </c>
      <c r="F207" s="25">
        <v>64.08</v>
      </c>
      <c r="G207" s="25"/>
      <c r="H207" s="25"/>
      <c r="I207" s="25">
        <v>287.34</v>
      </c>
      <c r="J207" s="7">
        <f t="shared" si="1"/>
        <v>223.26</v>
      </c>
      <c r="K207" s="25">
        <v>64.24</v>
      </c>
      <c r="L207" s="7">
        <f t="shared" si="2"/>
        <v>0.16</v>
      </c>
      <c r="M207" s="35">
        <f t="shared" si="3"/>
        <v>0.7166532294</v>
      </c>
      <c r="N207" s="36">
        <f t="shared" si="4"/>
        <v>716.6532294</v>
      </c>
      <c r="Q207" s="7" t="s">
        <v>424</v>
      </c>
      <c r="R207" s="16" t="s">
        <v>341</v>
      </c>
      <c r="S207" s="5"/>
    </row>
    <row r="208">
      <c r="A208" s="6" t="s">
        <v>446</v>
      </c>
      <c r="B208" s="25" t="s">
        <v>343</v>
      </c>
      <c r="C208" s="17">
        <v>44224.0</v>
      </c>
      <c r="D208" s="41">
        <v>0.6458333333333334</v>
      </c>
      <c r="E208" s="25">
        <v>78.0</v>
      </c>
      <c r="F208" s="25">
        <v>64.28</v>
      </c>
      <c r="G208" s="25"/>
      <c r="H208" s="25"/>
      <c r="I208" s="25">
        <v>288.86</v>
      </c>
      <c r="J208" s="7">
        <f t="shared" si="1"/>
        <v>224.58</v>
      </c>
      <c r="K208" s="25">
        <v>64.41</v>
      </c>
      <c r="L208" s="7">
        <f t="shared" si="2"/>
        <v>0.13</v>
      </c>
      <c r="M208" s="35">
        <f t="shared" si="3"/>
        <v>0.5788583133</v>
      </c>
      <c r="N208" s="36">
        <f t="shared" si="4"/>
        <v>578.8583133</v>
      </c>
      <c r="Q208" s="7" t="s">
        <v>424</v>
      </c>
      <c r="R208" s="16" t="s">
        <v>341</v>
      </c>
      <c r="S208" s="5"/>
    </row>
    <row r="209">
      <c r="A209" s="6" t="s">
        <v>447</v>
      </c>
      <c r="B209" s="25" t="s">
        <v>343</v>
      </c>
      <c r="C209" s="17">
        <v>44224.0</v>
      </c>
      <c r="D209" s="41">
        <v>0.7083333333333334</v>
      </c>
      <c r="E209" s="25">
        <v>89.0</v>
      </c>
      <c r="F209" s="25">
        <v>64.29</v>
      </c>
      <c r="G209" s="25"/>
      <c r="H209" s="25"/>
      <c r="I209" s="25">
        <v>288.55</v>
      </c>
      <c r="J209" s="7">
        <f t="shared" si="1"/>
        <v>224.26</v>
      </c>
      <c r="K209" s="25">
        <v>64.39</v>
      </c>
      <c r="L209" s="7">
        <f t="shared" si="2"/>
        <v>0.1</v>
      </c>
      <c r="M209" s="35">
        <f t="shared" si="3"/>
        <v>0.4459109962</v>
      </c>
      <c r="N209" s="36">
        <f t="shared" si="4"/>
        <v>445.9109962</v>
      </c>
      <c r="Q209" s="7" t="s">
        <v>424</v>
      </c>
      <c r="R209" s="16" t="s">
        <v>341</v>
      </c>
      <c r="S209" s="5"/>
    </row>
    <row r="210">
      <c r="A210" s="5" t="s">
        <v>448</v>
      </c>
      <c r="B210" s="5"/>
      <c r="C210" s="59"/>
      <c r="D210" s="57"/>
      <c r="E210" s="25">
        <v>39.0</v>
      </c>
      <c r="F210" s="25">
        <v>64.47</v>
      </c>
      <c r="G210" s="25"/>
      <c r="H210" s="25"/>
      <c r="I210" s="25">
        <v>276.93</v>
      </c>
      <c r="J210" s="7">
        <f t="shared" si="1"/>
        <v>212.46</v>
      </c>
      <c r="K210" s="25">
        <v>64.55</v>
      </c>
      <c r="L210" s="7">
        <f t="shared" si="2"/>
        <v>0.08</v>
      </c>
      <c r="M210" s="35">
        <f t="shared" si="3"/>
        <v>0.3765414666</v>
      </c>
      <c r="N210" s="36">
        <f t="shared" si="4"/>
        <v>376.5414666</v>
      </c>
      <c r="Q210" s="25" t="s">
        <v>392</v>
      </c>
      <c r="R210" s="16" t="s">
        <v>341</v>
      </c>
      <c r="S210" s="5"/>
    </row>
    <row r="211">
      <c r="A211" s="6" t="s">
        <v>449</v>
      </c>
      <c r="B211" s="5"/>
      <c r="C211" s="20"/>
      <c r="D211" s="57"/>
      <c r="E211" s="25">
        <v>78.0</v>
      </c>
      <c r="F211" s="25">
        <v>64.27</v>
      </c>
      <c r="G211" s="25"/>
      <c r="H211" s="25"/>
      <c r="I211" s="25">
        <v>294.28</v>
      </c>
      <c r="J211" s="7">
        <f t="shared" si="1"/>
        <v>230.01</v>
      </c>
      <c r="K211" s="25">
        <v>64.41</v>
      </c>
      <c r="L211" s="7">
        <f t="shared" si="2"/>
        <v>0.14</v>
      </c>
      <c r="M211" s="35">
        <f t="shared" si="3"/>
        <v>0.6086691883</v>
      </c>
      <c r="N211" s="36">
        <f t="shared" si="4"/>
        <v>608.6691883</v>
      </c>
      <c r="Q211" s="25" t="s">
        <v>392</v>
      </c>
      <c r="R211" s="16" t="s">
        <v>341</v>
      </c>
      <c r="S211" s="5"/>
    </row>
    <row r="212">
      <c r="A212" s="16" t="s">
        <v>450</v>
      </c>
      <c r="B212" s="5"/>
      <c r="C212" s="5"/>
      <c r="D212" s="5"/>
      <c r="E212" s="7">
        <v>50.0</v>
      </c>
      <c r="F212" s="7">
        <v>64.32</v>
      </c>
      <c r="G212" s="7"/>
      <c r="H212" s="7"/>
      <c r="I212" s="7">
        <v>286.95</v>
      </c>
      <c r="J212" s="7">
        <f t="shared" si="1"/>
        <v>222.63</v>
      </c>
      <c r="K212" s="7">
        <v>64.4</v>
      </c>
      <c r="L212" s="7">
        <f t="shared" si="2"/>
        <v>0.08</v>
      </c>
      <c r="M212" s="35">
        <f t="shared" si="3"/>
        <v>0.35934061</v>
      </c>
      <c r="N212" s="36">
        <f t="shared" si="4"/>
        <v>359.34061</v>
      </c>
      <c r="Q212" s="25" t="s">
        <v>440</v>
      </c>
      <c r="R212" s="16" t="s">
        <v>341</v>
      </c>
      <c r="S212" s="5"/>
    </row>
    <row r="213">
      <c r="A213" s="16" t="s">
        <v>451</v>
      </c>
      <c r="B213" s="5"/>
      <c r="C213" s="20"/>
      <c r="D213" s="57"/>
      <c r="E213" s="25">
        <v>58.0</v>
      </c>
      <c r="F213" s="25">
        <v>64.33</v>
      </c>
      <c r="G213" s="25"/>
      <c r="H213" s="25"/>
      <c r="I213" s="25">
        <v>292.17</v>
      </c>
      <c r="J213" s="7">
        <f t="shared" si="1"/>
        <v>227.84</v>
      </c>
      <c r="K213" s="25">
        <v>64.37</v>
      </c>
      <c r="L213" s="7">
        <f t="shared" si="2"/>
        <v>0.04</v>
      </c>
      <c r="M213" s="35">
        <f t="shared" si="3"/>
        <v>0.1755617978</v>
      </c>
      <c r="N213" s="36">
        <f t="shared" si="4"/>
        <v>175.5617978</v>
      </c>
      <c r="Q213" s="25" t="s">
        <v>440</v>
      </c>
      <c r="R213" s="16" t="s">
        <v>341</v>
      </c>
      <c r="S213" s="5"/>
    </row>
    <row r="214">
      <c r="A214" s="16" t="s">
        <v>452</v>
      </c>
      <c r="B214" s="5"/>
      <c r="C214" s="5"/>
      <c r="D214" s="5"/>
      <c r="E214" s="7">
        <v>76.0</v>
      </c>
      <c r="F214" s="7">
        <v>64.3</v>
      </c>
      <c r="G214" s="7"/>
      <c r="H214" s="7"/>
      <c r="I214" s="7">
        <v>293.79</v>
      </c>
      <c r="J214" s="7">
        <f t="shared" si="1"/>
        <v>229.49</v>
      </c>
      <c r="K214" s="7">
        <v>64.31</v>
      </c>
      <c r="L214" s="7">
        <f t="shared" si="2"/>
        <v>0.01</v>
      </c>
      <c r="M214" s="35">
        <f t="shared" si="3"/>
        <v>0.04357488344</v>
      </c>
      <c r="N214" s="36">
        <f t="shared" si="4"/>
        <v>43.57488344</v>
      </c>
      <c r="Q214" s="25" t="s">
        <v>440</v>
      </c>
      <c r="R214" s="16" t="s">
        <v>341</v>
      </c>
      <c r="S214" s="5"/>
    </row>
    <row r="215">
      <c r="A215" s="5" t="s">
        <v>453</v>
      </c>
      <c r="B215" s="5"/>
      <c r="C215" s="20"/>
      <c r="D215" s="57"/>
      <c r="E215" s="25">
        <v>49.0</v>
      </c>
      <c r="F215" s="25">
        <v>64.37</v>
      </c>
      <c r="G215" s="25"/>
      <c r="H215" s="25"/>
      <c r="I215" s="25">
        <v>289.27</v>
      </c>
      <c r="J215" s="7">
        <f t="shared" si="1"/>
        <v>224.9</v>
      </c>
      <c r="K215" s="25">
        <v>64.4</v>
      </c>
      <c r="L215" s="7">
        <f t="shared" si="2"/>
        <v>0.03</v>
      </c>
      <c r="M215" s="35">
        <f t="shared" si="3"/>
        <v>0.1333926189</v>
      </c>
      <c r="N215" s="36">
        <f t="shared" si="4"/>
        <v>133.3926189</v>
      </c>
      <c r="Q215" s="25" t="s">
        <v>392</v>
      </c>
      <c r="R215" s="16" t="s">
        <v>341</v>
      </c>
      <c r="S215" s="5"/>
    </row>
    <row r="216">
      <c r="A216" s="16" t="s">
        <v>454</v>
      </c>
      <c r="B216" s="5"/>
      <c r="C216" s="5"/>
      <c r="D216" s="5"/>
      <c r="E216" s="7">
        <v>66.0</v>
      </c>
      <c r="F216" s="7">
        <v>64.24</v>
      </c>
      <c r="G216" s="7"/>
      <c r="H216" s="7"/>
      <c r="I216" s="7">
        <v>295.72</v>
      </c>
      <c r="J216" s="7">
        <f t="shared" si="1"/>
        <v>231.48</v>
      </c>
      <c r="K216" s="7">
        <v>64.25</v>
      </c>
      <c r="L216" s="7">
        <f t="shared" si="2"/>
        <v>0.01</v>
      </c>
      <c r="M216" s="35">
        <f t="shared" si="3"/>
        <v>0.04320027648</v>
      </c>
      <c r="N216" s="36">
        <f t="shared" si="4"/>
        <v>43.20027648</v>
      </c>
      <c r="Q216" s="25" t="s">
        <v>440</v>
      </c>
      <c r="R216" s="16" t="s">
        <v>341</v>
      </c>
      <c r="S216" s="5"/>
    </row>
    <row r="217">
      <c r="A217" s="16" t="s">
        <v>455</v>
      </c>
      <c r="B217" s="5"/>
      <c r="C217" s="5"/>
      <c r="D217" s="5"/>
      <c r="E217" s="7">
        <v>81.0</v>
      </c>
      <c r="F217" s="7">
        <v>64.27</v>
      </c>
      <c r="G217" s="7"/>
      <c r="H217" s="7"/>
      <c r="I217" s="7">
        <v>289.61</v>
      </c>
      <c r="J217" s="7">
        <f t="shared" si="1"/>
        <v>225.34</v>
      </c>
      <c r="K217" s="7">
        <v>64.31</v>
      </c>
      <c r="L217" s="7">
        <f t="shared" si="2"/>
        <v>0.04</v>
      </c>
      <c r="M217" s="35">
        <f t="shared" si="3"/>
        <v>0.1775095411</v>
      </c>
      <c r="N217" s="36">
        <f t="shared" si="4"/>
        <v>177.5095411</v>
      </c>
      <c r="Q217" s="25" t="s">
        <v>440</v>
      </c>
      <c r="R217" s="16" t="s">
        <v>341</v>
      </c>
      <c r="S217" s="5"/>
    </row>
    <row r="218">
      <c r="A218" s="6" t="s">
        <v>456</v>
      </c>
      <c r="B218" s="5"/>
      <c r="C218" s="21"/>
      <c r="D218" s="57"/>
      <c r="E218" s="25">
        <v>71.0</v>
      </c>
      <c r="F218" s="25">
        <v>64.1</v>
      </c>
      <c r="G218" s="25"/>
      <c r="H218" s="25"/>
      <c r="I218" s="25">
        <v>287.52</v>
      </c>
      <c r="J218" s="7">
        <f t="shared" si="1"/>
        <v>223.42</v>
      </c>
      <c r="K218" s="25">
        <v>64.14</v>
      </c>
      <c r="L218" s="7">
        <f t="shared" si="2"/>
        <v>0.04</v>
      </c>
      <c r="M218" s="35">
        <f t="shared" si="3"/>
        <v>0.1790350013</v>
      </c>
      <c r="N218" s="36">
        <f t="shared" si="4"/>
        <v>179.0350013</v>
      </c>
      <c r="Q218" s="25" t="s">
        <v>392</v>
      </c>
      <c r="R218" s="16" t="s">
        <v>341</v>
      </c>
      <c r="S218" s="5"/>
    </row>
    <row r="219">
      <c r="A219" s="6" t="s">
        <v>457</v>
      </c>
      <c r="B219" s="5"/>
      <c r="C219" s="20"/>
      <c r="D219" s="57"/>
      <c r="E219" s="25">
        <v>70.0</v>
      </c>
      <c r="F219" s="25">
        <v>64.08</v>
      </c>
      <c r="G219" s="25"/>
      <c r="H219" s="25"/>
      <c r="I219" s="25">
        <v>292.21</v>
      </c>
      <c r="J219" s="7">
        <f t="shared" si="1"/>
        <v>228.13</v>
      </c>
      <c r="K219" s="25">
        <v>64.11</v>
      </c>
      <c r="L219" s="7">
        <f t="shared" si="2"/>
        <v>0.03</v>
      </c>
      <c r="M219" s="35">
        <f t="shared" si="3"/>
        <v>0.131503967</v>
      </c>
      <c r="N219" s="36">
        <f t="shared" si="4"/>
        <v>131.503967</v>
      </c>
      <c r="Q219" s="25" t="s">
        <v>392</v>
      </c>
      <c r="R219" s="16" t="s">
        <v>341</v>
      </c>
      <c r="S219" s="5"/>
    </row>
    <row r="220">
      <c r="A220" s="6" t="s">
        <v>458</v>
      </c>
      <c r="B220" s="5"/>
      <c r="C220" s="59"/>
      <c r="D220" s="57"/>
      <c r="E220" s="25">
        <v>52.0</v>
      </c>
      <c r="F220" s="25">
        <v>64.48</v>
      </c>
      <c r="G220" s="25"/>
      <c r="H220" s="25"/>
      <c r="I220" s="25">
        <v>285.91</v>
      </c>
      <c r="J220" s="7">
        <f t="shared" si="1"/>
        <v>221.43</v>
      </c>
      <c r="K220" s="25">
        <v>64.53</v>
      </c>
      <c r="L220" s="7">
        <f t="shared" si="2"/>
        <v>0.05</v>
      </c>
      <c r="M220" s="35">
        <f t="shared" si="3"/>
        <v>0.2258049948</v>
      </c>
      <c r="N220" s="36">
        <f t="shared" si="4"/>
        <v>225.8049948</v>
      </c>
      <c r="Q220" s="25" t="s">
        <v>392</v>
      </c>
      <c r="R220" s="16" t="s">
        <v>341</v>
      </c>
      <c r="S220" s="5"/>
    </row>
    <row r="221">
      <c r="A221" s="6" t="s">
        <v>459</v>
      </c>
      <c r="B221" s="5"/>
      <c r="C221" s="20"/>
      <c r="D221" s="57"/>
      <c r="E221" s="25">
        <v>62.0</v>
      </c>
      <c r="F221" s="25">
        <v>64.14</v>
      </c>
      <c r="G221" s="25"/>
      <c r="H221" s="25"/>
      <c r="I221" s="25">
        <v>296.62</v>
      </c>
      <c r="J221" s="7">
        <f t="shared" si="1"/>
        <v>232.48</v>
      </c>
      <c r="K221" s="25">
        <v>64.18</v>
      </c>
      <c r="L221" s="7">
        <f t="shared" si="2"/>
        <v>0.04</v>
      </c>
      <c r="M221" s="35">
        <f t="shared" si="3"/>
        <v>0.1720578114</v>
      </c>
      <c r="N221" s="36">
        <f t="shared" si="4"/>
        <v>172.0578114</v>
      </c>
      <c r="Q221" s="25" t="s">
        <v>392</v>
      </c>
      <c r="R221" s="16" t="s">
        <v>341</v>
      </c>
      <c r="S221" s="5"/>
    </row>
    <row r="222">
      <c r="A222" s="6" t="s">
        <v>460</v>
      </c>
      <c r="B222" s="5"/>
      <c r="C222" s="20"/>
      <c r="D222" s="57"/>
      <c r="E222" s="25">
        <v>88.0</v>
      </c>
      <c r="F222" s="25">
        <v>64.24</v>
      </c>
      <c r="G222" s="25"/>
      <c r="H222" s="25"/>
      <c r="I222" s="25">
        <v>292.48</v>
      </c>
      <c r="J222" s="7">
        <f t="shared" si="1"/>
        <v>228.24</v>
      </c>
      <c r="K222" s="25">
        <v>64.26</v>
      </c>
      <c r="L222" s="7">
        <f t="shared" si="2"/>
        <v>0.02</v>
      </c>
      <c r="M222" s="35">
        <f t="shared" si="3"/>
        <v>0.08762705924</v>
      </c>
      <c r="N222" s="36">
        <f t="shared" si="4"/>
        <v>87.62705924</v>
      </c>
      <c r="Q222" s="25" t="s">
        <v>440</v>
      </c>
      <c r="R222" s="16" t="s">
        <v>341</v>
      </c>
      <c r="S222" s="5"/>
    </row>
    <row r="223">
      <c r="A223" s="60" t="s">
        <v>461</v>
      </c>
      <c r="B223" s="61"/>
      <c r="C223" s="61"/>
      <c r="D223" s="61"/>
      <c r="E223" s="62">
        <v>75.0</v>
      </c>
      <c r="F223" s="62">
        <v>64.12</v>
      </c>
      <c r="G223" s="62"/>
      <c r="H223" s="62"/>
      <c r="I223" s="62">
        <v>291.39</v>
      </c>
      <c r="J223" s="62">
        <f t="shared" si="1"/>
        <v>227.27</v>
      </c>
      <c r="K223" s="62">
        <v>65.91</v>
      </c>
      <c r="L223" s="62">
        <f t="shared" si="2"/>
        <v>1.79</v>
      </c>
      <c r="M223" s="63">
        <f t="shared" si="3"/>
        <v>7.876094513</v>
      </c>
      <c r="N223" s="36">
        <f t="shared" si="4"/>
        <v>7876.094513</v>
      </c>
      <c r="Q223" s="64" t="s">
        <v>440</v>
      </c>
      <c r="R223" s="60" t="s">
        <v>341</v>
      </c>
      <c r="S223" s="61"/>
    </row>
    <row r="224">
      <c r="A224" s="5" t="s">
        <v>462</v>
      </c>
      <c r="B224" s="5"/>
      <c r="C224" s="21"/>
      <c r="D224" s="57"/>
      <c r="E224" s="25">
        <v>44.0</v>
      </c>
      <c r="F224" s="25">
        <v>64.43</v>
      </c>
      <c r="G224" s="25"/>
      <c r="H224" s="25"/>
      <c r="I224" s="25">
        <v>283.6</v>
      </c>
      <c r="J224" s="7">
        <f t="shared" si="1"/>
        <v>219.17</v>
      </c>
      <c r="K224" s="25">
        <v>64.56</v>
      </c>
      <c r="L224" s="7">
        <f t="shared" si="2"/>
        <v>0.13</v>
      </c>
      <c r="M224" s="35">
        <f t="shared" si="3"/>
        <v>0.5931468723</v>
      </c>
      <c r="N224" s="36">
        <f t="shared" si="4"/>
        <v>593.1468723</v>
      </c>
      <c r="Q224" s="25" t="s">
        <v>392</v>
      </c>
      <c r="R224" s="16" t="s">
        <v>341</v>
      </c>
      <c r="S224" s="5"/>
    </row>
    <row r="225">
      <c r="A225" s="60" t="s">
        <v>463</v>
      </c>
      <c r="B225" s="61"/>
      <c r="C225" s="65"/>
      <c r="D225" s="66"/>
      <c r="E225" s="64">
        <v>43.0</v>
      </c>
      <c r="F225" s="64">
        <v>64.27</v>
      </c>
      <c r="G225" s="64"/>
      <c r="H225" s="64"/>
      <c r="I225" s="64">
        <v>294.97</v>
      </c>
      <c r="J225" s="62">
        <f t="shared" si="1"/>
        <v>230.7</v>
      </c>
      <c r="K225" s="64">
        <v>66.63</v>
      </c>
      <c r="L225" s="62">
        <f t="shared" si="2"/>
        <v>2.36</v>
      </c>
      <c r="M225" s="63">
        <f t="shared" si="3"/>
        <v>10.22973559</v>
      </c>
      <c r="N225" s="36">
        <f t="shared" si="4"/>
        <v>10229.73559</v>
      </c>
      <c r="Q225" s="64" t="s">
        <v>440</v>
      </c>
      <c r="R225" s="60" t="s">
        <v>341</v>
      </c>
      <c r="S225" s="61"/>
    </row>
    <row r="226">
      <c r="A226" s="6" t="s">
        <v>464</v>
      </c>
      <c r="B226" s="25" t="s">
        <v>351</v>
      </c>
      <c r="C226" s="17">
        <v>44224.0</v>
      </c>
      <c r="D226" s="41">
        <v>0.6458333333333334</v>
      </c>
      <c r="E226" s="25">
        <v>71.0</v>
      </c>
      <c r="F226" s="25">
        <v>64.1</v>
      </c>
      <c r="G226" s="25"/>
      <c r="H226" s="25"/>
      <c r="I226" s="25">
        <v>290.29</v>
      </c>
      <c r="J226" s="7">
        <f t="shared" si="1"/>
        <v>226.19</v>
      </c>
      <c r="K226" s="25">
        <v>64.26</v>
      </c>
      <c r="L226" s="7">
        <f t="shared" si="2"/>
        <v>0.16</v>
      </c>
      <c r="M226" s="35">
        <f t="shared" si="3"/>
        <v>0.7073699103</v>
      </c>
      <c r="N226" s="36">
        <f t="shared" si="4"/>
        <v>707.3699103</v>
      </c>
      <c r="Q226" s="7" t="s">
        <v>424</v>
      </c>
      <c r="R226" s="16" t="s">
        <v>341</v>
      </c>
      <c r="S226" s="5"/>
    </row>
    <row r="227">
      <c r="A227" s="5" t="s">
        <v>465</v>
      </c>
      <c r="B227" s="25" t="s">
        <v>351</v>
      </c>
      <c r="C227" s="17">
        <v>44224.0</v>
      </c>
      <c r="D227" s="41">
        <v>0.7083333333333334</v>
      </c>
      <c r="E227" s="25">
        <v>72.0</v>
      </c>
      <c r="F227" s="25">
        <v>64.33</v>
      </c>
      <c r="G227" s="25"/>
      <c r="H227" s="25"/>
      <c r="I227" s="25">
        <v>285.39</v>
      </c>
      <c r="J227" s="7">
        <f t="shared" si="1"/>
        <v>221.06</v>
      </c>
      <c r="K227" s="25">
        <v>64.46</v>
      </c>
      <c r="L227" s="7">
        <f t="shared" si="2"/>
        <v>0.13</v>
      </c>
      <c r="M227" s="35">
        <f t="shared" si="3"/>
        <v>0.5880756356</v>
      </c>
      <c r="N227" s="36">
        <f t="shared" si="4"/>
        <v>588.0756356</v>
      </c>
      <c r="Q227" s="7" t="s">
        <v>424</v>
      </c>
      <c r="R227" s="16" t="s">
        <v>341</v>
      </c>
      <c r="S227" s="5"/>
    </row>
    <row r="228">
      <c r="A228" s="6" t="s">
        <v>466</v>
      </c>
      <c r="B228" s="5"/>
      <c r="C228" s="20"/>
      <c r="D228" s="57"/>
      <c r="E228" s="25">
        <v>72.0</v>
      </c>
      <c r="F228" s="25">
        <v>64.32</v>
      </c>
      <c r="G228" s="25"/>
      <c r="H228" s="25"/>
      <c r="I228" s="25">
        <v>288.83</v>
      </c>
      <c r="J228" s="7">
        <f t="shared" si="1"/>
        <v>224.51</v>
      </c>
      <c r="K228" s="25">
        <v>64.47</v>
      </c>
      <c r="L228" s="7">
        <f t="shared" si="2"/>
        <v>0.15</v>
      </c>
      <c r="M228" s="35">
        <f t="shared" si="3"/>
        <v>0.6681216872</v>
      </c>
      <c r="N228" s="36">
        <f t="shared" si="4"/>
        <v>668.1216872</v>
      </c>
      <c r="Q228" s="25" t="s">
        <v>392</v>
      </c>
      <c r="R228" s="16" t="s">
        <v>341</v>
      </c>
      <c r="S228" s="5"/>
    </row>
    <row r="229">
      <c r="A229" s="6" t="s">
        <v>467</v>
      </c>
      <c r="B229" s="5"/>
      <c r="C229" s="20"/>
      <c r="D229" s="57"/>
      <c r="E229" s="25">
        <v>53.0</v>
      </c>
      <c r="F229" s="25">
        <v>64.19</v>
      </c>
      <c r="G229" s="25"/>
      <c r="H229" s="25"/>
      <c r="I229" s="25">
        <v>287.59</v>
      </c>
      <c r="J229" s="7">
        <f t="shared" si="1"/>
        <v>223.4</v>
      </c>
      <c r="K229" s="25">
        <v>64.34</v>
      </c>
      <c r="L229" s="7">
        <f t="shared" si="2"/>
        <v>0.15</v>
      </c>
      <c r="M229" s="35">
        <f t="shared" si="3"/>
        <v>0.6714413608</v>
      </c>
      <c r="N229" s="36">
        <f t="shared" si="4"/>
        <v>671.4413608</v>
      </c>
      <c r="Q229" s="25" t="s">
        <v>392</v>
      </c>
      <c r="R229" s="16" t="s">
        <v>341</v>
      </c>
      <c r="S229" s="5"/>
    </row>
    <row r="230">
      <c r="A230" s="6" t="s">
        <v>468</v>
      </c>
      <c r="B230" s="5"/>
      <c r="C230" s="5"/>
      <c r="D230" s="5"/>
      <c r="E230" s="7">
        <v>65.0</v>
      </c>
      <c r="F230" s="7">
        <v>64.26</v>
      </c>
      <c r="G230" s="7"/>
      <c r="H230" s="7"/>
      <c r="I230" s="7">
        <v>289.41</v>
      </c>
      <c r="J230" s="7">
        <f t="shared" si="1"/>
        <v>225.15</v>
      </c>
      <c r="K230" s="7">
        <v>64.36</v>
      </c>
      <c r="L230" s="7">
        <f t="shared" si="2"/>
        <v>0.1</v>
      </c>
      <c r="M230" s="35">
        <f t="shared" si="3"/>
        <v>0.4441483455</v>
      </c>
      <c r="N230" s="36">
        <f t="shared" si="4"/>
        <v>444.1483455</v>
      </c>
      <c r="Q230" s="25" t="s">
        <v>440</v>
      </c>
      <c r="R230" s="16" t="s">
        <v>341</v>
      </c>
      <c r="S230" s="5"/>
    </row>
    <row r="231">
      <c r="A231" s="6" t="s">
        <v>469</v>
      </c>
      <c r="B231" s="5"/>
      <c r="C231" s="20"/>
      <c r="D231" s="57"/>
      <c r="E231" s="25">
        <v>69.0</v>
      </c>
      <c r="F231" s="25">
        <v>64.48</v>
      </c>
      <c r="G231" s="25"/>
      <c r="H231" s="25"/>
      <c r="I231" s="25">
        <v>290.67</v>
      </c>
      <c r="J231" s="7">
        <f t="shared" si="1"/>
        <v>226.19</v>
      </c>
      <c r="K231" s="25">
        <v>64.61</v>
      </c>
      <c r="L231" s="7">
        <f t="shared" si="2"/>
        <v>0.13</v>
      </c>
      <c r="M231" s="35">
        <f t="shared" si="3"/>
        <v>0.5747380521</v>
      </c>
      <c r="N231" s="36">
        <f t="shared" si="4"/>
        <v>574.7380521</v>
      </c>
      <c r="Q231" s="25" t="s">
        <v>392</v>
      </c>
      <c r="R231" s="16" t="s">
        <v>341</v>
      </c>
      <c r="S231" s="5"/>
    </row>
    <row r="232">
      <c r="A232" s="5" t="s">
        <v>470</v>
      </c>
      <c r="B232" s="5"/>
      <c r="C232" s="20"/>
      <c r="D232" s="57"/>
      <c r="E232" s="25">
        <v>68.0</v>
      </c>
      <c r="F232" s="25">
        <v>64.05</v>
      </c>
      <c r="G232" s="25"/>
      <c r="H232" s="25"/>
      <c r="I232" s="25">
        <v>288.72</v>
      </c>
      <c r="J232" s="7">
        <f t="shared" si="1"/>
        <v>224.67</v>
      </c>
      <c r="K232" s="25">
        <v>64.49</v>
      </c>
      <c r="L232" s="7">
        <f t="shared" si="2"/>
        <v>0.44</v>
      </c>
      <c r="M232" s="35">
        <f t="shared" si="3"/>
        <v>1.958427916</v>
      </c>
      <c r="N232" s="36">
        <f t="shared" si="4"/>
        <v>1958.427916</v>
      </c>
      <c r="Q232" s="25" t="s">
        <v>392</v>
      </c>
      <c r="R232" s="16" t="s">
        <v>341</v>
      </c>
      <c r="S232" s="5"/>
    </row>
    <row r="233">
      <c r="A233" s="6" t="s">
        <v>471</v>
      </c>
      <c r="B233" s="5"/>
      <c r="C233" s="5"/>
      <c r="D233" s="5"/>
      <c r="E233" s="25">
        <v>64.0</v>
      </c>
      <c r="F233" s="25">
        <v>64.27</v>
      </c>
      <c r="G233" s="25"/>
      <c r="H233" s="25"/>
      <c r="I233" s="25">
        <v>287.2</v>
      </c>
      <c r="J233" s="7">
        <f t="shared" si="1"/>
        <v>222.93</v>
      </c>
      <c r="K233" s="25">
        <v>64.53</v>
      </c>
      <c r="L233" s="7">
        <f t="shared" si="2"/>
        <v>0.26</v>
      </c>
      <c r="M233" s="35">
        <f t="shared" si="3"/>
        <v>1.166285381</v>
      </c>
      <c r="N233" s="36">
        <f t="shared" si="4"/>
        <v>1166.285381</v>
      </c>
      <c r="Q233" s="25" t="s">
        <v>392</v>
      </c>
      <c r="R233" s="16" t="s">
        <v>341</v>
      </c>
      <c r="S233" s="5"/>
    </row>
    <row r="234">
      <c r="A234" s="6" t="s">
        <v>472</v>
      </c>
      <c r="B234" s="5"/>
      <c r="C234" s="5"/>
      <c r="D234" s="5"/>
      <c r="E234" s="7">
        <v>56.0</v>
      </c>
      <c r="F234" s="7">
        <v>64.31</v>
      </c>
      <c r="G234" s="7"/>
      <c r="H234" s="7"/>
      <c r="I234" s="7">
        <v>286.04</v>
      </c>
      <c r="J234" s="7">
        <f t="shared" si="1"/>
        <v>221.73</v>
      </c>
      <c r="K234" s="7">
        <v>64.43</v>
      </c>
      <c r="L234" s="7">
        <f t="shared" si="2"/>
        <v>0.12</v>
      </c>
      <c r="M234" s="35">
        <f t="shared" si="3"/>
        <v>0.5411987552</v>
      </c>
      <c r="N234" s="36">
        <f t="shared" si="4"/>
        <v>541.1987552</v>
      </c>
      <c r="Q234" s="25" t="s">
        <v>440</v>
      </c>
      <c r="R234" s="16" t="s">
        <v>341</v>
      </c>
      <c r="S234" s="5"/>
    </row>
    <row r="235">
      <c r="A235" s="6" t="s">
        <v>473</v>
      </c>
      <c r="B235" s="5"/>
      <c r="C235" s="5"/>
      <c r="D235" s="5"/>
      <c r="E235" s="7">
        <v>63.0</v>
      </c>
      <c r="F235" s="7">
        <v>64.51</v>
      </c>
      <c r="G235" s="7"/>
      <c r="H235" s="7"/>
      <c r="I235" s="7">
        <v>288.18</v>
      </c>
      <c r="J235" s="7">
        <f t="shared" si="1"/>
        <v>223.67</v>
      </c>
      <c r="K235" s="7">
        <v>64.64</v>
      </c>
      <c r="L235" s="7">
        <f t="shared" si="2"/>
        <v>0.13</v>
      </c>
      <c r="M235" s="35">
        <f t="shared" si="3"/>
        <v>0.5812133947</v>
      </c>
      <c r="N235" s="36">
        <f t="shared" si="4"/>
        <v>581.2133947</v>
      </c>
      <c r="Q235" s="25" t="s">
        <v>440</v>
      </c>
      <c r="R235" s="16" t="s">
        <v>341</v>
      </c>
      <c r="S235" s="5"/>
    </row>
    <row r="236">
      <c r="A236" s="6" t="s">
        <v>474</v>
      </c>
      <c r="B236" s="5"/>
      <c r="C236" s="20"/>
      <c r="D236" s="57"/>
      <c r="E236" s="25">
        <v>24.0</v>
      </c>
      <c r="F236" s="25">
        <v>64.31</v>
      </c>
      <c r="G236" s="25"/>
      <c r="H236" s="25"/>
      <c r="I236" s="25">
        <v>292.72</v>
      </c>
      <c r="J236" s="7">
        <f t="shared" si="1"/>
        <v>228.41</v>
      </c>
      <c r="K236" s="25">
        <v>64.48</v>
      </c>
      <c r="L236" s="7">
        <f t="shared" si="2"/>
        <v>0.17</v>
      </c>
      <c r="M236" s="35">
        <f t="shared" si="3"/>
        <v>0.7442756447</v>
      </c>
      <c r="N236" s="36">
        <f t="shared" si="4"/>
        <v>744.2756447</v>
      </c>
      <c r="Q236" s="25" t="s">
        <v>392</v>
      </c>
      <c r="R236" s="16" t="s">
        <v>341</v>
      </c>
      <c r="S236" s="5"/>
    </row>
    <row r="237">
      <c r="A237" s="6" t="s">
        <v>475</v>
      </c>
      <c r="B237" s="5"/>
      <c r="C237" s="5"/>
      <c r="D237" s="5"/>
      <c r="E237" s="7">
        <v>38.0</v>
      </c>
      <c r="F237" s="7">
        <v>64.44</v>
      </c>
      <c r="G237" s="7"/>
      <c r="H237" s="7"/>
      <c r="I237" s="7">
        <v>293.31</v>
      </c>
      <c r="J237" s="7">
        <f t="shared" si="1"/>
        <v>228.87</v>
      </c>
      <c r="K237" s="7">
        <v>64.51</v>
      </c>
      <c r="L237" s="7">
        <f t="shared" si="2"/>
        <v>0.07</v>
      </c>
      <c r="M237" s="35">
        <f t="shared" si="3"/>
        <v>0.3058504828</v>
      </c>
      <c r="N237" s="36">
        <f t="shared" si="4"/>
        <v>305.8504828</v>
      </c>
      <c r="Q237" s="25" t="s">
        <v>440</v>
      </c>
      <c r="R237" s="16" t="s">
        <v>341</v>
      </c>
      <c r="S237" s="5"/>
    </row>
    <row r="238">
      <c r="A238" s="6" t="s">
        <v>476</v>
      </c>
      <c r="B238" s="5"/>
      <c r="C238" s="20"/>
      <c r="D238" s="57"/>
      <c r="E238" s="25">
        <v>57.0</v>
      </c>
      <c r="F238" s="25">
        <v>64.16</v>
      </c>
      <c r="G238" s="25"/>
      <c r="H238" s="25"/>
      <c r="I238" s="25">
        <v>293.76</v>
      </c>
      <c r="J238" s="7">
        <f t="shared" si="1"/>
        <v>229.6</v>
      </c>
      <c r="K238" s="25">
        <v>64.22</v>
      </c>
      <c r="L238" s="7">
        <f t="shared" si="2"/>
        <v>0.06</v>
      </c>
      <c r="M238" s="35">
        <f t="shared" si="3"/>
        <v>0.2613240418</v>
      </c>
      <c r="N238" s="36">
        <f t="shared" si="4"/>
        <v>261.3240418</v>
      </c>
      <c r="Q238" s="25" t="s">
        <v>440</v>
      </c>
      <c r="R238" s="16" t="s">
        <v>341</v>
      </c>
      <c r="S238" s="5"/>
    </row>
    <row r="239">
      <c r="A239" s="6" t="s">
        <v>477</v>
      </c>
      <c r="B239" s="5"/>
      <c r="C239" s="20"/>
      <c r="D239" s="57"/>
      <c r="E239" s="25">
        <v>93.0</v>
      </c>
      <c r="F239" s="25">
        <v>64.28</v>
      </c>
      <c r="G239" s="25"/>
      <c r="H239" s="25"/>
      <c r="I239" s="25">
        <v>294.94</v>
      </c>
      <c r="J239" s="7">
        <f t="shared" si="1"/>
        <v>230.66</v>
      </c>
      <c r="K239" s="25">
        <v>64.31</v>
      </c>
      <c r="L239" s="7">
        <f t="shared" si="2"/>
        <v>0.03</v>
      </c>
      <c r="M239" s="35">
        <f t="shared" si="3"/>
        <v>0.1300615625</v>
      </c>
      <c r="N239" s="36">
        <f t="shared" si="4"/>
        <v>130.0615625</v>
      </c>
      <c r="Q239" s="25" t="s">
        <v>440</v>
      </c>
      <c r="R239" s="16" t="s">
        <v>341</v>
      </c>
      <c r="S239" s="5"/>
    </row>
    <row r="240">
      <c r="A240" s="6" t="s">
        <v>478</v>
      </c>
      <c r="B240" s="5"/>
      <c r="C240" s="20"/>
      <c r="D240" s="57"/>
      <c r="E240" s="25">
        <v>60.0</v>
      </c>
      <c r="F240" s="25">
        <v>64.29</v>
      </c>
      <c r="G240" s="25"/>
      <c r="H240" s="25"/>
      <c r="I240" s="25">
        <v>285.62</v>
      </c>
      <c r="J240" s="7">
        <f t="shared" si="1"/>
        <v>221.33</v>
      </c>
      <c r="K240" s="25">
        <v>64.31</v>
      </c>
      <c r="L240" s="7">
        <f t="shared" si="2"/>
        <v>0.02</v>
      </c>
      <c r="M240" s="35">
        <f t="shared" si="3"/>
        <v>0.09036280667</v>
      </c>
      <c r="N240" s="36">
        <f t="shared" si="4"/>
        <v>90.36280667</v>
      </c>
      <c r="Q240" s="25" t="s">
        <v>440</v>
      </c>
      <c r="R240" s="16" t="s">
        <v>341</v>
      </c>
      <c r="S240" s="5"/>
    </row>
    <row r="241">
      <c r="A241" s="67" t="s">
        <v>479</v>
      </c>
      <c r="B241" s="43"/>
      <c r="C241" s="55"/>
      <c r="D241" s="56"/>
      <c r="E241" s="44">
        <v>84.0</v>
      </c>
      <c r="F241" s="44">
        <v>64.25</v>
      </c>
      <c r="G241" s="44"/>
      <c r="H241" s="44"/>
      <c r="I241" s="44">
        <v>292.85</v>
      </c>
      <c r="J241" s="45">
        <f t="shared" si="1"/>
        <v>228.6</v>
      </c>
      <c r="K241" s="44">
        <v>77.71</v>
      </c>
      <c r="L241" s="45">
        <f t="shared" si="2"/>
        <v>13.46</v>
      </c>
      <c r="M241" s="46">
        <f t="shared" si="3"/>
        <v>58.88013998</v>
      </c>
      <c r="N241" s="36">
        <f t="shared" si="4"/>
        <v>58880.13998</v>
      </c>
      <c r="Q241" s="44" t="s">
        <v>440</v>
      </c>
      <c r="R241" s="48" t="s">
        <v>341</v>
      </c>
      <c r="S241" s="43" t="s">
        <v>480</v>
      </c>
    </row>
    <row r="242">
      <c r="A242" s="7" t="s">
        <v>481</v>
      </c>
      <c r="B242" s="5"/>
      <c r="C242" s="5"/>
      <c r="D242" s="5"/>
      <c r="E242" s="7">
        <v>24.0</v>
      </c>
      <c r="F242" s="7">
        <v>64.31</v>
      </c>
      <c r="G242" s="7">
        <v>0.3</v>
      </c>
      <c r="H242" s="7">
        <f t="shared" ref="H242:H318" si="7">G242/(1000/J242)</f>
        <v>0.064377</v>
      </c>
      <c r="I242" s="7">
        <v>278.9</v>
      </c>
      <c r="J242" s="7">
        <f t="shared" si="1"/>
        <v>214.59</v>
      </c>
      <c r="K242" s="7">
        <v>64.45</v>
      </c>
      <c r="L242" s="7">
        <f t="shared" si="2"/>
        <v>0.14</v>
      </c>
      <c r="M242" s="35">
        <f t="shared" si="3"/>
        <v>0.6524069155</v>
      </c>
      <c r="N242" s="7">
        <f t="shared" si="4"/>
        <v>652.4069155</v>
      </c>
      <c r="O242" s="7">
        <f t="shared" ref="O242:O318" si="8">N242-H242</f>
        <v>652.3425385</v>
      </c>
      <c r="P242" s="7" t="s">
        <v>410</v>
      </c>
      <c r="Q242" s="7" t="s">
        <v>147</v>
      </c>
      <c r="R242" s="5"/>
    </row>
    <row r="243">
      <c r="A243" s="7" t="s">
        <v>482</v>
      </c>
      <c r="B243" s="5"/>
      <c r="C243" s="59"/>
      <c r="D243" s="57"/>
      <c r="E243" s="7">
        <v>37.0</v>
      </c>
      <c r="F243" s="7">
        <v>64.45</v>
      </c>
      <c r="G243" s="7">
        <v>0.2</v>
      </c>
      <c r="H243" s="7">
        <f t="shared" si="7"/>
        <v>0.045848</v>
      </c>
      <c r="I243" s="7">
        <v>293.69</v>
      </c>
      <c r="J243" s="7">
        <f t="shared" si="1"/>
        <v>229.24</v>
      </c>
      <c r="K243" s="7">
        <v>64.58</v>
      </c>
      <c r="L243" s="7">
        <f t="shared" si="2"/>
        <v>0.13</v>
      </c>
      <c r="M243" s="35">
        <f t="shared" si="3"/>
        <v>0.5670912581</v>
      </c>
      <c r="N243" s="7">
        <f t="shared" si="4"/>
        <v>567.0912581</v>
      </c>
      <c r="O243" s="7">
        <f t="shared" si="8"/>
        <v>567.0454101</v>
      </c>
      <c r="P243" s="7" t="s">
        <v>410</v>
      </c>
      <c r="Q243" s="7" t="s">
        <v>147</v>
      </c>
      <c r="R243" s="5"/>
    </row>
    <row r="244">
      <c r="A244" s="7" t="s">
        <v>483</v>
      </c>
      <c r="B244" s="5"/>
      <c r="C244" s="59"/>
      <c r="D244" s="57"/>
      <c r="E244" s="7">
        <v>42.0</v>
      </c>
      <c r="F244" s="7">
        <v>64.26</v>
      </c>
      <c r="G244" s="7">
        <v>0.3</v>
      </c>
      <c r="H244" s="7">
        <f t="shared" si="7"/>
        <v>0.070083</v>
      </c>
      <c r="I244" s="7">
        <v>297.87</v>
      </c>
      <c r="J244" s="7">
        <f t="shared" si="1"/>
        <v>233.61</v>
      </c>
      <c r="K244" s="7">
        <v>64.37</v>
      </c>
      <c r="L244" s="7">
        <f t="shared" si="2"/>
        <v>0.11</v>
      </c>
      <c r="M244" s="35">
        <f t="shared" si="3"/>
        <v>0.4708702538</v>
      </c>
      <c r="N244" s="7">
        <f t="shared" si="4"/>
        <v>470.8702538</v>
      </c>
      <c r="O244" s="7">
        <f t="shared" si="8"/>
        <v>470.8001708</v>
      </c>
      <c r="P244" s="7" t="s">
        <v>410</v>
      </c>
      <c r="Q244" s="7" t="s">
        <v>147</v>
      </c>
      <c r="R244" s="5"/>
    </row>
    <row r="245">
      <c r="A245" s="7" t="s">
        <v>484</v>
      </c>
      <c r="B245" s="5"/>
      <c r="C245" s="21"/>
      <c r="D245" s="57"/>
      <c r="E245" s="7">
        <v>24.0</v>
      </c>
      <c r="F245" s="7">
        <v>64.3</v>
      </c>
      <c r="G245" s="7">
        <v>0.4</v>
      </c>
      <c r="H245" s="7">
        <f t="shared" si="7"/>
        <v>0.090668</v>
      </c>
      <c r="I245" s="7">
        <v>290.97</v>
      </c>
      <c r="J245" s="7">
        <f t="shared" si="1"/>
        <v>226.67</v>
      </c>
      <c r="K245" s="7">
        <v>64.39</v>
      </c>
      <c r="L245" s="7">
        <f t="shared" si="2"/>
        <v>0.09</v>
      </c>
      <c r="M245" s="35">
        <f t="shared" si="3"/>
        <v>0.3970529845</v>
      </c>
      <c r="N245" s="7">
        <f t="shared" si="4"/>
        <v>397.0529845</v>
      </c>
      <c r="O245" s="7">
        <f t="shared" si="8"/>
        <v>396.9623165</v>
      </c>
      <c r="P245" s="7" t="s">
        <v>485</v>
      </c>
      <c r="Q245" s="7" t="s">
        <v>147</v>
      </c>
      <c r="R245" s="5"/>
    </row>
    <row r="246">
      <c r="A246" s="7" t="s">
        <v>486</v>
      </c>
      <c r="B246" s="7" t="s">
        <v>351</v>
      </c>
      <c r="C246" s="68">
        <v>44494.0</v>
      </c>
      <c r="D246" s="54">
        <v>0.4166666666666667</v>
      </c>
      <c r="E246" s="7">
        <v>71.0</v>
      </c>
      <c r="F246" s="7">
        <v>64.1</v>
      </c>
      <c r="G246" s="7">
        <v>2.0</v>
      </c>
      <c r="H246" s="7">
        <f t="shared" si="7"/>
        <v>0.43718</v>
      </c>
      <c r="I246" s="7">
        <v>282.69</v>
      </c>
      <c r="J246" s="7">
        <f t="shared" si="1"/>
        <v>218.59</v>
      </c>
      <c r="K246" s="7">
        <v>64.93</v>
      </c>
      <c r="L246" s="7">
        <f t="shared" si="2"/>
        <v>0.83</v>
      </c>
      <c r="M246" s="35">
        <f t="shared" si="3"/>
        <v>3.797062995</v>
      </c>
      <c r="N246" s="7">
        <f t="shared" si="4"/>
        <v>3797.062995</v>
      </c>
      <c r="O246" s="7">
        <f t="shared" si="8"/>
        <v>3796.625815</v>
      </c>
      <c r="P246" s="7" t="s">
        <v>487</v>
      </c>
      <c r="Q246" s="7" t="s">
        <v>395</v>
      </c>
      <c r="R246" s="5"/>
    </row>
    <row r="247">
      <c r="A247" s="7" t="s">
        <v>488</v>
      </c>
      <c r="B247" s="7" t="s">
        <v>351</v>
      </c>
      <c r="C247" s="68">
        <v>44494.0</v>
      </c>
      <c r="D247" s="54">
        <v>0.4583333333333333</v>
      </c>
      <c r="E247" s="7">
        <v>37.0</v>
      </c>
      <c r="F247" s="7">
        <v>64.44</v>
      </c>
      <c r="G247" s="7">
        <v>1.7</v>
      </c>
      <c r="H247" s="7">
        <f t="shared" si="7"/>
        <v>0.368696</v>
      </c>
      <c r="I247" s="7">
        <v>281.32</v>
      </c>
      <c r="J247" s="7">
        <f t="shared" si="1"/>
        <v>216.88</v>
      </c>
      <c r="K247" s="7">
        <v>65.07</v>
      </c>
      <c r="L247" s="7">
        <f t="shared" si="2"/>
        <v>0.63</v>
      </c>
      <c r="M247" s="35">
        <f t="shared" si="3"/>
        <v>2.904832165</v>
      </c>
      <c r="N247" s="7">
        <f t="shared" si="4"/>
        <v>2904.832165</v>
      </c>
      <c r="O247" s="7">
        <f t="shared" si="8"/>
        <v>2904.463469</v>
      </c>
      <c r="P247" s="7" t="s">
        <v>489</v>
      </c>
      <c r="Q247" s="7" t="s">
        <v>395</v>
      </c>
      <c r="R247" s="5"/>
    </row>
    <row r="248">
      <c r="A248" s="7" t="s">
        <v>490</v>
      </c>
      <c r="B248" s="5"/>
      <c r="C248" s="59"/>
      <c r="D248" s="57"/>
      <c r="E248" s="7">
        <v>44.0</v>
      </c>
      <c r="F248" s="7">
        <v>64.43</v>
      </c>
      <c r="G248" s="7">
        <v>1.2</v>
      </c>
      <c r="H248" s="7">
        <f t="shared" si="7"/>
        <v>0.279</v>
      </c>
      <c r="I248" s="7">
        <v>296.93</v>
      </c>
      <c r="J248" s="7">
        <f t="shared" si="1"/>
        <v>232.5</v>
      </c>
      <c r="K248" s="7">
        <v>64.78</v>
      </c>
      <c r="L248" s="7">
        <f t="shared" si="2"/>
        <v>0.35</v>
      </c>
      <c r="M248" s="35">
        <f t="shared" si="3"/>
        <v>1.505376344</v>
      </c>
      <c r="N248" s="7">
        <f t="shared" si="4"/>
        <v>1505.376344</v>
      </c>
      <c r="O248" s="7">
        <f t="shared" si="8"/>
        <v>1505.097344</v>
      </c>
      <c r="P248" s="7" t="s">
        <v>410</v>
      </c>
      <c r="Q248" s="7" t="s">
        <v>147</v>
      </c>
      <c r="R248" s="5"/>
    </row>
    <row r="249">
      <c r="A249" s="7" t="s">
        <v>491</v>
      </c>
      <c r="B249" s="7" t="s">
        <v>351</v>
      </c>
      <c r="C249" s="51">
        <v>44494.0</v>
      </c>
      <c r="D249" s="52">
        <v>0.5416666666666666</v>
      </c>
      <c r="E249" s="7">
        <v>47.0</v>
      </c>
      <c r="F249" s="7">
        <v>64.3</v>
      </c>
      <c r="G249" s="7">
        <v>1.0</v>
      </c>
      <c r="H249" s="7">
        <f t="shared" si="7"/>
        <v>0.23504</v>
      </c>
      <c r="I249" s="7">
        <v>299.34</v>
      </c>
      <c r="J249" s="7">
        <f t="shared" si="1"/>
        <v>235.04</v>
      </c>
      <c r="K249" s="7">
        <v>64.58</v>
      </c>
      <c r="L249" s="7">
        <f t="shared" si="2"/>
        <v>0.28</v>
      </c>
      <c r="M249" s="35">
        <f t="shared" si="3"/>
        <v>1.19128659</v>
      </c>
      <c r="N249" s="7">
        <f t="shared" si="4"/>
        <v>1191.28659</v>
      </c>
      <c r="O249" s="7">
        <f t="shared" si="8"/>
        <v>1191.05155</v>
      </c>
      <c r="P249" s="7" t="s">
        <v>397</v>
      </c>
      <c r="Q249" s="7" t="s">
        <v>147</v>
      </c>
      <c r="R249" s="5"/>
    </row>
    <row r="250">
      <c r="A250" s="7" t="s">
        <v>492</v>
      </c>
      <c r="B250" s="5"/>
      <c r="C250" s="59"/>
      <c r="D250" s="57"/>
      <c r="E250" s="7">
        <v>45.0</v>
      </c>
      <c r="F250" s="7">
        <v>64.27</v>
      </c>
      <c r="G250" s="7">
        <v>0.9</v>
      </c>
      <c r="H250" s="7">
        <f t="shared" si="7"/>
        <v>0.206091</v>
      </c>
      <c r="I250" s="7">
        <v>293.26</v>
      </c>
      <c r="J250" s="7">
        <f t="shared" si="1"/>
        <v>228.99</v>
      </c>
      <c r="K250" s="7">
        <v>64.52</v>
      </c>
      <c r="L250" s="7">
        <f t="shared" si="2"/>
        <v>0.25</v>
      </c>
      <c r="M250" s="35">
        <f t="shared" si="3"/>
        <v>1.091750731</v>
      </c>
      <c r="N250" s="7">
        <f t="shared" si="4"/>
        <v>1091.750731</v>
      </c>
      <c r="O250" s="7">
        <f t="shared" si="8"/>
        <v>1091.54464</v>
      </c>
      <c r="P250" s="7" t="s">
        <v>410</v>
      </c>
      <c r="Q250" s="7" t="s">
        <v>147</v>
      </c>
      <c r="R250" s="5"/>
    </row>
    <row r="251">
      <c r="A251" s="7" t="s">
        <v>493</v>
      </c>
      <c r="B251" s="5"/>
      <c r="C251" s="20"/>
      <c r="D251" s="57"/>
      <c r="E251" s="7">
        <v>47.0</v>
      </c>
      <c r="F251" s="7">
        <v>64.3</v>
      </c>
      <c r="G251" s="7">
        <v>1.0</v>
      </c>
      <c r="H251" s="7">
        <f t="shared" si="7"/>
        <v>0.22874</v>
      </c>
      <c r="I251" s="7">
        <v>293.04</v>
      </c>
      <c r="J251" s="7">
        <f t="shared" si="1"/>
        <v>228.74</v>
      </c>
      <c r="K251" s="7">
        <v>64.58</v>
      </c>
      <c r="L251" s="7">
        <f t="shared" si="2"/>
        <v>0.28</v>
      </c>
      <c r="M251" s="35">
        <f t="shared" si="3"/>
        <v>1.224097228</v>
      </c>
      <c r="N251" s="7">
        <f t="shared" si="4"/>
        <v>1224.097228</v>
      </c>
      <c r="O251" s="7">
        <f t="shared" si="8"/>
        <v>1223.868488</v>
      </c>
      <c r="P251" s="7" t="s">
        <v>410</v>
      </c>
      <c r="Q251" s="7" t="s">
        <v>147</v>
      </c>
      <c r="R251" s="5"/>
    </row>
    <row r="252">
      <c r="A252" s="7" t="s">
        <v>494</v>
      </c>
      <c r="B252" s="5"/>
      <c r="C252" s="5"/>
      <c r="D252" s="5"/>
      <c r="E252" s="7">
        <v>49.0</v>
      </c>
      <c r="F252" s="7">
        <v>64.38</v>
      </c>
      <c r="G252" s="7">
        <v>1.2</v>
      </c>
      <c r="H252" s="7">
        <f t="shared" si="7"/>
        <v>0.264636</v>
      </c>
      <c r="I252" s="7">
        <v>284.91</v>
      </c>
      <c r="J252" s="7">
        <f t="shared" si="1"/>
        <v>220.53</v>
      </c>
      <c r="K252" s="7">
        <v>64.68</v>
      </c>
      <c r="L252" s="7">
        <f t="shared" si="2"/>
        <v>0.3</v>
      </c>
      <c r="M252" s="35">
        <f t="shared" si="3"/>
        <v>1.360359135</v>
      </c>
      <c r="N252" s="7">
        <f t="shared" si="4"/>
        <v>1360.359135</v>
      </c>
      <c r="O252" s="7">
        <f t="shared" si="8"/>
        <v>1360.094499</v>
      </c>
      <c r="P252" s="7" t="s">
        <v>410</v>
      </c>
      <c r="Q252" s="7" t="s">
        <v>147</v>
      </c>
      <c r="R252" s="5"/>
    </row>
    <row r="253">
      <c r="A253" s="7" t="s">
        <v>495</v>
      </c>
      <c r="B253" s="5"/>
      <c r="C253" s="20"/>
      <c r="D253" s="57"/>
      <c r="E253" s="7">
        <v>37.0</v>
      </c>
      <c r="F253" s="7">
        <v>64.44</v>
      </c>
      <c r="G253" s="7">
        <v>1.1</v>
      </c>
      <c r="H253" s="7">
        <f t="shared" si="7"/>
        <v>0.254562</v>
      </c>
      <c r="I253" s="7">
        <v>295.86</v>
      </c>
      <c r="J253" s="7">
        <f t="shared" si="1"/>
        <v>231.42</v>
      </c>
      <c r="K253" s="7">
        <v>64.72</v>
      </c>
      <c r="L253" s="7">
        <f t="shared" si="2"/>
        <v>0.28</v>
      </c>
      <c r="M253" s="35">
        <f t="shared" si="3"/>
        <v>1.209921355</v>
      </c>
      <c r="N253" s="7">
        <f t="shared" si="4"/>
        <v>1209.921355</v>
      </c>
      <c r="O253" s="7">
        <f t="shared" si="8"/>
        <v>1209.666793</v>
      </c>
      <c r="P253" s="7" t="s">
        <v>485</v>
      </c>
      <c r="Q253" s="7" t="s">
        <v>147</v>
      </c>
      <c r="R253" s="5"/>
    </row>
    <row r="254">
      <c r="A254" s="7" t="s">
        <v>496</v>
      </c>
      <c r="B254" s="5"/>
      <c r="C254" s="59"/>
      <c r="D254" s="57"/>
      <c r="E254" s="7">
        <v>44.0</v>
      </c>
      <c r="F254" s="7">
        <v>64.44</v>
      </c>
      <c r="G254" s="7">
        <v>0.4</v>
      </c>
      <c r="H254" s="7">
        <f t="shared" si="7"/>
        <v>0.091184</v>
      </c>
      <c r="I254" s="7">
        <v>292.4</v>
      </c>
      <c r="J254" s="7">
        <f t="shared" si="1"/>
        <v>227.96</v>
      </c>
      <c r="K254" s="7">
        <v>64.52</v>
      </c>
      <c r="L254" s="7">
        <f t="shared" si="2"/>
        <v>0.08</v>
      </c>
      <c r="M254" s="35">
        <f t="shared" si="3"/>
        <v>0.3509387612</v>
      </c>
      <c r="N254" s="7">
        <f t="shared" si="4"/>
        <v>350.9387612</v>
      </c>
      <c r="O254" s="7">
        <f t="shared" si="8"/>
        <v>350.8475772</v>
      </c>
      <c r="P254" s="7" t="s">
        <v>485</v>
      </c>
      <c r="Q254" s="7" t="s">
        <v>147</v>
      </c>
      <c r="R254" s="5"/>
    </row>
    <row r="255">
      <c r="A255" s="69" t="s">
        <v>497</v>
      </c>
      <c r="B255" s="43"/>
      <c r="C255" s="70"/>
      <c r="D255" s="56"/>
      <c r="E255" s="45">
        <v>42.0</v>
      </c>
      <c r="F255" s="45">
        <v>64.26</v>
      </c>
      <c r="G255" s="45">
        <v>31.2</v>
      </c>
      <c r="H255" s="45">
        <f t="shared" si="7"/>
        <v>7.331376</v>
      </c>
      <c r="I255" s="45">
        <v>299.24</v>
      </c>
      <c r="J255" s="45">
        <f t="shared" si="1"/>
        <v>234.98</v>
      </c>
      <c r="K255" s="45">
        <v>72.01</v>
      </c>
      <c r="L255" s="45">
        <f t="shared" si="2"/>
        <v>7.75</v>
      </c>
      <c r="M255" s="46">
        <f t="shared" si="3"/>
        <v>32.98153034</v>
      </c>
      <c r="N255" s="45">
        <f t="shared" si="4"/>
        <v>32981.53034</v>
      </c>
      <c r="O255" s="45">
        <f t="shared" si="8"/>
        <v>32974.19897</v>
      </c>
      <c r="P255" s="45" t="s">
        <v>485</v>
      </c>
      <c r="Q255" s="45" t="s">
        <v>147</v>
      </c>
      <c r="S255" s="45" t="s">
        <v>498</v>
      </c>
    </row>
    <row r="256">
      <c r="A256" s="7" t="s">
        <v>499</v>
      </c>
      <c r="B256" s="5"/>
      <c r="C256" s="20"/>
      <c r="D256" s="57"/>
      <c r="E256" s="7">
        <v>45.0</v>
      </c>
      <c r="F256" s="7">
        <v>64.27</v>
      </c>
      <c r="G256" s="7">
        <v>1.2</v>
      </c>
      <c r="H256" s="7">
        <f t="shared" si="7"/>
        <v>0.271608</v>
      </c>
      <c r="I256" s="7">
        <v>290.61</v>
      </c>
      <c r="J256" s="7">
        <f t="shared" si="1"/>
        <v>226.34</v>
      </c>
      <c r="K256" s="7">
        <v>64.63</v>
      </c>
      <c r="L256" s="7">
        <f t="shared" si="2"/>
        <v>0.36</v>
      </c>
      <c r="M256" s="35">
        <f t="shared" si="3"/>
        <v>1.590527525</v>
      </c>
      <c r="N256" s="7">
        <f t="shared" si="4"/>
        <v>1590.527525</v>
      </c>
      <c r="O256" s="7">
        <f t="shared" si="8"/>
        <v>1590.255917</v>
      </c>
      <c r="P256" s="7" t="s">
        <v>485</v>
      </c>
      <c r="Q256" s="7" t="s">
        <v>147</v>
      </c>
      <c r="S256" s="5"/>
    </row>
    <row r="257">
      <c r="A257" s="45" t="s">
        <v>500</v>
      </c>
      <c r="B257" s="43"/>
      <c r="C257" s="55"/>
      <c r="D257" s="56"/>
      <c r="E257" s="45">
        <v>47.0</v>
      </c>
      <c r="F257" s="45">
        <v>64.3</v>
      </c>
      <c r="G257" s="45">
        <v>30.1</v>
      </c>
      <c r="H257" s="45">
        <f t="shared" si="7"/>
        <v>6.867014</v>
      </c>
      <c r="I257" s="45">
        <v>292.44</v>
      </c>
      <c r="J257" s="45">
        <f t="shared" si="1"/>
        <v>228.14</v>
      </c>
      <c r="K257" s="45">
        <v>72.26</v>
      </c>
      <c r="L257" s="45">
        <f t="shared" si="2"/>
        <v>7.96</v>
      </c>
      <c r="M257" s="46">
        <f t="shared" si="3"/>
        <v>34.89085649</v>
      </c>
      <c r="N257" s="45">
        <f t="shared" si="4"/>
        <v>34890.85649</v>
      </c>
      <c r="O257" s="45">
        <f t="shared" si="8"/>
        <v>34883.98948</v>
      </c>
      <c r="P257" s="45" t="s">
        <v>485</v>
      </c>
      <c r="Q257" s="45" t="s">
        <v>147</v>
      </c>
      <c r="S257" s="45" t="s">
        <v>498</v>
      </c>
    </row>
    <row r="258">
      <c r="A258" s="69" t="s">
        <v>501</v>
      </c>
      <c r="B258" s="43"/>
      <c r="C258" s="43"/>
      <c r="D258" s="43"/>
      <c r="E258" s="45">
        <v>49.0</v>
      </c>
      <c r="F258" s="45">
        <v>64.38</v>
      </c>
      <c r="G258" s="45">
        <v>30.7</v>
      </c>
      <c r="H258" s="45">
        <f t="shared" si="7"/>
        <v>7.102752</v>
      </c>
      <c r="I258" s="45">
        <v>295.74</v>
      </c>
      <c r="J258" s="45">
        <f t="shared" si="1"/>
        <v>231.36</v>
      </c>
      <c r="K258" s="45">
        <v>72.09</v>
      </c>
      <c r="L258" s="45">
        <f t="shared" si="2"/>
        <v>7.71</v>
      </c>
      <c r="M258" s="46">
        <f t="shared" si="3"/>
        <v>33.3246888</v>
      </c>
      <c r="N258" s="45">
        <f t="shared" si="4"/>
        <v>33324.6888</v>
      </c>
      <c r="O258" s="45">
        <f t="shared" si="8"/>
        <v>33317.58604</v>
      </c>
      <c r="P258" s="45" t="s">
        <v>485</v>
      </c>
      <c r="Q258" s="45" t="s">
        <v>147</v>
      </c>
      <c r="S258" s="45" t="s">
        <v>498</v>
      </c>
    </row>
    <row r="259">
      <c r="A259" s="45" t="s">
        <v>502</v>
      </c>
      <c r="B259" s="43"/>
      <c r="C259" s="55"/>
      <c r="D259" s="56"/>
      <c r="E259" s="45">
        <v>52.0</v>
      </c>
      <c r="F259" s="45">
        <v>64.49</v>
      </c>
      <c r="G259" s="45">
        <v>30.9</v>
      </c>
      <c r="H259" s="45">
        <f t="shared" si="7"/>
        <v>7.234926</v>
      </c>
      <c r="I259" s="45">
        <v>298.63</v>
      </c>
      <c r="J259" s="45">
        <f t="shared" si="1"/>
        <v>234.14</v>
      </c>
      <c r="K259" s="45">
        <v>72.32</v>
      </c>
      <c r="L259" s="45">
        <f t="shared" si="2"/>
        <v>7.83</v>
      </c>
      <c r="M259" s="46">
        <f t="shared" si="3"/>
        <v>33.44153071</v>
      </c>
      <c r="N259" s="45">
        <f t="shared" si="4"/>
        <v>33441.53071</v>
      </c>
      <c r="O259" s="45">
        <f t="shared" si="8"/>
        <v>33434.29578</v>
      </c>
      <c r="P259" s="45" t="s">
        <v>485</v>
      </c>
      <c r="Q259" s="45" t="s">
        <v>147</v>
      </c>
      <c r="S259" s="45" t="s">
        <v>498</v>
      </c>
    </row>
    <row r="260">
      <c r="A260" s="7" t="s">
        <v>503</v>
      </c>
      <c r="B260" s="7" t="s">
        <v>351</v>
      </c>
      <c r="C260" s="51">
        <v>44543.0</v>
      </c>
      <c r="D260" s="52">
        <v>0.96875</v>
      </c>
      <c r="E260" s="7">
        <v>78.0</v>
      </c>
      <c r="F260" s="7">
        <v>64.27</v>
      </c>
      <c r="G260" s="7">
        <v>2.3</v>
      </c>
      <c r="H260" s="7">
        <f t="shared" si="7"/>
        <v>0.528172</v>
      </c>
      <c r="I260" s="7">
        <v>293.91</v>
      </c>
      <c r="J260" s="7">
        <f t="shared" si="1"/>
        <v>229.64</v>
      </c>
      <c r="K260" s="7">
        <v>64.89</v>
      </c>
      <c r="L260" s="7">
        <f t="shared" si="2"/>
        <v>0.62</v>
      </c>
      <c r="M260" s="35">
        <f t="shared" si="3"/>
        <v>2.69987807</v>
      </c>
      <c r="N260" s="7">
        <f t="shared" si="4"/>
        <v>2699.87807</v>
      </c>
      <c r="O260" s="7">
        <f t="shared" si="8"/>
        <v>2699.349898</v>
      </c>
      <c r="P260" s="7" t="s">
        <v>397</v>
      </c>
      <c r="Q260" s="7" t="s">
        <v>147</v>
      </c>
      <c r="R260" s="5"/>
    </row>
    <row r="261">
      <c r="A261" s="7" t="s">
        <v>504</v>
      </c>
      <c r="B261" s="7" t="s">
        <v>351</v>
      </c>
      <c r="C261" s="68">
        <v>44544.0</v>
      </c>
      <c r="D261" s="54">
        <v>0.020833333333333332</v>
      </c>
      <c r="E261" s="7">
        <v>88.0</v>
      </c>
      <c r="F261" s="7">
        <v>64.24</v>
      </c>
      <c r="G261" s="7">
        <v>0.8</v>
      </c>
      <c r="H261" s="7">
        <f t="shared" si="7"/>
        <v>0.176272</v>
      </c>
      <c r="I261" s="7">
        <v>284.58</v>
      </c>
      <c r="J261" s="7">
        <f t="shared" si="1"/>
        <v>220.34</v>
      </c>
      <c r="K261" s="7">
        <v>64.81</v>
      </c>
      <c r="L261" s="7">
        <f t="shared" si="2"/>
        <v>0.57</v>
      </c>
      <c r="M261" s="35">
        <f t="shared" si="3"/>
        <v>2.586911137</v>
      </c>
      <c r="N261" s="7">
        <f t="shared" si="4"/>
        <v>2586.911137</v>
      </c>
      <c r="O261" s="7">
        <f t="shared" si="8"/>
        <v>2586.734865</v>
      </c>
      <c r="P261" s="7" t="s">
        <v>505</v>
      </c>
      <c r="Q261" s="7" t="s">
        <v>395</v>
      </c>
      <c r="R261" s="5"/>
    </row>
    <row r="262">
      <c r="A262" s="7" t="s">
        <v>506</v>
      </c>
      <c r="B262" s="7" t="s">
        <v>351</v>
      </c>
      <c r="C262" s="68">
        <v>44544.0</v>
      </c>
      <c r="D262" s="54">
        <v>0.07291666666666667</v>
      </c>
      <c r="E262" s="7">
        <v>55.0</v>
      </c>
      <c r="F262" s="7">
        <v>64.23</v>
      </c>
      <c r="G262" s="7">
        <v>0.3</v>
      </c>
      <c r="H262" s="7">
        <f t="shared" si="7"/>
        <v>0.066654</v>
      </c>
      <c r="I262" s="7">
        <v>286.41</v>
      </c>
      <c r="J262" s="7">
        <f t="shared" si="1"/>
        <v>222.18</v>
      </c>
      <c r="K262" s="7">
        <v>64.79</v>
      </c>
      <c r="L262" s="7">
        <f t="shared" si="2"/>
        <v>0.56</v>
      </c>
      <c r="M262" s="35">
        <f t="shared" si="3"/>
        <v>2.520478891</v>
      </c>
      <c r="N262" s="7">
        <f t="shared" si="4"/>
        <v>2520.478891</v>
      </c>
      <c r="O262" s="7">
        <f t="shared" si="8"/>
        <v>2520.412237</v>
      </c>
      <c r="P262" s="7" t="s">
        <v>507</v>
      </c>
      <c r="Q262" s="7" t="s">
        <v>395</v>
      </c>
      <c r="R262" s="5"/>
    </row>
    <row r="263">
      <c r="A263" s="7" t="s">
        <v>508</v>
      </c>
      <c r="B263" s="7" t="s">
        <v>351</v>
      </c>
      <c r="C263" s="68">
        <v>44544.0</v>
      </c>
      <c r="D263" s="54">
        <v>0.125</v>
      </c>
      <c r="E263" s="7">
        <v>64.0</v>
      </c>
      <c r="F263" s="7">
        <v>64.27</v>
      </c>
      <c r="G263" s="7">
        <v>0.3</v>
      </c>
      <c r="H263" s="7">
        <f t="shared" si="7"/>
        <v>0.069795</v>
      </c>
      <c r="I263" s="7">
        <v>296.92</v>
      </c>
      <c r="J263" s="7">
        <f t="shared" si="1"/>
        <v>232.65</v>
      </c>
      <c r="K263" s="7">
        <v>64.69</v>
      </c>
      <c r="L263" s="7">
        <f t="shared" si="2"/>
        <v>0.42</v>
      </c>
      <c r="M263" s="35">
        <f t="shared" si="3"/>
        <v>1.805286912</v>
      </c>
      <c r="N263" s="7">
        <f t="shared" si="4"/>
        <v>1805.286912</v>
      </c>
      <c r="O263" s="7">
        <f t="shared" si="8"/>
        <v>1805.217117</v>
      </c>
      <c r="P263" s="7" t="s">
        <v>509</v>
      </c>
      <c r="Q263" s="7" t="s">
        <v>395</v>
      </c>
      <c r="R263" s="5"/>
    </row>
    <row r="264">
      <c r="A264" s="7" t="s">
        <v>510</v>
      </c>
      <c r="B264" s="7" t="s">
        <v>351</v>
      </c>
      <c r="C264" s="68">
        <v>44544.0</v>
      </c>
      <c r="D264" s="54">
        <v>0.17708333333333334</v>
      </c>
      <c r="E264" s="7">
        <v>65.0</v>
      </c>
      <c r="F264" s="7">
        <v>64.26</v>
      </c>
      <c r="G264" s="7">
        <v>0.3</v>
      </c>
      <c r="H264" s="7">
        <f t="shared" si="7"/>
        <v>0.069123</v>
      </c>
      <c r="I264" s="7">
        <v>294.67</v>
      </c>
      <c r="J264" s="7">
        <f t="shared" si="1"/>
        <v>230.41</v>
      </c>
      <c r="K264" s="7">
        <v>64.54</v>
      </c>
      <c r="L264" s="7">
        <f t="shared" si="2"/>
        <v>0.28</v>
      </c>
      <c r="M264" s="35">
        <f t="shared" si="3"/>
        <v>1.215225034</v>
      </c>
      <c r="N264" s="7">
        <f t="shared" si="4"/>
        <v>1215.225034</v>
      </c>
      <c r="O264" s="7">
        <f t="shared" si="8"/>
        <v>1215.155911</v>
      </c>
      <c r="P264" s="7" t="s">
        <v>511</v>
      </c>
      <c r="Q264" s="7" t="s">
        <v>395</v>
      </c>
      <c r="R264" s="5"/>
    </row>
    <row r="265">
      <c r="A265" s="7" t="s">
        <v>512</v>
      </c>
      <c r="B265" s="7" t="s">
        <v>351</v>
      </c>
      <c r="C265" s="68">
        <v>44544.0</v>
      </c>
      <c r="D265" s="54">
        <v>0.28125</v>
      </c>
      <c r="E265" s="7">
        <v>76.0</v>
      </c>
      <c r="F265" s="7">
        <v>64.31</v>
      </c>
      <c r="G265" s="7">
        <v>0.3</v>
      </c>
      <c r="H265" s="7">
        <f t="shared" si="7"/>
        <v>0.066381</v>
      </c>
      <c r="I265" s="7">
        <v>285.58</v>
      </c>
      <c r="J265" s="7">
        <f t="shared" si="1"/>
        <v>221.27</v>
      </c>
      <c r="K265" s="7">
        <v>64.58</v>
      </c>
      <c r="L265" s="7">
        <f t="shared" si="2"/>
        <v>0.27</v>
      </c>
      <c r="M265" s="35">
        <f t="shared" si="3"/>
        <v>1.22022868</v>
      </c>
      <c r="N265" s="7">
        <f t="shared" si="4"/>
        <v>1220.22868</v>
      </c>
      <c r="O265" s="7">
        <f t="shared" si="8"/>
        <v>1220.162299</v>
      </c>
      <c r="P265" s="7" t="s">
        <v>513</v>
      </c>
      <c r="Q265" s="7" t="s">
        <v>395</v>
      </c>
      <c r="R265" s="5"/>
    </row>
    <row r="266">
      <c r="A266" s="7" t="s">
        <v>514</v>
      </c>
      <c r="B266" s="7" t="s">
        <v>351</v>
      </c>
      <c r="C266" s="68">
        <v>44544.0</v>
      </c>
      <c r="D266" s="54">
        <v>0.3854166666666667</v>
      </c>
      <c r="E266" s="7">
        <v>75.0</v>
      </c>
      <c r="F266" s="7">
        <v>64.12</v>
      </c>
      <c r="G266" s="7">
        <v>0.3</v>
      </c>
      <c r="H266" s="7">
        <f t="shared" si="7"/>
        <v>0.0669</v>
      </c>
      <c r="I266" s="7">
        <v>287.12</v>
      </c>
      <c r="J266" s="7">
        <f t="shared" si="1"/>
        <v>223</v>
      </c>
      <c r="K266" s="7">
        <v>64.49</v>
      </c>
      <c r="L266" s="7">
        <f t="shared" si="2"/>
        <v>0.37</v>
      </c>
      <c r="M266" s="35">
        <f t="shared" si="3"/>
        <v>1.659192825</v>
      </c>
      <c r="N266" s="7">
        <f t="shared" si="4"/>
        <v>1659.192825</v>
      </c>
      <c r="O266" s="7">
        <f t="shared" si="8"/>
        <v>1659.125925</v>
      </c>
      <c r="P266" s="7" t="s">
        <v>515</v>
      </c>
      <c r="Q266" s="7" t="s">
        <v>395</v>
      </c>
      <c r="R266" s="5"/>
    </row>
    <row r="267">
      <c r="A267" s="7" t="s">
        <v>516</v>
      </c>
      <c r="B267" s="7" t="s">
        <v>351</v>
      </c>
      <c r="C267" s="51">
        <v>44544.0</v>
      </c>
      <c r="D267" s="52">
        <v>0.4375</v>
      </c>
      <c r="E267" s="7">
        <v>44.0</v>
      </c>
      <c r="F267" s="7">
        <v>64.44</v>
      </c>
      <c r="G267" s="7">
        <v>0.3</v>
      </c>
      <c r="H267" s="7">
        <f t="shared" si="7"/>
        <v>0.069087</v>
      </c>
      <c r="I267" s="7">
        <v>294.73</v>
      </c>
      <c r="J267" s="7">
        <f t="shared" si="1"/>
        <v>230.29</v>
      </c>
      <c r="K267" s="7">
        <v>64.54</v>
      </c>
      <c r="L267" s="7">
        <f t="shared" si="2"/>
        <v>0.1</v>
      </c>
      <c r="M267" s="35">
        <f t="shared" si="3"/>
        <v>0.4342350949</v>
      </c>
      <c r="N267" s="7">
        <f t="shared" si="4"/>
        <v>434.2350949</v>
      </c>
      <c r="O267" s="7">
        <f t="shared" si="8"/>
        <v>434.1660079</v>
      </c>
      <c r="P267" s="7" t="s">
        <v>397</v>
      </c>
      <c r="Q267" s="7" t="s">
        <v>147</v>
      </c>
      <c r="R267" s="5"/>
    </row>
    <row r="268">
      <c r="A268" s="7" t="s">
        <v>517</v>
      </c>
      <c r="B268" s="7" t="s">
        <v>351</v>
      </c>
      <c r="C268" s="51">
        <v>44544.0</v>
      </c>
      <c r="D268" s="52">
        <v>0.5416666666666666</v>
      </c>
      <c r="E268" s="7">
        <v>45.0</v>
      </c>
      <c r="F268" s="7">
        <v>64.27</v>
      </c>
      <c r="G268" s="7">
        <v>0.4</v>
      </c>
      <c r="H268" s="7">
        <f t="shared" si="7"/>
        <v>0.092108</v>
      </c>
      <c r="I268" s="7">
        <v>294.54</v>
      </c>
      <c r="J268" s="7">
        <f t="shared" si="1"/>
        <v>230.27</v>
      </c>
      <c r="K268" s="7">
        <v>64.4</v>
      </c>
      <c r="L268" s="7">
        <f t="shared" si="2"/>
        <v>0.13</v>
      </c>
      <c r="M268" s="35">
        <f t="shared" si="3"/>
        <v>0.5645546532</v>
      </c>
      <c r="N268" s="7">
        <f t="shared" si="4"/>
        <v>564.5546532</v>
      </c>
      <c r="O268" s="7">
        <f t="shared" si="8"/>
        <v>564.4625452</v>
      </c>
      <c r="P268" s="7" t="s">
        <v>397</v>
      </c>
      <c r="Q268" s="7" t="s">
        <v>147</v>
      </c>
      <c r="R268" s="5"/>
    </row>
    <row r="269">
      <c r="A269" s="7" t="s">
        <v>518</v>
      </c>
      <c r="B269" s="7" t="s">
        <v>519</v>
      </c>
      <c r="C269" s="51">
        <v>44544.0</v>
      </c>
      <c r="D269" s="52">
        <v>0.6458333333333334</v>
      </c>
      <c r="E269" s="7">
        <v>89.0</v>
      </c>
      <c r="F269" s="7">
        <v>64.28</v>
      </c>
      <c r="G269" s="7">
        <v>0.4</v>
      </c>
      <c r="H269" s="7">
        <f t="shared" si="7"/>
        <v>0.094912</v>
      </c>
      <c r="I269" s="7">
        <v>301.56</v>
      </c>
      <c r="J269" s="7">
        <f t="shared" si="1"/>
        <v>237.28</v>
      </c>
      <c r="K269" s="7">
        <v>64.41</v>
      </c>
      <c r="L269" s="7">
        <f t="shared" si="2"/>
        <v>0.13</v>
      </c>
      <c r="M269" s="35">
        <f t="shared" si="3"/>
        <v>0.5478759272</v>
      </c>
      <c r="N269" s="7">
        <f t="shared" si="4"/>
        <v>547.8759272</v>
      </c>
      <c r="O269" s="7">
        <f t="shared" si="8"/>
        <v>547.7810152</v>
      </c>
      <c r="P269" s="7" t="s">
        <v>397</v>
      </c>
      <c r="Q269" s="7" t="s">
        <v>147</v>
      </c>
      <c r="R269" s="5"/>
    </row>
    <row r="270">
      <c r="A270" s="7" t="s">
        <v>520</v>
      </c>
      <c r="B270" s="7" t="s">
        <v>347</v>
      </c>
      <c r="C270" s="51">
        <v>44543.0</v>
      </c>
      <c r="D270" s="52">
        <v>0.5</v>
      </c>
      <c r="E270" s="7">
        <v>63.0</v>
      </c>
      <c r="F270" s="7">
        <v>64.52</v>
      </c>
      <c r="G270" s="7">
        <v>1.4</v>
      </c>
      <c r="H270" s="7">
        <f t="shared" si="7"/>
        <v>0.315714</v>
      </c>
      <c r="I270" s="7">
        <v>290.03</v>
      </c>
      <c r="J270" s="7">
        <f t="shared" si="1"/>
        <v>225.51</v>
      </c>
      <c r="K270" s="7">
        <v>64.91</v>
      </c>
      <c r="L270" s="7">
        <f t="shared" si="2"/>
        <v>0.39</v>
      </c>
      <c r="M270" s="35">
        <f t="shared" si="3"/>
        <v>1.72941333</v>
      </c>
      <c r="N270" s="7">
        <f t="shared" si="4"/>
        <v>1729.41333</v>
      </c>
      <c r="O270" s="7">
        <f t="shared" si="8"/>
        <v>1729.097616</v>
      </c>
      <c r="P270" s="7" t="s">
        <v>397</v>
      </c>
      <c r="Q270" s="7" t="s">
        <v>147</v>
      </c>
      <c r="R270" s="5"/>
    </row>
    <row r="271">
      <c r="A271" s="7" t="s">
        <v>521</v>
      </c>
      <c r="B271" s="7" t="s">
        <v>347</v>
      </c>
      <c r="C271" s="51">
        <v>44543.0</v>
      </c>
      <c r="D271" s="52">
        <v>0.5520833333333334</v>
      </c>
      <c r="E271" s="7">
        <v>52.0</v>
      </c>
      <c r="F271" s="7">
        <v>64.48</v>
      </c>
      <c r="G271" s="7">
        <v>1.4</v>
      </c>
      <c r="H271" s="7">
        <f t="shared" si="7"/>
        <v>0.315294</v>
      </c>
      <c r="I271" s="7">
        <v>289.69</v>
      </c>
      <c r="J271" s="7">
        <f t="shared" si="1"/>
        <v>225.21</v>
      </c>
      <c r="K271" s="7">
        <v>64.87</v>
      </c>
      <c r="L271" s="7">
        <f t="shared" si="2"/>
        <v>0.39</v>
      </c>
      <c r="M271" s="35">
        <f t="shared" si="3"/>
        <v>1.731717064</v>
      </c>
      <c r="N271" s="7">
        <f t="shared" si="4"/>
        <v>1731.717064</v>
      </c>
      <c r="O271" s="7">
        <f t="shared" si="8"/>
        <v>1731.40177</v>
      </c>
      <c r="P271" s="7" t="s">
        <v>397</v>
      </c>
      <c r="Q271" s="7" t="s">
        <v>147</v>
      </c>
      <c r="R271" s="5"/>
    </row>
    <row r="272">
      <c r="A272" s="7" t="s">
        <v>522</v>
      </c>
      <c r="B272" s="7" t="s">
        <v>347</v>
      </c>
      <c r="C272" s="51">
        <v>44543.0</v>
      </c>
      <c r="D272" s="52">
        <v>0.65625</v>
      </c>
      <c r="E272" s="7">
        <v>62.0</v>
      </c>
      <c r="F272" s="7">
        <v>64.14</v>
      </c>
      <c r="G272" s="7">
        <v>1.4</v>
      </c>
      <c r="H272" s="7">
        <f t="shared" si="7"/>
        <v>0.317184</v>
      </c>
      <c r="I272" s="7">
        <v>290.7</v>
      </c>
      <c r="J272" s="7">
        <f t="shared" si="1"/>
        <v>226.56</v>
      </c>
      <c r="K272" s="7">
        <v>64.53</v>
      </c>
      <c r="L272" s="7">
        <f t="shared" si="2"/>
        <v>0.39</v>
      </c>
      <c r="M272" s="35">
        <f t="shared" si="3"/>
        <v>1.721398305</v>
      </c>
      <c r="N272" s="7">
        <f t="shared" si="4"/>
        <v>1721.398305</v>
      </c>
      <c r="O272" s="7">
        <f t="shared" si="8"/>
        <v>1721.081121</v>
      </c>
      <c r="P272" s="7" t="s">
        <v>397</v>
      </c>
      <c r="Q272" s="7" t="s">
        <v>147</v>
      </c>
      <c r="R272" s="5"/>
    </row>
    <row r="273">
      <c r="A273" s="7" t="s">
        <v>523</v>
      </c>
      <c r="B273" s="7" t="s">
        <v>347</v>
      </c>
      <c r="C273" s="51">
        <v>44543.0</v>
      </c>
      <c r="D273" s="52">
        <v>0.7083333333333334</v>
      </c>
      <c r="E273" s="7">
        <v>68.0</v>
      </c>
      <c r="F273" s="7">
        <v>64.04</v>
      </c>
      <c r="G273" s="7">
        <v>1.4</v>
      </c>
      <c r="H273" s="7">
        <f t="shared" si="7"/>
        <v>0.324996</v>
      </c>
      <c r="I273" s="7">
        <v>296.18</v>
      </c>
      <c r="J273" s="7">
        <f t="shared" si="1"/>
        <v>232.14</v>
      </c>
      <c r="K273" s="7">
        <v>64.45</v>
      </c>
      <c r="L273" s="7">
        <f t="shared" si="2"/>
        <v>0.41</v>
      </c>
      <c r="M273" s="35">
        <f t="shared" si="3"/>
        <v>1.766175584</v>
      </c>
      <c r="N273" s="7">
        <f t="shared" si="4"/>
        <v>1766.175584</v>
      </c>
      <c r="O273" s="7">
        <f t="shared" si="8"/>
        <v>1765.850588</v>
      </c>
      <c r="P273" s="7" t="s">
        <v>397</v>
      </c>
      <c r="Q273" s="7" t="s">
        <v>147</v>
      </c>
      <c r="R273" s="5"/>
    </row>
    <row r="274">
      <c r="A274" s="7" t="s">
        <v>524</v>
      </c>
      <c r="B274" s="7" t="s">
        <v>347</v>
      </c>
      <c r="C274" s="53">
        <v>44543.0</v>
      </c>
      <c r="D274" s="54">
        <v>0.8125</v>
      </c>
      <c r="E274" s="7">
        <v>38.0</v>
      </c>
      <c r="F274" s="7">
        <v>64.44</v>
      </c>
      <c r="G274" s="7">
        <v>0.6</v>
      </c>
      <c r="H274" s="7">
        <f t="shared" si="7"/>
        <v>0.133998</v>
      </c>
      <c r="I274" s="7">
        <v>287.77</v>
      </c>
      <c r="J274" s="7">
        <f t="shared" si="1"/>
        <v>223.33</v>
      </c>
      <c r="K274" s="7">
        <v>64.89</v>
      </c>
      <c r="L274" s="7">
        <f t="shared" si="2"/>
        <v>0.45</v>
      </c>
      <c r="M274" s="35">
        <f t="shared" si="3"/>
        <v>2.014955447</v>
      </c>
      <c r="N274" s="7">
        <f t="shared" si="4"/>
        <v>2014.955447</v>
      </c>
      <c r="O274" s="7">
        <f t="shared" si="8"/>
        <v>2014.821449</v>
      </c>
      <c r="P274" s="7" t="s">
        <v>525</v>
      </c>
      <c r="Q274" s="7" t="s">
        <v>395</v>
      </c>
      <c r="R274" s="5"/>
    </row>
    <row r="275">
      <c r="A275" s="7" t="s">
        <v>526</v>
      </c>
      <c r="B275" s="7" t="s">
        <v>343</v>
      </c>
      <c r="C275" s="51">
        <v>44543.0</v>
      </c>
      <c r="D275" s="52">
        <v>0.8645833333333334</v>
      </c>
      <c r="E275" s="7">
        <v>67.0</v>
      </c>
      <c r="F275" s="7">
        <v>64.4</v>
      </c>
      <c r="G275" s="7">
        <v>0.3</v>
      </c>
      <c r="H275" s="7">
        <f t="shared" si="7"/>
        <v>0.06867</v>
      </c>
      <c r="I275" s="7">
        <v>293.3</v>
      </c>
      <c r="J275" s="7">
        <f t="shared" si="1"/>
        <v>228.9</v>
      </c>
      <c r="K275" s="7">
        <v>64.49</v>
      </c>
      <c r="L275" s="7">
        <f t="shared" si="2"/>
        <v>0.09</v>
      </c>
      <c r="M275" s="35">
        <f t="shared" si="3"/>
        <v>0.3931847969</v>
      </c>
      <c r="N275" s="7">
        <f t="shared" si="4"/>
        <v>393.1847969</v>
      </c>
      <c r="O275" s="7">
        <f t="shared" si="8"/>
        <v>393.1161269</v>
      </c>
      <c r="P275" s="7" t="s">
        <v>397</v>
      </c>
      <c r="Q275" s="7" t="s">
        <v>147</v>
      </c>
      <c r="R275" s="5"/>
    </row>
    <row r="276">
      <c r="A276" s="7" t="s">
        <v>527</v>
      </c>
      <c r="B276" s="7" t="s">
        <v>343</v>
      </c>
      <c r="C276" s="22">
        <v>44543.0</v>
      </c>
      <c r="D276" s="54">
        <v>0.96875</v>
      </c>
      <c r="E276" s="7">
        <v>43.0</v>
      </c>
      <c r="F276" s="7">
        <v>64.28</v>
      </c>
      <c r="G276" s="7">
        <v>0.3</v>
      </c>
      <c r="H276" s="7">
        <f t="shared" si="7"/>
        <v>0.066882</v>
      </c>
      <c r="I276" s="7">
        <v>287.22</v>
      </c>
      <c r="J276" s="7">
        <f t="shared" si="1"/>
        <v>222.94</v>
      </c>
      <c r="K276" s="7">
        <v>64.8</v>
      </c>
      <c r="L276" s="7">
        <f t="shared" si="2"/>
        <v>0.52</v>
      </c>
      <c r="M276" s="35">
        <f t="shared" si="3"/>
        <v>2.332466134</v>
      </c>
      <c r="N276" s="7">
        <f t="shared" si="4"/>
        <v>2332.466134</v>
      </c>
      <c r="O276" s="7">
        <f t="shared" si="8"/>
        <v>2332.399252</v>
      </c>
      <c r="P276" s="7" t="s">
        <v>528</v>
      </c>
      <c r="Q276" s="7" t="s">
        <v>395</v>
      </c>
      <c r="R276" s="5"/>
    </row>
    <row r="277">
      <c r="A277" s="7" t="s">
        <v>529</v>
      </c>
      <c r="B277" s="7" t="s">
        <v>343</v>
      </c>
      <c r="C277" s="53">
        <v>7349394.0</v>
      </c>
      <c r="D277" s="54">
        <v>0.125</v>
      </c>
      <c r="E277" s="7">
        <v>60.0</v>
      </c>
      <c r="F277" s="7">
        <v>64.31</v>
      </c>
      <c r="G277" s="7">
        <v>0.2</v>
      </c>
      <c r="H277" s="7">
        <f t="shared" si="7"/>
        <v>0.044726</v>
      </c>
      <c r="I277" s="7">
        <v>287.94</v>
      </c>
      <c r="J277" s="7">
        <f t="shared" si="1"/>
        <v>223.63</v>
      </c>
      <c r="K277" s="7">
        <v>64.8</v>
      </c>
      <c r="L277" s="7">
        <f t="shared" si="2"/>
        <v>0.49</v>
      </c>
      <c r="M277" s="35">
        <f t="shared" si="3"/>
        <v>2.191119259</v>
      </c>
      <c r="N277" s="7">
        <f t="shared" si="4"/>
        <v>2191.119259</v>
      </c>
      <c r="O277" s="7">
        <f t="shared" si="8"/>
        <v>2191.074533</v>
      </c>
      <c r="P277" s="7" t="s">
        <v>530</v>
      </c>
      <c r="Q277" s="7" t="s">
        <v>395</v>
      </c>
      <c r="R277" s="5"/>
    </row>
    <row r="278">
      <c r="A278" s="7" t="s">
        <v>531</v>
      </c>
      <c r="B278" s="7" t="s">
        <v>343</v>
      </c>
      <c r="C278" s="51">
        <v>44544.0</v>
      </c>
      <c r="D278" s="52">
        <v>0.22916666666666666</v>
      </c>
      <c r="E278" s="7">
        <v>49.0</v>
      </c>
      <c r="F278" s="7">
        <v>64.38</v>
      </c>
      <c r="G278" s="7">
        <v>0.5</v>
      </c>
      <c r="H278" s="7">
        <f t="shared" si="7"/>
        <v>0.119955</v>
      </c>
      <c r="I278" s="7">
        <v>304.29</v>
      </c>
      <c r="J278" s="7">
        <f t="shared" si="1"/>
        <v>239.91</v>
      </c>
      <c r="K278" s="7">
        <v>64.52</v>
      </c>
      <c r="L278" s="7">
        <f t="shared" si="2"/>
        <v>0.14</v>
      </c>
      <c r="M278" s="35">
        <f t="shared" si="3"/>
        <v>0.5835521654</v>
      </c>
      <c r="N278" s="7">
        <f t="shared" si="4"/>
        <v>583.5521654</v>
      </c>
      <c r="O278" s="7">
        <f t="shared" si="8"/>
        <v>583.4322104</v>
      </c>
      <c r="P278" s="7" t="s">
        <v>397</v>
      </c>
      <c r="Q278" s="7" t="s">
        <v>147</v>
      </c>
      <c r="R278" s="5"/>
    </row>
    <row r="279">
      <c r="A279" s="7" t="s">
        <v>532</v>
      </c>
      <c r="B279" s="7" t="s">
        <v>347</v>
      </c>
      <c r="C279" s="51">
        <v>44544.0</v>
      </c>
      <c r="D279" s="52">
        <v>0.28125</v>
      </c>
      <c r="E279" s="7">
        <v>72.0</v>
      </c>
      <c r="F279" s="7">
        <v>64.33</v>
      </c>
      <c r="G279" s="7">
        <v>0.5</v>
      </c>
      <c r="H279" s="7">
        <f t="shared" si="7"/>
        <v>0.11562</v>
      </c>
      <c r="I279" s="7">
        <v>295.57</v>
      </c>
      <c r="J279" s="7">
        <f t="shared" si="1"/>
        <v>231.24</v>
      </c>
      <c r="K279" s="7">
        <v>64.48</v>
      </c>
      <c r="L279" s="7">
        <f t="shared" si="2"/>
        <v>0.15</v>
      </c>
      <c r="M279" s="35">
        <f t="shared" si="3"/>
        <v>0.6486766995</v>
      </c>
      <c r="N279" s="7">
        <f t="shared" si="4"/>
        <v>648.6766995</v>
      </c>
      <c r="O279" s="7">
        <f t="shared" si="8"/>
        <v>648.5610795</v>
      </c>
      <c r="P279" s="7" t="s">
        <v>397</v>
      </c>
      <c r="Q279" s="7" t="s">
        <v>147</v>
      </c>
      <c r="R279" s="5"/>
    </row>
    <row r="280">
      <c r="A280" s="7" t="s">
        <v>533</v>
      </c>
      <c r="B280" s="7" t="s">
        <v>347</v>
      </c>
      <c r="C280" s="51">
        <v>44544.0</v>
      </c>
      <c r="D280" s="52">
        <v>0.4895833333333333</v>
      </c>
      <c r="E280" s="7">
        <v>53.0</v>
      </c>
      <c r="F280" s="7">
        <v>64.19</v>
      </c>
      <c r="G280" s="7">
        <v>0.4</v>
      </c>
      <c r="H280" s="7">
        <f t="shared" si="7"/>
        <v>0.091352</v>
      </c>
      <c r="I280" s="7">
        <v>292.57</v>
      </c>
      <c r="J280" s="7">
        <f t="shared" si="1"/>
        <v>228.38</v>
      </c>
      <c r="K280" s="7">
        <v>64.3</v>
      </c>
      <c r="L280" s="7">
        <f t="shared" si="2"/>
        <v>0.11</v>
      </c>
      <c r="M280" s="35">
        <f t="shared" si="3"/>
        <v>0.4816533847</v>
      </c>
      <c r="N280" s="7">
        <f t="shared" si="4"/>
        <v>481.6533847</v>
      </c>
      <c r="O280" s="7">
        <f t="shared" si="8"/>
        <v>481.5620327</v>
      </c>
      <c r="P280" s="7" t="s">
        <v>397</v>
      </c>
      <c r="Q280" s="7" t="s">
        <v>147</v>
      </c>
      <c r="R280" s="5"/>
    </row>
    <row r="281">
      <c r="A281" s="7" t="s">
        <v>534</v>
      </c>
      <c r="B281" s="7" t="s">
        <v>343</v>
      </c>
      <c r="C281" s="51">
        <v>44544.0</v>
      </c>
      <c r="D281" s="52">
        <v>0.6458333333333334</v>
      </c>
      <c r="E281" s="7">
        <v>70.0</v>
      </c>
      <c r="F281" s="7">
        <v>64.07</v>
      </c>
      <c r="G281" s="7">
        <v>0.6</v>
      </c>
      <c r="H281" s="7">
        <f t="shared" si="7"/>
        <v>0.144618</v>
      </c>
      <c r="I281" s="7">
        <v>305.1</v>
      </c>
      <c r="J281" s="7">
        <f t="shared" si="1"/>
        <v>241.03</v>
      </c>
      <c r="K281" s="7">
        <v>64.24</v>
      </c>
      <c r="L281" s="7">
        <f t="shared" si="2"/>
        <v>0.17</v>
      </c>
      <c r="M281" s="35">
        <f t="shared" si="3"/>
        <v>0.7053063934</v>
      </c>
      <c r="N281" s="7">
        <f t="shared" si="4"/>
        <v>705.3063934</v>
      </c>
      <c r="O281" s="7">
        <f t="shared" si="8"/>
        <v>705.1617754</v>
      </c>
      <c r="P281" s="7" t="s">
        <v>397</v>
      </c>
      <c r="Q281" s="7" t="s">
        <v>147</v>
      </c>
      <c r="R281" s="5"/>
    </row>
    <row r="282">
      <c r="A282" s="7" t="s">
        <v>535</v>
      </c>
      <c r="B282" s="7" t="s">
        <v>339</v>
      </c>
      <c r="C282" s="51">
        <v>44543.0</v>
      </c>
      <c r="D282" s="52">
        <v>0.8645833333333334</v>
      </c>
      <c r="E282" s="7">
        <v>108.0</v>
      </c>
      <c r="F282" s="7">
        <v>64.29</v>
      </c>
      <c r="G282" s="7">
        <v>0.1</v>
      </c>
      <c r="H282" s="7">
        <f t="shared" si="7"/>
        <v>0.021732</v>
      </c>
      <c r="I282" s="7">
        <v>281.61</v>
      </c>
      <c r="J282" s="7">
        <f t="shared" si="1"/>
        <v>217.32</v>
      </c>
      <c r="K282" s="7">
        <v>64.31</v>
      </c>
      <c r="L282" s="7">
        <f t="shared" si="2"/>
        <v>0.02</v>
      </c>
      <c r="M282" s="35">
        <f t="shared" si="3"/>
        <v>0.0920301859</v>
      </c>
      <c r="N282" s="7">
        <f t="shared" si="4"/>
        <v>92.0301859</v>
      </c>
      <c r="O282" s="7">
        <f t="shared" si="8"/>
        <v>92.0084539</v>
      </c>
      <c r="P282" s="7" t="s">
        <v>397</v>
      </c>
      <c r="Q282" s="7" t="s">
        <v>147</v>
      </c>
      <c r="R282" s="5"/>
    </row>
    <row r="283">
      <c r="A283" s="7" t="s">
        <v>536</v>
      </c>
      <c r="B283" s="7" t="s">
        <v>355</v>
      </c>
      <c r="C283" s="51">
        <v>44543.0</v>
      </c>
      <c r="D283" s="52">
        <v>0.9166666666666666</v>
      </c>
      <c r="E283" s="7">
        <v>60.0</v>
      </c>
      <c r="F283" s="7">
        <v>64.3</v>
      </c>
      <c r="G283" s="7">
        <v>0.1</v>
      </c>
      <c r="H283" s="7">
        <f t="shared" si="7"/>
        <v>0.022393</v>
      </c>
      <c r="I283" s="7">
        <v>288.23</v>
      </c>
      <c r="J283" s="7">
        <f t="shared" si="1"/>
        <v>223.93</v>
      </c>
      <c r="K283" s="7">
        <v>64.35</v>
      </c>
      <c r="L283" s="7">
        <f t="shared" si="2"/>
        <v>0.05</v>
      </c>
      <c r="M283" s="35">
        <f t="shared" si="3"/>
        <v>0.223284062</v>
      </c>
      <c r="N283" s="7">
        <f t="shared" si="4"/>
        <v>223.284062</v>
      </c>
      <c r="O283" s="7">
        <f t="shared" si="8"/>
        <v>223.261669</v>
      </c>
      <c r="P283" s="7" t="s">
        <v>402</v>
      </c>
      <c r="Q283" s="7" t="s">
        <v>147</v>
      </c>
      <c r="R283" s="5"/>
    </row>
    <row r="284">
      <c r="A284" s="7" t="s">
        <v>537</v>
      </c>
      <c r="B284" s="7" t="s">
        <v>355</v>
      </c>
      <c r="C284" s="51">
        <v>44544.0</v>
      </c>
      <c r="D284" s="52">
        <v>0.07291666666666667</v>
      </c>
      <c r="E284" s="7">
        <v>65.0</v>
      </c>
      <c r="F284" s="7">
        <v>64.26</v>
      </c>
      <c r="G284" s="7">
        <v>0.1</v>
      </c>
      <c r="H284" s="7">
        <f t="shared" si="7"/>
        <v>0.02254</v>
      </c>
      <c r="I284" s="7">
        <v>289.66</v>
      </c>
      <c r="J284" s="7">
        <f t="shared" si="1"/>
        <v>225.4</v>
      </c>
      <c r="K284" s="7">
        <v>64.28</v>
      </c>
      <c r="L284" s="7">
        <f t="shared" si="2"/>
        <v>0.02</v>
      </c>
      <c r="M284" s="35">
        <f t="shared" si="3"/>
        <v>0.08873114463</v>
      </c>
      <c r="N284" s="7">
        <f t="shared" si="4"/>
        <v>88.73114463</v>
      </c>
      <c r="O284" s="7">
        <f t="shared" si="8"/>
        <v>88.70860463</v>
      </c>
      <c r="P284" s="7" t="s">
        <v>402</v>
      </c>
      <c r="Q284" s="7" t="s">
        <v>147</v>
      </c>
      <c r="R284" s="5"/>
    </row>
    <row r="285">
      <c r="A285" s="7" t="s">
        <v>538</v>
      </c>
      <c r="B285" s="7" t="s">
        <v>355</v>
      </c>
      <c r="C285" s="51">
        <v>44544.0</v>
      </c>
      <c r="D285" s="52">
        <v>0.125</v>
      </c>
      <c r="E285" s="7">
        <v>66.0</v>
      </c>
      <c r="F285" s="7">
        <v>64.24</v>
      </c>
      <c r="G285" s="7">
        <v>0.1</v>
      </c>
      <c r="H285" s="7">
        <f t="shared" si="7"/>
        <v>0.023101</v>
      </c>
      <c r="I285" s="7">
        <v>295.25</v>
      </c>
      <c r="J285" s="7">
        <f t="shared" si="1"/>
        <v>231.01</v>
      </c>
      <c r="K285" s="7">
        <v>64.26</v>
      </c>
      <c r="L285" s="7">
        <f t="shared" si="2"/>
        <v>0.02</v>
      </c>
      <c r="M285" s="35">
        <f t="shared" si="3"/>
        <v>0.08657633869</v>
      </c>
      <c r="N285" s="7">
        <f t="shared" si="4"/>
        <v>86.57633869</v>
      </c>
      <c r="O285" s="7">
        <f t="shared" si="8"/>
        <v>86.55323769</v>
      </c>
      <c r="P285" s="7" t="s">
        <v>402</v>
      </c>
      <c r="Q285" s="7" t="s">
        <v>147</v>
      </c>
      <c r="R285" s="5"/>
    </row>
    <row r="286">
      <c r="A286" s="7" t="s">
        <v>539</v>
      </c>
      <c r="B286" s="7" t="s">
        <v>355</v>
      </c>
      <c r="C286" s="51">
        <v>44544.0</v>
      </c>
      <c r="D286" s="52">
        <v>0.22916666666666666</v>
      </c>
      <c r="E286" s="7">
        <v>69.0</v>
      </c>
      <c r="F286" s="7">
        <v>64.5</v>
      </c>
      <c r="G286" s="7">
        <v>0.1</v>
      </c>
      <c r="H286" s="7">
        <f t="shared" si="7"/>
        <v>0.02248</v>
      </c>
      <c r="I286" s="7">
        <v>289.3</v>
      </c>
      <c r="J286" s="7">
        <f t="shared" si="1"/>
        <v>224.8</v>
      </c>
      <c r="K286" s="7">
        <v>64.53</v>
      </c>
      <c r="L286" s="7">
        <f t="shared" si="2"/>
        <v>0.03</v>
      </c>
      <c r="M286" s="35">
        <f t="shared" si="3"/>
        <v>0.1334519573</v>
      </c>
      <c r="N286" s="7">
        <f t="shared" si="4"/>
        <v>133.4519573</v>
      </c>
      <c r="O286" s="7">
        <f t="shared" si="8"/>
        <v>133.4294773</v>
      </c>
      <c r="P286" s="7" t="s">
        <v>402</v>
      </c>
      <c r="Q286" s="7" t="s">
        <v>147</v>
      </c>
      <c r="R286" s="5"/>
    </row>
    <row r="287">
      <c r="A287" s="7" t="s">
        <v>540</v>
      </c>
      <c r="B287" s="7" t="s">
        <v>355</v>
      </c>
      <c r="C287" s="51">
        <v>44544.0</v>
      </c>
      <c r="D287" s="52">
        <v>0.020833333333333332</v>
      </c>
      <c r="E287" s="7">
        <v>64.0</v>
      </c>
      <c r="F287" s="7">
        <v>64.28</v>
      </c>
      <c r="G287" s="7">
        <v>0.1</v>
      </c>
      <c r="H287" s="7">
        <f t="shared" si="7"/>
        <v>0.023631</v>
      </c>
      <c r="I287" s="7">
        <v>300.59</v>
      </c>
      <c r="J287" s="7">
        <f t="shared" si="1"/>
        <v>236.31</v>
      </c>
      <c r="K287" s="7">
        <v>64.29</v>
      </c>
      <c r="L287" s="7">
        <f t="shared" si="2"/>
        <v>0.01</v>
      </c>
      <c r="M287" s="35">
        <f t="shared" si="3"/>
        <v>0.04231729508</v>
      </c>
      <c r="N287" s="7">
        <f t="shared" si="4"/>
        <v>42.31729508</v>
      </c>
      <c r="O287" s="7">
        <f t="shared" si="8"/>
        <v>42.29366408</v>
      </c>
      <c r="P287" s="7" t="s">
        <v>402</v>
      </c>
      <c r="Q287" s="7" t="s">
        <v>147</v>
      </c>
      <c r="R287" s="5"/>
    </row>
    <row r="288">
      <c r="A288" s="7" t="s">
        <v>541</v>
      </c>
      <c r="B288" s="5"/>
      <c r="C288" s="20"/>
      <c r="D288" s="57"/>
      <c r="E288" s="7">
        <v>53.0</v>
      </c>
      <c r="F288" s="7">
        <v>64.18</v>
      </c>
      <c r="G288" s="7">
        <v>0.3</v>
      </c>
      <c r="H288" s="7">
        <f t="shared" si="7"/>
        <v>0.069642</v>
      </c>
      <c r="I288" s="7">
        <v>296.32</v>
      </c>
      <c r="J288" s="7">
        <f t="shared" si="1"/>
        <v>232.14</v>
      </c>
      <c r="K288" s="7">
        <v>64.23</v>
      </c>
      <c r="L288" s="7">
        <f t="shared" si="2"/>
        <v>0.05</v>
      </c>
      <c r="M288" s="35">
        <f t="shared" si="3"/>
        <v>0.2153872663</v>
      </c>
      <c r="N288" s="7">
        <f t="shared" si="4"/>
        <v>215.3872663</v>
      </c>
      <c r="O288" s="7">
        <f t="shared" si="8"/>
        <v>215.3176243</v>
      </c>
      <c r="P288" s="7" t="s">
        <v>485</v>
      </c>
      <c r="Q288" s="7" t="s">
        <v>147</v>
      </c>
      <c r="R288" s="5"/>
    </row>
    <row r="289">
      <c r="A289" s="7" t="s">
        <v>542</v>
      </c>
      <c r="B289" s="7" t="s">
        <v>339</v>
      </c>
      <c r="C289" s="51">
        <v>44544.0</v>
      </c>
      <c r="D289" s="52">
        <v>0.4895833333333333</v>
      </c>
      <c r="E289" s="7">
        <v>93.0</v>
      </c>
      <c r="F289" s="7">
        <v>64.27</v>
      </c>
      <c r="G289" s="7">
        <v>0.2</v>
      </c>
      <c r="H289" s="7">
        <f t="shared" si="7"/>
        <v>0.046466</v>
      </c>
      <c r="I289" s="7">
        <v>296.6</v>
      </c>
      <c r="J289" s="7">
        <f t="shared" si="1"/>
        <v>232.33</v>
      </c>
      <c r="K289" s="7">
        <v>64.32</v>
      </c>
      <c r="L289" s="7">
        <f t="shared" si="2"/>
        <v>0.05</v>
      </c>
      <c r="M289" s="35">
        <f t="shared" si="3"/>
        <v>0.2152111221</v>
      </c>
      <c r="N289" s="7">
        <f t="shared" si="4"/>
        <v>215.2111221</v>
      </c>
      <c r="O289" s="7">
        <f t="shared" si="8"/>
        <v>215.1646561</v>
      </c>
      <c r="P289" s="7" t="s">
        <v>397</v>
      </c>
      <c r="Q289" s="7" t="s">
        <v>147</v>
      </c>
      <c r="R289" s="5"/>
    </row>
    <row r="290">
      <c r="A290" s="7" t="s">
        <v>543</v>
      </c>
      <c r="B290" s="7" t="s">
        <v>355</v>
      </c>
      <c r="C290" s="51">
        <v>44544.0</v>
      </c>
      <c r="D290" s="52">
        <v>0.6458333333333334</v>
      </c>
      <c r="E290" s="7">
        <v>71.0</v>
      </c>
      <c r="F290" s="7">
        <v>64.1</v>
      </c>
      <c r="G290" s="7">
        <v>0.3</v>
      </c>
      <c r="H290" s="7">
        <f t="shared" si="7"/>
        <v>0.068865</v>
      </c>
      <c r="I290" s="7">
        <v>293.65</v>
      </c>
      <c r="J290" s="7">
        <f t="shared" si="1"/>
        <v>229.55</v>
      </c>
      <c r="K290" s="7">
        <v>64.2</v>
      </c>
      <c r="L290" s="7">
        <f t="shared" si="2"/>
        <v>0.1</v>
      </c>
      <c r="M290" s="35">
        <f t="shared" si="3"/>
        <v>0.4356349379</v>
      </c>
      <c r="N290" s="7">
        <f t="shared" si="4"/>
        <v>435.6349379</v>
      </c>
      <c r="O290" s="7">
        <f t="shared" si="8"/>
        <v>435.5660729</v>
      </c>
      <c r="P290" s="7" t="s">
        <v>402</v>
      </c>
      <c r="Q290" s="7" t="s">
        <v>147</v>
      </c>
      <c r="R290" s="5"/>
    </row>
    <row r="291">
      <c r="A291" s="7" t="s">
        <v>179</v>
      </c>
      <c r="B291" s="7" t="s">
        <v>339</v>
      </c>
      <c r="C291" s="68">
        <v>44543.0</v>
      </c>
      <c r="D291" s="54">
        <v>0.8125</v>
      </c>
      <c r="E291" s="7">
        <v>56.0</v>
      </c>
      <c r="F291" s="7">
        <v>64.32</v>
      </c>
      <c r="G291" s="7">
        <v>0.2</v>
      </c>
      <c r="H291" s="7">
        <f t="shared" si="7"/>
        <v>0.0441</v>
      </c>
      <c r="I291" s="7">
        <v>284.82</v>
      </c>
      <c r="J291" s="7">
        <f t="shared" si="1"/>
        <v>220.5</v>
      </c>
      <c r="K291" s="7">
        <v>64.54</v>
      </c>
      <c r="L291" s="7">
        <f t="shared" si="2"/>
        <v>0.22</v>
      </c>
      <c r="M291" s="35">
        <f t="shared" si="3"/>
        <v>0.9977324263</v>
      </c>
      <c r="N291" s="7">
        <f t="shared" si="4"/>
        <v>997.7324263</v>
      </c>
      <c r="O291" s="7">
        <f t="shared" si="8"/>
        <v>997.6883263</v>
      </c>
      <c r="P291" s="7" t="s">
        <v>544</v>
      </c>
      <c r="Q291" s="7" t="s">
        <v>395</v>
      </c>
      <c r="R291" s="5"/>
    </row>
    <row r="292">
      <c r="A292" s="69" t="s">
        <v>545</v>
      </c>
      <c r="B292" s="45" t="s">
        <v>351</v>
      </c>
      <c r="C292" s="71">
        <v>44559.0</v>
      </c>
      <c r="D292" s="72">
        <v>0.1875</v>
      </c>
      <c r="E292" s="45">
        <v>50.0</v>
      </c>
      <c r="F292" s="45">
        <v>64.33</v>
      </c>
      <c r="G292" s="45">
        <v>21.3</v>
      </c>
      <c r="H292" s="45">
        <f t="shared" si="7"/>
        <v>4.807623</v>
      </c>
      <c r="I292" s="45">
        <v>290.04</v>
      </c>
      <c r="J292" s="45">
        <f t="shared" si="1"/>
        <v>225.71</v>
      </c>
      <c r="K292" s="45">
        <v>69.57</v>
      </c>
      <c r="L292" s="45">
        <f t="shared" si="2"/>
        <v>5.24</v>
      </c>
      <c r="M292" s="46">
        <f t="shared" si="3"/>
        <v>23.21563068</v>
      </c>
      <c r="N292" s="45">
        <f t="shared" si="4"/>
        <v>23215.63068</v>
      </c>
      <c r="O292" s="45">
        <f t="shared" si="8"/>
        <v>23210.82305</v>
      </c>
      <c r="P292" s="45" t="s">
        <v>546</v>
      </c>
      <c r="Q292" s="45" t="s">
        <v>395</v>
      </c>
      <c r="S292" s="45" t="s">
        <v>547</v>
      </c>
    </row>
    <row r="293">
      <c r="A293" s="69" t="s">
        <v>548</v>
      </c>
      <c r="B293" s="43"/>
      <c r="C293" s="43"/>
      <c r="D293" s="43"/>
      <c r="E293" s="45">
        <v>61.0</v>
      </c>
      <c r="F293" s="45">
        <v>64.49</v>
      </c>
      <c r="G293" s="45">
        <v>31.4</v>
      </c>
      <c r="H293" s="45">
        <f t="shared" si="7"/>
        <v>7.381512</v>
      </c>
      <c r="I293" s="45">
        <v>299.57</v>
      </c>
      <c r="J293" s="45">
        <f t="shared" si="1"/>
        <v>235.08</v>
      </c>
      <c r="K293" s="45">
        <v>73.14</v>
      </c>
      <c r="L293" s="45">
        <f t="shared" si="2"/>
        <v>8.65</v>
      </c>
      <c r="M293" s="46">
        <f t="shared" si="3"/>
        <v>36.79598435</v>
      </c>
      <c r="N293" s="45">
        <f t="shared" si="4"/>
        <v>36795.98435</v>
      </c>
      <c r="O293" s="45">
        <f t="shared" si="8"/>
        <v>36788.60283</v>
      </c>
      <c r="P293" s="45" t="s">
        <v>485</v>
      </c>
      <c r="Q293" s="45" t="s">
        <v>147</v>
      </c>
      <c r="S293" s="45" t="s">
        <v>498</v>
      </c>
    </row>
    <row r="294">
      <c r="A294" s="7" t="s">
        <v>549</v>
      </c>
      <c r="B294" s="7" t="s">
        <v>351</v>
      </c>
      <c r="C294" s="68">
        <v>44559.0</v>
      </c>
      <c r="D294" s="54">
        <v>0.3333333333333333</v>
      </c>
      <c r="E294" s="7">
        <v>84.0</v>
      </c>
      <c r="F294" s="7">
        <v>64.26</v>
      </c>
      <c r="G294" s="7">
        <v>3.3</v>
      </c>
      <c r="H294" s="7">
        <f t="shared" si="7"/>
        <v>0.705705</v>
      </c>
      <c r="I294" s="7">
        <v>278.11</v>
      </c>
      <c r="J294" s="7">
        <f t="shared" si="1"/>
        <v>213.85</v>
      </c>
      <c r="K294" s="7">
        <v>65.15</v>
      </c>
      <c r="L294" s="7">
        <f t="shared" si="2"/>
        <v>0.89</v>
      </c>
      <c r="M294" s="35">
        <f t="shared" si="3"/>
        <v>4.161795651</v>
      </c>
      <c r="N294" s="7">
        <f t="shared" si="4"/>
        <v>4161.795651</v>
      </c>
      <c r="O294" s="7">
        <f t="shared" si="8"/>
        <v>4161.089946</v>
      </c>
      <c r="P294" s="7" t="s">
        <v>550</v>
      </c>
      <c r="Q294" s="7" t="s">
        <v>395</v>
      </c>
      <c r="S294" s="5"/>
    </row>
    <row r="295">
      <c r="A295" s="7" t="s">
        <v>551</v>
      </c>
      <c r="B295" s="7" t="s">
        <v>351</v>
      </c>
      <c r="C295" s="68">
        <v>44559.0</v>
      </c>
      <c r="D295" s="54">
        <v>0.3958333333333333</v>
      </c>
      <c r="E295" s="7">
        <v>81.0</v>
      </c>
      <c r="F295" s="7">
        <v>64.28</v>
      </c>
      <c r="G295" s="7">
        <v>3.4</v>
      </c>
      <c r="H295" s="7">
        <f t="shared" si="7"/>
        <v>0.753746</v>
      </c>
      <c r="I295" s="7">
        <v>285.97</v>
      </c>
      <c r="J295" s="7">
        <f t="shared" si="1"/>
        <v>221.69</v>
      </c>
      <c r="K295" s="7">
        <v>65.4</v>
      </c>
      <c r="L295" s="7">
        <f t="shared" si="2"/>
        <v>1.12</v>
      </c>
      <c r="M295" s="35">
        <f t="shared" si="3"/>
        <v>5.052099779</v>
      </c>
      <c r="N295" s="7">
        <f t="shared" si="4"/>
        <v>5052.099779</v>
      </c>
      <c r="O295" s="7">
        <f t="shared" si="8"/>
        <v>5051.346033</v>
      </c>
      <c r="P295" s="7" t="s">
        <v>552</v>
      </c>
      <c r="Q295" s="7" t="s">
        <v>395</v>
      </c>
      <c r="S295" s="5"/>
    </row>
    <row r="296">
      <c r="A296" s="7" t="s">
        <v>553</v>
      </c>
      <c r="B296" s="7" t="s">
        <v>351</v>
      </c>
      <c r="C296" s="68">
        <v>44559.0</v>
      </c>
      <c r="D296" s="54">
        <v>0.4375</v>
      </c>
      <c r="E296" s="7">
        <v>58.0</v>
      </c>
      <c r="F296" s="7">
        <v>64.33</v>
      </c>
      <c r="G296" s="7">
        <v>3.9</v>
      </c>
      <c r="H296" s="7">
        <f t="shared" si="7"/>
        <v>0.882258</v>
      </c>
      <c r="I296" s="7">
        <v>290.55</v>
      </c>
      <c r="J296" s="7">
        <f t="shared" si="1"/>
        <v>226.22</v>
      </c>
      <c r="K296" s="7">
        <v>65.35</v>
      </c>
      <c r="L296" s="7">
        <f t="shared" si="2"/>
        <v>1.02</v>
      </c>
      <c r="M296" s="35">
        <f t="shared" si="3"/>
        <v>4.508885156</v>
      </c>
      <c r="N296" s="7">
        <f t="shared" si="4"/>
        <v>4508.885156</v>
      </c>
      <c r="O296" s="7">
        <f t="shared" si="8"/>
        <v>4508.002898</v>
      </c>
      <c r="P296" s="7" t="s">
        <v>554</v>
      </c>
      <c r="Q296" s="7" t="s">
        <v>395</v>
      </c>
      <c r="S296" s="5"/>
    </row>
    <row r="297">
      <c r="A297" s="69" t="s">
        <v>555</v>
      </c>
      <c r="B297" s="43"/>
      <c r="C297" s="43"/>
      <c r="D297" s="43"/>
      <c r="E297" s="45">
        <v>62.0</v>
      </c>
      <c r="F297" s="45">
        <v>64.14</v>
      </c>
      <c r="G297" s="45">
        <v>43.9</v>
      </c>
      <c r="H297" s="45">
        <f t="shared" si="7"/>
        <v>10.402105</v>
      </c>
      <c r="I297" s="45">
        <v>301.09</v>
      </c>
      <c r="J297" s="45">
        <f t="shared" si="1"/>
        <v>236.95</v>
      </c>
      <c r="K297" s="45">
        <v>75.64</v>
      </c>
      <c r="L297" s="45">
        <f t="shared" si="2"/>
        <v>11.5</v>
      </c>
      <c r="M297" s="46">
        <f t="shared" si="3"/>
        <v>48.53344587</v>
      </c>
      <c r="N297" s="45">
        <f t="shared" si="4"/>
        <v>48533.44587</v>
      </c>
      <c r="O297" s="45">
        <f t="shared" si="8"/>
        <v>48523.04377</v>
      </c>
      <c r="P297" s="45" t="s">
        <v>485</v>
      </c>
      <c r="Q297" s="45" t="s">
        <v>147</v>
      </c>
      <c r="S297" s="45" t="s">
        <v>498</v>
      </c>
    </row>
    <row r="298">
      <c r="A298" s="69" t="s">
        <v>556</v>
      </c>
      <c r="B298" s="43"/>
      <c r="C298" s="43"/>
      <c r="D298" s="43"/>
      <c r="E298" s="45">
        <v>63.0</v>
      </c>
      <c r="F298" s="45">
        <v>64.53</v>
      </c>
      <c r="G298" s="45">
        <v>44.5</v>
      </c>
      <c r="H298" s="45">
        <f t="shared" si="7"/>
        <v>10.42368</v>
      </c>
      <c r="I298" s="45">
        <v>298.77</v>
      </c>
      <c r="J298" s="45">
        <f t="shared" si="1"/>
        <v>234.24</v>
      </c>
      <c r="K298" s="45">
        <v>76.04</v>
      </c>
      <c r="L298" s="45">
        <f t="shared" si="2"/>
        <v>11.51</v>
      </c>
      <c r="M298" s="46">
        <f t="shared" si="3"/>
        <v>49.13763661</v>
      </c>
      <c r="N298" s="45">
        <f t="shared" si="4"/>
        <v>49137.63661</v>
      </c>
      <c r="O298" s="45">
        <f t="shared" si="8"/>
        <v>49127.21293</v>
      </c>
      <c r="P298" s="45" t="s">
        <v>485</v>
      </c>
      <c r="Q298" s="45" t="s">
        <v>147</v>
      </c>
      <c r="S298" s="45" t="s">
        <v>498</v>
      </c>
    </row>
    <row r="299">
      <c r="A299" s="69" t="s">
        <v>557</v>
      </c>
      <c r="B299" s="43"/>
      <c r="C299" s="55"/>
      <c r="D299" s="56"/>
      <c r="E299" s="45">
        <v>64.0</v>
      </c>
      <c r="F299" s="45">
        <v>64.27</v>
      </c>
      <c r="G299" s="45">
        <v>45.5</v>
      </c>
      <c r="H299" s="45">
        <f t="shared" si="7"/>
        <v>10.48229</v>
      </c>
      <c r="I299" s="45">
        <v>294.65</v>
      </c>
      <c r="J299" s="45">
        <f t="shared" si="1"/>
        <v>230.38</v>
      </c>
      <c r="K299" s="45">
        <v>75.72</v>
      </c>
      <c r="L299" s="45">
        <f t="shared" si="2"/>
        <v>11.45</v>
      </c>
      <c r="M299" s="46">
        <f t="shared" si="3"/>
        <v>49.70049483</v>
      </c>
      <c r="N299" s="45">
        <f t="shared" si="4"/>
        <v>49700.49483</v>
      </c>
      <c r="O299" s="45">
        <f t="shared" si="8"/>
        <v>49690.01254</v>
      </c>
      <c r="P299" s="45" t="s">
        <v>485</v>
      </c>
      <c r="Q299" s="45" t="s">
        <v>147</v>
      </c>
      <c r="S299" s="45" t="s">
        <v>498</v>
      </c>
    </row>
    <row r="300">
      <c r="A300" s="69" t="s">
        <v>558</v>
      </c>
      <c r="B300" s="43"/>
      <c r="C300" s="43"/>
      <c r="D300" s="43"/>
      <c r="E300" s="45">
        <v>68.0</v>
      </c>
      <c r="F300" s="45">
        <v>64.05</v>
      </c>
      <c r="G300" s="45">
        <v>41.2</v>
      </c>
      <c r="H300" s="45">
        <f t="shared" si="7"/>
        <v>9.206552</v>
      </c>
      <c r="I300" s="45">
        <v>287.51</v>
      </c>
      <c r="J300" s="45">
        <f t="shared" si="1"/>
        <v>223.46</v>
      </c>
      <c r="K300" s="45">
        <v>73.95</v>
      </c>
      <c r="L300" s="45">
        <f t="shared" si="2"/>
        <v>9.9</v>
      </c>
      <c r="M300" s="46">
        <f t="shared" si="3"/>
        <v>44.303231</v>
      </c>
      <c r="N300" s="45">
        <f t="shared" si="4"/>
        <v>44303.231</v>
      </c>
      <c r="O300" s="45">
        <f t="shared" si="8"/>
        <v>44294.02445</v>
      </c>
      <c r="P300" s="45" t="s">
        <v>485</v>
      </c>
      <c r="Q300" s="45" t="s">
        <v>147</v>
      </c>
      <c r="S300" s="45" t="s">
        <v>498</v>
      </c>
    </row>
    <row r="301">
      <c r="A301" s="7" t="s">
        <v>559</v>
      </c>
      <c r="B301" s="5"/>
      <c r="C301" s="20"/>
      <c r="D301" s="57"/>
      <c r="E301" s="7">
        <v>52.0</v>
      </c>
      <c r="F301" s="7">
        <v>64.5</v>
      </c>
      <c r="G301" s="7">
        <v>0.5</v>
      </c>
      <c r="H301" s="7">
        <f t="shared" si="7"/>
        <v>0.118595</v>
      </c>
      <c r="I301" s="7">
        <v>301.69</v>
      </c>
      <c r="J301" s="7">
        <f t="shared" si="1"/>
        <v>237.19</v>
      </c>
      <c r="K301" s="7">
        <v>64.66</v>
      </c>
      <c r="L301" s="7">
        <f t="shared" si="2"/>
        <v>0.16</v>
      </c>
      <c r="M301" s="35">
        <f t="shared" si="3"/>
        <v>0.674564695</v>
      </c>
      <c r="N301" s="7">
        <f t="shared" si="4"/>
        <v>674.564695</v>
      </c>
      <c r="O301" s="7">
        <f t="shared" si="8"/>
        <v>674.4461</v>
      </c>
      <c r="P301" s="7" t="s">
        <v>410</v>
      </c>
      <c r="Q301" s="7" t="s">
        <v>147</v>
      </c>
      <c r="R301" s="5"/>
    </row>
    <row r="302">
      <c r="A302" s="7" t="s">
        <v>560</v>
      </c>
      <c r="B302" s="5"/>
      <c r="C302" s="5"/>
      <c r="D302" s="5"/>
      <c r="E302" s="7">
        <v>53.0</v>
      </c>
      <c r="F302" s="7">
        <v>64.19</v>
      </c>
      <c r="G302" s="7">
        <v>0.1</v>
      </c>
      <c r="H302" s="7">
        <f t="shared" si="7"/>
        <v>0.023076</v>
      </c>
      <c r="I302" s="7">
        <v>294.95</v>
      </c>
      <c r="J302" s="7">
        <f t="shared" si="1"/>
        <v>230.76</v>
      </c>
      <c r="K302" s="7">
        <v>64.22</v>
      </c>
      <c r="L302" s="7">
        <f t="shared" si="2"/>
        <v>0.03</v>
      </c>
      <c r="M302" s="35">
        <f t="shared" si="3"/>
        <v>0.1300052002</v>
      </c>
      <c r="N302" s="7">
        <f t="shared" si="4"/>
        <v>130.0052002</v>
      </c>
      <c r="O302" s="7">
        <f t="shared" si="8"/>
        <v>129.9821242</v>
      </c>
      <c r="P302" s="7" t="s">
        <v>410</v>
      </c>
      <c r="Q302" s="7" t="s">
        <v>147</v>
      </c>
      <c r="R302" s="5"/>
    </row>
    <row r="303">
      <c r="A303" s="6" t="s">
        <v>561</v>
      </c>
      <c r="B303" s="7" t="s">
        <v>339</v>
      </c>
      <c r="C303" s="53">
        <v>44648.0</v>
      </c>
      <c r="D303" s="54">
        <v>0.3333333333333333</v>
      </c>
      <c r="E303" s="7">
        <v>38.0</v>
      </c>
      <c r="F303" s="7">
        <v>64.43</v>
      </c>
      <c r="G303" s="7">
        <v>0.1</v>
      </c>
      <c r="H303" s="7">
        <f t="shared" si="7"/>
        <v>0.021903</v>
      </c>
      <c r="I303" s="7">
        <v>283.46</v>
      </c>
      <c r="J303" s="7">
        <f t="shared" si="1"/>
        <v>219.03</v>
      </c>
      <c r="K303" s="7">
        <v>64.48</v>
      </c>
      <c r="L303" s="7">
        <f t="shared" si="2"/>
        <v>0.05</v>
      </c>
      <c r="M303" s="35">
        <f t="shared" si="3"/>
        <v>0.2282792312</v>
      </c>
      <c r="N303" s="7">
        <f t="shared" si="4"/>
        <v>228.2792312</v>
      </c>
      <c r="O303" s="7">
        <f t="shared" si="8"/>
        <v>228.2573282</v>
      </c>
      <c r="P303" s="7" t="s">
        <v>402</v>
      </c>
      <c r="Q303" s="7" t="s">
        <v>147</v>
      </c>
      <c r="R303" s="5"/>
    </row>
    <row r="304">
      <c r="A304" s="6" t="s">
        <v>562</v>
      </c>
      <c r="B304" s="7" t="s">
        <v>339</v>
      </c>
      <c r="C304" s="53">
        <v>44648.0</v>
      </c>
      <c r="D304" s="54">
        <v>0.375</v>
      </c>
      <c r="E304" s="7">
        <v>43.0</v>
      </c>
      <c r="F304" s="7">
        <v>64.28</v>
      </c>
      <c r="G304" s="7">
        <v>0.1</v>
      </c>
      <c r="H304" s="7">
        <f t="shared" si="7"/>
        <v>0.022582</v>
      </c>
      <c r="I304" s="7">
        <v>290.1</v>
      </c>
      <c r="J304" s="7">
        <f t="shared" si="1"/>
        <v>225.82</v>
      </c>
      <c r="K304" s="7">
        <v>64.3</v>
      </c>
      <c r="L304" s="7">
        <f t="shared" si="2"/>
        <v>0.02</v>
      </c>
      <c r="M304" s="35">
        <f t="shared" si="3"/>
        <v>0.0885661146</v>
      </c>
      <c r="N304" s="7">
        <f t="shared" si="4"/>
        <v>88.5661146</v>
      </c>
      <c r="O304" s="7">
        <f t="shared" si="8"/>
        <v>88.5435326</v>
      </c>
      <c r="P304" s="7" t="s">
        <v>402</v>
      </c>
      <c r="Q304" s="7" t="s">
        <v>147</v>
      </c>
      <c r="R304" s="5"/>
    </row>
    <row r="305">
      <c r="A305" s="7" t="s">
        <v>563</v>
      </c>
      <c r="B305" s="5"/>
      <c r="C305" s="20"/>
      <c r="D305" s="57"/>
      <c r="E305" s="7">
        <v>70.0</v>
      </c>
      <c r="F305" s="7">
        <v>64.08</v>
      </c>
      <c r="G305" s="7">
        <v>0.3</v>
      </c>
      <c r="H305" s="7">
        <f t="shared" si="7"/>
        <v>0.069789</v>
      </c>
      <c r="I305" s="7">
        <v>296.71</v>
      </c>
      <c r="J305" s="7">
        <f t="shared" si="1"/>
        <v>232.63</v>
      </c>
      <c r="K305" s="7">
        <v>64.11</v>
      </c>
      <c r="L305" s="7">
        <f t="shared" si="2"/>
        <v>0.03</v>
      </c>
      <c r="M305" s="35">
        <f t="shared" si="3"/>
        <v>0.1289601513</v>
      </c>
      <c r="N305" s="7">
        <f t="shared" si="4"/>
        <v>128.9601513</v>
      </c>
      <c r="O305" s="7">
        <f t="shared" si="8"/>
        <v>128.8903623</v>
      </c>
      <c r="P305" s="7" t="s">
        <v>485</v>
      </c>
      <c r="Q305" s="7" t="s">
        <v>147</v>
      </c>
      <c r="R305" s="5"/>
    </row>
    <row r="306">
      <c r="A306" s="7" t="s">
        <v>564</v>
      </c>
      <c r="B306" s="5"/>
      <c r="C306" s="20"/>
      <c r="D306" s="57"/>
      <c r="E306" s="7">
        <v>72.0</v>
      </c>
      <c r="F306" s="7">
        <v>64.32</v>
      </c>
      <c r="G306" s="7">
        <v>0.2</v>
      </c>
      <c r="H306" s="7">
        <f t="shared" si="7"/>
        <v>0.04405</v>
      </c>
      <c r="I306" s="7">
        <v>284.57</v>
      </c>
      <c r="J306" s="7">
        <f t="shared" si="1"/>
        <v>220.25</v>
      </c>
      <c r="K306" s="7">
        <v>64.35</v>
      </c>
      <c r="L306" s="7">
        <f t="shared" si="2"/>
        <v>0.03</v>
      </c>
      <c r="M306" s="35">
        <f t="shared" si="3"/>
        <v>0.1362088536</v>
      </c>
      <c r="N306" s="7">
        <f t="shared" si="4"/>
        <v>136.2088536</v>
      </c>
      <c r="O306" s="7">
        <f t="shared" si="8"/>
        <v>136.1648036</v>
      </c>
      <c r="P306" s="7" t="s">
        <v>485</v>
      </c>
      <c r="Q306" s="7" t="s">
        <v>147</v>
      </c>
      <c r="R306" s="5"/>
    </row>
    <row r="307">
      <c r="A307" s="7" t="s">
        <v>565</v>
      </c>
      <c r="B307" s="5"/>
      <c r="C307" s="20"/>
      <c r="D307" s="57"/>
      <c r="E307" s="7">
        <v>61.0</v>
      </c>
      <c r="F307" s="7">
        <v>64.49</v>
      </c>
      <c r="G307" s="7">
        <v>0.2</v>
      </c>
      <c r="H307" s="7">
        <f t="shared" si="7"/>
        <v>0.044938</v>
      </c>
      <c r="I307" s="7">
        <v>289.18</v>
      </c>
      <c r="J307" s="7">
        <f t="shared" si="1"/>
        <v>224.69</v>
      </c>
      <c r="K307" s="7">
        <v>64.54</v>
      </c>
      <c r="L307" s="7">
        <f t="shared" si="2"/>
        <v>0.05</v>
      </c>
      <c r="M307" s="35">
        <f t="shared" si="3"/>
        <v>0.2225288175</v>
      </c>
      <c r="N307" s="7">
        <f t="shared" si="4"/>
        <v>222.5288175</v>
      </c>
      <c r="O307" s="7">
        <f t="shared" si="8"/>
        <v>222.4838795</v>
      </c>
      <c r="P307" s="7" t="s">
        <v>410</v>
      </c>
      <c r="Q307" s="7" t="s">
        <v>147</v>
      </c>
      <c r="R307" s="5"/>
    </row>
    <row r="308">
      <c r="A308" s="7" t="s">
        <v>566</v>
      </c>
      <c r="B308" s="5"/>
      <c r="C308" s="5"/>
      <c r="D308" s="5"/>
      <c r="E308" s="7">
        <v>62.0</v>
      </c>
      <c r="F308" s="7">
        <v>64.15</v>
      </c>
      <c r="G308" s="7">
        <v>0.2</v>
      </c>
      <c r="H308" s="7">
        <f t="shared" si="7"/>
        <v>0.0454</v>
      </c>
      <c r="I308" s="7">
        <v>291.15</v>
      </c>
      <c r="J308" s="7">
        <f t="shared" si="1"/>
        <v>227</v>
      </c>
      <c r="K308" s="7">
        <v>64.22</v>
      </c>
      <c r="L308" s="7">
        <f t="shared" si="2"/>
        <v>0.07</v>
      </c>
      <c r="M308" s="35">
        <f t="shared" si="3"/>
        <v>0.3083700441</v>
      </c>
      <c r="N308" s="7">
        <f t="shared" si="4"/>
        <v>308.3700441</v>
      </c>
      <c r="O308" s="7">
        <f t="shared" si="8"/>
        <v>308.3246441</v>
      </c>
      <c r="P308" s="7" t="s">
        <v>410</v>
      </c>
      <c r="Q308" s="7" t="s">
        <v>147</v>
      </c>
      <c r="R308" s="5"/>
    </row>
    <row r="309">
      <c r="A309" s="7" t="s">
        <v>567</v>
      </c>
      <c r="B309" s="5"/>
      <c r="C309" s="5"/>
      <c r="D309" s="5"/>
      <c r="E309" s="7">
        <v>63.0</v>
      </c>
      <c r="F309" s="7">
        <v>64.53</v>
      </c>
      <c r="G309" s="7">
        <v>1.7</v>
      </c>
      <c r="H309" s="7">
        <f t="shared" si="7"/>
        <v>0.391748</v>
      </c>
      <c r="I309" s="7">
        <v>294.97</v>
      </c>
      <c r="J309" s="7">
        <f t="shared" si="1"/>
        <v>230.44</v>
      </c>
      <c r="K309" s="7">
        <v>65.02</v>
      </c>
      <c r="L309" s="7">
        <f t="shared" si="2"/>
        <v>0.49</v>
      </c>
      <c r="M309" s="35">
        <f t="shared" si="3"/>
        <v>2.12636695</v>
      </c>
      <c r="N309" s="7">
        <f t="shared" si="4"/>
        <v>2126.36695</v>
      </c>
      <c r="O309" s="7">
        <f t="shared" si="8"/>
        <v>2125.975202</v>
      </c>
      <c r="P309" s="7" t="s">
        <v>410</v>
      </c>
      <c r="Q309" s="7" t="s">
        <v>147</v>
      </c>
      <c r="R309" s="5"/>
    </row>
    <row r="310">
      <c r="A310" s="7" t="s">
        <v>568</v>
      </c>
      <c r="B310" s="5"/>
      <c r="C310" s="20"/>
      <c r="D310" s="57"/>
      <c r="E310" s="7">
        <v>75.0</v>
      </c>
      <c r="F310" s="7">
        <v>64.11</v>
      </c>
      <c r="G310" s="7">
        <v>1.6</v>
      </c>
      <c r="H310" s="7">
        <f t="shared" si="7"/>
        <v>0.362864</v>
      </c>
      <c r="I310" s="7">
        <v>290.9</v>
      </c>
      <c r="J310" s="7">
        <f t="shared" si="1"/>
        <v>226.79</v>
      </c>
      <c r="K310" s="7">
        <v>64.55</v>
      </c>
      <c r="L310" s="7">
        <f t="shared" si="2"/>
        <v>0.44</v>
      </c>
      <c r="M310" s="35">
        <f t="shared" si="3"/>
        <v>1.940120817</v>
      </c>
      <c r="N310" s="7">
        <f t="shared" si="4"/>
        <v>1940.120817</v>
      </c>
      <c r="O310" s="7">
        <f t="shared" si="8"/>
        <v>1939.757953</v>
      </c>
      <c r="P310" s="7" t="s">
        <v>485</v>
      </c>
      <c r="Q310" s="7" t="s">
        <v>147</v>
      </c>
      <c r="R310" s="5"/>
    </row>
    <row r="311">
      <c r="A311" s="7" t="s">
        <v>569</v>
      </c>
      <c r="B311" s="5"/>
      <c r="C311" s="20"/>
      <c r="D311" s="57"/>
      <c r="E311" s="7">
        <v>93.0</v>
      </c>
      <c r="F311" s="7">
        <v>64.28</v>
      </c>
      <c r="G311" s="7">
        <v>1.6</v>
      </c>
      <c r="H311" s="7">
        <f t="shared" si="7"/>
        <v>0.367088</v>
      </c>
      <c r="I311" s="7">
        <v>293.71</v>
      </c>
      <c r="J311" s="7">
        <f t="shared" si="1"/>
        <v>229.43</v>
      </c>
      <c r="K311" s="7">
        <v>64.72</v>
      </c>
      <c r="L311" s="7">
        <f t="shared" si="2"/>
        <v>0.44</v>
      </c>
      <c r="M311" s="35">
        <f t="shared" si="3"/>
        <v>1.917796278</v>
      </c>
      <c r="N311" s="7">
        <f t="shared" si="4"/>
        <v>1917.796278</v>
      </c>
      <c r="O311" s="7">
        <f t="shared" si="8"/>
        <v>1917.42919</v>
      </c>
      <c r="P311" s="7" t="s">
        <v>485</v>
      </c>
      <c r="Q311" s="7" t="s">
        <v>147</v>
      </c>
      <c r="R311" s="5"/>
    </row>
    <row r="312">
      <c r="A312" s="7" t="s">
        <v>570</v>
      </c>
      <c r="B312" s="5"/>
      <c r="C312" s="21"/>
      <c r="D312" s="57"/>
      <c r="E312" s="7">
        <v>68.0</v>
      </c>
      <c r="F312" s="7">
        <v>64.06</v>
      </c>
      <c r="G312" s="7">
        <v>1.7</v>
      </c>
      <c r="H312" s="7">
        <f t="shared" si="7"/>
        <v>0.381021</v>
      </c>
      <c r="I312" s="7">
        <v>288.19</v>
      </c>
      <c r="J312" s="7">
        <f t="shared" si="1"/>
        <v>224.13</v>
      </c>
      <c r="K312" s="7">
        <v>64.52</v>
      </c>
      <c r="L312" s="7">
        <f t="shared" si="2"/>
        <v>0.46</v>
      </c>
      <c r="M312" s="35">
        <f t="shared" si="3"/>
        <v>2.052380315</v>
      </c>
      <c r="N312" s="7">
        <f t="shared" si="4"/>
        <v>2052.380315</v>
      </c>
      <c r="O312" s="7">
        <f t="shared" si="8"/>
        <v>2051.999294</v>
      </c>
      <c r="P312" s="7" t="s">
        <v>410</v>
      </c>
      <c r="Q312" s="7" t="s">
        <v>147</v>
      </c>
      <c r="R312" s="5"/>
    </row>
    <row r="313">
      <c r="A313" s="7" t="s">
        <v>571</v>
      </c>
      <c r="B313" s="5"/>
      <c r="C313" s="20"/>
      <c r="D313" s="57"/>
      <c r="E313" s="7">
        <v>70.0</v>
      </c>
      <c r="F313" s="7">
        <v>64.07</v>
      </c>
      <c r="G313" s="7">
        <v>0.8</v>
      </c>
      <c r="H313" s="7">
        <f t="shared" si="7"/>
        <v>0.181216</v>
      </c>
      <c r="I313" s="7">
        <v>290.59</v>
      </c>
      <c r="J313" s="7">
        <f t="shared" si="1"/>
        <v>226.52</v>
      </c>
      <c r="K313" s="7">
        <v>64.31</v>
      </c>
      <c r="L313" s="7">
        <f t="shared" si="2"/>
        <v>0.24</v>
      </c>
      <c r="M313" s="35">
        <f t="shared" si="3"/>
        <v>1.059509094</v>
      </c>
      <c r="N313" s="7">
        <f t="shared" si="4"/>
        <v>1059.509094</v>
      </c>
      <c r="O313" s="7">
        <f t="shared" si="8"/>
        <v>1059.327878</v>
      </c>
      <c r="P313" s="7" t="s">
        <v>410</v>
      </c>
      <c r="Q313" s="7" t="s">
        <v>147</v>
      </c>
      <c r="R313" s="5"/>
    </row>
    <row r="314">
      <c r="A314" s="6" t="s">
        <v>572</v>
      </c>
      <c r="B314" s="7" t="s">
        <v>347</v>
      </c>
      <c r="C314" s="53">
        <v>44648.0</v>
      </c>
      <c r="D314" s="54">
        <v>0.2916666666666667</v>
      </c>
      <c r="E314" s="7">
        <v>58.0</v>
      </c>
      <c r="F314" s="7">
        <v>64.16</v>
      </c>
      <c r="G314" s="7">
        <v>0.1</v>
      </c>
      <c r="H314" s="7">
        <f t="shared" si="7"/>
        <v>0.023072</v>
      </c>
      <c r="I314" s="7">
        <v>294.88</v>
      </c>
      <c r="J314" s="7">
        <f t="shared" si="1"/>
        <v>230.72</v>
      </c>
      <c r="K314" s="7">
        <v>64.48</v>
      </c>
      <c r="L314" s="7">
        <f t="shared" si="2"/>
        <v>0.32</v>
      </c>
      <c r="M314" s="35">
        <f t="shared" si="3"/>
        <v>1.386962552</v>
      </c>
      <c r="N314" s="7">
        <f t="shared" si="4"/>
        <v>1386.962552</v>
      </c>
      <c r="O314" s="7">
        <f t="shared" si="8"/>
        <v>1386.93948</v>
      </c>
      <c r="P314" s="7" t="s">
        <v>402</v>
      </c>
      <c r="Q314" s="7" t="s">
        <v>147</v>
      </c>
      <c r="R314" s="5"/>
    </row>
    <row r="315">
      <c r="A315" s="6" t="s">
        <v>573</v>
      </c>
      <c r="B315" s="7" t="s">
        <v>347</v>
      </c>
      <c r="C315" s="53">
        <v>44648.0</v>
      </c>
      <c r="D315" s="54">
        <v>0.375</v>
      </c>
      <c r="E315" s="7">
        <v>55.0</v>
      </c>
      <c r="F315" s="7">
        <v>64.23</v>
      </c>
      <c r="G315" s="7">
        <v>0.2</v>
      </c>
      <c r="H315" s="7">
        <f t="shared" si="7"/>
        <v>0.04422</v>
      </c>
      <c r="I315" s="7">
        <v>285.33</v>
      </c>
      <c r="J315" s="7">
        <f t="shared" si="1"/>
        <v>221.1</v>
      </c>
      <c r="K315" s="7">
        <v>64.3</v>
      </c>
      <c r="L315" s="7">
        <f t="shared" si="2"/>
        <v>0.07</v>
      </c>
      <c r="M315" s="35">
        <f t="shared" si="3"/>
        <v>0.3165988241</v>
      </c>
      <c r="N315" s="7">
        <f t="shared" si="4"/>
        <v>316.5988241</v>
      </c>
      <c r="O315" s="7">
        <f t="shared" si="8"/>
        <v>316.5546041</v>
      </c>
      <c r="P315" s="7" t="s">
        <v>402</v>
      </c>
      <c r="Q315" s="7" t="s">
        <v>147</v>
      </c>
      <c r="R315" s="5"/>
    </row>
    <row r="316">
      <c r="A316" s="6" t="s">
        <v>574</v>
      </c>
      <c r="B316" s="7" t="s">
        <v>347</v>
      </c>
      <c r="C316" s="53">
        <v>44648.0</v>
      </c>
      <c r="D316" s="54">
        <v>0.4166666666666667</v>
      </c>
      <c r="E316" s="7">
        <v>56.0</v>
      </c>
      <c r="F316" s="7">
        <v>64.32</v>
      </c>
      <c r="G316" s="7">
        <v>0.3</v>
      </c>
      <c r="H316" s="7">
        <f t="shared" si="7"/>
        <v>0.065487</v>
      </c>
      <c r="I316" s="7">
        <v>282.61</v>
      </c>
      <c r="J316" s="7">
        <f t="shared" si="1"/>
        <v>218.29</v>
      </c>
      <c r="K316" s="7">
        <v>64.41</v>
      </c>
      <c r="L316" s="7">
        <f t="shared" si="2"/>
        <v>0.09</v>
      </c>
      <c r="M316" s="35">
        <f t="shared" si="3"/>
        <v>0.4122955701</v>
      </c>
      <c r="N316" s="7">
        <f t="shared" si="4"/>
        <v>412.2955701</v>
      </c>
      <c r="O316" s="7">
        <f t="shared" si="8"/>
        <v>412.2300831</v>
      </c>
      <c r="P316" s="7" t="s">
        <v>402</v>
      </c>
      <c r="Q316" s="7" t="s">
        <v>147</v>
      </c>
      <c r="R316" s="5"/>
    </row>
    <row r="317">
      <c r="A317" s="6" t="s">
        <v>575</v>
      </c>
      <c r="B317" s="7" t="s">
        <v>347</v>
      </c>
      <c r="C317" s="53">
        <v>44648.0</v>
      </c>
      <c r="D317" s="54">
        <v>0.5</v>
      </c>
      <c r="E317" s="7">
        <v>57.0</v>
      </c>
      <c r="F317" s="7">
        <v>64.16</v>
      </c>
      <c r="G317" s="7">
        <v>0.3</v>
      </c>
      <c r="H317" s="7">
        <f t="shared" si="7"/>
        <v>0.070677</v>
      </c>
      <c r="I317" s="7">
        <v>299.75</v>
      </c>
      <c r="J317" s="7">
        <f t="shared" si="1"/>
        <v>235.59</v>
      </c>
      <c r="K317" s="7">
        <v>64.27</v>
      </c>
      <c r="L317" s="7">
        <f t="shared" si="2"/>
        <v>0.11</v>
      </c>
      <c r="M317" s="35">
        <f t="shared" si="3"/>
        <v>0.4669128571</v>
      </c>
      <c r="N317" s="7">
        <f t="shared" si="4"/>
        <v>466.9128571</v>
      </c>
      <c r="O317" s="7">
        <f t="shared" si="8"/>
        <v>466.8421801</v>
      </c>
      <c r="P317" s="7" t="s">
        <v>402</v>
      </c>
      <c r="Q317" s="7" t="s">
        <v>147</v>
      </c>
      <c r="R317" s="5"/>
    </row>
    <row r="318">
      <c r="A318" s="7" t="s">
        <v>576</v>
      </c>
      <c r="B318" s="5"/>
      <c r="C318" s="5"/>
      <c r="D318" s="5"/>
      <c r="E318" s="7">
        <v>108.0</v>
      </c>
      <c r="F318" s="7">
        <v>64.29</v>
      </c>
      <c r="G318" s="7">
        <v>0.4</v>
      </c>
      <c r="H318" s="7">
        <f t="shared" si="7"/>
        <v>0.092696</v>
      </c>
      <c r="I318" s="7">
        <v>296.03</v>
      </c>
      <c r="J318" s="7">
        <f t="shared" si="1"/>
        <v>231.74</v>
      </c>
      <c r="K318" s="7">
        <v>64.38</v>
      </c>
      <c r="L318" s="7">
        <f t="shared" si="2"/>
        <v>0.09</v>
      </c>
      <c r="M318" s="35">
        <f t="shared" si="3"/>
        <v>0.3883662725</v>
      </c>
      <c r="N318" s="7">
        <f t="shared" si="4"/>
        <v>388.3662725</v>
      </c>
      <c r="O318" s="7">
        <f t="shared" si="8"/>
        <v>388.2735765</v>
      </c>
      <c r="P318" s="7" t="s">
        <v>485</v>
      </c>
      <c r="Q318" s="7" t="s">
        <v>147</v>
      </c>
      <c r="R31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6" t="s">
        <v>9</v>
      </c>
      <c r="C1" s="4" t="s">
        <v>12</v>
      </c>
      <c r="D1" s="73" t="s">
        <v>577</v>
      </c>
    </row>
    <row r="2">
      <c r="A2" s="6" t="s">
        <v>13</v>
      </c>
      <c r="B2" s="74">
        <v>18.23770491803278</v>
      </c>
      <c r="C2" s="5"/>
      <c r="D2" s="73" t="s">
        <v>578</v>
      </c>
    </row>
    <row r="3">
      <c r="A3" s="11" t="s">
        <v>15</v>
      </c>
      <c r="B3" s="74">
        <v>31.065989847715652</v>
      </c>
      <c r="C3" s="5"/>
      <c r="D3" s="73" t="s">
        <v>578</v>
      </c>
    </row>
    <row r="4">
      <c r="A4" s="12" t="s">
        <v>16</v>
      </c>
      <c r="B4" s="74">
        <v>25.74364521362875</v>
      </c>
      <c r="C4" s="5"/>
      <c r="D4" s="73" t="s">
        <v>578</v>
      </c>
    </row>
    <row r="5">
      <c r="A5" s="13" t="s">
        <v>17</v>
      </c>
      <c r="B5" s="74">
        <v>9.850939727803276</v>
      </c>
      <c r="C5" s="5"/>
      <c r="D5" s="73" t="s">
        <v>578</v>
      </c>
    </row>
    <row r="6">
      <c r="A6" s="13" t="s">
        <v>18</v>
      </c>
      <c r="B6" s="74">
        <v>7.893061744111951</v>
      </c>
      <c r="C6" s="5"/>
      <c r="D6" s="73" t="s">
        <v>578</v>
      </c>
    </row>
    <row r="7">
      <c r="A7" s="13" t="s">
        <v>19</v>
      </c>
      <c r="B7" s="74">
        <v>6.891798759476242</v>
      </c>
      <c r="C7" s="5"/>
      <c r="D7" s="73" t="s">
        <v>578</v>
      </c>
    </row>
    <row r="8">
      <c r="A8" s="11" t="s">
        <v>20</v>
      </c>
      <c r="B8" s="74">
        <v>35.48163548163547</v>
      </c>
      <c r="C8" s="5"/>
      <c r="D8" s="73" t="s">
        <v>578</v>
      </c>
    </row>
    <row r="9">
      <c r="A9" s="11" t="s">
        <v>21</v>
      </c>
      <c r="B9" s="74">
        <v>40.37184594953518</v>
      </c>
      <c r="C9" s="5"/>
      <c r="D9" s="73" t="s">
        <v>578</v>
      </c>
    </row>
    <row r="10">
      <c r="A10" s="12" t="s">
        <v>22</v>
      </c>
      <c r="B10" s="74">
        <v>25.498007968127865</v>
      </c>
      <c r="C10" s="5"/>
      <c r="D10" s="73" t="s">
        <v>578</v>
      </c>
    </row>
    <row r="11">
      <c r="A11" s="12" t="s">
        <v>23</v>
      </c>
      <c r="B11" s="74">
        <v>3.1578947368420986</v>
      </c>
      <c r="C11" s="5"/>
      <c r="D11" s="73" t="s">
        <v>578</v>
      </c>
    </row>
    <row r="12">
      <c r="A12" s="15" t="s">
        <v>24</v>
      </c>
      <c r="B12" s="74">
        <v>27.12328767123283</v>
      </c>
      <c r="C12" s="5"/>
      <c r="D12" s="73" t="s">
        <v>578</v>
      </c>
    </row>
    <row r="13">
      <c r="A13" s="12" t="s">
        <v>25</v>
      </c>
      <c r="B13" s="74">
        <v>20.161290322581053</v>
      </c>
      <c r="C13" s="5"/>
      <c r="D13" s="73" t="s">
        <v>578</v>
      </c>
    </row>
    <row r="14">
      <c r="A14" s="6" t="s">
        <v>26</v>
      </c>
      <c r="B14" s="74">
        <v>13.920454545454527</v>
      </c>
      <c r="C14" s="5"/>
      <c r="D14" s="73" t="s">
        <v>578</v>
      </c>
    </row>
    <row r="15">
      <c r="A15" s="12" t="s">
        <v>27</v>
      </c>
      <c r="B15" s="74">
        <v>12.702893436838416</v>
      </c>
      <c r="C15" s="5"/>
      <c r="D15" s="73" t="s">
        <v>578</v>
      </c>
    </row>
    <row r="16">
      <c r="A16" s="12" t="s">
        <v>28</v>
      </c>
      <c r="B16" s="74">
        <v>4.881550610194179</v>
      </c>
      <c r="C16" s="5"/>
      <c r="D16" s="73" t="s">
        <v>578</v>
      </c>
    </row>
    <row r="17">
      <c r="A17" s="12" t="s">
        <v>29</v>
      </c>
      <c r="B17" s="74">
        <v>1.9774011299435341</v>
      </c>
      <c r="C17" s="5"/>
      <c r="D17" s="73" t="s">
        <v>578</v>
      </c>
    </row>
    <row r="18">
      <c r="A18" s="12" t="s">
        <v>30</v>
      </c>
      <c r="B18" s="74">
        <v>11.614730878187002</v>
      </c>
      <c r="C18" s="5"/>
      <c r="D18" s="73" t="s">
        <v>578</v>
      </c>
    </row>
    <row r="19">
      <c r="A19" s="6" t="s">
        <v>31</v>
      </c>
      <c r="B19" s="74">
        <v>75.90618336886992</v>
      </c>
      <c r="C19" s="5"/>
      <c r="D19" s="73" t="s">
        <v>578</v>
      </c>
    </row>
    <row r="20">
      <c r="A20" s="12" t="s">
        <v>32</v>
      </c>
      <c r="B20" s="74">
        <v>30.17356475300403</v>
      </c>
      <c r="C20" s="5"/>
      <c r="D20" s="73" t="s">
        <v>578</v>
      </c>
    </row>
    <row r="21">
      <c r="A21" s="12" t="s">
        <v>33</v>
      </c>
      <c r="B21" s="74">
        <v>58.570437196391346</v>
      </c>
      <c r="C21" s="5"/>
      <c r="D21" s="73" t="s">
        <v>578</v>
      </c>
    </row>
    <row r="22">
      <c r="A22" s="12" t="s">
        <v>34</v>
      </c>
      <c r="B22" s="74">
        <v>32.6027397260277</v>
      </c>
      <c r="C22" s="5"/>
      <c r="D22" s="73" t="s">
        <v>578</v>
      </c>
    </row>
    <row r="23">
      <c r="A23" s="12" t="s">
        <v>35</v>
      </c>
      <c r="B23" s="74">
        <v>10.189418680601182</v>
      </c>
      <c r="C23" s="5"/>
      <c r="D23" s="73" t="s">
        <v>578</v>
      </c>
    </row>
    <row r="24">
      <c r="A24" s="12" t="s">
        <v>36</v>
      </c>
      <c r="B24" s="74">
        <v>5.329780146568935</v>
      </c>
      <c r="C24" s="5"/>
      <c r="D24" s="73" t="s">
        <v>578</v>
      </c>
    </row>
    <row r="25">
      <c r="A25" s="12" t="s">
        <v>37</v>
      </c>
      <c r="B25" s="74">
        <v>66.29213483146071</v>
      </c>
      <c r="C25" s="5"/>
      <c r="D25" s="73" t="s">
        <v>578</v>
      </c>
    </row>
    <row r="26">
      <c r="A26" s="6" t="s">
        <v>38</v>
      </c>
      <c r="B26" s="74">
        <v>39.609483960948616</v>
      </c>
      <c r="C26" s="5"/>
      <c r="D26" s="73" t="s">
        <v>578</v>
      </c>
    </row>
    <row r="27">
      <c r="A27" s="6" t="s">
        <v>39</v>
      </c>
      <c r="B27" s="74">
        <v>5.45977011494254</v>
      </c>
      <c r="C27" s="5"/>
      <c r="D27" s="73" t="s">
        <v>578</v>
      </c>
    </row>
    <row r="28">
      <c r="A28" s="12" t="s">
        <v>40</v>
      </c>
      <c r="B28" s="74">
        <v>4.046242774566283</v>
      </c>
      <c r="C28" s="5"/>
      <c r="D28" s="73" t="s">
        <v>578</v>
      </c>
    </row>
    <row r="29">
      <c r="A29" s="12" t="s">
        <v>41</v>
      </c>
      <c r="B29" s="74">
        <v>67.31198808637374</v>
      </c>
      <c r="C29" s="5"/>
      <c r="D29" s="73" t="s">
        <v>578</v>
      </c>
    </row>
    <row r="30">
      <c r="A30" s="12" t="s">
        <v>42</v>
      </c>
      <c r="B30" s="74">
        <v>25.82456140350867</v>
      </c>
      <c r="C30" s="5"/>
      <c r="D30" s="73" t="s">
        <v>578</v>
      </c>
    </row>
    <row r="31">
      <c r="A31" s="6" t="s">
        <v>43</v>
      </c>
      <c r="B31" s="74">
        <v>18.53932584269671</v>
      </c>
      <c r="C31" s="5"/>
      <c r="D31" s="73" t="s">
        <v>578</v>
      </c>
    </row>
    <row r="32">
      <c r="A32" s="16" t="s">
        <v>44</v>
      </c>
      <c r="B32" s="74">
        <v>8.789062499999991</v>
      </c>
      <c r="C32" s="5"/>
      <c r="D32" s="73" t="s">
        <v>578</v>
      </c>
    </row>
    <row r="33">
      <c r="A33" s="16" t="s">
        <v>45</v>
      </c>
      <c r="B33" s="74">
        <v>7.831325301204802</v>
      </c>
      <c r="C33" s="5"/>
      <c r="D33" s="73" t="s">
        <v>578</v>
      </c>
    </row>
    <row r="34">
      <c r="A34" s="16" t="s">
        <v>46</v>
      </c>
      <c r="B34" s="74">
        <v>7.302231237322509</v>
      </c>
      <c r="C34" s="5"/>
      <c r="D34" s="73" t="s">
        <v>578</v>
      </c>
    </row>
    <row r="35">
      <c r="A35" s="16" t="s">
        <v>47</v>
      </c>
      <c r="B35" s="74">
        <v>32.50961010433824</v>
      </c>
      <c r="C35" s="5"/>
      <c r="D35" s="73" t="s">
        <v>578</v>
      </c>
    </row>
    <row r="36">
      <c r="A36" s="15" t="s">
        <v>48</v>
      </c>
      <c r="B36" s="74">
        <v>14.769230769230758</v>
      </c>
      <c r="C36" s="5"/>
      <c r="D36" s="73" t="s">
        <v>578</v>
      </c>
    </row>
    <row r="37">
      <c r="A37" s="15" t="s">
        <v>50</v>
      </c>
      <c r="B37" s="74">
        <v>14.051522248243566</v>
      </c>
      <c r="C37" s="5"/>
      <c r="D37" s="73" t="s">
        <v>578</v>
      </c>
    </row>
    <row r="38">
      <c r="A38" s="15" t="s">
        <v>51</v>
      </c>
      <c r="B38" s="74">
        <v>11.34545454545458</v>
      </c>
      <c r="C38" s="5"/>
      <c r="D38" s="73" t="s">
        <v>578</v>
      </c>
    </row>
    <row r="39">
      <c r="A39" s="15" t="s">
        <v>52</v>
      </c>
      <c r="B39" s="74">
        <v>19.886363636363647</v>
      </c>
      <c r="C39" s="5"/>
      <c r="D39" s="73" t="s">
        <v>578</v>
      </c>
    </row>
    <row r="40">
      <c r="A40" s="15" t="s">
        <v>53</v>
      </c>
      <c r="B40" s="74">
        <v>10.280373831775686</v>
      </c>
      <c r="C40" s="5"/>
      <c r="D40" s="73" t="s">
        <v>578</v>
      </c>
    </row>
    <row r="41">
      <c r="A41" s="15" t="s">
        <v>54</v>
      </c>
      <c r="B41" s="74">
        <v>5.414012738853473</v>
      </c>
      <c r="C41" s="5"/>
      <c r="D41" s="73" t="s">
        <v>578</v>
      </c>
    </row>
    <row r="42">
      <c r="A42" s="15" t="s">
        <v>55</v>
      </c>
      <c r="B42" s="74">
        <v>15.223097112860884</v>
      </c>
      <c r="C42" s="5"/>
      <c r="D42" s="73" t="s">
        <v>578</v>
      </c>
    </row>
    <row r="43">
      <c r="A43" s="15" t="s">
        <v>56</v>
      </c>
      <c r="B43" s="74">
        <v>9.44625407166123</v>
      </c>
      <c r="C43" s="5"/>
      <c r="D43" s="73" t="s">
        <v>578</v>
      </c>
    </row>
    <row r="44">
      <c r="A44" s="15" t="s">
        <v>57</v>
      </c>
      <c r="B44" s="74">
        <v>16.26506024096385</v>
      </c>
      <c r="C44" s="5"/>
      <c r="D44" s="73" t="s">
        <v>578</v>
      </c>
    </row>
    <row r="45">
      <c r="A45" s="15" t="s">
        <v>58</v>
      </c>
      <c r="B45" s="74">
        <v>14.376996805111826</v>
      </c>
      <c r="C45" s="5"/>
      <c r="D45" s="73" t="s">
        <v>578</v>
      </c>
    </row>
    <row r="46">
      <c r="A46" s="15" t="s">
        <v>59</v>
      </c>
      <c r="B46" s="74">
        <v>160.05056890012645</v>
      </c>
      <c r="C46" s="5"/>
      <c r="D46" s="73" t="s">
        <v>578</v>
      </c>
    </row>
    <row r="47">
      <c r="A47" s="15" t="s">
        <v>60</v>
      </c>
      <c r="B47" s="74">
        <v>193.23943661971833</v>
      </c>
      <c r="C47" s="5"/>
      <c r="D47" s="73" t="s">
        <v>578</v>
      </c>
    </row>
    <row r="48">
      <c r="A48" s="15" t="s">
        <v>61</v>
      </c>
      <c r="B48" s="74">
        <v>151.53949129852748</v>
      </c>
      <c r="C48" s="5"/>
      <c r="D48" s="73" t="s">
        <v>578</v>
      </c>
    </row>
    <row r="49">
      <c r="A49" s="15" t="s">
        <v>62</v>
      </c>
      <c r="B49" s="74">
        <v>141.36546184738944</v>
      </c>
      <c r="C49" s="5"/>
      <c r="D49" s="73" t="s">
        <v>578</v>
      </c>
    </row>
    <row r="50">
      <c r="A50" s="15" t="s">
        <v>63</v>
      </c>
      <c r="B50" s="74">
        <v>36.57587548638128</v>
      </c>
      <c r="C50" s="5"/>
      <c r="D50" s="73" t="s">
        <v>578</v>
      </c>
    </row>
    <row r="51">
      <c r="A51" s="15" t="s">
        <v>64</v>
      </c>
      <c r="B51" s="74">
        <v>8.29986613119144</v>
      </c>
      <c r="C51" s="5"/>
      <c r="D51" s="73" t="s">
        <v>578</v>
      </c>
    </row>
    <row r="52">
      <c r="A52" s="15" t="s">
        <v>65</v>
      </c>
      <c r="B52" s="74">
        <v>10.526315789473673</v>
      </c>
      <c r="C52" s="5"/>
      <c r="D52" s="73" t="s">
        <v>578</v>
      </c>
    </row>
    <row r="53">
      <c r="A53" s="15" t="s">
        <v>66</v>
      </c>
      <c r="B53" s="74">
        <v>29.44444444444459</v>
      </c>
      <c r="C53" s="5"/>
      <c r="D53" s="73" t="s">
        <v>578</v>
      </c>
    </row>
    <row r="54">
      <c r="A54" s="15" t="s">
        <v>67</v>
      </c>
      <c r="B54" s="74">
        <v>26.229508196721145</v>
      </c>
      <c r="C54" s="5"/>
      <c r="D54" s="73" t="s">
        <v>578</v>
      </c>
    </row>
    <row r="55">
      <c r="A55" s="16" t="s">
        <v>68</v>
      </c>
      <c r="B55" s="74">
        <v>58.3713355048861</v>
      </c>
      <c r="C55" s="5"/>
      <c r="D55" s="73" t="s">
        <v>578</v>
      </c>
    </row>
    <row r="56">
      <c r="A56" s="16" t="s">
        <v>69</v>
      </c>
      <c r="B56" s="74">
        <v>13.95856052344602</v>
      </c>
      <c r="C56" s="5"/>
      <c r="D56" s="73" t="s">
        <v>578</v>
      </c>
    </row>
    <row r="57">
      <c r="A57" s="16" t="s">
        <v>70</v>
      </c>
      <c r="B57" s="74">
        <v>15.990593768371541</v>
      </c>
      <c r="C57" s="5"/>
      <c r="D57" s="73" t="s">
        <v>578</v>
      </c>
    </row>
    <row r="58">
      <c r="A58" s="16" t="s">
        <v>71</v>
      </c>
      <c r="B58" s="74">
        <v>14.672686230248315</v>
      </c>
      <c r="C58" s="5"/>
      <c r="D58" s="73" t="s">
        <v>578</v>
      </c>
    </row>
    <row r="59">
      <c r="A59" s="16" t="s">
        <v>72</v>
      </c>
      <c r="B59" s="74">
        <v>12.629161882893232</v>
      </c>
      <c r="C59" s="5"/>
      <c r="D59" s="73" t="s">
        <v>578</v>
      </c>
    </row>
    <row r="60">
      <c r="A60" s="16" t="s">
        <v>73</v>
      </c>
      <c r="B60" s="74">
        <v>10.700636942675175</v>
      </c>
      <c r="C60" s="5"/>
      <c r="D60" s="73" t="s">
        <v>578</v>
      </c>
    </row>
    <row r="61">
      <c r="A61" s="16" t="s">
        <v>74</v>
      </c>
      <c r="B61" s="74">
        <v>25.105485232067483</v>
      </c>
      <c r="C61" s="5"/>
      <c r="D61" s="73" t="s">
        <v>578</v>
      </c>
    </row>
    <row r="62">
      <c r="A62" s="16" t="s">
        <v>75</v>
      </c>
      <c r="B62" s="74">
        <v>10.536585365853659</v>
      </c>
      <c r="C62" s="5"/>
      <c r="D62" s="73" t="s">
        <v>578</v>
      </c>
    </row>
    <row r="63">
      <c r="A63" s="16" t="s">
        <v>76</v>
      </c>
      <c r="B63" s="74">
        <v>14.271555996035644</v>
      </c>
      <c r="C63" s="5"/>
      <c r="D63" s="73" t="s">
        <v>578</v>
      </c>
    </row>
    <row r="64">
      <c r="A64" s="16" t="s">
        <v>77</v>
      </c>
      <c r="B64" s="74">
        <v>20.518134715025912</v>
      </c>
      <c r="C64" s="5"/>
      <c r="D64" s="73" t="s">
        <v>578</v>
      </c>
    </row>
    <row r="65">
      <c r="A65" s="16" t="s">
        <v>78</v>
      </c>
      <c r="B65" s="74">
        <v>8.401639344262303</v>
      </c>
      <c r="C65" s="5"/>
      <c r="D65" s="73" t="s">
        <v>578</v>
      </c>
    </row>
    <row r="66">
      <c r="A66" s="16" t="s">
        <v>79</v>
      </c>
      <c r="B66" s="74">
        <v>15.712900096993197</v>
      </c>
      <c r="C66" s="5"/>
      <c r="D66" s="73" t="s">
        <v>578</v>
      </c>
    </row>
    <row r="67">
      <c r="A67" s="16" t="s">
        <v>80</v>
      </c>
      <c r="B67" s="74">
        <v>8.722741433021808</v>
      </c>
      <c r="C67" s="5"/>
      <c r="D67" s="73" t="s">
        <v>578</v>
      </c>
    </row>
    <row r="68">
      <c r="A68" s="16" t="s">
        <v>81</v>
      </c>
      <c r="B68" s="74">
        <v>16.60735468564651</v>
      </c>
      <c r="C68" s="5"/>
      <c r="D68" s="73" t="s">
        <v>578</v>
      </c>
    </row>
    <row r="69">
      <c r="A69" s="16" t="s">
        <v>82</v>
      </c>
      <c r="B69" s="74">
        <v>14.832535885167683</v>
      </c>
      <c r="C69" s="5"/>
      <c r="D69" s="73" t="s">
        <v>578</v>
      </c>
    </row>
    <row r="70">
      <c r="A70" s="16" t="s">
        <v>83</v>
      </c>
      <c r="B70" s="74">
        <v>13.436692506459966</v>
      </c>
      <c r="C70" s="5"/>
      <c r="D70" s="73" t="s">
        <v>578</v>
      </c>
    </row>
    <row r="71">
      <c r="A71" s="16" t="s">
        <v>84</v>
      </c>
      <c r="B71" s="74">
        <v>15.889029003783305</v>
      </c>
      <c r="C71" s="5"/>
      <c r="D71" s="73" t="s">
        <v>578</v>
      </c>
    </row>
    <row r="72">
      <c r="A72" s="16" t="s">
        <v>85</v>
      </c>
      <c r="B72" s="74">
        <v>17.50741839762611</v>
      </c>
      <c r="C72" s="5"/>
      <c r="D72" s="73" t="s">
        <v>578</v>
      </c>
    </row>
    <row r="73">
      <c r="A73" s="16" t="s">
        <v>87</v>
      </c>
      <c r="B73" s="74">
        <v>13.910761154855633</v>
      </c>
      <c r="C73" s="5"/>
      <c r="D73" s="73" t="s">
        <v>578</v>
      </c>
    </row>
    <row r="74">
      <c r="A74" s="16" t="s">
        <v>88</v>
      </c>
      <c r="B74" s="74">
        <v>2.799999999999992</v>
      </c>
      <c r="C74" s="5"/>
      <c r="D74" s="73" t="s">
        <v>578</v>
      </c>
    </row>
    <row r="75">
      <c r="A75" s="16" t="s">
        <v>89</v>
      </c>
      <c r="B75" s="74">
        <v>16.426512968299697</v>
      </c>
      <c r="C75" s="5"/>
      <c r="D75" s="73" t="s">
        <v>578</v>
      </c>
    </row>
    <row r="76">
      <c r="A76" s="16" t="s">
        <v>90</v>
      </c>
      <c r="B76" s="74">
        <v>7.2413793103448345</v>
      </c>
      <c r="C76" s="5"/>
      <c r="D76" s="73" t="s">
        <v>578</v>
      </c>
    </row>
    <row r="77">
      <c r="A77" s="16" t="s">
        <v>91</v>
      </c>
      <c r="B77" s="74">
        <v>36.51315789473683</v>
      </c>
      <c r="C77" s="5"/>
      <c r="D77" s="73" t="s">
        <v>578</v>
      </c>
    </row>
    <row r="78">
      <c r="A78" s="16" t="s">
        <v>92</v>
      </c>
      <c r="B78" s="74">
        <v>15.677966101694883</v>
      </c>
      <c r="C78" s="5"/>
      <c r="D78" s="73" t="s">
        <v>578</v>
      </c>
    </row>
    <row r="79">
      <c r="A79" s="16" t="s">
        <v>93</v>
      </c>
      <c r="B79" s="74">
        <v>11.442786069651854</v>
      </c>
      <c r="C79" s="5"/>
      <c r="D79" s="73" t="s">
        <v>578</v>
      </c>
    </row>
    <row r="80">
      <c r="A80" s="16" t="s">
        <v>94</v>
      </c>
      <c r="B80" s="74">
        <v>17.586206896551744</v>
      </c>
      <c r="C80" s="5"/>
      <c r="D80" s="73" t="s">
        <v>578</v>
      </c>
    </row>
    <row r="81">
      <c r="A81" s="16" t="s">
        <v>95</v>
      </c>
      <c r="B81" s="74">
        <v>36.84210526315789</v>
      </c>
      <c r="C81" s="5"/>
      <c r="D81" s="73" t="s">
        <v>578</v>
      </c>
    </row>
    <row r="82">
      <c r="A82" s="16" t="s">
        <v>96</v>
      </c>
      <c r="B82" s="74">
        <v>19.700748129675567</v>
      </c>
      <c r="C82" s="5"/>
      <c r="D82" s="73" t="s">
        <v>578</v>
      </c>
    </row>
    <row r="83">
      <c r="A83" s="16" t="s">
        <v>97</v>
      </c>
      <c r="B83" s="74">
        <v>7.090464547677255</v>
      </c>
      <c r="C83" s="5"/>
      <c r="D83" s="73" t="s">
        <v>578</v>
      </c>
    </row>
    <row r="84">
      <c r="A84" s="16" t="s">
        <v>98</v>
      </c>
      <c r="B84" s="74">
        <v>15.594059405940586</v>
      </c>
      <c r="C84" s="5"/>
      <c r="D84" s="73" t="s">
        <v>578</v>
      </c>
    </row>
    <row r="85">
      <c r="A85" s="16" t="s">
        <v>99</v>
      </c>
      <c r="B85" s="74">
        <v>7.824427480916222</v>
      </c>
      <c r="C85" s="5"/>
      <c r="D85" s="73" t="s">
        <v>578</v>
      </c>
    </row>
    <row r="86">
      <c r="A86" s="16" t="s">
        <v>100</v>
      </c>
      <c r="B86" s="74">
        <v>24.59459459459458</v>
      </c>
      <c r="C86" s="5"/>
      <c r="D86" s="73" t="s">
        <v>578</v>
      </c>
    </row>
    <row r="87">
      <c r="A87" s="16" t="s">
        <v>101</v>
      </c>
      <c r="B87" s="74">
        <v>27.89115646258507</v>
      </c>
      <c r="C87" s="23"/>
      <c r="D87" s="73" t="s">
        <v>578</v>
      </c>
    </row>
    <row r="88">
      <c r="A88" s="16" t="s">
        <v>103</v>
      </c>
      <c r="B88" s="74">
        <v>23.711340206185568</v>
      </c>
      <c r="C88" s="5"/>
      <c r="D88" s="73" t="s">
        <v>578</v>
      </c>
    </row>
    <row r="89">
      <c r="A89" s="16" t="s">
        <v>104</v>
      </c>
      <c r="B89" s="74">
        <v>38.280616382806166</v>
      </c>
      <c r="C89" s="5"/>
      <c r="D89" s="73" t="s">
        <v>578</v>
      </c>
    </row>
    <row r="90">
      <c r="A90" s="16" t="s">
        <v>105</v>
      </c>
      <c r="B90" s="74">
        <v>82.44514106583073</v>
      </c>
      <c r="C90" s="5"/>
      <c r="D90" s="73" t="s">
        <v>578</v>
      </c>
    </row>
    <row r="91">
      <c r="A91" s="16" t="s">
        <v>106</v>
      </c>
      <c r="B91" s="74">
        <v>30.303030303030322</v>
      </c>
      <c r="C91" s="5"/>
      <c r="D91" s="73" t="s">
        <v>578</v>
      </c>
    </row>
    <row r="92">
      <c r="A92" s="16" t="s">
        <v>107</v>
      </c>
      <c r="B92" s="74">
        <v>30.479452054794482</v>
      </c>
      <c r="C92" s="5"/>
      <c r="D92" s="73" t="s">
        <v>578</v>
      </c>
    </row>
    <row r="93">
      <c r="A93" s="16" t="s">
        <v>108</v>
      </c>
      <c r="B93" s="74">
        <v>35.688793718772324</v>
      </c>
      <c r="C93" s="5"/>
      <c r="D93" s="73" t="s">
        <v>578</v>
      </c>
    </row>
    <row r="94">
      <c r="A94" s="16" t="s">
        <v>109</v>
      </c>
      <c r="B94" s="74">
        <v>37.650389242745895</v>
      </c>
      <c r="C94" s="5"/>
      <c r="D94" s="73" t="s">
        <v>578</v>
      </c>
    </row>
    <row r="95">
      <c r="A95" s="16" t="s">
        <v>110</v>
      </c>
      <c r="B95" s="74">
        <v>42.65129682997064</v>
      </c>
      <c r="C95" s="5"/>
      <c r="D95" s="73" t="s">
        <v>578</v>
      </c>
    </row>
    <row r="96">
      <c r="A96" s="16" t="s">
        <v>111</v>
      </c>
      <c r="B96" s="74">
        <v>18.23444283646888</v>
      </c>
      <c r="C96" s="5"/>
      <c r="D96" s="73" t="s">
        <v>578</v>
      </c>
    </row>
    <row r="97">
      <c r="A97" s="16" t="s">
        <v>112</v>
      </c>
      <c r="B97" s="74">
        <v>19.69140337986773</v>
      </c>
      <c r="C97" s="5"/>
      <c r="D97" s="73" t="s">
        <v>578</v>
      </c>
    </row>
    <row r="98">
      <c r="A98" s="16" t="s">
        <v>113</v>
      </c>
      <c r="B98" s="74">
        <v>17.118402282453605</v>
      </c>
      <c r="C98" s="5"/>
      <c r="D98" s="73" t="s">
        <v>578</v>
      </c>
    </row>
    <row r="99">
      <c r="A99" s="16" t="s">
        <v>114</v>
      </c>
      <c r="B99" s="74">
        <v>47.51037344398348</v>
      </c>
      <c r="C99" s="5"/>
      <c r="D99" s="73" t="s">
        <v>578</v>
      </c>
    </row>
    <row r="100">
      <c r="A100" s="16" t="s">
        <v>116</v>
      </c>
      <c r="B100" s="74">
        <v>7.142857142857452</v>
      </c>
      <c r="C100" s="5"/>
      <c r="D100" s="73" t="s">
        <v>578</v>
      </c>
    </row>
    <row r="101">
      <c r="A101" s="16" t="s">
        <v>117</v>
      </c>
      <c r="B101" s="74">
        <v>12.248995983935727</v>
      </c>
      <c r="C101" s="5"/>
      <c r="D101" s="73" t="s">
        <v>578</v>
      </c>
    </row>
    <row r="102">
      <c r="A102" s="16" t="s">
        <v>118</v>
      </c>
      <c r="B102" s="74">
        <v>10.138248847926263</v>
      </c>
      <c r="C102" s="5"/>
      <c r="D102" s="73" t="s">
        <v>578</v>
      </c>
    </row>
    <row r="103">
      <c r="A103" s="16" t="s">
        <v>119</v>
      </c>
      <c r="B103" s="74">
        <v>14.035087719298273</v>
      </c>
      <c r="C103" s="5"/>
      <c r="D103" s="73" t="s">
        <v>578</v>
      </c>
    </row>
    <row r="104">
      <c r="A104" s="16" t="s">
        <v>120</v>
      </c>
      <c r="B104" s="74">
        <v>13.056379821957998</v>
      </c>
      <c r="C104" s="5"/>
      <c r="D104" s="73" t="s">
        <v>578</v>
      </c>
    </row>
    <row r="105">
      <c r="A105" s="16" t="s">
        <v>121</v>
      </c>
      <c r="B105" s="74">
        <v>38.67069486404808</v>
      </c>
      <c r="C105" s="5"/>
      <c r="D105" s="73" t="s">
        <v>578</v>
      </c>
    </row>
    <row r="106">
      <c r="A106" s="16" t="s">
        <v>123</v>
      </c>
      <c r="B106" s="74">
        <v>11.442786069651854</v>
      </c>
      <c r="C106" s="5"/>
      <c r="D106" s="73" t="s">
        <v>578</v>
      </c>
    </row>
    <row r="107">
      <c r="A107" s="16" t="s">
        <v>124</v>
      </c>
      <c r="B107" s="74">
        <v>9.72568578553619</v>
      </c>
      <c r="C107" s="5"/>
      <c r="D107" s="73" t="s">
        <v>578</v>
      </c>
    </row>
    <row r="108">
      <c r="A108" s="5" t="s">
        <v>125</v>
      </c>
      <c r="B108" s="74">
        <v>8.969465648854975</v>
      </c>
      <c r="C108" s="5"/>
      <c r="D108" s="73" t="s">
        <v>578</v>
      </c>
    </row>
    <row r="109">
      <c r="A109" s="5" t="s">
        <v>127</v>
      </c>
      <c r="B109" s="74">
        <v>18.449197860962567</v>
      </c>
      <c r="C109" s="5"/>
      <c r="D109" s="73" t="s">
        <v>578</v>
      </c>
    </row>
    <row r="110">
      <c r="A110" s="5" t="s">
        <v>128</v>
      </c>
      <c r="B110" s="74">
        <v>13.300492610837436</v>
      </c>
      <c r="C110" s="5"/>
      <c r="D110" s="73" t="s">
        <v>578</v>
      </c>
    </row>
    <row r="111">
      <c r="A111" s="5" t="s">
        <v>129</v>
      </c>
      <c r="B111" s="74">
        <v>12.037037037037054</v>
      </c>
      <c r="C111" s="5"/>
      <c r="D111" s="73" t="s">
        <v>578</v>
      </c>
    </row>
    <row r="112">
      <c r="A112" s="5" t="s">
        <v>130</v>
      </c>
      <c r="B112" s="74">
        <v>10.955710955710973</v>
      </c>
      <c r="C112" s="5"/>
      <c r="D112" s="73" t="s">
        <v>578</v>
      </c>
    </row>
    <row r="113">
      <c r="A113" s="5" t="s">
        <v>131</v>
      </c>
      <c r="B113" s="74">
        <v>12.903225806451625</v>
      </c>
      <c r="C113" s="5"/>
      <c r="D113" s="73" t="s">
        <v>578</v>
      </c>
    </row>
    <row r="114">
      <c r="A114" s="5" t="s">
        <v>132</v>
      </c>
      <c r="B114" s="74">
        <v>7.5294117647058965</v>
      </c>
      <c r="C114" s="29"/>
      <c r="D114" s="73" t="s">
        <v>578</v>
      </c>
    </row>
    <row r="115">
      <c r="A115" s="5" t="s">
        <v>134</v>
      </c>
      <c r="B115" s="74">
        <v>8.83720930232558</v>
      </c>
      <c r="C115" s="5"/>
      <c r="D115" s="73" t="s">
        <v>578</v>
      </c>
    </row>
    <row r="116">
      <c r="A116" s="5" t="s">
        <v>135</v>
      </c>
      <c r="B116" s="74">
        <v>8.986175115207379</v>
      </c>
      <c r="C116" s="5"/>
      <c r="D116" s="73" t="s">
        <v>578</v>
      </c>
    </row>
    <row r="117">
      <c r="A117" s="5" t="s">
        <v>136</v>
      </c>
      <c r="B117" s="74">
        <v>14.055299539170498</v>
      </c>
      <c r="C117" s="5"/>
      <c r="D117" s="73" t="s">
        <v>578</v>
      </c>
    </row>
    <row r="118">
      <c r="A118" s="5" t="s">
        <v>137</v>
      </c>
      <c r="B118" s="74">
        <v>13.053613053613043</v>
      </c>
      <c r="C118" s="5"/>
      <c r="D118" s="73" t="s">
        <v>578</v>
      </c>
    </row>
    <row r="119">
      <c r="A119" s="5" t="s">
        <v>138</v>
      </c>
      <c r="B119" s="74">
        <v>12.441314553990612</v>
      </c>
      <c r="C119" s="5"/>
      <c r="D119" s="73" t="s">
        <v>578</v>
      </c>
    </row>
    <row r="120">
      <c r="A120" s="5" t="s">
        <v>139</v>
      </c>
      <c r="B120" s="74">
        <v>9.263657957244662</v>
      </c>
      <c r="C120" s="5"/>
      <c r="D120" s="73" t="s">
        <v>578</v>
      </c>
    </row>
    <row r="121">
      <c r="A121" s="5" t="s">
        <v>140</v>
      </c>
      <c r="B121" s="74">
        <v>13.761467889908241</v>
      </c>
      <c r="C121" s="5"/>
      <c r="D121" s="73" t="s">
        <v>578</v>
      </c>
    </row>
    <row r="122">
      <c r="A122" s="5" t="s">
        <v>141</v>
      </c>
      <c r="B122" s="74">
        <v>76.00950118764844</v>
      </c>
      <c r="C122" s="5" t="s">
        <v>142</v>
      </c>
      <c r="D122" s="73" t="s">
        <v>579</v>
      </c>
    </row>
    <row r="123">
      <c r="A123" s="5" t="s">
        <v>141</v>
      </c>
      <c r="B123" s="74" t="s">
        <v>580</v>
      </c>
      <c r="C123" s="5"/>
      <c r="D123" s="73" t="s">
        <v>578</v>
      </c>
    </row>
    <row r="124">
      <c r="A124" s="5" t="s">
        <v>143</v>
      </c>
      <c r="B124" s="74">
        <v>39.540816326530475</v>
      </c>
      <c r="C124" s="5"/>
      <c r="D124" s="73" t="s">
        <v>578</v>
      </c>
    </row>
    <row r="125">
      <c r="A125" s="6" t="s">
        <v>144</v>
      </c>
      <c r="B125" s="74">
        <v>5.948717948718296</v>
      </c>
      <c r="C125" s="5"/>
      <c r="D125" s="73" t="s">
        <v>578</v>
      </c>
    </row>
    <row r="126">
      <c r="A126" s="12" t="s">
        <v>146</v>
      </c>
      <c r="B126" s="74">
        <v>105.73476702508961</v>
      </c>
      <c r="C126" s="26"/>
      <c r="D126" s="73" t="s">
        <v>578</v>
      </c>
    </row>
    <row r="127">
      <c r="A127" s="12" t="s">
        <v>146</v>
      </c>
      <c r="B127" s="74"/>
      <c r="C127" s="31"/>
      <c r="D127" s="73" t="s">
        <v>578</v>
      </c>
    </row>
    <row r="128">
      <c r="A128" s="12" t="s">
        <v>146</v>
      </c>
      <c r="B128" s="74"/>
      <c r="C128" s="31"/>
      <c r="D128" s="73" t="s">
        <v>578</v>
      </c>
    </row>
    <row r="129">
      <c r="A129" s="12" t="s">
        <v>148</v>
      </c>
      <c r="B129" s="74">
        <v>14.412416851441199</v>
      </c>
      <c r="C129" s="31"/>
      <c r="D129" s="73" t="s">
        <v>578</v>
      </c>
    </row>
    <row r="130">
      <c r="A130" s="11" t="s">
        <v>149</v>
      </c>
      <c r="B130" s="74">
        <v>13.852813852813865</v>
      </c>
      <c r="C130" s="26"/>
      <c r="D130" s="73" t="s">
        <v>578</v>
      </c>
    </row>
    <row r="131">
      <c r="A131" s="12" t="s">
        <v>150</v>
      </c>
      <c r="B131" s="74">
        <v>13.92931392931393</v>
      </c>
      <c r="C131" s="31"/>
      <c r="D131" s="73" t="s">
        <v>578</v>
      </c>
    </row>
    <row r="132">
      <c r="A132" s="12" t="s">
        <v>151</v>
      </c>
      <c r="B132" s="74">
        <v>15.730337078651688</v>
      </c>
      <c r="C132" s="26"/>
      <c r="D132" s="73" t="s">
        <v>578</v>
      </c>
    </row>
    <row r="133">
      <c r="A133" s="12" t="s">
        <v>152</v>
      </c>
      <c r="B133" s="74">
        <v>60.12024048096163</v>
      </c>
      <c r="C133" s="31"/>
      <c r="D133" s="73" t="s">
        <v>578</v>
      </c>
    </row>
    <row r="134">
      <c r="A134" s="11" t="s">
        <v>153</v>
      </c>
      <c r="B134" s="74">
        <v>13.759689922480588</v>
      </c>
      <c r="C134" s="26"/>
      <c r="D134" s="73" t="s">
        <v>578</v>
      </c>
    </row>
    <row r="135">
      <c r="A135" s="11" t="s">
        <v>154</v>
      </c>
      <c r="B135" s="74">
        <v>12.343096234309634</v>
      </c>
      <c r="C135" s="26"/>
      <c r="D135" s="73" t="s">
        <v>578</v>
      </c>
    </row>
    <row r="136">
      <c r="A136" s="12" t="s">
        <v>155</v>
      </c>
      <c r="B136" s="74">
        <v>31.15942028985501</v>
      </c>
      <c r="C136" s="16"/>
      <c r="D136" s="73" t="s">
        <v>578</v>
      </c>
    </row>
    <row r="137">
      <c r="A137" s="12" t="s">
        <v>157</v>
      </c>
      <c r="B137" s="74">
        <v>4.945054945054522</v>
      </c>
      <c r="C137" s="5"/>
      <c r="D137" s="73" t="s">
        <v>578</v>
      </c>
    </row>
    <row r="138">
      <c r="A138" s="11" t="s">
        <v>158</v>
      </c>
      <c r="B138" s="74">
        <v>5.9016393442625175</v>
      </c>
      <c r="C138" s="5"/>
      <c r="D138" s="73" t="s">
        <v>578</v>
      </c>
    </row>
    <row r="139">
      <c r="A139" s="12" t="s">
        <v>159</v>
      </c>
      <c r="B139" s="74">
        <v>11.02040816326535</v>
      </c>
      <c r="C139" s="31"/>
      <c r="D139" s="73" t="s">
        <v>578</v>
      </c>
    </row>
    <row r="140">
      <c r="A140" s="13" t="s">
        <v>160</v>
      </c>
      <c r="B140" s="74">
        <v>12.478336221836638</v>
      </c>
      <c r="C140" s="23"/>
      <c r="D140" s="73" t="s">
        <v>578</v>
      </c>
    </row>
    <row r="141">
      <c r="A141" s="13" t="s">
        <v>162</v>
      </c>
      <c r="B141" s="74">
        <v>17.777777777777793</v>
      </c>
      <c r="C141" s="16"/>
      <c r="D141" s="73" t="s">
        <v>578</v>
      </c>
    </row>
    <row r="142">
      <c r="A142" s="6" t="s">
        <v>164</v>
      </c>
      <c r="B142" s="74">
        <v>134.02061855670044</v>
      </c>
      <c r="C142" s="31"/>
      <c r="D142" s="73" t="s">
        <v>578</v>
      </c>
    </row>
    <row r="143">
      <c r="A143" s="11" t="s">
        <v>165</v>
      </c>
      <c r="B143" s="74">
        <v>36.038961038960814</v>
      </c>
      <c r="C143" s="16"/>
      <c r="D143" s="73" t="s">
        <v>578</v>
      </c>
    </row>
    <row r="144">
      <c r="A144" s="11" t="s">
        <v>167</v>
      </c>
      <c r="B144" s="74">
        <v>8.125819134993431</v>
      </c>
      <c r="C144" s="16"/>
      <c r="D144" s="73" t="s">
        <v>578</v>
      </c>
    </row>
    <row r="145">
      <c r="A145" s="13" t="s">
        <v>169</v>
      </c>
      <c r="B145" s="74">
        <v>11.202185792349752</v>
      </c>
      <c r="C145" s="5"/>
      <c r="D145" s="73" t="s">
        <v>578</v>
      </c>
    </row>
    <row r="146">
      <c r="A146" s="12" t="s">
        <v>170</v>
      </c>
      <c r="B146" s="74">
        <v>209.0909090908901</v>
      </c>
      <c r="C146" s="31"/>
      <c r="D146" s="73" t="s">
        <v>578</v>
      </c>
    </row>
    <row r="147">
      <c r="A147" s="12" t="s">
        <v>171</v>
      </c>
      <c r="B147" s="74">
        <v>83.01886792452864</v>
      </c>
      <c r="C147" s="31"/>
      <c r="D147" s="73" t="s">
        <v>578</v>
      </c>
    </row>
    <row r="148">
      <c r="A148" s="12" t="s">
        <v>172</v>
      </c>
      <c r="B148" s="74">
        <v>20.833333333331954</v>
      </c>
      <c r="C148" s="31"/>
      <c r="D148" s="73" t="s">
        <v>578</v>
      </c>
    </row>
    <row r="149">
      <c r="A149" s="6" t="s">
        <v>173</v>
      </c>
      <c r="B149" s="74">
        <v>18.840579710143487</v>
      </c>
      <c r="C149" s="31"/>
      <c r="D149" s="73" t="s">
        <v>578</v>
      </c>
    </row>
    <row r="150">
      <c r="A150" s="6" t="s">
        <v>174</v>
      </c>
      <c r="B150" s="74">
        <v>29.850746268655417</v>
      </c>
      <c r="C150" s="26"/>
      <c r="D150" s="73" t="s">
        <v>578</v>
      </c>
    </row>
    <row r="151">
      <c r="A151" s="12" t="s">
        <v>175</v>
      </c>
      <c r="B151" s="74">
        <v>27.01421800947867</v>
      </c>
      <c r="C151" s="26"/>
      <c r="D151" s="73" t="s">
        <v>578</v>
      </c>
    </row>
    <row r="152">
      <c r="A152" s="11" t="s">
        <v>176</v>
      </c>
      <c r="B152" s="74">
        <v>36.38743455497341</v>
      </c>
      <c r="C152" s="26"/>
      <c r="D152" s="73" t="s">
        <v>578</v>
      </c>
    </row>
    <row r="153">
      <c r="A153" s="11" t="s">
        <v>177</v>
      </c>
      <c r="B153" s="74">
        <v>19.786096256684807</v>
      </c>
      <c r="C153" s="26"/>
      <c r="D153" s="73" t="s">
        <v>578</v>
      </c>
    </row>
    <row r="154">
      <c r="A154" s="12" t="s">
        <v>178</v>
      </c>
      <c r="B154" s="74">
        <v>8.333333333333341</v>
      </c>
      <c r="C154" s="31"/>
      <c r="D154" s="73" t="s">
        <v>578</v>
      </c>
    </row>
    <row r="155">
      <c r="A155" s="12" t="s">
        <v>179</v>
      </c>
      <c r="B155" s="74">
        <v>8.035714285714276</v>
      </c>
      <c r="C155" s="31"/>
      <c r="D155" s="73" t="s">
        <v>578</v>
      </c>
    </row>
    <row r="156">
      <c r="A156" s="12" t="s">
        <v>180</v>
      </c>
      <c r="B156" s="74">
        <v>8.84955752212391</v>
      </c>
      <c r="C156" s="31"/>
      <c r="D156" s="73" t="s">
        <v>578</v>
      </c>
    </row>
    <row r="157">
      <c r="A157" s="6" t="s">
        <v>181</v>
      </c>
      <c r="B157" s="74">
        <v>9.604519774011308</v>
      </c>
      <c r="C157" s="31"/>
      <c r="D157" s="73" t="s">
        <v>578</v>
      </c>
    </row>
    <row r="158">
      <c r="A158" s="6" t="s">
        <v>182</v>
      </c>
      <c r="B158" s="74">
        <v>6.3127690100431115</v>
      </c>
      <c r="C158" s="31"/>
      <c r="D158" s="73" t="s">
        <v>578</v>
      </c>
    </row>
    <row r="159">
      <c r="A159" s="6" t="s">
        <v>183</v>
      </c>
      <c r="B159" s="74">
        <v>5.507246376811598</v>
      </c>
      <c r="C159" s="31"/>
      <c r="D159" s="73" t="s">
        <v>578</v>
      </c>
    </row>
    <row r="160">
      <c r="A160" s="6" t="s">
        <v>184</v>
      </c>
      <c r="B160" s="74">
        <v>5.089820359281424</v>
      </c>
      <c r="C160" s="31"/>
      <c r="D160" s="73" t="s">
        <v>578</v>
      </c>
    </row>
    <row r="161">
      <c r="A161" s="6" t="s">
        <v>185</v>
      </c>
      <c r="B161" s="74">
        <v>5.586592178770962</v>
      </c>
      <c r="C161" s="31"/>
      <c r="D161" s="73" t="s">
        <v>578</v>
      </c>
    </row>
    <row r="162">
      <c r="A162" s="16" t="s">
        <v>186</v>
      </c>
      <c r="B162" s="74">
        <v>43.523316062176164</v>
      </c>
      <c r="C162" s="26"/>
      <c r="D162" s="73" t="s">
        <v>578</v>
      </c>
    </row>
    <row r="163">
      <c r="A163" s="16" t="s">
        <v>187</v>
      </c>
      <c r="B163" s="74">
        <v>11.671087533156472</v>
      </c>
      <c r="C163" s="26"/>
      <c r="D163" s="73" t="s">
        <v>578</v>
      </c>
    </row>
    <row r="164">
      <c r="A164" s="33" t="s">
        <v>203</v>
      </c>
      <c r="B164" s="75">
        <v>459.8335402584004</v>
      </c>
      <c r="C164" s="5"/>
      <c r="D164" s="73" t="s">
        <v>578</v>
      </c>
    </row>
    <row r="165">
      <c r="A165" s="33" t="s">
        <v>204</v>
      </c>
      <c r="B165" s="75">
        <v>1820.9699060762673</v>
      </c>
      <c r="C165" s="5"/>
      <c r="D165" s="73" t="s">
        <v>578</v>
      </c>
    </row>
    <row r="166">
      <c r="A166" s="33" t="s">
        <v>206</v>
      </c>
      <c r="B166" s="75">
        <v>89.25383791501258</v>
      </c>
      <c r="C166" s="5"/>
      <c r="D166" s="73" t="s">
        <v>578</v>
      </c>
    </row>
    <row r="167">
      <c r="A167" s="33" t="s">
        <v>207</v>
      </c>
      <c r="B167" s="75">
        <v>134.9042180051575</v>
      </c>
      <c r="C167" s="5"/>
      <c r="D167" s="73" t="s">
        <v>578</v>
      </c>
    </row>
    <row r="168">
      <c r="A168" s="33" t="s">
        <v>208</v>
      </c>
      <c r="B168" s="75">
        <v>49.1738788355877</v>
      </c>
      <c r="C168" s="29"/>
      <c r="D168" s="73" t="s">
        <v>578</v>
      </c>
    </row>
    <row r="169">
      <c r="A169" s="33" t="s">
        <v>212</v>
      </c>
      <c r="B169" s="75">
        <v>97.0543989906839</v>
      </c>
      <c r="C169" s="5"/>
      <c r="D169" s="73" t="s">
        <v>578</v>
      </c>
    </row>
    <row r="170">
      <c r="A170" s="33" t="s">
        <v>213</v>
      </c>
      <c r="B170" s="75">
        <v>190.2497027348692</v>
      </c>
      <c r="C170" s="5"/>
      <c r="D170" s="73" t="s">
        <v>578</v>
      </c>
    </row>
    <row r="171">
      <c r="A171" s="33" t="s">
        <v>214</v>
      </c>
      <c r="B171" s="75">
        <v>91.17432530997456</v>
      </c>
      <c r="C171" s="5"/>
      <c r="D171" s="73" t="s">
        <v>578</v>
      </c>
    </row>
    <row r="172">
      <c r="A172" s="11" t="s">
        <v>215</v>
      </c>
      <c r="B172" s="75">
        <v>91.59186664222398</v>
      </c>
      <c r="C172" s="5"/>
      <c r="D172" s="73" t="s">
        <v>578</v>
      </c>
    </row>
    <row r="173">
      <c r="A173" s="33" t="s">
        <v>216</v>
      </c>
      <c r="B173" s="75">
        <v>82342.09717772019</v>
      </c>
      <c r="C173" s="5"/>
      <c r="D173" s="73" t="s">
        <v>578</v>
      </c>
    </row>
    <row r="174">
      <c r="A174" s="33" t="s">
        <v>217</v>
      </c>
      <c r="B174" s="75">
        <v>40564.90384615385</v>
      </c>
      <c r="C174" s="5"/>
      <c r="D174" s="73" t="s">
        <v>578</v>
      </c>
    </row>
    <row r="175">
      <c r="A175" s="11" t="s">
        <v>219</v>
      </c>
      <c r="B175" s="75">
        <v>32138.55287238311</v>
      </c>
      <c r="C175" s="5"/>
      <c r="D175" s="73" t="s">
        <v>578</v>
      </c>
    </row>
    <row r="176">
      <c r="A176" s="11" t="s">
        <v>220</v>
      </c>
      <c r="B176" s="75">
        <v>23350.12100202765</v>
      </c>
      <c r="C176" s="5"/>
      <c r="D176" s="73" t="s">
        <v>578</v>
      </c>
    </row>
    <row r="177">
      <c r="A177" s="33" t="s">
        <v>221</v>
      </c>
      <c r="B177" s="75">
        <v>539.4228175852043</v>
      </c>
      <c r="C177" s="5"/>
      <c r="D177" s="73" t="s">
        <v>578</v>
      </c>
    </row>
    <row r="178">
      <c r="A178" s="11" t="s">
        <v>222</v>
      </c>
      <c r="B178" s="75">
        <v>492.8315412186355</v>
      </c>
      <c r="C178" s="5"/>
      <c r="D178" s="73" t="s">
        <v>578</v>
      </c>
    </row>
    <row r="179">
      <c r="A179" s="11" t="s">
        <v>223</v>
      </c>
      <c r="B179" s="75">
        <v>308.80536439029987</v>
      </c>
      <c r="C179" s="5"/>
      <c r="D179" s="73" t="s">
        <v>578</v>
      </c>
    </row>
    <row r="180">
      <c r="A180" s="11" t="s">
        <v>224</v>
      </c>
      <c r="B180" s="75">
        <v>617.2295212062454</v>
      </c>
      <c r="C180" s="5"/>
      <c r="D180" s="73" t="s">
        <v>578</v>
      </c>
    </row>
    <row r="181">
      <c r="A181" s="11" t="s">
        <v>225</v>
      </c>
      <c r="B181" s="75">
        <v>646.74686327786</v>
      </c>
      <c r="C181" s="5"/>
      <c r="D181" s="73" t="s">
        <v>578</v>
      </c>
    </row>
    <row r="182">
      <c r="A182" s="11" t="s">
        <v>227</v>
      </c>
      <c r="B182" s="75">
        <v>314.08444384622146</v>
      </c>
      <c r="C182" s="5"/>
      <c r="D182" s="73" t="s">
        <v>578</v>
      </c>
    </row>
    <row r="183">
      <c r="A183" s="16" t="s">
        <v>228</v>
      </c>
      <c r="B183" s="75">
        <v>307.7058332234084</v>
      </c>
      <c r="C183" s="5"/>
      <c r="D183" s="73" t="s">
        <v>578</v>
      </c>
    </row>
    <row r="184">
      <c r="A184" s="16" t="s">
        <v>229</v>
      </c>
      <c r="B184" s="75">
        <v>360.9782510603659</v>
      </c>
      <c r="C184" s="5"/>
      <c r="D184" s="73" t="s">
        <v>578</v>
      </c>
    </row>
    <row r="185">
      <c r="A185" s="5" t="s">
        <v>230</v>
      </c>
      <c r="B185" s="75">
        <v>235.9826316782951</v>
      </c>
      <c r="C185" s="5"/>
      <c r="D185" s="73" t="s">
        <v>578</v>
      </c>
    </row>
    <row r="186">
      <c r="A186" s="5" t="s">
        <v>231</v>
      </c>
      <c r="B186" s="75">
        <v>47.81714722902078</v>
      </c>
      <c r="C186" s="5"/>
      <c r="D186" s="73" t="s">
        <v>578</v>
      </c>
    </row>
    <row r="187">
      <c r="A187" s="5" t="s">
        <v>232</v>
      </c>
      <c r="B187" s="75">
        <v>0.0</v>
      </c>
      <c r="C187" s="5"/>
      <c r="D187" s="73" t="s">
        <v>578</v>
      </c>
    </row>
    <row r="188">
      <c r="A188" s="11" t="s">
        <v>233</v>
      </c>
      <c r="B188" s="75">
        <v>224.4366639734777</v>
      </c>
      <c r="C188" s="5"/>
      <c r="D188" s="73" t="s">
        <v>578</v>
      </c>
    </row>
    <row r="189">
      <c r="A189" s="16" t="s">
        <v>234</v>
      </c>
      <c r="B189" s="75">
        <v>86.8394772263915</v>
      </c>
      <c r="C189" s="5"/>
      <c r="D189" s="73" t="s">
        <v>578</v>
      </c>
    </row>
    <row r="190">
      <c r="A190" s="5" t="s">
        <v>235</v>
      </c>
      <c r="B190" s="75">
        <v>0.0</v>
      </c>
      <c r="C190" s="5"/>
      <c r="D190" s="73" t="s">
        <v>578</v>
      </c>
    </row>
    <row r="191">
      <c r="A191" s="16" t="s">
        <v>236</v>
      </c>
      <c r="B191" s="75">
        <v>88.68393047178087</v>
      </c>
      <c r="C191" s="5"/>
      <c r="D191" s="73" t="s">
        <v>578</v>
      </c>
    </row>
    <row r="192">
      <c r="A192" s="11" t="s">
        <v>237</v>
      </c>
      <c r="B192" s="75">
        <v>44.21452889421725</v>
      </c>
      <c r="C192" s="5"/>
      <c r="D192" s="73" t="s">
        <v>578</v>
      </c>
    </row>
    <row r="193">
      <c r="A193" s="16" t="s">
        <v>238</v>
      </c>
      <c r="B193" s="75">
        <v>128.69460769594244</v>
      </c>
      <c r="C193" s="5"/>
      <c r="D193" s="73" t="s">
        <v>578</v>
      </c>
    </row>
    <row r="194">
      <c r="A194" s="5" t="s">
        <v>239</v>
      </c>
      <c r="B194" s="75">
        <v>96.21397989125906</v>
      </c>
      <c r="C194" s="5"/>
      <c r="D194" s="73" t="s">
        <v>578</v>
      </c>
    </row>
    <row r="195">
      <c r="A195" s="16" t="s">
        <v>240</v>
      </c>
      <c r="B195" s="75">
        <v>86.84324793745559</v>
      </c>
      <c r="C195" s="5"/>
      <c r="D195" s="73" t="s">
        <v>578</v>
      </c>
    </row>
    <row r="196">
      <c r="A196" s="16" t="s">
        <v>241</v>
      </c>
      <c r="B196" s="75">
        <v>127.82819890068234</v>
      </c>
      <c r="C196" s="5"/>
      <c r="D196" s="73" t="s">
        <v>578</v>
      </c>
    </row>
    <row r="197">
      <c r="A197" s="16" t="s">
        <v>242</v>
      </c>
      <c r="B197" s="75">
        <v>130.18008244739048</v>
      </c>
      <c r="C197" s="5"/>
      <c r="D197" s="73" t="s">
        <v>578</v>
      </c>
    </row>
    <row r="198">
      <c r="A198" s="11" t="s">
        <v>243</v>
      </c>
      <c r="B198" s="75">
        <v>221.55264090752996</v>
      </c>
      <c r="C198" s="5"/>
      <c r="D198" s="73" t="s">
        <v>578</v>
      </c>
    </row>
    <row r="199">
      <c r="A199" s="16" t="s">
        <v>244</v>
      </c>
      <c r="B199" s="75">
        <v>265.00596263416924</v>
      </c>
      <c r="C199" s="5"/>
      <c r="D199" s="73" t="s">
        <v>578</v>
      </c>
    </row>
    <row r="200">
      <c r="A200" s="11" t="s">
        <v>245</v>
      </c>
      <c r="B200" s="75">
        <v>44.01408450706477</v>
      </c>
      <c r="C200" s="5"/>
      <c r="D200" s="73" t="s">
        <v>578</v>
      </c>
    </row>
    <row r="201">
      <c r="A201" s="33" t="s">
        <v>246</v>
      </c>
      <c r="B201" s="75">
        <v>46.238498173602984</v>
      </c>
      <c r="C201" s="5"/>
      <c r="D201" s="73" t="s">
        <v>578</v>
      </c>
    </row>
    <row r="202">
      <c r="A202" s="33" t="s">
        <v>247</v>
      </c>
      <c r="B202" s="75">
        <v>790.1321276502648</v>
      </c>
      <c r="C202" s="5"/>
      <c r="D202" s="73" t="s">
        <v>578</v>
      </c>
    </row>
    <row r="203">
      <c r="A203" s="33" t="s">
        <v>248</v>
      </c>
      <c r="B203" s="75">
        <v>-1127.8358565045985</v>
      </c>
      <c r="C203" s="26"/>
      <c r="D203" s="73" t="s">
        <v>578</v>
      </c>
    </row>
    <row r="204">
      <c r="A204" s="33" t="s">
        <v>249</v>
      </c>
      <c r="B204" s="75">
        <v>313.4796238244209</v>
      </c>
      <c r="C204" s="5"/>
      <c r="D204" s="73" t="s">
        <v>578</v>
      </c>
    </row>
    <row r="205">
      <c r="A205" s="33" t="s">
        <v>250</v>
      </c>
      <c r="B205" s="75">
        <v>-85.4627809588754</v>
      </c>
      <c r="C205" s="26"/>
      <c r="D205" s="73" t="s">
        <v>578</v>
      </c>
    </row>
    <row r="206">
      <c r="A206" s="33" t="s">
        <v>251</v>
      </c>
      <c r="B206" s="75">
        <v>96.78199854825075</v>
      </c>
      <c r="C206" s="5"/>
      <c r="D206" s="73" t="s">
        <v>578</v>
      </c>
    </row>
    <row r="207">
      <c r="A207" s="33" t="s">
        <v>252</v>
      </c>
      <c r="B207" s="75">
        <v>140.4987706358288</v>
      </c>
      <c r="C207" s="5"/>
      <c r="D207" s="73" t="s">
        <v>578</v>
      </c>
    </row>
    <row r="208">
      <c r="A208" s="33" t="s">
        <v>253</v>
      </c>
      <c r="B208" s="75">
        <v>49.07252919817998</v>
      </c>
      <c r="C208" s="5"/>
      <c r="D208" s="73" t="s">
        <v>578</v>
      </c>
    </row>
    <row r="209">
      <c r="A209" s="33" t="s">
        <v>254</v>
      </c>
      <c r="B209" s="75">
        <v>189.73531922963681</v>
      </c>
      <c r="C209" s="5"/>
      <c r="D209" s="73" t="s">
        <v>578</v>
      </c>
    </row>
    <row r="210">
      <c r="A210" s="33" t="s">
        <v>255</v>
      </c>
      <c r="B210" s="75">
        <v>0.0</v>
      </c>
      <c r="C210" s="26"/>
      <c r="D210" s="73" t="s">
        <v>578</v>
      </c>
    </row>
    <row r="211">
      <c r="A211" s="33" t="s">
        <v>256</v>
      </c>
      <c r="B211" s="75">
        <v>-343.5582822085554</v>
      </c>
      <c r="C211" s="5"/>
      <c r="D211" s="73" t="s">
        <v>578</v>
      </c>
    </row>
    <row r="212">
      <c r="A212" s="33" t="s">
        <v>258</v>
      </c>
      <c r="B212" s="75">
        <v>262.4671916010599</v>
      </c>
      <c r="C212" s="5"/>
      <c r="D212" s="73" t="s">
        <v>578</v>
      </c>
    </row>
    <row r="213">
      <c r="A213" s="33" t="s">
        <v>259</v>
      </c>
      <c r="B213" s="75">
        <v>410.9401397196631</v>
      </c>
      <c r="C213" s="5"/>
      <c r="D213" s="73" t="s">
        <v>578</v>
      </c>
    </row>
    <row r="214">
      <c r="A214" s="33" t="s">
        <v>260</v>
      </c>
      <c r="B214" s="75">
        <v>145.8576429404956</v>
      </c>
      <c r="C214" s="5"/>
      <c r="D214" s="73" t="s">
        <v>578</v>
      </c>
    </row>
    <row r="215">
      <c r="A215" s="5" t="s">
        <v>261</v>
      </c>
      <c r="B215" s="75">
        <v>1475.839085931864</v>
      </c>
      <c r="C215" s="5"/>
      <c r="D215" s="73" t="s">
        <v>578</v>
      </c>
    </row>
    <row r="216">
      <c r="A216" s="33" t="s">
        <v>262</v>
      </c>
      <c r="B216" s="75">
        <v>1378.6990989216658</v>
      </c>
      <c r="C216" s="5"/>
      <c r="D216" s="73" t="s">
        <v>578</v>
      </c>
    </row>
    <row r="217">
      <c r="A217" s="33" t="s">
        <v>263</v>
      </c>
      <c r="B217" s="75">
        <v>133.6898395721976</v>
      </c>
      <c r="C217" s="5"/>
      <c r="D217" s="73" t="s">
        <v>578</v>
      </c>
    </row>
    <row r="218">
      <c r="A218" s="5" t="s">
        <v>264</v>
      </c>
      <c r="B218" s="75">
        <v>781.5892314372854</v>
      </c>
      <c r="C218" s="5"/>
      <c r="D218" s="73" t="s">
        <v>578</v>
      </c>
    </row>
    <row r="219">
      <c r="A219" s="33" t="s">
        <v>265</v>
      </c>
      <c r="B219" s="75">
        <v>-1360.663652723532</v>
      </c>
      <c r="C219" s="26"/>
      <c r="D219" s="73" t="s">
        <v>578</v>
      </c>
    </row>
    <row r="220">
      <c r="A220" s="5" t="s">
        <v>266</v>
      </c>
      <c r="B220" s="75">
        <v>1091.0578715279125</v>
      </c>
      <c r="C220" s="5"/>
      <c r="D220" s="73" t="s">
        <v>578</v>
      </c>
    </row>
    <row r="221">
      <c r="A221" s="33" t="s">
        <v>267</v>
      </c>
      <c r="B221" s="75">
        <v>785.9258811437968</v>
      </c>
      <c r="C221" s="5"/>
      <c r="D221" s="73" t="s">
        <v>578</v>
      </c>
    </row>
    <row r="222">
      <c r="A222" s="33" t="s">
        <v>268</v>
      </c>
      <c r="B222" s="75">
        <v>43.67765887744444</v>
      </c>
      <c r="C222" s="5"/>
      <c r="D222" s="73" t="s">
        <v>578</v>
      </c>
    </row>
    <row r="223">
      <c r="A223" s="33" t="s">
        <v>269</v>
      </c>
      <c r="B223" s="75">
        <v>182.6484018264477</v>
      </c>
      <c r="C223" s="5"/>
      <c r="D223" s="73" t="s">
        <v>578</v>
      </c>
    </row>
    <row r="224">
      <c r="A224" s="5" t="s">
        <v>271</v>
      </c>
      <c r="B224" s="75">
        <v>59368.70382807248</v>
      </c>
      <c r="C224" s="29" t="s">
        <v>272</v>
      </c>
      <c r="D224" s="73" t="s">
        <v>579</v>
      </c>
    </row>
    <row r="225">
      <c r="A225" s="5" t="s">
        <v>273</v>
      </c>
      <c r="B225" s="75">
        <v>53068.576198216404</v>
      </c>
      <c r="C225" s="29" t="s">
        <v>272</v>
      </c>
      <c r="D225" s="73" t="s">
        <v>579</v>
      </c>
    </row>
    <row r="226">
      <c r="A226" s="5" t="s">
        <v>274</v>
      </c>
      <c r="B226" s="75">
        <v>0.0</v>
      </c>
      <c r="C226" s="5"/>
      <c r="D226" s="73" t="s">
        <v>578</v>
      </c>
    </row>
    <row r="227">
      <c r="A227" s="33" t="s">
        <v>275</v>
      </c>
      <c r="B227" s="75">
        <v>43867.306852902715</v>
      </c>
      <c r="C227" s="29" t="s">
        <v>276</v>
      </c>
      <c r="D227" s="73" t="s">
        <v>579</v>
      </c>
    </row>
    <row r="228">
      <c r="A228" s="5" t="s">
        <v>277</v>
      </c>
      <c r="B228" s="75">
        <v>45.616275887259896</v>
      </c>
      <c r="C228" s="5"/>
      <c r="D228" s="73" t="s">
        <v>578</v>
      </c>
    </row>
    <row r="229">
      <c r="A229" s="5" t="s">
        <v>278</v>
      </c>
      <c r="B229" s="75">
        <v>92.57544899090918</v>
      </c>
      <c r="C229" s="5"/>
      <c r="D229" s="73" t="s">
        <v>578</v>
      </c>
    </row>
    <row r="230">
      <c r="A230" s="33" t="s">
        <v>279</v>
      </c>
      <c r="B230" s="75">
        <v>637.7260511091904</v>
      </c>
      <c r="C230" s="5"/>
      <c r="D230" s="73" t="s">
        <v>578</v>
      </c>
    </row>
    <row r="231">
      <c r="A231" s="33" t="s">
        <v>280</v>
      </c>
      <c r="B231" s="75">
        <v>227.8630998495974</v>
      </c>
      <c r="C231" s="5"/>
      <c r="D231" s="73" t="s">
        <v>578</v>
      </c>
    </row>
    <row r="232">
      <c r="A232" s="5" t="s">
        <v>281</v>
      </c>
      <c r="B232" s="75">
        <v>141.00394811055244</v>
      </c>
      <c r="C232" s="5"/>
      <c r="D232" s="73" t="s">
        <v>578</v>
      </c>
    </row>
    <row r="233">
      <c r="A233" s="33" t="s">
        <v>282</v>
      </c>
      <c r="B233" s="75">
        <v>316.21267561093725</v>
      </c>
      <c r="C233" s="5"/>
      <c r="D233" s="73" t="s">
        <v>578</v>
      </c>
    </row>
    <row r="234">
      <c r="A234" s="33" t="s">
        <v>283</v>
      </c>
      <c r="B234" s="75">
        <v>235.84905660376015</v>
      </c>
      <c r="C234" s="5"/>
      <c r="D234" s="73" t="s">
        <v>578</v>
      </c>
    </row>
    <row r="235">
      <c r="A235" s="33" t="s">
        <v>284</v>
      </c>
      <c r="B235" s="75">
        <v>895.6560680698103</v>
      </c>
      <c r="C235" s="5"/>
      <c r="D235" s="73" t="s">
        <v>578</v>
      </c>
    </row>
    <row r="236">
      <c r="A236" s="33" t="s">
        <v>285</v>
      </c>
      <c r="B236" s="75">
        <v>542.2993492408015</v>
      </c>
      <c r="C236" s="5"/>
      <c r="D236" s="73" t="s">
        <v>578</v>
      </c>
    </row>
    <row r="237">
      <c r="A237" s="33" t="s">
        <v>286</v>
      </c>
      <c r="B237" s="75">
        <v>3241.269116640008</v>
      </c>
      <c r="C237" s="5"/>
      <c r="D237" s="73" t="s">
        <v>578</v>
      </c>
    </row>
    <row r="238">
      <c r="A238" s="33" t="s">
        <v>287</v>
      </c>
      <c r="B238" s="75">
        <v>186.8634962160434</v>
      </c>
      <c r="C238" s="5"/>
      <c r="D238" s="73" t="s">
        <v>578</v>
      </c>
    </row>
    <row r="239">
      <c r="A239" s="33" t="s">
        <v>288</v>
      </c>
      <c r="B239" s="75">
        <v>1206.5637065637065</v>
      </c>
      <c r="C239" s="5"/>
      <c r="D239" s="73" t="s">
        <v>578</v>
      </c>
    </row>
    <row r="240">
      <c r="A240" s="33" t="s">
        <v>289</v>
      </c>
      <c r="B240" s="75">
        <v>225.5503428365083</v>
      </c>
      <c r="C240" s="5"/>
      <c r="D240" s="73" t="s">
        <v>578</v>
      </c>
    </row>
    <row r="241">
      <c r="A241" s="16" t="s">
        <v>290</v>
      </c>
      <c r="B241" s="75">
        <v>67006.70478384272</v>
      </c>
      <c r="C241" s="5"/>
      <c r="D241" s="73" t="s">
        <v>578</v>
      </c>
    </row>
    <row r="242">
      <c r="A242" s="16" t="s">
        <v>291</v>
      </c>
      <c r="B242" s="75">
        <v>87030.90507726268</v>
      </c>
      <c r="C242" s="5"/>
      <c r="D242" s="73" t="s">
        <v>578</v>
      </c>
    </row>
    <row r="243">
      <c r="A243" s="16" t="s">
        <v>292</v>
      </c>
      <c r="B243" s="75">
        <v>61205.667812526226</v>
      </c>
      <c r="C243" s="5"/>
      <c r="D243" s="73" t="s">
        <v>578</v>
      </c>
    </row>
    <row r="244">
      <c r="A244" s="11" t="s">
        <v>293</v>
      </c>
      <c r="B244" s="75">
        <v>2148.001516236386</v>
      </c>
      <c r="C244" s="23" t="s">
        <v>294</v>
      </c>
      <c r="D244" s="73" t="s">
        <v>579</v>
      </c>
    </row>
    <row r="245">
      <c r="A245" s="16" t="s">
        <v>295</v>
      </c>
      <c r="B245" s="75">
        <v>1546.3055834169363</v>
      </c>
      <c r="C245" s="5"/>
      <c r="D245" s="73" t="s">
        <v>578</v>
      </c>
    </row>
    <row r="246">
      <c r="A246" s="11" t="s">
        <v>296</v>
      </c>
      <c r="B246" s="75">
        <v>799.1251682368679</v>
      </c>
      <c r="C246" s="5"/>
      <c r="D246" s="73" t="s">
        <v>578</v>
      </c>
    </row>
    <row r="247">
      <c r="A247" s="16" t="s">
        <v>297</v>
      </c>
      <c r="B247" s="75">
        <v>1054.5408529126419</v>
      </c>
      <c r="C247" s="5"/>
      <c r="D247" s="73" t="s">
        <v>578</v>
      </c>
    </row>
    <row r="248">
      <c r="A248" s="11" t="s">
        <v>298</v>
      </c>
      <c r="B248" s="75">
        <v>376.30137559059835</v>
      </c>
      <c r="C248" s="5"/>
      <c r="D248" s="73" t="s">
        <v>578</v>
      </c>
    </row>
    <row r="249">
      <c r="A249" s="16" t="s">
        <v>299</v>
      </c>
      <c r="B249" s="75">
        <v>4987.741990024544</v>
      </c>
      <c r="C249" s="5"/>
      <c r="D249" s="73" t="s">
        <v>578</v>
      </c>
    </row>
    <row r="250">
      <c r="A250" s="16" t="s">
        <v>300</v>
      </c>
      <c r="B250" s="75">
        <v>651.080201242968</v>
      </c>
      <c r="C250" s="5"/>
      <c r="D250" s="73" t="s">
        <v>578</v>
      </c>
    </row>
    <row r="251">
      <c r="A251" s="16" t="s">
        <v>301</v>
      </c>
      <c r="B251" s="75">
        <v>720.6557967751139</v>
      </c>
      <c r="C251" s="5"/>
      <c r="D251" s="73" t="s">
        <v>578</v>
      </c>
    </row>
    <row r="252">
      <c r="A252" s="16" t="s">
        <v>302</v>
      </c>
      <c r="B252" s="75">
        <v>251.41420490258653</v>
      </c>
      <c r="C252" s="5"/>
      <c r="D252" s="73" t="s">
        <v>578</v>
      </c>
    </row>
    <row r="253">
      <c r="A253" s="11" t="s">
        <v>303</v>
      </c>
      <c r="B253" s="75">
        <v>251.82573659028907</v>
      </c>
      <c r="C253" s="5"/>
      <c r="D253" s="73" t="s">
        <v>578</v>
      </c>
    </row>
    <row r="254">
      <c r="A254" s="16" t="s">
        <v>304</v>
      </c>
      <c r="B254" s="75">
        <v>48.25323296663345</v>
      </c>
      <c r="C254" s="5"/>
      <c r="D254" s="73" t="s">
        <v>578</v>
      </c>
    </row>
    <row r="255">
      <c r="A255" s="16" t="s">
        <v>305</v>
      </c>
      <c r="B255" s="75">
        <v>310.710639620015</v>
      </c>
      <c r="C255" s="5"/>
      <c r="D255" s="73" t="s">
        <v>578</v>
      </c>
    </row>
    <row r="256">
      <c r="A256" s="16" t="s">
        <v>306</v>
      </c>
      <c r="B256" s="75">
        <v>127.04865963664564</v>
      </c>
      <c r="C256" s="5"/>
      <c r="D256" s="73" t="s">
        <v>578</v>
      </c>
    </row>
    <row r="257">
      <c r="A257" s="16" t="s">
        <v>307</v>
      </c>
      <c r="B257" s="75">
        <v>90.65772177149826</v>
      </c>
      <c r="C257" s="5"/>
      <c r="D257" s="73" t="s">
        <v>578</v>
      </c>
    </row>
    <row r="258">
      <c r="A258" s="16" t="s">
        <v>309</v>
      </c>
      <c r="B258" s="75">
        <v>127.6432795813349</v>
      </c>
      <c r="C258" s="5"/>
      <c r="D258" s="73" t="s">
        <v>578</v>
      </c>
    </row>
    <row r="259">
      <c r="A259" s="16" t="s">
        <v>310</v>
      </c>
      <c r="B259" s="75">
        <v>6313.993174061451</v>
      </c>
      <c r="C259" s="5"/>
      <c r="D259" s="73" t="s">
        <v>578</v>
      </c>
    </row>
    <row r="260">
      <c r="A260" s="16" t="s">
        <v>311</v>
      </c>
      <c r="B260" s="75">
        <v>1792.1146953404636</v>
      </c>
      <c r="C260" s="5"/>
      <c r="D260" s="73" t="s">
        <v>578</v>
      </c>
    </row>
    <row r="261">
      <c r="A261" s="16" t="s">
        <v>312</v>
      </c>
      <c r="B261" s="75">
        <v>296.9247083775499</v>
      </c>
      <c r="C261" s="5"/>
      <c r="D261" s="73" t="s">
        <v>578</v>
      </c>
    </row>
    <row r="262">
      <c r="A262" s="16" t="s">
        <v>313</v>
      </c>
      <c r="B262" s="75">
        <v>87.04735376049022</v>
      </c>
      <c r="C262" s="5"/>
      <c r="D262" s="73" t="s">
        <v>578</v>
      </c>
    </row>
    <row r="263">
      <c r="A263" s="16" t="s">
        <v>314</v>
      </c>
      <c r="B263" s="75">
        <v>628.2722513089244</v>
      </c>
      <c r="C263" s="16" t="s">
        <v>315</v>
      </c>
      <c r="D263" s="73" t="s">
        <v>579</v>
      </c>
    </row>
    <row r="264">
      <c r="A264" s="16" t="s">
        <v>316</v>
      </c>
      <c r="B264" s="75">
        <v>546.6472303207203</v>
      </c>
      <c r="C264" s="5"/>
      <c r="D264" s="73" t="s">
        <v>578</v>
      </c>
    </row>
    <row r="265">
      <c r="A265" s="16" t="s">
        <v>317</v>
      </c>
      <c r="B265" s="75">
        <v>437.7708707262992</v>
      </c>
      <c r="C265" s="5"/>
      <c r="D265" s="73" t="s">
        <v>578</v>
      </c>
    </row>
    <row r="266">
      <c r="A266" s="16" t="s">
        <v>318</v>
      </c>
      <c r="B266" s="75">
        <v>296.19599712269866</v>
      </c>
      <c r="C266" s="5"/>
      <c r="D266" s="73" t="s">
        <v>578</v>
      </c>
    </row>
    <row r="267">
      <c r="A267" s="5" t="s">
        <v>319</v>
      </c>
      <c r="B267" s="75">
        <v>7084.248755772759</v>
      </c>
      <c r="C267" s="5"/>
      <c r="D267" s="73" t="s">
        <v>578</v>
      </c>
    </row>
    <row r="268">
      <c r="A268" s="5" t="s">
        <v>320</v>
      </c>
      <c r="B268" s="75">
        <v>6979.466858789677</v>
      </c>
      <c r="C268" s="5"/>
      <c r="D268" s="73" t="s">
        <v>578</v>
      </c>
    </row>
    <row r="269">
      <c r="A269" s="16" t="s">
        <v>321</v>
      </c>
      <c r="B269" s="75">
        <v>0.0</v>
      </c>
      <c r="C269" s="5"/>
      <c r="D269" s="73" t="s">
        <v>578</v>
      </c>
    </row>
    <row r="270">
      <c r="A270" s="16" t="s">
        <v>322</v>
      </c>
      <c r="B270" s="75">
        <v>268.88948642109114</v>
      </c>
      <c r="C270" s="5"/>
      <c r="D270" s="73" t="s">
        <v>578</v>
      </c>
    </row>
    <row r="271">
      <c r="A271" s="16" t="s">
        <v>323</v>
      </c>
      <c r="B271" s="75">
        <v>229.51572182693215</v>
      </c>
      <c r="C271" s="5"/>
      <c r="D271" s="73" t="s">
        <v>578</v>
      </c>
    </row>
    <row r="272">
      <c r="A272" s="16" t="s">
        <v>324</v>
      </c>
      <c r="B272" s="75">
        <v>89.68207703688634</v>
      </c>
      <c r="C272" s="5"/>
      <c r="D272" s="73" t="s">
        <v>578</v>
      </c>
    </row>
    <row r="273">
      <c r="A273" s="5" t="s">
        <v>325</v>
      </c>
      <c r="B273" s="75">
        <v>402.99108941926033</v>
      </c>
      <c r="C273" s="5"/>
      <c r="D273" s="73" t="s">
        <v>578</v>
      </c>
    </row>
    <row r="274">
      <c r="A274" s="5" t="s">
        <v>326</v>
      </c>
      <c r="B274" s="75">
        <v>403.3523058306333</v>
      </c>
      <c r="C274" s="5"/>
      <c r="D274" s="73" t="s">
        <v>578</v>
      </c>
    </row>
    <row r="275">
      <c r="A275" s="16" t="s">
        <v>327</v>
      </c>
      <c r="B275" s="75">
        <v>86.58008658006935</v>
      </c>
      <c r="C275" s="5"/>
      <c r="D275" s="73" t="s">
        <v>578</v>
      </c>
    </row>
    <row r="276">
      <c r="A276" s="16" t="s">
        <v>328</v>
      </c>
      <c r="B276" s="75">
        <v>308.92801977142585</v>
      </c>
      <c r="C276" s="5"/>
      <c r="D276" s="73" t="s">
        <v>578</v>
      </c>
    </row>
    <row r="277">
      <c r="A277" s="16" t="s">
        <v>329</v>
      </c>
      <c r="B277" s="75">
        <v>177.48591205569525</v>
      </c>
      <c r="C277" s="5"/>
      <c r="D277" s="73" t="s">
        <v>578</v>
      </c>
    </row>
    <row r="278">
      <c r="A278" s="16" t="s">
        <v>330</v>
      </c>
      <c r="B278" s="75">
        <v>182.80700150818632</v>
      </c>
      <c r="C278" s="5"/>
      <c r="D278" s="73" t="s">
        <v>578</v>
      </c>
    </row>
    <row r="279">
      <c r="A279" s="16" t="s">
        <v>331</v>
      </c>
      <c r="B279" s="75">
        <v>208.96894721449144</v>
      </c>
      <c r="C279" s="5"/>
      <c r="D279" s="73" t="s">
        <v>578</v>
      </c>
    </row>
    <row r="280">
      <c r="A280" s="16" t="s">
        <v>332</v>
      </c>
      <c r="B280" s="75">
        <v>44.74272930651059</v>
      </c>
      <c r="C280" s="5"/>
      <c r="D280" s="73" t="s">
        <v>578</v>
      </c>
    </row>
    <row r="281">
      <c r="A281" s="16" t="s">
        <v>333</v>
      </c>
      <c r="B281" s="75">
        <v>174.90161783999235</v>
      </c>
      <c r="C281" s="5"/>
      <c r="D281" s="73" t="s">
        <v>578</v>
      </c>
    </row>
    <row r="282">
      <c r="A282" s="16" t="s">
        <v>334</v>
      </c>
      <c r="B282" s="75">
        <v>209.2400401740758</v>
      </c>
      <c r="C282" s="5"/>
      <c r="D282" s="73" t="s">
        <v>578</v>
      </c>
    </row>
    <row r="283">
      <c r="A283" s="16" t="s">
        <v>335</v>
      </c>
      <c r="B283" s="75">
        <v>268.18039601306157</v>
      </c>
      <c r="D283" s="73" t="s">
        <v>578</v>
      </c>
    </row>
    <row r="284">
      <c r="A284" s="16" t="s">
        <v>336</v>
      </c>
      <c r="B284" s="75">
        <v>0.0</v>
      </c>
      <c r="D284" s="73" t="s">
        <v>578</v>
      </c>
    </row>
    <row r="285">
      <c r="A285" s="16" t="s">
        <v>337</v>
      </c>
      <c r="B285" s="75">
        <v>2155.269184140765</v>
      </c>
      <c r="D285" s="73" t="s">
        <v>578</v>
      </c>
    </row>
    <row r="286">
      <c r="A286" s="6" t="s">
        <v>338</v>
      </c>
      <c r="B286" s="75">
        <v>135.64839934889284</v>
      </c>
      <c r="C286" s="5"/>
      <c r="D286" s="73" t="s">
        <v>578</v>
      </c>
    </row>
    <row r="287">
      <c r="A287" s="6" t="s">
        <v>342</v>
      </c>
      <c r="B287" s="75">
        <v>904.7726758652016</v>
      </c>
      <c r="C287" s="5"/>
      <c r="D287" s="73" t="s">
        <v>578</v>
      </c>
    </row>
    <row r="288">
      <c r="A288" s="6" t="s">
        <v>344</v>
      </c>
      <c r="B288" s="75">
        <v>135.72818169479768</v>
      </c>
      <c r="C288" s="5"/>
      <c r="D288" s="73" t="s">
        <v>578</v>
      </c>
    </row>
    <row r="289">
      <c r="A289" s="6" t="s">
        <v>346</v>
      </c>
      <c r="B289" s="75">
        <v>592.7412000729969</v>
      </c>
      <c r="C289" s="5"/>
      <c r="D289" s="73" t="s">
        <v>578</v>
      </c>
    </row>
    <row r="290">
      <c r="A290" s="6" t="s">
        <v>348</v>
      </c>
      <c r="B290" s="75">
        <v>89.38148015729362</v>
      </c>
      <c r="C290" s="5"/>
      <c r="D290" s="73" t="s">
        <v>578</v>
      </c>
    </row>
    <row r="291">
      <c r="A291" s="6" t="s">
        <v>350</v>
      </c>
      <c r="B291" s="75">
        <v>1207.1687250441319</v>
      </c>
      <c r="C291" s="5"/>
      <c r="D291" s="73" t="s">
        <v>578</v>
      </c>
    </row>
    <row r="292">
      <c r="A292" s="6" t="s">
        <v>352</v>
      </c>
      <c r="B292" s="75">
        <v>222.52881748185123</v>
      </c>
      <c r="C292" s="5"/>
      <c r="D292" s="73" t="s">
        <v>578</v>
      </c>
    </row>
    <row r="293">
      <c r="A293" s="6" t="s">
        <v>353</v>
      </c>
      <c r="B293" s="75">
        <v>537.8030744408655</v>
      </c>
      <c r="C293" s="5"/>
      <c r="D293" s="73" t="s">
        <v>578</v>
      </c>
    </row>
    <row r="294">
      <c r="A294" s="6" t="s">
        <v>354</v>
      </c>
      <c r="B294" s="75">
        <v>44.202802457698425</v>
      </c>
      <c r="C294" s="5"/>
      <c r="D294" s="73" t="s">
        <v>578</v>
      </c>
    </row>
    <row r="295">
      <c r="A295" s="6" t="s">
        <v>356</v>
      </c>
      <c r="B295" s="75">
        <v>413.73603640872153</v>
      </c>
      <c r="C295" s="5"/>
      <c r="D295" s="73" t="s">
        <v>578</v>
      </c>
    </row>
    <row r="296">
      <c r="A296" s="6" t="s">
        <v>357</v>
      </c>
      <c r="B296" s="75">
        <v>395.11809640876817</v>
      </c>
      <c r="C296" s="5"/>
      <c r="D296" s="73" t="s">
        <v>578</v>
      </c>
    </row>
    <row r="297">
      <c r="A297" s="6" t="s">
        <v>358</v>
      </c>
      <c r="B297" s="75">
        <v>433.7976574926661</v>
      </c>
      <c r="C297" s="5"/>
      <c r="D297" s="73" t="s">
        <v>578</v>
      </c>
    </row>
    <row r="298">
      <c r="A298" s="6" t="s">
        <v>360</v>
      </c>
      <c r="B298" s="75">
        <v>180.84817795463536</v>
      </c>
      <c r="C298" s="16"/>
      <c r="D298" s="73" t="s">
        <v>578</v>
      </c>
    </row>
    <row r="299">
      <c r="A299" s="16" t="s">
        <v>362</v>
      </c>
      <c r="B299" s="75">
        <v>21576.39806252748</v>
      </c>
      <c r="C299" s="5" t="s">
        <v>364</v>
      </c>
      <c r="D299" s="73" t="s">
        <v>579</v>
      </c>
    </row>
    <row r="300">
      <c r="A300" s="16" t="s">
        <v>365</v>
      </c>
      <c r="B300" s="75">
        <v>91.8442321822007</v>
      </c>
      <c r="C300" s="5"/>
      <c r="D300" s="73" t="s">
        <v>578</v>
      </c>
    </row>
    <row r="301">
      <c r="A301" s="16" t="s">
        <v>366</v>
      </c>
      <c r="B301" s="75">
        <v>1726.8098295328784</v>
      </c>
      <c r="C301" s="5"/>
      <c r="D301" s="73" t="s">
        <v>578</v>
      </c>
    </row>
    <row r="302">
      <c r="A302" s="16" t="s">
        <v>367</v>
      </c>
      <c r="B302" s="75">
        <v>263.8290387828787</v>
      </c>
      <c r="C302" s="5"/>
      <c r="D302" s="73" t="s">
        <v>578</v>
      </c>
    </row>
    <row r="303">
      <c r="A303" s="16" t="s">
        <v>368</v>
      </c>
      <c r="B303" s="75">
        <v>659.7756762700932</v>
      </c>
      <c r="C303" s="5"/>
      <c r="D303" s="73" t="s">
        <v>578</v>
      </c>
    </row>
    <row r="304">
      <c r="A304" s="16" t="s">
        <v>369</v>
      </c>
      <c r="B304" s="75">
        <v>263.2271650434425</v>
      </c>
      <c r="C304" s="5"/>
      <c r="D304" s="73" t="s">
        <v>578</v>
      </c>
    </row>
    <row r="305">
      <c r="A305" s="16" t="s">
        <v>370</v>
      </c>
      <c r="B305" s="75">
        <v>617.5834840531147</v>
      </c>
      <c r="C305" s="5"/>
      <c r="D305" s="73" t="s">
        <v>578</v>
      </c>
    </row>
    <row r="306">
      <c r="A306" s="5" t="s">
        <v>371</v>
      </c>
      <c r="B306" s="75">
        <v>506.35242128521196</v>
      </c>
      <c r="C306" s="5"/>
      <c r="D306" s="73" t="s">
        <v>578</v>
      </c>
    </row>
    <row r="307">
      <c r="A307" s="16" t="s">
        <v>372</v>
      </c>
      <c r="B307" s="75">
        <v>636.2768713357295</v>
      </c>
      <c r="C307" s="5"/>
      <c r="D307" s="73" t="s">
        <v>578</v>
      </c>
    </row>
    <row r="308">
      <c r="A308" s="16" t="s">
        <v>373</v>
      </c>
      <c r="B308" s="75">
        <v>315.40055870959446</v>
      </c>
      <c r="C308" s="5"/>
      <c r="D308" s="73" t="s">
        <v>578</v>
      </c>
    </row>
    <row r="309">
      <c r="A309" s="16" t="s">
        <v>374</v>
      </c>
      <c r="B309" s="75">
        <v>692.712662787502</v>
      </c>
      <c r="C309" s="5"/>
      <c r="D309" s="73" t="s">
        <v>578</v>
      </c>
    </row>
    <row r="310">
      <c r="A310" s="16" t="s">
        <v>375</v>
      </c>
      <c r="B310" s="75">
        <v>5625.13733245441</v>
      </c>
      <c r="C310" s="5"/>
      <c r="D310" s="73" t="s">
        <v>578</v>
      </c>
    </row>
    <row r="311">
      <c r="A311" s="16" t="s">
        <v>376</v>
      </c>
      <c r="B311" s="75">
        <v>4991.179381265851</v>
      </c>
      <c r="C311" s="5"/>
      <c r="D311" s="73" t="s">
        <v>578</v>
      </c>
    </row>
    <row r="312">
      <c r="A312" s="6" t="s">
        <v>377</v>
      </c>
      <c r="B312" s="75">
        <v>1772.9690412328982</v>
      </c>
      <c r="C312" s="5"/>
      <c r="D312" s="73" t="s">
        <v>578</v>
      </c>
    </row>
    <row r="313">
      <c r="A313" s="5" t="s">
        <v>379</v>
      </c>
      <c r="B313" s="75">
        <v>1348.3146067415603</v>
      </c>
      <c r="C313" s="5"/>
      <c r="D313" s="73" t="s">
        <v>578</v>
      </c>
    </row>
    <row r="314">
      <c r="A314" s="5" t="s">
        <v>380</v>
      </c>
      <c r="B314" s="75">
        <v>1505.5431360919674</v>
      </c>
      <c r="C314" s="5"/>
      <c r="D314" s="73" t="s">
        <v>578</v>
      </c>
    </row>
    <row r="315">
      <c r="A315" s="16" t="s">
        <v>381</v>
      </c>
      <c r="B315" s="75">
        <v>1199.7333925794092</v>
      </c>
      <c r="C315" s="5"/>
      <c r="D315" s="73" t="s">
        <v>578</v>
      </c>
    </row>
    <row r="316">
      <c r="A316" s="16" t="s">
        <v>382</v>
      </c>
      <c r="B316" s="75">
        <v>1187.4314943368881</v>
      </c>
      <c r="C316" s="5"/>
      <c r="D316" s="73" t="s">
        <v>578</v>
      </c>
    </row>
    <row r="317">
      <c r="A317" s="16" t="s">
        <v>383</v>
      </c>
      <c r="B317" s="75">
        <v>1358.142061659637</v>
      </c>
      <c r="C317" s="5"/>
      <c r="D317" s="73" t="s">
        <v>578</v>
      </c>
    </row>
    <row r="318">
      <c r="A318" s="5" t="s">
        <v>384</v>
      </c>
      <c r="B318" s="75">
        <v>1549.2209631728422</v>
      </c>
      <c r="C318" s="5"/>
      <c r="D318" s="73" t="s">
        <v>578</v>
      </c>
    </row>
    <row r="319">
      <c r="A319" s="5" t="s">
        <v>385</v>
      </c>
      <c r="B319" s="75">
        <v>1122.4856321839084</v>
      </c>
      <c r="C319" s="5"/>
      <c r="D319" s="73" t="s">
        <v>578</v>
      </c>
    </row>
    <row r="320">
      <c r="A320" s="16" t="s">
        <v>386</v>
      </c>
      <c r="B320" s="75">
        <v>1226.4729468370722</v>
      </c>
      <c r="C320" s="5"/>
      <c r="D320" s="73" t="s">
        <v>578</v>
      </c>
    </row>
    <row r="321">
      <c r="A321" s="16" t="s">
        <v>387</v>
      </c>
      <c r="B321" s="75">
        <v>400.40930729191354</v>
      </c>
      <c r="C321" s="5"/>
      <c r="D321" s="73" t="s">
        <v>578</v>
      </c>
    </row>
    <row r="322">
      <c r="A322" s="16" t="s">
        <v>388</v>
      </c>
      <c r="B322" s="75">
        <v>440.2958788306117</v>
      </c>
      <c r="C322" s="5"/>
      <c r="D322" s="73" t="s">
        <v>578</v>
      </c>
    </row>
    <row r="323">
      <c r="A323" s="16" t="s">
        <v>389</v>
      </c>
      <c r="B323" s="75">
        <v>2816.779337840205</v>
      </c>
      <c r="C323" s="5"/>
      <c r="D323" s="73" t="s">
        <v>578</v>
      </c>
    </row>
    <row r="324">
      <c r="A324" s="16" t="s">
        <v>390</v>
      </c>
      <c r="B324" s="75">
        <v>686.4890376281658</v>
      </c>
      <c r="C324" s="5"/>
      <c r="D324" s="73" t="s">
        <v>578</v>
      </c>
    </row>
    <row r="325">
      <c r="A325" s="6" t="s">
        <v>391</v>
      </c>
      <c r="B325" s="75">
        <v>317.0002717144877</v>
      </c>
      <c r="C325" s="5"/>
      <c r="D325" s="73" t="s">
        <v>578</v>
      </c>
    </row>
    <row r="326">
      <c r="A326" s="7" t="s">
        <v>393</v>
      </c>
      <c r="B326" s="35">
        <v>1700.7584463341968</v>
      </c>
      <c r="D326" s="73" t="s">
        <v>578</v>
      </c>
    </row>
    <row r="327">
      <c r="A327" s="7" t="s">
        <v>396</v>
      </c>
      <c r="B327" s="35">
        <v>271.8868950516688</v>
      </c>
      <c r="D327" s="73" t="s">
        <v>578</v>
      </c>
    </row>
    <row r="328">
      <c r="A328" s="7" t="s">
        <v>398</v>
      </c>
      <c r="B328" s="35">
        <v>3102.1897810219293</v>
      </c>
      <c r="D328" s="73" t="s">
        <v>578</v>
      </c>
    </row>
    <row r="329">
      <c r="A329" s="7" t="s">
        <v>401</v>
      </c>
      <c r="B329" s="35">
        <v>350.17070822025</v>
      </c>
      <c r="D329" s="73" t="s">
        <v>578</v>
      </c>
    </row>
    <row r="330">
      <c r="A330" s="7" t="s">
        <v>403</v>
      </c>
      <c r="B330" s="35">
        <v>307.9765937789053</v>
      </c>
      <c r="D330" s="73" t="s">
        <v>578</v>
      </c>
    </row>
    <row r="331">
      <c r="A331" s="7" t="s">
        <v>404</v>
      </c>
      <c r="B331" s="35">
        <v>322.6103788367277</v>
      </c>
      <c r="D331" s="73" t="s">
        <v>578</v>
      </c>
    </row>
    <row r="332">
      <c r="A332" s="7" t="s">
        <v>405</v>
      </c>
      <c r="B332" s="35">
        <v>269.08242891740184</v>
      </c>
      <c r="D332" s="73" t="s">
        <v>578</v>
      </c>
    </row>
    <row r="333">
      <c r="A333" s="7" t="s">
        <v>406</v>
      </c>
      <c r="B333" s="35">
        <v>534.3069593481657</v>
      </c>
      <c r="D333" s="73" t="s">
        <v>578</v>
      </c>
    </row>
    <row r="334">
      <c r="A334" s="7" t="s">
        <v>407</v>
      </c>
      <c r="B334" s="35">
        <v>383.59901116700803</v>
      </c>
      <c r="D334" s="73" t="s">
        <v>578</v>
      </c>
    </row>
    <row r="335">
      <c r="A335" s="7" t="s">
        <v>408</v>
      </c>
      <c r="B335" s="35">
        <v>129.5336787564816</v>
      </c>
      <c r="D335" s="73" t="s">
        <v>578</v>
      </c>
    </row>
    <row r="336">
      <c r="A336" s="7" t="s">
        <v>409</v>
      </c>
      <c r="B336" s="35">
        <v>91.6128441207275</v>
      </c>
      <c r="D336" s="73" t="s">
        <v>578</v>
      </c>
    </row>
    <row r="337">
      <c r="A337" s="7" t="s">
        <v>411</v>
      </c>
      <c r="B337" s="35">
        <v>90.72763563779723</v>
      </c>
      <c r="D337" s="73" t="s">
        <v>578</v>
      </c>
    </row>
    <row r="338">
      <c r="A338" s="7" t="s">
        <v>412</v>
      </c>
      <c r="B338" s="35">
        <v>135.69748507328177</v>
      </c>
      <c r="D338" s="73" t="s">
        <v>578</v>
      </c>
    </row>
    <row r="339">
      <c r="A339" s="7" t="s">
        <v>413</v>
      </c>
      <c r="B339" s="35">
        <v>178.07060499484504</v>
      </c>
      <c r="D339" s="73" t="s">
        <v>578</v>
      </c>
    </row>
    <row r="340">
      <c r="A340" s="16" t="s">
        <v>414</v>
      </c>
      <c r="B340" s="75">
        <v>1960.6171681868893</v>
      </c>
      <c r="C340" s="5"/>
      <c r="D340" s="73" t="s">
        <v>578</v>
      </c>
    </row>
    <row r="341">
      <c r="A341" s="16" t="s">
        <v>415</v>
      </c>
      <c r="B341" s="75">
        <v>1924.7124121570516</v>
      </c>
      <c r="C341" s="5"/>
      <c r="D341" s="73" t="s">
        <v>578</v>
      </c>
    </row>
    <row r="342">
      <c r="A342" s="6" t="s">
        <v>416</v>
      </c>
      <c r="B342" s="75">
        <v>1423.614200551683</v>
      </c>
      <c r="C342" s="5"/>
      <c r="D342" s="73" t="s">
        <v>578</v>
      </c>
    </row>
    <row r="343">
      <c r="A343" s="6" t="s">
        <v>417</v>
      </c>
      <c r="B343" s="75">
        <v>865.1306802659035</v>
      </c>
      <c r="C343" s="5"/>
      <c r="D343" s="73" t="s">
        <v>578</v>
      </c>
    </row>
    <row r="344">
      <c r="A344" s="6" t="s">
        <v>418</v>
      </c>
      <c r="B344" s="75">
        <v>706.5577390152828</v>
      </c>
      <c r="C344" s="5"/>
      <c r="D344" s="73" t="s">
        <v>578</v>
      </c>
    </row>
    <row r="345">
      <c r="A345" s="6" t="s">
        <v>419</v>
      </c>
      <c r="B345" s="75">
        <v>674.2179072276415</v>
      </c>
      <c r="C345" s="5"/>
      <c r="D345" s="73" t="s">
        <v>578</v>
      </c>
    </row>
    <row r="346">
      <c r="A346" s="6" t="s">
        <v>420</v>
      </c>
      <c r="B346" s="75">
        <v>534.9977708426418</v>
      </c>
      <c r="C346" s="5"/>
      <c r="D346" s="73" t="s">
        <v>578</v>
      </c>
    </row>
    <row r="347">
      <c r="A347" s="6" t="s">
        <v>421</v>
      </c>
      <c r="B347" s="75">
        <v>449.76162633801533</v>
      </c>
      <c r="C347" s="5"/>
      <c r="D347" s="73" t="s">
        <v>578</v>
      </c>
    </row>
    <row r="348">
      <c r="A348" s="6" t="s">
        <v>422</v>
      </c>
      <c r="B348" s="75">
        <v>445.87123238806106</v>
      </c>
      <c r="C348" s="5"/>
      <c r="D348" s="73" t="s">
        <v>578</v>
      </c>
    </row>
    <row r="349">
      <c r="A349" s="6" t="s">
        <v>423</v>
      </c>
      <c r="B349" s="75">
        <v>549.5511998534738</v>
      </c>
      <c r="C349" s="5"/>
      <c r="D349" s="73" t="s">
        <v>578</v>
      </c>
    </row>
    <row r="350">
      <c r="A350" s="6" t="s">
        <v>425</v>
      </c>
      <c r="B350" s="75">
        <v>582.9335007398569</v>
      </c>
      <c r="C350" s="5"/>
      <c r="D350" s="73" t="s">
        <v>578</v>
      </c>
    </row>
    <row r="351">
      <c r="A351" s="6" t="s">
        <v>426</v>
      </c>
      <c r="B351" s="75">
        <v>570.1254275940507</v>
      </c>
      <c r="C351" s="5"/>
      <c r="D351" s="73" t="s">
        <v>578</v>
      </c>
    </row>
    <row r="352">
      <c r="A352" s="6" t="s">
        <v>427</v>
      </c>
      <c r="B352" s="75">
        <v>621.0904573887608</v>
      </c>
      <c r="C352" s="5"/>
      <c r="D352" s="73" t="s">
        <v>578</v>
      </c>
    </row>
    <row r="353">
      <c r="A353" s="6" t="s">
        <v>428</v>
      </c>
      <c r="B353" s="75">
        <v>662.8955276648651</v>
      </c>
      <c r="C353" s="5"/>
      <c r="D353" s="73" t="s">
        <v>578</v>
      </c>
    </row>
    <row r="354">
      <c r="A354" s="6" t="s">
        <v>429</v>
      </c>
      <c r="B354" s="75">
        <v>398.9538543375301</v>
      </c>
      <c r="C354" s="5"/>
      <c r="D354" s="73" t="s">
        <v>578</v>
      </c>
    </row>
    <row r="355">
      <c r="A355" s="6" t="s">
        <v>430</v>
      </c>
      <c r="B355" s="75">
        <v>223.56360384528128</v>
      </c>
      <c r="C355" s="5"/>
      <c r="D355" s="73" t="s">
        <v>578</v>
      </c>
    </row>
    <row r="356">
      <c r="A356" s="6" t="s">
        <v>431</v>
      </c>
      <c r="B356" s="75">
        <v>266.3234053886203</v>
      </c>
      <c r="C356" s="5"/>
      <c r="D356" s="73" t="s">
        <v>578</v>
      </c>
    </row>
    <row r="357">
      <c r="A357" s="6" t="s">
        <v>432</v>
      </c>
      <c r="B357" s="75">
        <v>311.95686082264444</v>
      </c>
      <c r="C357" s="5"/>
      <c r="D357" s="73" t="s">
        <v>578</v>
      </c>
    </row>
    <row r="358">
      <c r="A358" s="6" t="s">
        <v>433</v>
      </c>
      <c r="B358" s="75">
        <v>487.43740860548337</v>
      </c>
      <c r="C358" s="5"/>
      <c r="D358" s="73" t="s">
        <v>578</v>
      </c>
    </row>
    <row r="359">
      <c r="A359" s="16" t="s">
        <v>434</v>
      </c>
      <c r="B359" s="75">
        <v>382.6469603482005</v>
      </c>
      <c r="C359" s="5"/>
      <c r="D359" s="73" t="s">
        <v>578</v>
      </c>
    </row>
    <row r="360">
      <c r="A360" s="6" t="s">
        <v>435</v>
      </c>
      <c r="B360" s="75">
        <v>307.9765937788428</v>
      </c>
      <c r="C360" s="5"/>
      <c r="D360" s="73" t="s">
        <v>578</v>
      </c>
    </row>
    <row r="361">
      <c r="A361" s="6" t="s">
        <v>436</v>
      </c>
      <c r="B361" s="75">
        <v>399.68025579537886</v>
      </c>
      <c r="C361" s="5"/>
      <c r="D361" s="73" t="s">
        <v>578</v>
      </c>
    </row>
    <row r="362">
      <c r="A362" s="6" t="s">
        <v>437</v>
      </c>
      <c r="B362" s="75">
        <v>397.561622051433</v>
      </c>
      <c r="C362" s="5"/>
      <c r="D362" s="73" t="s">
        <v>578</v>
      </c>
    </row>
    <row r="363">
      <c r="A363" s="6" t="s">
        <v>438</v>
      </c>
      <c r="B363" s="75">
        <v>570.450656018297</v>
      </c>
      <c r="C363" s="5"/>
      <c r="D363" s="73" t="s">
        <v>578</v>
      </c>
    </row>
    <row r="364">
      <c r="A364" s="16" t="s">
        <v>439</v>
      </c>
      <c r="B364" s="75">
        <v>483.66530360989947</v>
      </c>
      <c r="C364" s="5"/>
      <c r="D364" s="73" t="s">
        <v>578</v>
      </c>
    </row>
    <row r="365">
      <c r="A365" s="5" t="s">
        <v>441</v>
      </c>
      <c r="B365" s="75">
        <v>219.66435286880397</v>
      </c>
      <c r="C365" s="5"/>
      <c r="D365" s="73" t="s">
        <v>578</v>
      </c>
    </row>
    <row r="366">
      <c r="A366" s="5" t="s">
        <v>442</v>
      </c>
      <c r="B366" s="75">
        <v>276.25581288273986</v>
      </c>
      <c r="C366" s="5"/>
      <c r="D366" s="73" t="s">
        <v>578</v>
      </c>
    </row>
    <row r="367">
      <c r="A367" s="5" t="s">
        <v>443</v>
      </c>
      <c r="B367" s="75">
        <v>259.44824007611464</v>
      </c>
      <c r="C367" s="5"/>
      <c r="D367" s="73" t="s">
        <v>578</v>
      </c>
    </row>
    <row r="368">
      <c r="A368" s="16" t="s">
        <v>444</v>
      </c>
      <c r="B368" s="75">
        <v>302.4934099650291</v>
      </c>
      <c r="C368" s="5"/>
      <c r="D368" s="73" t="s">
        <v>578</v>
      </c>
    </row>
    <row r="369">
      <c r="A369" s="6" t="s">
        <v>445</v>
      </c>
      <c r="B369" s="75">
        <v>716.6532294185998</v>
      </c>
      <c r="C369" s="5"/>
      <c r="D369" s="73" t="s">
        <v>578</v>
      </c>
    </row>
    <row r="370">
      <c r="A370" s="6" t="s">
        <v>446</v>
      </c>
      <c r="B370" s="75">
        <v>578.85831329591</v>
      </c>
      <c r="C370" s="5"/>
      <c r="D370" s="73" t="s">
        <v>578</v>
      </c>
    </row>
    <row r="371">
      <c r="A371" s="6" t="s">
        <v>447</v>
      </c>
      <c r="B371" s="75">
        <v>445.91099616514015</v>
      </c>
      <c r="C371" s="5"/>
      <c r="D371" s="73" t="s">
        <v>578</v>
      </c>
    </row>
    <row r="372">
      <c r="A372" s="5" t="s">
        <v>448</v>
      </c>
      <c r="B372" s="75">
        <v>376.54146662900445</v>
      </c>
      <c r="C372" s="5"/>
      <c r="D372" s="73" t="s">
        <v>578</v>
      </c>
    </row>
    <row r="373">
      <c r="A373" s="6" t="s">
        <v>449</v>
      </c>
      <c r="B373" s="75">
        <v>608.6691882961636</v>
      </c>
      <c r="C373" s="5"/>
      <c r="D373" s="73" t="s">
        <v>578</v>
      </c>
    </row>
    <row r="374">
      <c r="A374" s="16" t="s">
        <v>450</v>
      </c>
      <c r="B374" s="75">
        <v>359.34060998074165</v>
      </c>
      <c r="C374" s="5"/>
      <c r="D374" s="73" t="s">
        <v>578</v>
      </c>
    </row>
    <row r="375">
      <c r="A375" s="16" t="s">
        <v>451</v>
      </c>
      <c r="B375" s="75">
        <v>175.56179775283638</v>
      </c>
      <c r="C375" s="5"/>
      <c r="D375" s="73" t="s">
        <v>578</v>
      </c>
    </row>
    <row r="376">
      <c r="A376" s="16" t="s">
        <v>452</v>
      </c>
      <c r="B376" s="75">
        <v>43.574883437209095</v>
      </c>
      <c r="C376" s="5"/>
      <c r="D376" s="73" t="s">
        <v>578</v>
      </c>
    </row>
    <row r="377">
      <c r="A377" s="5" t="s">
        <v>453</v>
      </c>
      <c r="B377" s="75">
        <v>133.39261894175695</v>
      </c>
      <c r="C377" s="5"/>
      <c r="D377" s="73" t="s">
        <v>578</v>
      </c>
    </row>
    <row r="378">
      <c r="A378" s="16" t="s">
        <v>454</v>
      </c>
      <c r="B378" s="75">
        <v>43.20027648179158</v>
      </c>
      <c r="C378" s="5"/>
      <c r="D378" s="73" t="s">
        <v>578</v>
      </c>
    </row>
    <row r="379">
      <c r="A379" s="16" t="s">
        <v>455</v>
      </c>
      <c r="B379" s="75">
        <v>177.5095411378639</v>
      </c>
      <c r="C379" s="5"/>
      <c r="D379" s="73" t="s">
        <v>578</v>
      </c>
    </row>
    <row r="380">
      <c r="A380" s="6" t="s">
        <v>456</v>
      </c>
      <c r="B380" s="75">
        <v>179.0350013427905</v>
      </c>
      <c r="C380" s="5"/>
      <c r="D380" s="73" t="s">
        <v>578</v>
      </c>
    </row>
    <row r="381">
      <c r="A381" s="6" t="s">
        <v>457</v>
      </c>
      <c r="B381" s="75">
        <v>131.5039670363439</v>
      </c>
      <c r="C381" s="5"/>
      <c r="D381" s="73" t="s">
        <v>578</v>
      </c>
    </row>
    <row r="382">
      <c r="A382" s="6" t="s">
        <v>458</v>
      </c>
      <c r="B382" s="75">
        <v>225.80499480647225</v>
      </c>
      <c r="C382" s="5"/>
      <c r="D382" s="73" t="s">
        <v>578</v>
      </c>
    </row>
    <row r="383">
      <c r="A383" s="6" t="s">
        <v>459</v>
      </c>
      <c r="B383" s="75">
        <v>172.05781142466554</v>
      </c>
      <c r="C383" s="5"/>
      <c r="D383" s="73" t="s">
        <v>578</v>
      </c>
    </row>
    <row r="384">
      <c r="A384" s="6" t="s">
        <v>460</v>
      </c>
      <c r="B384" s="75">
        <v>87.62705923593687</v>
      </c>
      <c r="C384" s="5"/>
      <c r="D384" s="73" t="s">
        <v>578</v>
      </c>
    </row>
    <row r="385">
      <c r="A385" s="16" t="s">
        <v>461</v>
      </c>
      <c r="B385" s="75">
        <v>7876.094513134124</v>
      </c>
      <c r="C385" s="5"/>
      <c r="D385" s="73" t="s">
        <v>578</v>
      </c>
    </row>
    <row r="386">
      <c r="A386" s="5" t="s">
        <v>462</v>
      </c>
      <c r="B386" s="75">
        <v>593.146872290895</v>
      </c>
      <c r="C386" s="5"/>
      <c r="D386" s="73" t="s">
        <v>578</v>
      </c>
    </row>
    <row r="387">
      <c r="A387" s="16" t="s">
        <v>463</v>
      </c>
      <c r="B387" s="75">
        <v>10229.735587342866</v>
      </c>
      <c r="C387" s="5"/>
      <c r="D387" s="73" t="s">
        <v>578</v>
      </c>
    </row>
    <row r="388">
      <c r="A388" s="6" t="s">
        <v>464</v>
      </c>
      <c r="B388" s="75">
        <v>707.3699102524903</v>
      </c>
      <c r="C388" s="5"/>
      <c r="D388" s="73" t="s">
        <v>578</v>
      </c>
    </row>
    <row r="389">
      <c r="A389" s="5" t="s">
        <v>465</v>
      </c>
      <c r="B389" s="75">
        <v>588.0756355740317</v>
      </c>
      <c r="C389" s="5"/>
      <c r="D389" s="73" t="s">
        <v>578</v>
      </c>
    </row>
    <row r="390">
      <c r="A390" s="6" t="s">
        <v>466</v>
      </c>
      <c r="B390" s="75">
        <v>668.1216872299929</v>
      </c>
      <c r="C390" s="5"/>
      <c r="D390" s="73" t="s">
        <v>578</v>
      </c>
    </row>
    <row r="391">
      <c r="A391" s="6" t="s">
        <v>467</v>
      </c>
      <c r="B391" s="75">
        <v>671.44136078785</v>
      </c>
      <c r="C391" s="5"/>
      <c r="D391" s="73" t="s">
        <v>578</v>
      </c>
    </row>
    <row r="392">
      <c r="A392" s="6" t="s">
        <v>468</v>
      </c>
      <c r="B392" s="75">
        <v>444.1483455473875</v>
      </c>
      <c r="C392" s="5"/>
      <c r="D392" s="73" t="s">
        <v>578</v>
      </c>
    </row>
    <row r="393">
      <c r="A393" s="6" t="s">
        <v>469</v>
      </c>
      <c r="B393" s="75">
        <v>574.7380520800896</v>
      </c>
      <c r="C393" s="5"/>
      <c r="D393" s="73" t="s">
        <v>578</v>
      </c>
    </row>
    <row r="394">
      <c r="A394" s="5" t="s">
        <v>470</v>
      </c>
      <c r="B394" s="75">
        <v>1958.427916499745</v>
      </c>
      <c r="C394" s="5"/>
      <c r="D394" s="73" t="s">
        <v>578</v>
      </c>
    </row>
    <row r="395">
      <c r="A395" s="6" t="s">
        <v>471</v>
      </c>
      <c r="B395" s="75">
        <v>1166.2853810613426</v>
      </c>
      <c r="C395" s="5"/>
      <c r="D395" s="73" t="s">
        <v>578</v>
      </c>
    </row>
    <row r="396">
      <c r="A396" s="6" t="s">
        <v>472</v>
      </c>
      <c r="B396" s="75">
        <v>541.1987552428834</v>
      </c>
      <c r="C396" s="5"/>
      <c r="D396" s="73" t="s">
        <v>578</v>
      </c>
    </row>
    <row r="397">
      <c r="A397" s="6" t="s">
        <v>473</v>
      </c>
      <c r="B397" s="75">
        <v>581.2133947332921</v>
      </c>
      <c r="C397" s="5"/>
      <c r="D397" s="73" t="s">
        <v>578</v>
      </c>
    </row>
    <row r="398">
      <c r="A398" s="6" t="s">
        <v>474</v>
      </c>
      <c r="B398" s="75">
        <v>744.2756446740584</v>
      </c>
      <c r="C398" s="5"/>
      <c r="D398" s="73" t="s">
        <v>578</v>
      </c>
    </row>
    <row r="399">
      <c r="A399" s="6" t="s">
        <v>475</v>
      </c>
      <c r="B399" s="75">
        <v>305.85048280686584</v>
      </c>
      <c r="C399" s="5"/>
      <c r="D399" s="73" t="s">
        <v>578</v>
      </c>
    </row>
    <row r="400">
      <c r="A400" s="6" t="s">
        <v>476</v>
      </c>
      <c r="B400" s="75">
        <v>261.3240418118566</v>
      </c>
      <c r="C400" s="5"/>
      <c r="D400" s="73" t="s">
        <v>578</v>
      </c>
    </row>
    <row r="401">
      <c r="A401" s="6" t="s">
        <v>477</v>
      </c>
      <c r="B401" s="75">
        <v>130.06156247290875</v>
      </c>
      <c r="C401" s="5"/>
      <c r="D401" s="73" t="s">
        <v>578</v>
      </c>
    </row>
    <row r="402">
      <c r="A402" s="6" t="s">
        <v>478</v>
      </c>
      <c r="B402" s="75">
        <v>90.36280666875716</v>
      </c>
      <c r="C402" s="5"/>
      <c r="D402" s="73" t="s">
        <v>578</v>
      </c>
    </row>
    <row r="403">
      <c r="A403" s="6" t="s">
        <v>479</v>
      </c>
      <c r="B403" s="75">
        <v>58880.13998250215</v>
      </c>
      <c r="C403" s="5" t="s">
        <v>480</v>
      </c>
      <c r="D403" s="73" t="s">
        <v>579</v>
      </c>
    </row>
    <row r="404">
      <c r="A404" s="7" t="s">
        <v>481</v>
      </c>
      <c r="B404" s="35">
        <v>652.4069155133072</v>
      </c>
      <c r="D404" s="73" t="s">
        <v>578</v>
      </c>
    </row>
    <row r="405">
      <c r="A405" s="7" t="s">
        <v>482</v>
      </c>
      <c r="B405" s="35">
        <v>567.0912580701249</v>
      </c>
      <c r="D405" s="73" t="s">
        <v>578</v>
      </c>
    </row>
    <row r="406">
      <c r="A406" s="7" t="s">
        <v>483</v>
      </c>
      <c r="B406" s="35">
        <v>470.87025384187075</v>
      </c>
      <c r="D406" s="73" t="s">
        <v>578</v>
      </c>
    </row>
    <row r="407">
      <c r="A407" s="7" t="s">
        <v>484</v>
      </c>
      <c r="B407" s="35">
        <v>397.05298451494866</v>
      </c>
      <c r="D407" s="73" t="s">
        <v>578</v>
      </c>
    </row>
    <row r="408">
      <c r="A408" s="7" t="s">
        <v>486</v>
      </c>
      <c r="B408" s="35">
        <v>3797.062994647571</v>
      </c>
      <c r="D408" s="73" t="s">
        <v>578</v>
      </c>
    </row>
    <row r="409">
      <c r="A409" s="7" t="s">
        <v>488</v>
      </c>
      <c r="B409" s="35">
        <v>2904.832165252654</v>
      </c>
      <c r="D409" s="73" t="s">
        <v>578</v>
      </c>
    </row>
    <row r="410">
      <c r="A410" s="7" t="s">
        <v>490</v>
      </c>
      <c r="B410" s="35">
        <v>1505.376344085997</v>
      </c>
      <c r="D410" s="73" t="s">
        <v>578</v>
      </c>
    </row>
    <row r="411">
      <c r="A411" s="7" t="s">
        <v>491</v>
      </c>
      <c r="B411" s="35">
        <v>1191.286589516683</v>
      </c>
      <c r="D411" s="73" t="s">
        <v>578</v>
      </c>
    </row>
    <row r="412">
      <c r="A412" s="7" t="s">
        <v>492</v>
      </c>
      <c r="B412" s="35">
        <v>1091.75073147299</v>
      </c>
      <c r="D412" s="73" t="s">
        <v>578</v>
      </c>
    </row>
    <row r="413">
      <c r="A413" s="7" t="s">
        <v>493</v>
      </c>
      <c r="B413" s="35">
        <v>1224.097228294138</v>
      </c>
      <c r="D413" s="73" t="s">
        <v>578</v>
      </c>
    </row>
    <row r="414">
      <c r="A414" s="7" t="s">
        <v>494</v>
      </c>
      <c r="B414" s="35">
        <v>1360.3591348116418</v>
      </c>
      <c r="D414" s="73" t="s">
        <v>578</v>
      </c>
    </row>
    <row r="415">
      <c r="A415" s="7" t="s">
        <v>495</v>
      </c>
      <c r="B415" s="35">
        <v>1209.9213551119226</v>
      </c>
      <c r="D415" s="73" t="s">
        <v>578</v>
      </c>
    </row>
    <row r="416">
      <c r="A416" s="7" t="s">
        <v>496</v>
      </c>
      <c r="B416" s="35">
        <v>350.93876118616555</v>
      </c>
      <c r="D416" s="73" t="s">
        <v>578</v>
      </c>
    </row>
    <row r="417">
      <c r="A417" s="7" t="s">
        <v>497</v>
      </c>
      <c r="B417" s="35">
        <v>32981.530343007915</v>
      </c>
      <c r="C417" s="7" t="s">
        <v>498</v>
      </c>
      <c r="D417" s="73" t="s">
        <v>579</v>
      </c>
    </row>
    <row r="418">
      <c r="A418" s="7" t="s">
        <v>499</v>
      </c>
      <c r="B418" s="35">
        <v>1590.527524962443</v>
      </c>
      <c r="C418" s="5"/>
      <c r="D418" s="73" t="s">
        <v>578</v>
      </c>
    </row>
    <row r="419">
      <c r="A419" s="7" t="s">
        <v>500</v>
      </c>
      <c r="B419" s="35">
        <v>34890.85649162799</v>
      </c>
      <c r="C419" s="7" t="s">
        <v>498</v>
      </c>
      <c r="D419" s="73" t="s">
        <v>579</v>
      </c>
    </row>
    <row r="420">
      <c r="A420" s="7" t="s">
        <v>501</v>
      </c>
      <c r="B420" s="35">
        <v>33324.68879668053</v>
      </c>
      <c r="C420" s="7" t="s">
        <v>498</v>
      </c>
      <c r="D420" s="73" t="s">
        <v>579</v>
      </c>
    </row>
    <row r="421">
      <c r="A421" s="7" t="s">
        <v>502</v>
      </c>
      <c r="B421" s="35">
        <v>33441.53070812334</v>
      </c>
      <c r="C421" s="7" t="s">
        <v>498</v>
      </c>
      <c r="D421" s="73" t="s">
        <v>579</v>
      </c>
    </row>
    <row r="422">
      <c r="A422" s="7" t="s">
        <v>503</v>
      </c>
      <c r="B422" s="35">
        <v>2699.8780700226635</v>
      </c>
      <c r="D422" s="73" t="s">
        <v>578</v>
      </c>
    </row>
    <row r="423">
      <c r="A423" s="7" t="s">
        <v>504</v>
      </c>
      <c r="B423" s="35">
        <v>2586.911137333246</v>
      </c>
      <c r="D423" s="73" t="s">
        <v>578</v>
      </c>
    </row>
    <row r="424">
      <c r="A424" s="7" t="s">
        <v>506</v>
      </c>
      <c r="B424" s="35">
        <v>2520.478890989298</v>
      </c>
      <c r="D424" s="73" t="s">
        <v>578</v>
      </c>
    </row>
    <row r="425">
      <c r="A425" s="7" t="s">
        <v>508</v>
      </c>
      <c r="B425" s="35">
        <v>1805.2869116698976</v>
      </c>
      <c r="D425" s="73" t="s">
        <v>578</v>
      </c>
    </row>
    <row r="426">
      <c r="A426" s="7" t="s">
        <v>510</v>
      </c>
      <c r="B426" s="35">
        <v>1215.2250336356976</v>
      </c>
      <c r="D426" s="73" t="s">
        <v>578</v>
      </c>
    </row>
    <row r="427">
      <c r="A427" s="7" t="s">
        <v>512</v>
      </c>
      <c r="B427" s="35">
        <v>1220.228679893325</v>
      </c>
      <c r="D427" s="73" t="s">
        <v>578</v>
      </c>
    </row>
    <row r="428">
      <c r="A428" s="7" t="s">
        <v>514</v>
      </c>
      <c r="B428" s="35">
        <v>1659.1928251120642</v>
      </c>
      <c r="D428" s="73" t="s">
        <v>578</v>
      </c>
    </row>
    <row r="429">
      <c r="A429" s="7" t="s">
        <v>516</v>
      </c>
      <c r="B429" s="35">
        <v>434.23509488040526</v>
      </c>
      <c r="D429" s="73" t="s">
        <v>578</v>
      </c>
    </row>
    <row r="430">
      <c r="A430" s="7" t="s">
        <v>517</v>
      </c>
      <c r="B430" s="35">
        <v>564.554653233203</v>
      </c>
      <c r="D430" s="73" t="s">
        <v>578</v>
      </c>
    </row>
    <row r="431">
      <c r="A431" s="7" t="s">
        <v>518</v>
      </c>
      <c r="B431" s="35">
        <v>547.8759271746269</v>
      </c>
      <c r="D431" s="73" t="s">
        <v>578</v>
      </c>
    </row>
    <row r="432">
      <c r="A432" s="7" t="s">
        <v>520</v>
      </c>
      <c r="B432" s="35">
        <v>1729.4133297858214</v>
      </c>
      <c r="D432" s="73" t="s">
        <v>578</v>
      </c>
    </row>
    <row r="433">
      <c r="A433" s="7" t="s">
        <v>521</v>
      </c>
      <c r="B433" s="35">
        <v>1731.7170640735342</v>
      </c>
      <c r="D433" s="73" t="s">
        <v>578</v>
      </c>
    </row>
    <row r="434">
      <c r="A434" s="7" t="s">
        <v>522</v>
      </c>
      <c r="B434" s="35">
        <v>1721.398305084748</v>
      </c>
      <c r="D434" s="73" t="s">
        <v>578</v>
      </c>
    </row>
    <row r="435">
      <c r="A435" s="7" t="s">
        <v>523</v>
      </c>
      <c r="B435" s="35">
        <v>1766.175583699477</v>
      </c>
      <c r="D435" s="73" t="s">
        <v>578</v>
      </c>
    </row>
    <row r="436">
      <c r="A436" s="7" t="s">
        <v>524</v>
      </c>
      <c r="B436" s="35">
        <v>2014.9554470962382</v>
      </c>
      <c r="D436" s="73" t="s">
        <v>578</v>
      </c>
    </row>
    <row r="437">
      <c r="A437" s="7" t="s">
        <v>526</v>
      </c>
      <c r="B437" s="35">
        <v>393.1847968544744</v>
      </c>
      <c r="D437" s="73" t="s">
        <v>578</v>
      </c>
    </row>
    <row r="438">
      <c r="A438" s="7" t="s">
        <v>527</v>
      </c>
      <c r="B438" s="35">
        <v>2332.466134385915</v>
      </c>
      <c r="D438" s="73" t="s">
        <v>578</v>
      </c>
    </row>
    <row r="439">
      <c r="A439" s="7" t="s">
        <v>529</v>
      </c>
      <c r="B439" s="35">
        <v>2191.1192594911013</v>
      </c>
      <c r="D439" s="73" t="s">
        <v>578</v>
      </c>
    </row>
    <row r="440">
      <c r="A440" s="7" t="s">
        <v>531</v>
      </c>
      <c r="B440" s="35">
        <v>583.5521653953589</v>
      </c>
      <c r="D440" s="73" t="s">
        <v>578</v>
      </c>
    </row>
    <row r="441">
      <c r="A441" s="7" t="s">
        <v>532</v>
      </c>
      <c r="B441" s="35">
        <v>648.6766995329774</v>
      </c>
      <c r="D441" s="73" t="s">
        <v>578</v>
      </c>
    </row>
    <row r="442">
      <c r="A442" s="7" t="s">
        <v>533</v>
      </c>
      <c r="B442" s="35">
        <v>481.65338470969186</v>
      </c>
      <c r="D442" s="73" t="s">
        <v>578</v>
      </c>
    </row>
    <row r="443">
      <c r="A443" s="7" t="s">
        <v>534</v>
      </c>
      <c r="B443" s="35">
        <v>705.3063933950201</v>
      </c>
      <c r="D443" s="73" t="s">
        <v>578</v>
      </c>
    </row>
    <row r="444">
      <c r="A444" s="7" t="s">
        <v>535</v>
      </c>
      <c r="B444" s="35">
        <v>92.0301859009572</v>
      </c>
      <c r="D444" s="73" t="s">
        <v>578</v>
      </c>
    </row>
    <row r="445">
      <c r="A445" s="7" t="s">
        <v>536</v>
      </c>
      <c r="B445" s="35">
        <v>223.28406198364289</v>
      </c>
      <c r="D445" s="73" t="s">
        <v>578</v>
      </c>
    </row>
    <row r="446">
      <c r="A446" s="7" t="s">
        <v>537</v>
      </c>
      <c r="B446" s="35">
        <v>88.73114463174808</v>
      </c>
      <c r="D446" s="73" t="s">
        <v>578</v>
      </c>
    </row>
    <row r="447">
      <c r="A447" s="7" t="s">
        <v>538</v>
      </c>
      <c r="B447" s="35">
        <v>86.57633868668124</v>
      </c>
      <c r="D447" s="73" t="s">
        <v>578</v>
      </c>
    </row>
    <row r="448">
      <c r="A448" s="7" t="s">
        <v>539</v>
      </c>
      <c r="B448" s="35">
        <v>133.45195729537872</v>
      </c>
      <c r="D448" s="73" t="s">
        <v>578</v>
      </c>
    </row>
    <row r="449">
      <c r="A449" s="7" t="s">
        <v>540</v>
      </c>
      <c r="B449" s="35">
        <v>42.31729507852024</v>
      </c>
      <c r="D449" s="73" t="s">
        <v>578</v>
      </c>
    </row>
    <row r="450">
      <c r="A450" s="7" t="s">
        <v>541</v>
      </c>
      <c r="B450" s="35">
        <v>215.38726630480383</v>
      </c>
      <c r="D450" s="73" t="s">
        <v>578</v>
      </c>
    </row>
    <row r="451">
      <c r="A451" s="7" t="s">
        <v>542</v>
      </c>
      <c r="B451" s="35">
        <v>215.21112211077843</v>
      </c>
      <c r="D451" s="73" t="s">
        <v>578</v>
      </c>
    </row>
    <row r="452">
      <c r="A452" s="7" t="s">
        <v>543</v>
      </c>
      <c r="B452" s="35">
        <v>435.63493792205855</v>
      </c>
      <c r="D452" s="73" t="s">
        <v>578</v>
      </c>
    </row>
    <row r="453">
      <c r="A453" s="7" t="s">
        <v>179</v>
      </c>
      <c r="B453" s="35">
        <v>997.7324263039142</v>
      </c>
      <c r="D453" s="73" t="s">
        <v>578</v>
      </c>
    </row>
    <row r="454">
      <c r="A454" s="7" t="s">
        <v>545</v>
      </c>
      <c r="B454" s="35">
        <v>23215.630676531804</v>
      </c>
      <c r="C454" s="7" t="s">
        <v>547</v>
      </c>
      <c r="D454" s="73" t="s">
        <v>579</v>
      </c>
    </row>
    <row r="455">
      <c r="A455" s="7" t="s">
        <v>548</v>
      </c>
      <c r="B455" s="35">
        <v>36795.98434575466</v>
      </c>
      <c r="C455" s="7" t="s">
        <v>498</v>
      </c>
      <c r="D455" s="73" t="s">
        <v>579</v>
      </c>
    </row>
    <row r="456">
      <c r="A456" s="7" t="s">
        <v>549</v>
      </c>
      <c r="B456" s="35">
        <v>4161.795651157356</v>
      </c>
      <c r="C456" s="5"/>
      <c r="D456" s="73" t="s">
        <v>578</v>
      </c>
    </row>
    <row r="457">
      <c r="A457" s="7" t="s">
        <v>551</v>
      </c>
      <c r="B457" s="35">
        <v>5052.099778970654</v>
      </c>
      <c r="C457" s="5"/>
      <c r="D457" s="73" t="s">
        <v>578</v>
      </c>
    </row>
    <row r="458">
      <c r="A458" s="7" t="s">
        <v>553</v>
      </c>
      <c r="B458" s="35">
        <v>4508.885156042772</v>
      </c>
      <c r="C458" s="5"/>
      <c r="D458" s="73" t="s">
        <v>578</v>
      </c>
    </row>
    <row r="459">
      <c r="A459" s="7" t="s">
        <v>555</v>
      </c>
      <c r="B459" s="35">
        <v>48533.4458746571</v>
      </c>
      <c r="C459" s="7" t="s">
        <v>498</v>
      </c>
      <c r="D459" s="73" t="s">
        <v>579</v>
      </c>
    </row>
    <row r="460">
      <c r="A460" s="7" t="s">
        <v>556</v>
      </c>
      <c r="B460" s="35">
        <v>49137.63661202189</v>
      </c>
      <c r="C460" s="7" t="s">
        <v>498</v>
      </c>
      <c r="D460" s="73" t="s">
        <v>579</v>
      </c>
    </row>
    <row r="461">
      <c r="A461" s="7" t="s">
        <v>557</v>
      </c>
      <c r="B461" s="35">
        <v>49700.49483462107</v>
      </c>
      <c r="C461" s="7" t="s">
        <v>498</v>
      </c>
      <c r="D461" s="73" t="s">
        <v>579</v>
      </c>
    </row>
    <row r="462">
      <c r="A462" s="7" t="s">
        <v>558</v>
      </c>
      <c r="B462" s="35">
        <v>44303.23100331158</v>
      </c>
      <c r="C462" s="7" t="s">
        <v>498</v>
      </c>
      <c r="D462" s="73" t="s">
        <v>579</v>
      </c>
    </row>
    <row r="463">
      <c r="A463" s="7" t="s">
        <v>559</v>
      </c>
      <c r="B463" s="35">
        <v>674.5646949702626</v>
      </c>
      <c r="D463" s="73" t="s">
        <v>578</v>
      </c>
    </row>
    <row r="464">
      <c r="A464" s="7" t="s">
        <v>560</v>
      </c>
      <c r="B464" s="35">
        <v>130.00520020801326</v>
      </c>
      <c r="D464" s="73" t="s">
        <v>578</v>
      </c>
    </row>
    <row r="465">
      <c r="A465" s="6" t="s">
        <v>561</v>
      </c>
      <c r="B465" s="35">
        <v>228.27923115553654</v>
      </c>
      <c r="D465" s="73" t="s">
        <v>578</v>
      </c>
    </row>
    <row r="466">
      <c r="A466" s="6" t="s">
        <v>562</v>
      </c>
      <c r="B466" s="35">
        <v>88.56611460453468</v>
      </c>
      <c r="D466" s="73" t="s">
        <v>578</v>
      </c>
    </row>
    <row r="467">
      <c r="A467" s="7" t="s">
        <v>563</v>
      </c>
      <c r="B467" s="35">
        <v>128.9601513132491</v>
      </c>
      <c r="D467" s="73" t="s">
        <v>578</v>
      </c>
    </row>
    <row r="468">
      <c r="A468" s="7" t="s">
        <v>564</v>
      </c>
      <c r="B468" s="35">
        <v>136.20885357548755</v>
      </c>
      <c r="D468" s="73" t="s">
        <v>578</v>
      </c>
    </row>
    <row r="469">
      <c r="A469" s="7" t="s">
        <v>565</v>
      </c>
      <c r="B469" s="35">
        <v>222.5288174819145</v>
      </c>
      <c r="D469" s="73" t="s">
        <v>578</v>
      </c>
    </row>
    <row r="470">
      <c r="A470" s="7" t="s">
        <v>566</v>
      </c>
      <c r="B470" s="35">
        <v>308.3700440528334</v>
      </c>
      <c r="D470" s="73" t="s">
        <v>578</v>
      </c>
    </row>
    <row r="471">
      <c r="A471" s="7" t="s">
        <v>567</v>
      </c>
      <c r="B471" s="35">
        <v>2126.3669501822374</v>
      </c>
      <c r="D471" s="73" t="s">
        <v>578</v>
      </c>
    </row>
    <row r="472">
      <c r="A472" s="7" t="s">
        <v>568</v>
      </c>
      <c r="B472" s="35">
        <v>1940.1208166144795</v>
      </c>
      <c r="D472" s="73" t="s">
        <v>578</v>
      </c>
    </row>
    <row r="473">
      <c r="A473" s="7" t="s">
        <v>569</v>
      </c>
      <c r="B473" s="35">
        <v>1917.7962777317603</v>
      </c>
      <c r="D473" s="73" t="s">
        <v>578</v>
      </c>
    </row>
    <row r="474">
      <c r="A474" s="7" t="s">
        <v>570</v>
      </c>
      <c r="B474" s="35">
        <v>2052.3803149957334</v>
      </c>
      <c r="D474" s="73" t="s">
        <v>578</v>
      </c>
    </row>
    <row r="475">
      <c r="A475" s="7" t="s">
        <v>571</v>
      </c>
      <c r="B475" s="35">
        <v>1059.509094119765</v>
      </c>
      <c r="D475" s="73" t="s">
        <v>578</v>
      </c>
    </row>
    <row r="476">
      <c r="A476" s="6" t="s">
        <v>572</v>
      </c>
      <c r="B476" s="35">
        <v>1386.9625520111276</v>
      </c>
      <c r="D476" s="73" t="s">
        <v>578</v>
      </c>
    </row>
    <row r="477">
      <c r="A477" s="6" t="s">
        <v>573</v>
      </c>
      <c r="B477" s="35">
        <v>316.59882406147983</v>
      </c>
      <c r="D477" s="73" t="s">
        <v>578</v>
      </c>
    </row>
    <row r="478">
      <c r="A478" s="6" t="s">
        <v>574</v>
      </c>
      <c r="B478" s="35">
        <v>412.2955701131678</v>
      </c>
      <c r="D478" s="73" t="s">
        <v>578</v>
      </c>
    </row>
    <row r="479">
      <c r="A479" s="6" t="s">
        <v>575</v>
      </c>
      <c r="B479" s="35">
        <v>466.9128570822167</v>
      </c>
      <c r="D479" s="73" t="s">
        <v>578</v>
      </c>
    </row>
    <row r="480">
      <c r="A480" s="7" t="s">
        <v>576</v>
      </c>
      <c r="B480" s="35">
        <v>388.3662725467732</v>
      </c>
      <c r="D480" s="73" t="s">
        <v>578</v>
      </c>
    </row>
    <row r="481">
      <c r="A481" s="5"/>
      <c r="C481" s="5"/>
    </row>
    <row r="482">
      <c r="A482" s="5"/>
      <c r="C482" s="5"/>
    </row>
    <row r="483">
      <c r="A483" s="5"/>
      <c r="C483" s="5"/>
    </row>
    <row r="484">
      <c r="A484" s="5"/>
      <c r="C484" s="5"/>
    </row>
    <row r="485">
      <c r="A485" s="5"/>
      <c r="C485" s="5"/>
    </row>
    <row r="486">
      <c r="A486" s="5"/>
      <c r="C486" s="5"/>
    </row>
    <row r="487">
      <c r="A487" s="5"/>
      <c r="C487" s="5"/>
    </row>
    <row r="488">
      <c r="A488" s="5"/>
      <c r="C488" s="5"/>
    </row>
    <row r="489">
      <c r="A489" s="5"/>
      <c r="C489" s="5"/>
    </row>
    <row r="490">
      <c r="A490" s="5"/>
      <c r="C490" s="5"/>
    </row>
    <row r="491">
      <c r="A491" s="5"/>
      <c r="C491" s="5"/>
    </row>
    <row r="492">
      <c r="A492" s="5"/>
      <c r="C492" s="5"/>
    </row>
    <row r="493">
      <c r="A493" s="5"/>
      <c r="C493" s="5"/>
    </row>
    <row r="494">
      <c r="A494" s="5"/>
      <c r="C494" s="5"/>
    </row>
    <row r="495">
      <c r="A495" s="5"/>
      <c r="C495" s="5"/>
    </row>
    <row r="496">
      <c r="A496" s="5"/>
      <c r="C496" s="5"/>
    </row>
    <row r="497">
      <c r="A497" s="5"/>
      <c r="C497" s="5"/>
    </row>
    <row r="498">
      <c r="A498" s="5"/>
      <c r="C498" s="5"/>
    </row>
    <row r="499">
      <c r="A499" s="5"/>
      <c r="C499" s="5"/>
    </row>
    <row r="500">
      <c r="A500" s="5"/>
      <c r="C500" s="5"/>
    </row>
    <row r="501">
      <c r="A501" s="5"/>
      <c r="C501" s="5"/>
    </row>
    <row r="502">
      <c r="A502" s="5"/>
      <c r="C502" s="5"/>
    </row>
    <row r="503">
      <c r="A503" s="5"/>
      <c r="C503" s="5"/>
    </row>
    <row r="504">
      <c r="A504" s="5"/>
      <c r="C504" s="5"/>
    </row>
    <row r="505">
      <c r="A505" s="5"/>
      <c r="C505" s="5"/>
    </row>
    <row r="506">
      <c r="A506" s="5"/>
      <c r="C506" s="5"/>
    </row>
    <row r="507">
      <c r="A507" s="5"/>
      <c r="C507" s="5"/>
    </row>
    <row r="508">
      <c r="A508" s="5"/>
      <c r="C508" s="5"/>
    </row>
    <row r="509">
      <c r="A509" s="5"/>
      <c r="C509" s="5"/>
    </row>
    <row r="510">
      <c r="A510" s="5"/>
      <c r="C510" s="5"/>
    </row>
    <row r="511">
      <c r="A511" s="5"/>
      <c r="C511" s="5"/>
    </row>
    <row r="512">
      <c r="A512" s="5"/>
      <c r="C512" s="5"/>
    </row>
    <row r="513">
      <c r="A513" s="5"/>
      <c r="C513" s="5"/>
    </row>
    <row r="514">
      <c r="A514" s="5"/>
      <c r="C514" s="5"/>
    </row>
    <row r="515">
      <c r="A515" s="5"/>
      <c r="C515" s="5"/>
    </row>
    <row r="516">
      <c r="A516" s="5"/>
      <c r="C516" s="5"/>
    </row>
    <row r="517">
      <c r="A517" s="5"/>
      <c r="C517" s="5"/>
    </row>
    <row r="518">
      <c r="A518" s="5"/>
      <c r="C518" s="5"/>
    </row>
    <row r="519">
      <c r="A519" s="5"/>
      <c r="C519" s="5"/>
    </row>
    <row r="520">
      <c r="A520" s="5"/>
      <c r="C520" s="5"/>
    </row>
    <row r="521">
      <c r="A521" s="5"/>
      <c r="C521" s="5"/>
    </row>
    <row r="522">
      <c r="A522" s="5"/>
      <c r="C522" s="5"/>
    </row>
    <row r="523">
      <c r="A523" s="5"/>
      <c r="C523" s="5"/>
    </row>
    <row r="524">
      <c r="A524" s="5"/>
      <c r="C524" s="5"/>
    </row>
    <row r="525">
      <c r="A525" s="5"/>
      <c r="C525" s="5"/>
    </row>
    <row r="526">
      <c r="A526" s="5"/>
      <c r="C526" s="5"/>
    </row>
    <row r="527">
      <c r="A527" s="5"/>
      <c r="C527" s="5"/>
    </row>
    <row r="528">
      <c r="A528" s="5"/>
      <c r="C528" s="5"/>
    </row>
    <row r="529">
      <c r="A529" s="5"/>
      <c r="C529" s="5"/>
    </row>
    <row r="530">
      <c r="A530" s="5"/>
      <c r="C530" s="5"/>
    </row>
    <row r="531">
      <c r="A531" s="5"/>
      <c r="C531" s="5"/>
    </row>
    <row r="532">
      <c r="A532" s="5"/>
      <c r="C532" s="5"/>
    </row>
    <row r="533">
      <c r="A533" s="5"/>
      <c r="C533" s="5"/>
    </row>
    <row r="534">
      <c r="A534" s="5"/>
      <c r="C534" s="5"/>
    </row>
    <row r="535">
      <c r="A535" s="5"/>
      <c r="C535" s="5"/>
    </row>
    <row r="536">
      <c r="A536" s="5"/>
      <c r="C536" s="5"/>
    </row>
    <row r="537">
      <c r="A537" s="5"/>
      <c r="C537" s="5"/>
    </row>
    <row r="538">
      <c r="A538" s="5"/>
      <c r="C538" s="5"/>
    </row>
    <row r="539">
      <c r="A539" s="5"/>
      <c r="C539" s="5"/>
    </row>
    <row r="540">
      <c r="A540" s="5"/>
      <c r="C540" s="5"/>
    </row>
    <row r="541">
      <c r="A541" s="5"/>
      <c r="C541" s="5"/>
    </row>
    <row r="542">
      <c r="A542" s="5"/>
      <c r="C542" s="5"/>
    </row>
    <row r="543">
      <c r="A543" s="5"/>
      <c r="C543" s="5"/>
    </row>
    <row r="544">
      <c r="A544" s="5"/>
      <c r="C544" s="5"/>
    </row>
    <row r="545">
      <c r="A545" s="5"/>
      <c r="C545" s="5"/>
    </row>
    <row r="546">
      <c r="A546" s="5"/>
      <c r="C546" s="5"/>
    </row>
    <row r="547">
      <c r="A547" s="5"/>
      <c r="C547" s="5"/>
    </row>
    <row r="548">
      <c r="A548" s="5"/>
      <c r="C548" s="5"/>
    </row>
    <row r="549">
      <c r="A549" s="5"/>
      <c r="C549" s="5"/>
    </row>
    <row r="550">
      <c r="A550" s="5"/>
      <c r="C550" s="5"/>
    </row>
    <row r="551">
      <c r="A551" s="5"/>
      <c r="C551" s="5"/>
    </row>
    <row r="552">
      <c r="A552" s="5"/>
      <c r="C552" s="5"/>
    </row>
    <row r="553">
      <c r="A553" s="5"/>
      <c r="C553" s="5"/>
    </row>
    <row r="554">
      <c r="A554" s="5"/>
      <c r="C554" s="5"/>
    </row>
    <row r="555">
      <c r="A555" s="5"/>
      <c r="C555" s="5"/>
    </row>
    <row r="556">
      <c r="A556" s="5"/>
      <c r="C556" s="5"/>
    </row>
    <row r="557">
      <c r="A557" s="5"/>
      <c r="C557" s="5"/>
    </row>
    <row r="558">
      <c r="A558" s="5"/>
      <c r="C558" s="5"/>
    </row>
    <row r="559">
      <c r="A559" s="5"/>
      <c r="C559" s="5"/>
    </row>
    <row r="560">
      <c r="A560" s="5"/>
      <c r="C560" s="5"/>
    </row>
    <row r="561">
      <c r="A561" s="5"/>
      <c r="C561" s="5"/>
    </row>
    <row r="562">
      <c r="A562" s="5"/>
      <c r="C562" s="5"/>
    </row>
    <row r="563">
      <c r="A563" s="5"/>
      <c r="C563" s="5"/>
    </row>
    <row r="564">
      <c r="A564" s="5"/>
      <c r="C564" s="5"/>
    </row>
    <row r="565">
      <c r="A565" s="5"/>
      <c r="C565" s="5"/>
    </row>
    <row r="566">
      <c r="A566" s="5"/>
      <c r="C566" s="5"/>
    </row>
    <row r="567">
      <c r="A567" s="5"/>
      <c r="C567" s="5"/>
    </row>
    <row r="568">
      <c r="A568" s="5"/>
      <c r="C568" s="5"/>
    </row>
    <row r="569">
      <c r="A569" s="5"/>
      <c r="C569" s="5"/>
    </row>
    <row r="570">
      <c r="A570" s="5"/>
      <c r="C570" s="5"/>
    </row>
    <row r="571">
      <c r="A571" s="5"/>
      <c r="C571" s="5"/>
    </row>
    <row r="572">
      <c r="A572" s="5"/>
      <c r="C572" s="5"/>
    </row>
    <row r="573">
      <c r="A573" s="5"/>
      <c r="C573" s="5"/>
    </row>
    <row r="574">
      <c r="A574" s="5"/>
      <c r="C574" s="5"/>
    </row>
    <row r="575">
      <c r="A575" s="5"/>
      <c r="C575" s="5"/>
    </row>
    <row r="576">
      <c r="A576" s="5"/>
      <c r="C576" s="5"/>
    </row>
    <row r="577">
      <c r="A577" s="5"/>
      <c r="C577" s="5"/>
    </row>
    <row r="578">
      <c r="A578" s="5"/>
      <c r="C578" s="5"/>
    </row>
    <row r="579">
      <c r="A579" s="5"/>
      <c r="C579" s="5"/>
    </row>
    <row r="580">
      <c r="A580" s="5"/>
      <c r="C580" s="5"/>
    </row>
    <row r="581">
      <c r="A581" s="5"/>
      <c r="C581" s="5"/>
    </row>
    <row r="582">
      <c r="A582" s="5"/>
      <c r="C582" s="5"/>
    </row>
    <row r="583">
      <c r="A583" s="5"/>
      <c r="C583" s="5"/>
    </row>
    <row r="584">
      <c r="A584" s="5"/>
      <c r="C584" s="5"/>
    </row>
    <row r="585">
      <c r="A585" s="5"/>
      <c r="C585" s="5"/>
    </row>
    <row r="586">
      <c r="A586" s="5"/>
      <c r="C586" s="5"/>
    </row>
    <row r="587">
      <c r="A587" s="5"/>
      <c r="C587" s="5"/>
    </row>
    <row r="588">
      <c r="A588" s="5"/>
      <c r="C588" s="5"/>
    </row>
    <row r="589">
      <c r="A589" s="5"/>
      <c r="C589" s="5"/>
    </row>
    <row r="590">
      <c r="A590" s="5"/>
      <c r="C590" s="5"/>
    </row>
    <row r="591">
      <c r="A591" s="5"/>
      <c r="C591" s="5"/>
    </row>
    <row r="592">
      <c r="A592" s="5"/>
      <c r="C592" s="5"/>
    </row>
    <row r="593">
      <c r="A593" s="5"/>
      <c r="C593" s="5"/>
    </row>
    <row r="594">
      <c r="A594" s="5"/>
      <c r="C594" s="5"/>
    </row>
    <row r="595">
      <c r="A595" s="5"/>
      <c r="C595" s="5"/>
    </row>
    <row r="596">
      <c r="A596" s="5"/>
      <c r="C596" s="5"/>
    </row>
    <row r="597">
      <c r="A597" s="5"/>
      <c r="C597" s="5"/>
    </row>
    <row r="598">
      <c r="A598" s="5"/>
      <c r="C598" s="5"/>
    </row>
    <row r="599">
      <c r="A599" s="5"/>
      <c r="C599" s="5"/>
    </row>
    <row r="600">
      <c r="A600" s="5"/>
      <c r="C600" s="5"/>
    </row>
    <row r="601">
      <c r="A601" s="5"/>
      <c r="C601" s="5"/>
    </row>
    <row r="602">
      <c r="A602" s="5"/>
      <c r="C602" s="5"/>
    </row>
    <row r="603">
      <c r="A603" s="5"/>
      <c r="C603" s="5"/>
    </row>
    <row r="604">
      <c r="A604" s="5"/>
      <c r="C604" s="5"/>
    </row>
    <row r="605">
      <c r="A605" s="5"/>
      <c r="C605" s="5"/>
    </row>
    <row r="606">
      <c r="A606" s="5"/>
      <c r="C606" s="5"/>
    </row>
    <row r="607">
      <c r="A607" s="5"/>
      <c r="C607" s="5"/>
    </row>
    <row r="608">
      <c r="A608" s="5"/>
      <c r="C608" s="5"/>
    </row>
    <row r="609">
      <c r="A609" s="5"/>
      <c r="C609" s="5"/>
    </row>
    <row r="610">
      <c r="A610" s="5"/>
      <c r="C610" s="5"/>
    </row>
    <row r="611">
      <c r="A611" s="5"/>
      <c r="C611" s="5"/>
    </row>
    <row r="612">
      <c r="A612" s="5"/>
      <c r="C612" s="5"/>
    </row>
    <row r="613">
      <c r="A613" s="5"/>
      <c r="C613" s="5"/>
    </row>
    <row r="614">
      <c r="A614" s="5"/>
      <c r="C614" s="5"/>
    </row>
    <row r="615">
      <c r="A615" s="5"/>
      <c r="C615" s="5"/>
    </row>
    <row r="616">
      <c r="A616" s="5"/>
      <c r="C616" s="5"/>
    </row>
    <row r="617">
      <c r="A617" s="5"/>
      <c r="C617" s="5"/>
    </row>
    <row r="618">
      <c r="A618" s="5"/>
      <c r="C618" s="5"/>
    </row>
    <row r="619">
      <c r="A619" s="5"/>
      <c r="C619" s="5"/>
    </row>
    <row r="620">
      <c r="A620" s="5"/>
      <c r="C620" s="5"/>
    </row>
    <row r="621">
      <c r="A621" s="5"/>
      <c r="C621" s="5"/>
    </row>
    <row r="622">
      <c r="A622" s="5"/>
      <c r="C622" s="5"/>
    </row>
    <row r="623">
      <c r="A623" s="5"/>
      <c r="C623" s="5"/>
    </row>
    <row r="624">
      <c r="A624" s="5"/>
      <c r="C624" s="5"/>
    </row>
    <row r="625">
      <c r="A625" s="5"/>
      <c r="C625" s="5"/>
    </row>
    <row r="626">
      <c r="A626" s="5"/>
      <c r="C626" s="5"/>
    </row>
    <row r="627">
      <c r="A627" s="5"/>
      <c r="C627" s="5"/>
    </row>
    <row r="628">
      <c r="A628" s="5"/>
      <c r="C628" s="5"/>
    </row>
    <row r="629">
      <c r="A629" s="5"/>
      <c r="C629" s="5"/>
    </row>
    <row r="630">
      <c r="A630" s="5"/>
      <c r="C630" s="5"/>
    </row>
    <row r="631">
      <c r="A631" s="5"/>
      <c r="C631" s="5"/>
    </row>
    <row r="632">
      <c r="A632" s="5"/>
      <c r="C632" s="5"/>
    </row>
    <row r="633">
      <c r="A633" s="5"/>
      <c r="C633" s="5"/>
    </row>
    <row r="634">
      <c r="A634" s="5"/>
      <c r="C634" s="5"/>
    </row>
    <row r="635">
      <c r="A635" s="5"/>
      <c r="C635" s="5"/>
    </row>
    <row r="636">
      <c r="A636" s="5"/>
      <c r="C636" s="5"/>
    </row>
    <row r="637">
      <c r="A637" s="5"/>
      <c r="C637" s="5"/>
    </row>
    <row r="638">
      <c r="A638" s="5"/>
      <c r="C638" s="5"/>
    </row>
    <row r="639">
      <c r="A639" s="5"/>
      <c r="C639" s="5"/>
    </row>
    <row r="640">
      <c r="A640" s="5"/>
      <c r="C640" s="5"/>
    </row>
    <row r="641">
      <c r="A641" s="5"/>
      <c r="C641" s="5"/>
    </row>
    <row r="642">
      <c r="A642" s="5"/>
      <c r="C642" s="5"/>
    </row>
    <row r="643">
      <c r="A643" s="5"/>
      <c r="C643" s="5"/>
    </row>
    <row r="644">
      <c r="A644" s="5"/>
      <c r="C644" s="5"/>
    </row>
    <row r="645">
      <c r="A645" s="5"/>
      <c r="C645" s="5"/>
    </row>
    <row r="646">
      <c r="A646" s="5"/>
      <c r="C646" s="5"/>
    </row>
    <row r="647">
      <c r="A647" s="5"/>
      <c r="C647" s="5"/>
    </row>
    <row r="648">
      <c r="A648" s="5"/>
      <c r="C648" s="5"/>
    </row>
    <row r="649">
      <c r="A649" s="5"/>
      <c r="C649" s="5"/>
    </row>
    <row r="650">
      <c r="A650" s="5"/>
      <c r="C650" s="5"/>
    </row>
    <row r="651">
      <c r="A651" s="5"/>
      <c r="C651" s="5"/>
    </row>
    <row r="652">
      <c r="A652" s="5"/>
      <c r="C652" s="5"/>
    </row>
    <row r="653">
      <c r="A653" s="5"/>
      <c r="C653" s="5"/>
    </row>
    <row r="654">
      <c r="A654" s="5"/>
      <c r="C654" s="5"/>
    </row>
    <row r="655">
      <c r="A655" s="5"/>
      <c r="C655" s="5"/>
    </row>
    <row r="656">
      <c r="A656" s="5"/>
      <c r="C656" s="5"/>
    </row>
    <row r="657">
      <c r="A657" s="5"/>
      <c r="C657" s="5"/>
    </row>
    <row r="658">
      <c r="A658" s="5"/>
      <c r="C658" s="5"/>
    </row>
    <row r="659">
      <c r="A659" s="5"/>
      <c r="C659" s="5"/>
    </row>
    <row r="660">
      <c r="A660" s="5"/>
      <c r="C660" s="5"/>
    </row>
    <row r="661">
      <c r="A661" s="5"/>
      <c r="C661" s="5"/>
    </row>
    <row r="662">
      <c r="A662" s="5"/>
      <c r="C662" s="5"/>
    </row>
    <row r="663">
      <c r="A663" s="5"/>
      <c r="C663" s="5"/>
    </row>
    <row r="664">
      <c r="A664" s="5"/>
      <c r="C664" s="5"/>
    </row>
    <row r="665">
      <c r="A665" s="5"/>
      <c r="C665" s="5"/>
    </row>
    <row r="666">
      <c r="A666" s="5"/>
      <c r="C666" s="5"/>
    </row>
    <row r="667">
      <c r="A667" s="5"/>
      <c r="C667" s="5"/>
    </row>
    <row r="668">
      <c r="A668" s="5"/>
      <c r="C668" s="5"/>
    </row>
    <row r="669">
      <c r="A669" s="5"/>
      <c r="C669" s="5"/>
    </row>
    <row r="670">
      <c r="A670" s="5"/>
      <c r="C670" s="5"/>
    </row>
    <row r="671">
      <c r="A671" s="5"/>
      <c r="C671" s="5"/>
    </row>
    <row r="672">
      <c r="A672" s="5"/>
      <c r="C672" s="5"/>
    </row>
    <row r="673">
      <c r="A673" s="5"/>
      <c r="C673" s="5"/>
    </row>
    <row r="674">
      <c r="A674" s="5"/>
      <c r="C674" s="5"/>
    </row>
    <row r="675">
      <c r="A675" s="5"/>
      <c r="C675" s="5"/>
    </row>
    <row r="676">
      <c r="A676" s="5"/>
      <c r="C676" s="5"/>
    </row>
    <row r="677">
      <c r="A677" s="5"/>
      <c r="C677" s="5"/>
    </row>
    <row r="678">
      <c r="A678" s="5"/>
      <c r="C678" s="5"/>
    </row>
    <row r="679">
      <c r="A679" s="5"/>
      <c r="C679" s="5"/>
    </row>
    <row r="680">
      <c r="A680" s="5"/>
      <c r="C680" s="5"/>
    </row>
    <row r="681">
      <c r="A681" s="5"/>
      <c r="C681" s="5"/>
    </row>
    <row r="682">
      <c r="A682" s="5"/>
      <c r="C682" s="5"/>
    </row>
    <row r="683">
      <c r="A683" s="5"/>
      <c r="C683" s="5"/>
    </row>
    <row r="684">
      <c r="A684" s="5"/>
      <c r="C684" s="5"/>
    </row>
    <row r="685">
      <c r="A685" s="5"/>
      <c r="C685" s="5"/>
    </row>
    <row r="686">
      <c r="A686" s="5"/>
      <c r="C686" s="5"/>
    </row>
    <row r="687">
      <c r="A687" s="5"/>
      <c r="C687" s="5"/>
    </row>
    <row r="688">
      <c r="A688" s="5"/>
      <c r="C688" s="5"/>
    </row>
    <row r="689">
      <c r="A689" s="5"/>
      <c r="C689" s="5"/>
    </row>
    <row r="690">
      <c r="A690" s="5"/>
      <c r="C690" s="5"/>
    </row>
    <row r="691">
      <c r="A691" s="5"/>
      <c r="C691" s="5"/>
    </row>
    <row r="692">
      <c r="A692" s="5"/>
      <c r="C692" s="5"/>
    </row>
    <row r="693">
      <c r="A693" s="5"/>
      <c r="C693" s="5"/>
    </row>
    <row r="694">
      <c r="A694" s="5"/>
      <c r="C694" s="5"/>
    </row>
    <row r="695">
      <c r="A695" s="5"/>
      <c r="C695" s="5"/>
    </row>
    <row r="696">
      <c r="A696" s="5"/>
      <c r="C696" s="5"/>
    </row>
    <row r="697">
      <c r="A697" s="5"/>
      <c r="C697" s="5"/>
    </row>
    <row r="698">
      <c r="A698" s="5"/>
      <c r="C698" s="5"/>
    </row>
    <row r="699">
      <c r="A699" s="5"/>
      <c r="C699" s="5"/>
    </row>
    <row r="700">
      <c r="A700" s="5"/>
      <c r="C700" s="5"/>
    </row>
    <row r="701">
      <c r="A701" s="5"/>
      <c r="C701" s="5"/>
    </row>
    <row r="702">
      <c r="A702" s="5"/>
      <c r="C702" s="5"/>
    </row>
    <row r="703">
      <c r="A703" s="5"/>
      <c r="C703" s="5"/>
    </row>
    <row r="704">
      <c r="A704" s="5"/>
      <c r="C704" s="5"/>
    </row>
    <row r="705">
      <c r="A705" s="5"/>
      <c r="C705" s="5"/>
    </row>
    <row r="706">
      <c r="A706" s="5"/>
      <c r="C706" s="5"/>
    </row>
    <row r="707">
      <c r="A707" s="5"/>
      <c r="C707" s="5"/>
    </row>
    <row r="708">
      <c r="A708" s="5"/>
      <c r="C708" s="5"/>
    </row>
    <row r="709">
      <c r="A709" s="5"/>
      <c r="C709" s="5"/>
    </row>
    <row r="710">
      <c r="A710" s="5"/>
      <c r="C710" s="5"/>
    </row>
    <row r="711">
      <c r="A711" s="5"/>
      <c r="C711" s="5"/>
    </row>
    <row r="712">
      <c r="A712" s="5"/>
      <c r="C712" s="5"/>
    </row>
    <row r="713">
      <c r="A713" s="5"/>
      <c r="C713" s="5"/>
    </row>
    <row r="714">
      <c r="A714" s="5"/>
      <c r="C714" s="5"/>
    </row>
    <row r="715">
      <c r="A715" s="5"/>
      <c r="C715" s="5"/>
    </row>
    <row r="716">
      <c r="A716" s="5"/>
      <c r="C716" s="5"/>
    </row>
    <row r="717">
      <c r="A717" s="5"/>
      <c r="C717" s="5"/>
    </row>
    <row r="718">
      <c r="A718" s="5"/>
      <c r="C718" s="5"/>
    </row>
    <row r="719">
      <c r="A719" s="5"/>
      <c r="C719" s="5"/>
    </row>
    <row r="720">
      <c r="A720" s="5"/>
      <c r="C720" s="5"/>
    </row>
    <row r="721">
      <c r="A721" s="5"/>
      <c r="C721" s="5"/>
    </row>
    <row r="722">
      <c r="A722" s="5"/>
      <c r="C722" s="5"/>
    </row>
    <row r="723">
      <c r="A723" s="5"/>
      <c r="C723" s="5"/>
    </row>
    <row r="724">
      <c r="A724" s="5"/>
      <c r="C724" s="5"/>
    </row>
    <row r="725">
      <c r="A725" s="5"/>
      <c r="C725" s="5"/>
    </row>
    <row r="726">
      <c r="A726" s="5"/>
      <c r="C726" s="5"/>
    </row>
    <row r="727">
      <c r="A727" s="5"/>
      <c r="C727" s="5"/>
    </row>
    <row r="728">
      <c r="A728" s="5"/>
      <c r="C728" s="5"/>
    </row>
    <row r="729">
      <c r="A729" s="5"/>
      <c r="C729" s="5"/>
    </row>
    <row r="730">
      <c r="A730" s="5"/>
      <c r="C730" s="5"/>
    </row>
    <row r="731">
      <c r="A731" s="5"/>
      <c r="C731" s="5"/>
    </row>
    <row r="732">
      <c r="A732" s="5"/>
      <c r="C732" s="5"/>
    </row>
    <row r="733">
      <c r="A733" s="5"/>
      <c r="C733" s="5"/>
    </row>
    <row r="734">
      <c r="A734" s="5"/>
      <c r="C734" s="5"/>
    </row>
    <row r="735">
      <c r="A735" s="5"/>
      <c r="C735" s="5"/>
    </row>
    <row r="736">
      <c r="A736" s="5"/>
      <c r="C736" s="5"/>
    </row>
    <row r="737">
      <c r="A737" s="5"/>
      <c r="C737" s="5"/>
    </row>
    <row r="738">
      <c r="A738" s="5"/>
      <c r="C738" s="5"/>
    </row>
    <row r="739">
      <c r="A739" s="5"/>
      <c r="C739" s="5"/>
    </row>
    <row r="740">
      <c r="A740" s="5"/>
      <c r="C740" s="5"/>
    </row>
    <row r="741">
      <c r="A741" s="5"/>
      <c r="C741" s="5"/>
    </row>
    <row r="742">
      <c r="A742" s="5"/>
      <c r="C742" s="5"/>
    </row>
    <row r="743">
      <c r="A743" s="5"/>
      <c r="C743" s="5"/>
    </row>
    <row r="744">
      <c r="A744" s="5"/>
      <c r="C744" s="5"/>
    </row>
    <row r="745">
      <c r="A745" s="5"/>
      <c r="C745" s="5"/>
    </row>
    <row r="746">
      <c r="A746" s="5"/>
      <c r="C746" s="5"/>
    </row>
    <row r="747">
      <c r="A747" s="5"/>
      <c r="C747" s="5"/>
    </row>
    <row r="748">
      <c r="A748" s="5"/>
      <c r="C748" s="5"/>
    </row>
    <row r="749">
      <c r="A749" s="5"/>
      <c r="C749" s="5"/>
    </row>
    <row r="750">
      <c r="A750" s="5"/>
      <c r="C750" s="5"/>
    </row>
    <row r="751">
      <c r="A751" s="5"/>
      <c r="C751" s="5"/>
    </row>
    <row r="752">
      <c r="A752" s="5"/>
      <c r="C752" s="5"/>
    </row>
    <row r="753">
      <c r="A753" s="5"/>
      <c r="C753" s="5"/>
    </row>
    <row r="754">
      <c r="A754" s="5"/>
      <c r="C754" s="5"/>
    </row>
    <row r="755">
      <c r="A755" s="5"/>
      <c r="C755" s="5"/>
    </row>
    <row r="756">
      <c r="A756" s="5"/>
      <c r="C756" s="5"/>
    </row>
    <row r="757">
      <c r="A757" s="5"/>
      <c r="C757" s="5"/>
    </row>
    <row r="758">
      <c r="A758" s="5"/>
      <c r="C758" s="5"/>
    </row>
    <row r="759">
      <c r="A759" s="5"/>
      <c r="C759" s="5"/>
    </row>
    <row r="760">
      <c r="A760" s="5"/>
      <c r="C760" s="5"/>
    </row>
    <row r="761">
      <c r="A761" s="5"/>
      <c r="C761" s="5"/>
    </row>
    <row r="762">
      <c r="A762" s="5"/>
      <c r="C762" s="5"/>
    </row>
    <row r="763">
      <c r="A763" s="5"/>
      <c r="C763" s="5"/>
    </row>
    <row r="764">
      <c r="A764" s="5"/>
      <c r="C764" s="5"/>
    </row>
    <row r="765">
      <c r="A765" s="5"/>
      <c r="C765" s="5"/>
    </row>
    <row r="766">
      <c r="A766" s="5"/>
      <c r="C766" s="5"/>
    </row>
    <row r="767">
      <c r="A767" s="5"/>
      <c r="C767" s="5"/>
    </row>
    <row r="768">
      <c r="A768" s="5"/>
      <c r="C768" s="5"/>
    </row>
    <row r="769">
      <c r="A769" s="5"/>
      <c r="C769" s="5"/>
    </row>
    <row r="770">
      <c r="A770" s="5"/>
      <c r="C770" s="5"/>
    </row>
    <row r="771">
      <c r="A771" s="5"/>
      <c r="C771" s="5"/>
    </row>
    <row r="772">
      <c r="A772" s="5"/>
      <c r="C772" s="5"/>
    </row>
    <row r="773">
      <c r="A773" s="5"/>
      <c r="C773" s="5"/>
    </row>
    <row r="774">
      <c r="A774" s="5"/>
      <c r="C774" s="5"/>
    </row>
    <row r="775">
      <c r="A775" s="5"/>
      <c r="C775" s="5"/>
    </row>
    <row r="776">
      <c r="A776" s="5"/>
      <c r="C776" s="5"/>
    </row>
    <row r="777">
      <c r="A777" s="5"/>
      <c r="C777" s="5"/>
    </row>
    <row r="778">
      <c r="A778" s="5"/>
      <c r="C778" s="5"/>
    </row>
    <row r="779">
      <c r="A779" s="5"/>
      <c r="C779" s="5"/>
    </row>
    <row r="780">
      <c r="A780" s="5"/>
      <c r="C780" s="5"/>
    </row>
    <row r="781">
      <c r="A781" s="5"/>
      <c r="C781" s="5"/>
    </row>
    <row r="782">
      <c r="A782" s="5"/>
      <c r="C782" s="5"/>
    </row>
    <row r="783">
      <c r="A783" s="5"/>
      <c r="C783" s="5"/>
    </row>
    <row r="784">
      <c r="A784" s="5"/>
      <c r="C784" s="5"/>
    </row>
    <row r="785">
      <c r="A785" s="5"/>
      <c r="C785" s="5"/>
    </row>
    <row r="786">
      <c r="A786" s="5"/>
      <c r="C786" s="5"/>
    </row>
    <row r="787">
      <c r="A787" s="5"/>
      <c r="C787" s="5"/>
    </row>
    <row r="788">
      <c r="A788" s="5"/>
      <c r="C788" s="5"/>
    </row>
    <row r="789">
      <c r="A789" s="5"/>
      <c r="C789" s="5"/>
    </row>
    <row r="790">
      <c r="A790" s="5"/>
      <c r="C790" s="5"/>
    </row>
    <row r="791">
      <c r="A791" s="5"/>
      <c r="C791" s="5"/>
    </row>
    <row r="792">
      <c r="A792" s="5"/>
      <c r="C792" s="5"/>
    </row>
    <row r="793">
      <c r="A793" s="5"/>
      <c r="C793" s="5"/>
    </row>
    <row r="794">
      <c r="A794" s="5"/>
      <c r="C794" s="5"/>
    </row>
    <row r="795">
      <c r="A795" s="5"/>
      <c r="C795" s="5"/>
    </row>
    <row r="796">
      <c r="A796" s="5"/>
      <c r="C796" s="5"/>
    </row>
    <row r="797">
      <c r="A797" s="5"/>
      <c r="C797" s="5"/>
    </row>
    <row r="798">
      <c r="A798" s="5"/>
      <c r="C798" s="5"/>
    </row>
    <row r="799">
      <c r="A799" s="5"/>
      <c r="C799" s="5"/>
    </row>
    <row r="800">
      <c r="A800" s="5"/>
      <c r="C800" s="5"/>
    </row>
    <row r="801">
      <c r="A801" s="5"/>
      <c r="C801" s="5"/>
    </row>
    <row r="802">
      <c r="A802" s="5"/>
      <c r="C802" s="5"/>
    </row>
    <row r="803">
      <c r="A803" s="5"/>
      <c r="C803" s="5"/>
    </row>
    <row r="804">
      <c r="A804" s="5"/>
      <c r="C804" s="5"/>
    </row>
    <row r="805">
      <c r="A805" s="5"/>
      <c r="C805" s="5"/>
    </row>
    <row r="806">
      <c r="A806" s="5"/>
      <c r="C806" s="5"/>
    </row>
    <row r="807">
      <c r="A807" s="5"/>
      <c r="C807" s="5"/>
    </row>
    <row r="808">
      <c r="A808" s="5"/>
      <c r="C808" s="5"/>
    </row>
    <row r="809">
      <c r="A809" s="5"/>
      <c r="C809" s="5"/>
    </row>
    <row r="810">
      <c r="A810" s="5"/>
      <c r="C810" s="5"/>
    </row>
    <row r="811">
      <c r="A811" s="5"/>
      <c r="C811" s="5"/>
    </row>
    <row r="812">
      <c r="A812" s="5"/>
      <c r="C812" s="5"/>
    </row>
    <row r="813">
      <c r="A813" s="5"/>
      <c r="C813" s="5"/>
    </row>
    <row r="814">
      <c r="A814" s="5"/>
      <c r="C814" s="5"/>
    </row>
    <row r="815">
      <c r="A815" s="5"/>
      <c r="C815" s="5"/>
    </row>
    <row r="816">
      <c r="A816" s="5"/>
      <c r="C816" s="5"/>
    </row>
    <row r="817">
      <c r="A817" s="5"/>
      <c r="C817" s="5"/>
    </row>
    <row r="818">
      <c r="A818" s="5"/>
      <c r="C818" s="5"/>
    </row>
    <row r="819">
      <c r="A819" s="5"/>
      <c r="C819" s="5"/>
    </row>
    <row r="820">
      <c r="A820" s="5"/>
      <c r="C820" s="5"/>
    </row>
    <row r="821">
      <c r="A821" s="5"/>
      <c r="C821" s="5"/>
    </row>
    <row r="822">
      <c r="A822" s="5"/>
      <c r="C822" s="5"/>
    </row>
    <row r="823">
      <c r="A823" s="5"/>
      <c r="C823" s="5"/>
    </row>
    <row r="824">
      <c r="A824" s="5"/>
      <c r="C824" s="5"/>
    </row>
    <row r="825">
      <c r="A825" s="5"/>
      <c r="C825" s="5"/>
    </row>
    <row r="826">
      <c r="A826" s="5"/>
      <c r="C826" s="5"/>
    </row>
    <row r="827">
      <c r="A827" s="5"/>
      <c r="C827" s="5"/>
    </row>
    <row r="828">
      <c r="A828" s="5"/>
      <c r="C828" s="5"/>
    </row>
    <row r="829">
      <c r="A829" s="5"/>
      <c r="C829" s="5"/>
    </row>
    <row r="830">
      <c r="A830" s="5"/>
      <c r="C830" s="5"/>
    </row>
    <row r="831">
      <c r="A831" s="5"/>
      <c r="C831" s="5"/>
    </row>
    <row r="832">
      <c r="A832" s="5"/>
      <c r="C832" s="5"/>
    </row>
    <row r="833">
      <c r="A833" s="5"/>
      <c r="C833" s="5"/>
    </row>
    <row r="834">
      <c r="A834" s="5"/>
      <c r="C834" s="5"/>
    </row>
    <row r="835">
      <c r="A835" s="5"/>
      <c r="C835" s="5"/>
    </row>
    <row r="836">
      <c r="A836" s="5"/>
      <c r="C836" s="5"/>
    </row>
    <row r="837">
      <c r="A837" s="5"/>
      <c r="C837" s="5"/>
    </row>
    <row r="838">
      <c r="A838" s="5"/>
      <c r="C838" s="5"/>
    </row>
    <row r="839">
      <c r="A839" s="5"/>
      <c r="C839" s="5"/>
    </row>
    <row r="840">
      <c r="A840" s="5"/>
      <c r="C840" s="5"/>
    </row>
    <row r="841">
      <c r="A841" s="5"/>
      <c r="C841" s="5"/>
    </row>
    <row r="842">
      <c r="A842" s="5"/>
      <c r="C842" s="5"/>
    </row>
    <row r="843">
      <c r="A843" s="5"/>
      <c r="C843" s="5"/>
    </row>
    <row r="844">
      <c r="A844" s="5"/>
      <c r="C844" s="5"/>
    </row>
    <row r="845">
      <c r="A845" s="5"/>
      <c r="C845" s="5"/>
    </row>
    <row r="846">
      <c r="A846" s="5"/>
      <c r="C846" s="5"/>
    </row>
    <row r="847">
      <c r="A847" s="5"/>
      <c r="C847" s="5"/>
    </row>
    <row r="848">
      <c r="A848" s="5"/>
      <c r="C848" s="5"/>
    </row>
    <row r="849">
      <c r="A849" s="5"/>
      <c r="C849" s="5"/>
    </row>
    <row r="850">
      <c r="A850" s="5"/>
      <c r="C850" s="5"/>
    </row>
    <row r="851">
      <c r="A851" s="5"/>
      <c r="C851" s="5"/>
    </row>
    <row r="852">
      <c r="A852" s="5"/>
      <c r="C852" s="5"/>
    </row>
    <row r="853">
      <c r="A853" s="5"/>
      <c r="C853" s="5"/>
    </row>
    <row r="854">
      <c r="A854" s="5"/>
      <c r="C854" s="5"/>
    </row>
    <row r="855">
      <c r="A855" s="5"/>
      <c r="C855" s="5"/>
    </row>
    <row r="856">
      <c r="A856" s="5"/>
      <c r="C856" s="5"/>
    </row>
    <row r="857">
      <c r="A857" s="5"/>
      <c r="C857" s="5"/>
    </row>
    <row r="858">
      <c r="A858" s="5"/>
      <c r="C858" s="5"/>
    </row>
    <row r="859">
      <c r="A859" s="5"/>
      <c r="C859" s="5"/>
    </row>
    <row r="860">
      <c r="A860" s="5"/>
      <c r="C860" s="5"/>
    </row>
    <row r="861">
      <c r="A861" s="5"/>
      <c r="C861" s="5"/>
    </row>
    <row r="862">
      <c r="A862" s="5"/>
      <c r="C862" s="5"/>
    </row>
    <row r="863">
      <c r="A863" s="5"/>
      <c r="C863" s="5"/>
    </row>
    <row r="864">
      <c r="A864" s="5"/>
      <c r="C864" s="5"/>
    </row>
    <row r="865">
      <c r="A865" s="5"/>
      <c r="C865" s="5"/>
    </row>
    <row r="866">
      <c r="A866" s="5"/>
      <c r="C866" s="5"/>
    </row>
    <row r="867">
      <c r="A867" s="5"/>
      <c r="C867" s="5"/>
    </row>
    <row r="868">
      <c r="A868" s="5"/>
      <c r="C868" s="5"/>
    </row>
    <row r="869">
      <c r="A869" s="5"/>
      <c r="C869" s="5"/>
    </row>
    <row r="870">
      <c r="A870" s="5"/>
      <c r="C870" s="5"/>
    </row>
    <row r="871">
      <c r="A871" s="5"/>
      <c r="C871" s="5"/>
    </row>
    <row r="872">
      <c r="A872" s="5"/>
      <c r="C872" s="5"/>
    </row>
    <row r="873">
      <c r="A873" s="5"/>
      <c r="C873" s="5"/>
    </row>
    <row r="874">
      <c r="A874" s="5"/>
      <c r="C874" s="5"/>
    </row>
    <row r="875">
      <c r="A875" s="5"/>
      <c r="C875" s="5"/>
    </row>
    <row r="876">
      <c r="A876" s="5"/>
      <c r="C876" s="5"/>
    </row>
    <row r="877">
      <c r="A877" s="5"/>
      <c r="C877" s="5"/>
    </row>
    <row r="878">
      <c r="A878" s="5"/>
      <c r="C878" s="5"/>
    </row>
    <row r="879">
      <c r="A879" s="5"/>
      <c r="C879" s="5"/>
    </row>
    <row r="880">
      <c r="A880" s="5"/>
      <c r="C880" s="5"/>
    </row>
    <row r="881">
      <c r="A881" s="5"/>
      <c r="C881" s="5"/>
    </row>
    <row r="882">
      <c r="A882" s="5"/>
      <c r="C882" s="5"/>
    </row>
    <row r="883">
      <c r="A883" s="5"/>
      <c r="C883" s="5"/>
    </row>
    <row r="884">
      <c r="A884" s="5"/>
      <c r="C884" s="5"/>
    </row>
    <row r="885">
      <c r="A885" s="5"/>
      <c r="C885" s="5"/>
    </row>
    <row r="886">
      <c r="A886" s="5"/>
      <c r="C886" s="5"/>
    </row>
    <row r="887">
      <c r="A887" s="5"/>
      <c r="C887" s="5"/>
    </row>
    <row r="888">
      <c r="A888" s="5"/>
      <c r="C888" s="5"/>
    </row>
    <row r="889">
      <c r="A889" s="5"/>
      <c r="C889" s="5"/>
    </row>
    <row r="890">
      <c r="A890" s="5"/>
      <c r="C890" s="5"/>
    </row>
    <row r="891">
      <c r="A891" s="5"/>
      <c r="C891" s="5"/>
    </row>
    <row r="892">
      <c r="A892" s="5"/>
      <c r="C892" s="5"/>
    </row>
    <row r="893">
      <c r="A893" s="5"/>
      <c r="C893" s="5"/>
    </row>
    <row r="894">
      <c r="A894" s="5"/>
      <c r="C894" s="5"/>
    </row>
    <row r="895">
      <c r="A895" s="5"/>
      <c r="C895" s="5"/>
    </row>
    <row r="896">
      <c r="A896" s="5"/>
      <c r="C896" s="5"/>
    </row>
    <row r="897">
      <c r="A897" s="5"/>
      <c r="C897" s="5"/>
    </row>
    <row r="898">
      <c r="A898" s="5"/>
      <c r="C898" s="5"/>
    </row>
    <row r="899">
      <c r="A899" s="5"/>
      <c r="C899" s="5"/>
    </row>
    <row r="900">
      <c r="A900" s="5"/>
      <c r="C900" s="5"/>
    </row>
    <row r="901">
      <c r="A901" s="5"/>
      <c r="C901" s="5"/>
    </row>
    <row r="902">
      <c r="A902" s="5"/>
      <c r="C902" s="5"/>
    </row>
    <row r="903">
      <c r="A903" s="5"/>
      <c r="C903" s="5"/>
    </row>
    <row r="904">
      <c r="A904" s="5"/>
      <c r="C904" s="5"/>
    </row>
    <row r="905">
      <c r="A905" s="5"/>
      <c r="C905" s="5"/>
    </row>
    <row r="906">
      <c r="A906" s="5"/>
      <c r="C906" s="5"/>
    </row>
    <row r="907">
      <c r="A907" s="5"/>
      <c r="C907" s="5"/>
    </row>
    <row r="908">
      <c r="A908" s="5"/>
      <c r="C908" s="5"/>
    </row>
    <row r="909">
      <c r="A909" s="5"/>
      <c r="C909" s="5"/>
    </row>
    <row r="910">
      <c r="A910" s="5"/>
      <c r="C910" s="5"/>
    </row>
    <row r="911">
      <c r="A911" s="5"/>
      <c r="C911" s="5"/>
    </row>
    <row r="912">
      <c r="A912" s="5"/>
      <c r="C912" s="5"/>
    </row>
    <row r="913">
      <c r="A913" s="5"/>
      <c r="C913" s="5"/>
    </row>
    <row r="914">
      <c r="A914" s="5"/>
      <c r="C914" s="5"/>
    </row>
    <row r="915">
      <c r="A915" s="5"/>
      <c r="C915" s="5"/>
    </row>
    <row r="916">
      <c r="A916" s="5"/>
      <c r="C916" s="5"/>
    </row>
    <row r="917">
      <c r="A917" s="5"/>
      <c r="C917" s="5"/>
    </row>
    <row r="918">
      <c r="A918" s="5"/>
      <c r="C918" s="5"/>
    </row>
    <row r="919">
      <c r="A919" s="5"/>
      <c r="C919" s="5"/>
    </row>
    <row r="920">
      <c r="A920" s="5"/>
      <c r="C920" s="5"/>
    </row>
    <row r="921">
      <c r="A921" s="5"/>
      <c r="C921" s="5"/>
    </row>
    <row r="922">
      <c r="A922" s="5"/>
      <c r="C922" s="5"/>
    </row>
    <row r="923">
      <c r="A923" s="5"/>
      <c r="C923" s="5"/>
    </row>
    <row r="924">
      <c r="A924" s="5"/>
      <c r="C924" s="5"/>
    </row>
    <row r="925">
      <c r="A925" s="5"/>
      <c r="C925" s="5"/>
    </row>
    <row r="926">
      <c r="A926" s="5"/>
      <c r="C926" s="5"/>
    </row>
    <row r="927">
      <c r="A927" s="5"/>
      <c r="C927" s="5"/>
    </row>
    <row r="928">
      <c r="A928" s="5"/>
      <c r="C928" s="5"/>
    </row>
    <row r="929">
      <c r="A929" s="5"/>
      <c r="C929" s="5"/>
    </row>
    <row r="930">
      <c r="A930" s="5"/>
      <c r="C930" s="5"/>
    </row>
    <row r="931">
      <c r="A931" s="5"/>
      <c r="C931" s="5"/>
    </row>
    <row r="932">
      <c r="A932" s="5"/>
      <c r="C932" s="5"/>
    </row>
    <row r="933">
      <c r="A933" s="5"/>
      <c r="C933" s="5"/>
    </row>
    <row r="934">
      <c r="A934" s="5"/>
      <c r="C934" s="5"/>
    </row>
    <row r="935">
      <c r="A935" s="5"/>
      <c r="C935" s="5"/>
    </row>
    <row r="936">
      <c r="A936" s="5"/>
      <c r="C936" s="5"/>
    </row>
    <row r="937">
      <c r="A937" s="5"/>
      <c r="C937" s="5"/>
    </row>
    <row r="938">
      <c r="A938" s="5"/>
      <c r="C938" s="5"/>
    </row>
    <row r="939">
      <c r="A939" s="5"/>
      <c r="C939" s="5"/>
    </row>
    <row r="940">
      <c r="A940" s="5"/>
      <c r="C940" s="5"/>
    </row>
    <row r="941">
      <c r="A941" s="5"/>
      <c r="C941" s="5"/>
    </row>
    <row r="942">
      <c r="A942" s="5"/>
      <c r="C942" s="5"/>
    </row>
    <row r="943">
      <c r="A943" s="5"/>
      <c r="C943" s="5"/>
    </row>
    <row r="944">
      <c r="A944" s="5"/>
      <c r="C944" s="5"/>
    </row>
    <row r="945">
      <c r="A945" s="5"/>
      <c r="C945" s="5"/>
    </row>
    <row r="946">
      <c r="A946" s="5"/>
      <c r="C946" s="5"/>
    </row>
    <row r="947">
      <c r="A947" s="5"/>
      <c r="C947" s="5"/>
    </row>
    <row r="948">
      <c r="A948" s="5"/>
      <c r="C948" s="5"/>
    </row>
    <row r="949">
      <c r="A949" s="5"/>
      <c r="C94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581</v>
      </c>
      <c r="B1" s="73" t="s">
        <v>582</v>
      </c>
      <c r="C1" s="73" t="s">
        <v>583</v>
      </c>
      <c r="D1" s="73" t="s">
        <v>0</v>
      </c>
      <c r="E1" s="73" t="s">
        <v>584</v>
      </c>
    </row>
    <row r="2">
      <c r="A2" s="76" t="s">
        <v>226</v>
      </c>
      <c r="B2" s="77">
        <v>43802.0</v>
      </c>
      <c r="C2" s="78">
        <v>0.9166666666666666</v>
      </c>
      <c r="D2" s="76" t="s">
        <v>64</v>
      </c>
      <c r="E2" s="73" t="s">
        <v>585</v>
      </c>
    </row>
    <row r="3">
      <c r="A3" s="6" t="s">
        <v>226</v>
      </c>
      <c r="B3" s="51">
        <v>43803.0</v>
      </c>
      <c r="C3" s="52">
        <v>0.0</v>
      </c>
      <c r="D3" s="6" t="s">
        <v>65</v>
      </c>
      <c r="E3" s="73" t="s">
        <v>585</v>
      </c>
    </row>
    <row r="4">
      <c r="A4" s="6" t="s">
        <v>226</v>
      </c>
      <c r="B4" s="51">
        <v>43803.0</v>
      </c>
      <c r="C4" s="52">
        <v>0.08333333333333333</v>
      </c>
      <c r="D4" s="6" t="s">
        <v>66</v>
      </c>
      <c r="E4" s="73" t="s">
        <v>585</v>
      </c>
    </row>
    <row r="5">
      <c r="A5" s="6" t="s">
        <v>226</v>
      </c>
      <c r="B5" s="51">
        <v>43803.0</v>
      </c>
      <c r="C5" s="52">
        <v>0.16666666666666666</v>
      </c>
      <c r="D5" s="6" t="s">
        <v>67</v>
      </c>
      <c r="E5" s="73" t="s">
        <v>585</v>
      </c>
    </row>
    <row r="6">
      <c r="A6" s="6" t="s">
        <v>226</v>
      </c>
      <c r="B6" s="51">
        <v>43803.0</v>
      </c>
      <c r="C6" s="52">
        <v>0.25</v>
      </c>
      <c r="D6" s="6" t="s">
        <v>127</v>
      </c>
      <c r="E6" s="73" t="s">
        <v>585</v>
      </c>
    </row>
    <row r="7">
      <c r="A7" s="6" t="s">
        <v>226</v>
      </c>
      <c r="B7" s="51">
        <v>43803.0</v>
      </c>
      <c r="C7" s="52">
        <v>0.3125</v>
      </c>
      <c r="D7" s="6" t="s">
        <v>87</v>
      </c>
      <c r="E7" s="73" t="s">
        <v>585</v>
      </c>
    </row>
    <row r="8">
      <c r="A8" s="6" t="s">
        <v>226</v>
      </c>
      <c r="B8" s="51">
        <v>43803.0</v>
      </c>
      <c r="C8" s="52">
        <v>0.3541666666666667</v>
      </c>
      <c r="D8" s="6" t="s">
        <v>63</v>
      </c>
      <c r="E8" s="73" t="s">
        <v>585</v>
      </c>
    </row>
    <row r="9">
      <c r="A9" s="6" t="s">
        <v>226</v>
      </c>
      <c r="B9" s="51">
        <v>43803.0</v>
      </c>
      <c r="C9" s="52">
        <v>0.375</v>
      </c>
      <c r="D9" s="6" t="s">
        <v>214</v>
      </c>
      <c r="E9" s="73" t="s">
        <v>585</v>
      </c>
    </row>
    <row r="10">
      <c r="A10" s="6" t="s">
        <v>226</v>
      </c>
      <c r="B10" s="51">
        <v>43803.0</v>
      </c>
      <c r="C10" s="52">
        <v>0.4583333333333333</v>
      </c>
      <c r="D10" s="6" t="s">
        <v>215</v>
      </c>
      <c r="E10" s="73" t="s">
        <v>585</v>
      </c>
    </row>
    <row r="11">
      <c r="A11" s="6" t="s">
        <v>226</v>
      </c>
      <c r="B11" s="51">
        <v>43803.0</v>
      </c>
      <c r="C11" s="52">
        <v>0.6666666666666666</v>
      </c>
      <c r="D11" s="6" t="s">
        <v>55</v>
      </c>
      <c r="E11" s="73" t="s">
        <v>585</v>
      </c>
    </row>
    <row r="12">
      <c r="A12" s="6" t="s">
        <v>226</v>
      </c>
      <c r="B12" s="51">
        <v>43899.0</v>
      </c>
      <c r="C12" s="52">
        <v>0.9166666666666666</v>
      </c>
      <c r="D12" s="6" t="s">
        <v>54</v>
      </c>
      <c r="E12" s="73" t="s">
        <v>585</v>
      </c>
    </row>
    <row r="13">
      <c r="A13" s="6" t="s">
        <v>226</v>
      </c>
      <c r="B13" s="51">
        <v>43900.0</v>
      </c>
      <c r="C13" s="52">
        <v>0.4166666666666667</v>
      </c>
      <c r="D13" s="6" t="s">
        <v>56</v>
      </c>
      <c r="E13" s="73" t="s">
        <v>585</v>
      </c>
    </row>
    <row r="14">
      <c r="A14" s="6" t="s">
        <v>226</v>
      </c>
      <c r="B14" s="51">
        <v>43900.0</v>
      </c>
      <c r="C14" s="52">
        <v>0.5416666666666666</v>
      </c>
      <c r="D14" s="6" t="s">
        <v>221</v>
      </c>
      <c r="E14" s="73" t="s">
        <v>585</v>
      </c>
    </row>
    <row r="15">
      <c r="A15" s="6" t="s">
        <v>226</v>
      </c>
      <c r="B15" s="51">
        <v>43900.0</v>
      </c>
      <c r="C15" s="52">
        <v>0.5833333333333334</v>
      </c>
      <c r="D15" s="6" t="s">
        <v>222</v>
      </c>
      <c r="E15" s="73" t="s">
        <v>585</v>
      </c>
    </row>
    <row r="16">
      <c r="A16" s="6" t="s">
        <v>226</v>
      </c>
      <c r="B16" s="51">
        <v>43900.0</v>
      </c>
      <c r="C16" s="52">
        <v>0.6666666666666666</v>
      </c>
      <c r="D16" s="6" t="s">
        <v>105</v>
      </c>
      <c r="E16" s="73" t="s">
        <v>585</v>
      </c>
    </row>
    <row r="17">
      <c r="A17" s="6" t="s">
        <v>226</v>
      </c>
      <c r="B17" s="51">
        <v>43900.0</v>
      </c>
      <c r="C17" s="52">
        <v>0.7083333333333334</v>
      </c>
      <c r="D17" s="6" t="s">
        <v>223</v>
      </c>
      <c r="E17" s="73" t="s">
        <v>585</v>
      </c>
    </row>
    <row r="18">
      <c r="A18" s="6" t="s">
        <v>226</v>
      </c>
      <c r="B18" s="51">
        <v>43900.0</v>
      </c>
      <c r="C18" s="52">
        <v>0.9166666666666666</v>
      </c>
      <c r="D18" s="6" t="s">
        <v>586</v>
      </c>
      <c r="E18" s="73" t="s">
        <v>585</v>
      </c>
    </row>
    <row r="19">
      <c r="A19" s="6" t="s">
        <v>226</v>
      </c>
      <c r="B19" s="51">
        <v>43901.0</v>
      </c>
      <c r="C19" s="52">
        <v>0.08333333333333333</v>
      </c>
      <c r="D19" s="6" t="s">
        <v>91</v>
      </c>
      <c r="E19" s="73" t="s">
        <v>585</v>
      </c>
    </row>
    <row r="20">
      <c r="A20" s="6" t="s">
        <v>226</v>
      </c>
      <c r="B20" s="51">
        <v>43901.0</v>
      </c>
      <c r="C20" s="52">
        <v>0.125</v>
      </c>
      <c r="D20" s="6" t="s">
        <v>227</v>
      </c>
      <c r="E20" s="73" t="s">
        <v>585</v>
      </c>
    </row>
    <row r="21">
      <c r="A21" s="6" t="s">
        <v>226</v>
      </c>
      <c r="B21" s="51">
        <v>43901.0</v>
      </c>
      <c r="C21" s="52">
        <v>0.20833333333333334</v>
      </c>
      <c r="D21" s="6" t="s">
        <v>228</v>
      </c>
      <c r="E21" s="73" t="s">
        <v>585</v>
      </c>
    </row>
    <row r="22">
      <c r="A22" s="6" t="s">
        <v>226</v>
      </c>
      <c r="B22" s="51">
        <v>43901.0</v>
      </c>
      <c r="C22" s="52">
        <v>0.375</v>
      </c>
      <c r="D22" s="6" t="s">
        <v>229</v>
      </c>
      <c r="E22" s="73" t="s">
        <v>585</v>
      </c>
    </row>
    <row r="23">
      <c r="A23" s="6" t="s">
        <v>226</v>
      </c>
      <c r="B23" s="51">
        <v>43901.0</v>
      </c>
      <c r="C23" s="52">
        <v>0.4166666666666667</v>
      </c>
      <c r="D23" s="6" t="s">
        <v>95</v>
      </c>
      <c r="E23" s="73" t="s">
        <v>585</v>
      </c>
    </row>
    <row r="24">
      <c r="A24" s="6" t="s">
        <v>226</v>
      </c>
      <c r="B24" s="51">
        <v>43905.0</v>
      </c>
      <c r="C24" s="52">
        <v>0.9166666666666666</v>
      </c>
      <c r="D24" s="6" t="s">
        <v>246</v>
      </c>
      <c r="E24" s="73" t="s">
        <v>585</v>
      </c>
    </row>
    <row r="25">
      <c r="A25" s="6" t="s">
        <v>226</v>
      </c>
      <c r="B25" s="51">
        <v>43906.0</v>
      </c>
      <c r="C25" s="52">
        <v>0.08333333333333333</v>
      </c>
      <c r="D25" s="6" t="s">
        <v>100</v>
      </c>
      <c r="E25" s="73" t="s">
        <v>585</v>
      </c>
    </row>
    <row r="26">
      <c r="A26" s="6" t="s">
        <v>226</v>
      </c>
      <c r="B26" s="51">
        <v>43906.0</v>
      </c>
      <c r="C26" s="52">
        <v>0.125</v>
      </c>
      <c r="D26" s="6" t="s">
        <v>247</v>
      </c>
      <c r="E26" s="73" t="s">
        <v>585</v>
      </c>
    </row>
    <row r="27">
      <c r="A27" s="6" t="s">
        <v>226</v>
      </c>
      <c r="B27" s="51">
        <v>43906.0</v>
      </c>
      <c r="C27" s="52">
        <v>0.16666666666666666</v>
      </c>
      <c r="D27" s="6" t="s">
        <v>248</v>
      </c>
      <c r="E27" s="73" t="s">
        <v>585</v>
      </c>
    </row>
    <row r="28">
      <c r="A28" s="6" t="s">
        <v>226</v>
      </c>
      <c r="B28" s="51">
        <v>43906.0</v>
      </c>
      <c r="C28" s="52">
        <v>0.25</v>
      </c>
      <c r="D28" s="6" t="s">
        <v>249</v>
      </c>
      <c r="E28" s="73" t="s">
        <v>585</v>
      </c>
    </row>
    <row r="29">
      <c r="A29" s="6" t="s">
        <v>226</v>
      </c>
      <c r="B29" s="51">
        <v>43906.0</v>
      </c>
      <c r="C29" s="52">
        <v>0.2916666666666667</v>
      </c>
      <c r="D29" s="6" t="s">
        <v>250</v>
      </c>
      <c r="E29" s="73" t="s">
        <v>585</v>
      </c>
    </row>
    <row r="30">
      <c r="A30" s="6" t="s">
        <v>226</v>
      </c>
      <c r="B30" s="51">
        <v>43906.0</v>
      </c>
      <c r="C30" s="52">
        <v>0.3333333333333333</v>
      </c>
      <c r="D30" s="6" t="s">
        <v>587</v>
      </c>
      <c r="E30" s="73" t="s">
        <v>585</v>
      </c>
    </row>
    <row r="31">
      <c r="A31" s="6" t="s">
        <v>226</v>
      </c>
      <c r="B31" s="51">
        <v>43906.0</v>
      </c>
      <c r="C31" s="52">
        <v>0.4166666666666667</v>
      </c>
      <c r="D31" s="6" t="s">
        <v>253</v>
      </c>
      <c r="E31" s="73" t="s">
        <v>585</v>
      </c>
    </row>
    <row r="32">
      <c r="A32" s="6" t="s">
        <v>226</v>
      </c>
      <c r="B32" s="51">
        <v>43906.0</v>
      </c>
      <c r="C32" s="52">
        <v>0.5</v>
      </c>
      <c r="D32" s="6" t="s">
        <v>254</v>
      </c>
      <c r="E32" s="73" t="s">
        <v>585</v>
      </c>
    </row>
    <row r="33">
      <c r="A33" s="6" t="s">
        <v>226</v>
      </c>
      <c r="B33" s="51">
        <v>43906.0</v>
      </c>
      <c r="C33" s="52">
        <v>0.5416666666666666</v>
      </c>
      <c r="D33" s="6" t="s">
        <v>255</v>
      </c>
      <c r="E33" s="73" t="s">
        <v>585</v>
      </c>
    </row>
    <row r="34">
      <c r="A34" s="6" t="s">
        <v>226</v>
      </c>
      <c r="B34" s="51">
        <v>43906.0</v>
      </c>
      <c r="C34" s="52">
        <v>0.625</v>
      </c>
      <c r="D34" s="6" t="s">
        <v>256</v>
      </c>
      <c r="E34" s="73" t="s">
        <v>585</v>
      </c>
    </row>
    <row r="35">
      <c r="A35" s="6" t="s">
        <v>226</v>
      </c>
      <c r="B35" s="51">
        <v>43906.0</v>
      </c>
      <c r="C35" s="52">
        <v>0.6666666666666666</v>
      </c>
      <c r="D35" s="6" t="s">
        <v>258</v>
      </c>
      <c r="E35" s="73" t="s">
        <v>585</v>
      </c>
    </row>
    <row r="36">
      <c r="A36" s="6" t="s">
        <v>226</v>
      </c>
      <c r="B36" s="51">
        <v>43906.0</v>
      </c>
      <c r="C36" s="52">
        <v>0.7083333333333334</v>
      </c>
      <c r="D36" s="6" t="s">
        <v>259</v>
      </c>
      <c r="E36" s="73" t="s">
        <v>585</v>
      </c>
    </row>
    <row r="37">
      <c r="A37" s="6" t="s">
        <v>226</v>
      </c>
      <c r="B37" s="51">
        <v>43906.0</v>
      </c>
      <c r="C37" s="52">
        <v>0.75</v>
      </c>
      <c r="D37" s="6" t="s">
        <v>260</v>
      </c>
      <c r="E37" s="73" t="s">
        <v>585</v>
      </c>
    </row>
    <row r="38">
      <c r="A38" s="6" t="s">
        <v>226</v>
      </c>
      <c r="B38" s="51">
        <v>43906.0</v>
      </c>
      <c r="C38" s="52">
        <v>0.8333333333333334</v>
      </c>
      <c r="D38" s="6" t="s">
        <v>109</v>
      </c>
      <c r="E38" s="73" t="s">
        <v>585</v>
      </c>
    </row>
    <row r="39">
      <c r="A39" s="6" t="s">
        <v>226</v>
      </c>
      <c r="B39" s="51">
        <v>43906.0</v>
      </c>
      <c r="C39" s="52">
        <v>0.875</v>
      </c>
      <c r="D39" s="6" t="s">
        <v>108</v>
      </c>
      <c r="E39" s="73" t="s">
        <v>585</v>
      </c>
    </row>
    <row r="40">
      <c r="A40" s="6" t="s">
        <v>218</v>
      </c>
      <c r="B40" s="51">
        <v>43802.0</v>
      </c>
      <c r="C40" s="52">
        <v>0.9166666666666666</v>
      </c>
      <c r="D40" s="6" t="s">
        <v>59</v>
      </c>
      <c r="E40" s="73" t="s">
        <v>585</v>
      </c>
    </row>
    <row r="41">
      <c r="A41" s="6" t="s">
        <v>218</v>
      </c>
      <c r="B41" s="51">
        <v>43803.0</v>
      </c>
      <c r="C41" s="52">
        <v>0.041666666666666664</v>
      </c>
      <c r="D41" s="6" t="s">
        <v>588</v>
      </c>
      <c r="E41" s="73" t="s">
        <v>585</v>
      </c>
    </row>
    <row r="42">
      <c r="A42" s="6" t="s">
        <v>218</v>
      </c>
      <c r="B42" s="51">
        <v>43803.0</v>
      </c>
      <c r="C42" s="52">
        <v>0.125</v>
      </c>
      <c r="D42" s="6" t="s">
        <v>60</v>
      </c>
      <c r="E42" s="73" t="s">
        <v>585</v>
      </c>
    </row>
    <row r="43">
      <c r="A43" s="6" t="s">
        <v>218</v>
      </c>
      <c r="B43" s="51">
        <v>43803.0</v>
      </c>
      <c r="C43" s="52">
        <v>0.25</v>
      </c>
      <c r="D43" s="6" t="s">
        <v>61</v>
      </c>
      <c r="E43" s="73" t="s">
        <v>585</v>
      </c>
    </row>
    <row r="44">
      <c r="A44" s="6" t="s">
        <v>218</v>
      </c>
      <c r="B44" s="51">
        <v>43803.0</v>
      </c>
      <c r="C44" s="52">
        <v>0.375</v>
      </c>
      <c r="D44" s="6" t="s">
        <v>589</v>
      </c>
      <c r="E44" s="73" t="s">
        <v>585</v>
      </c>
    </row>
    <row r="45">
      <c r="A45" s="6" t="s">
        <v>218</v>
      </c>
      <c r="B45" s="51">
        <v>43803.0</v>
      </c>
      <c r="C45" s="52">
        <v>0.5</v>
      </c>
      <c r="D45" s="6" t="s">
        <v>62</v>
      </c>
      <c r="E45" s="73" t="s">
        <v>585</v>
      </c>
    </row>
    <row r="46">
      <c r="A46" s="6" t="s">
        <v>218</v>
      </c>
      <c r="B46" s="51">
        <v>43803.0</v>
      </c>
      <c r="C46" s="52">
        <v>0.6666666666666666</v>
      </c>
      <c r="D46" s="6" t="s">
        <v>590</v>
      </c>
      <c r="E46" s="73" t="s">
        <v>585</v>
      </c>
    </row>
    <row r="47">
      <c r="A47" s="6" t="s">
        <v>218</v>
      </c>
      <c r="B47" s="51">
        <v>43899.0</v>
      </c>
      <c r="C47" s="52">
        <v>0.9166666666666666</v>
      </c>
      <c r="D47" s="6" t="s">
        <v>48</v>
      </c>
      <c r="E47" s="73" t="s">
        <v>585</v>
      </c>
    </row>
    <row r="48">
      <c r="A48" s="6" t="s">
        <v>218</v>
      </c>
      <c r="B48" s="51">
        <v>43900.0</v>
      </c>
      <c r="C48" s="52">
        <v>0.4166666666666667</v>
      </c>
      <c r="D48" s="6" t="s">
        <v>53</v>
      </c>
      <c r="E48" s="73" t="s">
        <v>585</v>
      </c>
    </row>
    <row r="49">
      <c r="A49" s="6" t="s">
        <v>218</v>
      </c>
      <c r="B49" s="51">
        <v>43900.0</v>
      </c>
      <c r="C49" s="52">
        <v>0.5416666666666666</v>
      </c>
      <c r="D49" s="6" t="s">
        <v>119</v>
      </c>
      <c r="E49" s="73" t="s">
        <v>585</v>
      </c>
    </row>
    <row r="50">
      <c r="A50" s="6" t="s">
        <v>218</v>
      </c>
      <c r="B50" s="51">
        <v>43900.0</v>
      </c>
      <c r="C50" s="52">
        <v>0.625</v>
      </c>
      <c r="D50" s="6" t="s">
        <v>89</v>
      </c>
      <c r="E50" s="73" t="s">
        <v>585</v>
      </c>
    </row>
    <row r="51">
      <c r="A51" s="6" t="s">
        <v>218</v>
      </c>
      <c r="B51" s="51">
        <v>43900.0</v>
      </c>
      <c r="C51" s="52">
        <v>0.8333333333333334</v>
      </c>
      <c r="D51" s="6" t="s">
        <v>120</v>
      </c>
      <c r="E51" s="73" t="s">
        <v>585</v>
      </c>
    </row>
    <row r="52">
      <c r="A52" s="6" t="s">
        <v>218</v>
      </c>
      <c r="B52" s="51">
        <v>43901.0</v>
      </c>
      <c r="C52" s="52">
        <v>0.08333333333333333</v>
      </c>
      <c r="D52" s="6" t="s">
        <v>51</v>
      </c>
      <c r="E52" s="73" t="s">
        <v>585</v>
      </c>
    </row>
    <row r="53">
      <c r="A53" s="6" t="s">
        <v>218</v>
      </c>
      <c r="B53" s="51">
        <v>43901.0</v>
      </c>
      <c r="C53" s="52">
        <v>0.16666666666666666</v>
      </c>
      <c r="D53" s="6" t="s">
        <v>52</v>
      </c>
      <c r="E53" s="73" t="s">
        <v>585</v>
      </c>
    </row>
    <row r="54">
      <c r="A54" s="6" t="s">
        <v>218</v>
      </c>
      <c r="B54" s="51">
        <v>43901.0</v>
      </c>
      <c r="C54" s="52">
        <v>0.4166666666666667</v>
      </c>
      <c r="D54" s="6" t="s">
        <v>50</v>
      </c>
      <c r="E54" s="73" t="s">
        <v>585</v>
      </c>
    </row>
    <row r="55">
      <c r="A55" s="6" t="s">
        <v>218</v>
      </c>
      <c r="B55" s="51">
        <v>43901.0</v>
      </c>
      <c r="C55" s="52">
        <v>0.6666666666666666</v>
      </c>
      <c r="D55" s="6" t="s">
        <v>90</v>
      </c>
      <c r="E55" s="73" t="s">
        <v>585</v>
      </c>
    </row>
    <row r="56">
      <c r="A56" s="6" t="s">
        <v>218</v>
      </c>
      <c r="B56" s="51">
        <v>43905.0</v>
      </c>
      <c r="C56" s="52">
        <v>0.9166666666666666</v>
      </c>
      <c r="D56" s="6" t="s">
        <v>97</v>
      </c>
      <c r="E56" s="73" t="s">
        <v>585</v>
      </c>
    </row>
    <row r="57">
      <c r="A57" s="6" t="s">
        <v>218</v>
      </c>
      <c r="B57" s="51">
        <v>43906.0</v>
      </c>
      <c r="C57" s="52">
        <v>0.20833333333333334</v>
      </c>
      <c r="D57" s="6" t="s">
        <v>124</v>
      </c>
      <c r="E57" s="73" t="s">
        <v>585</v>
      </c>
    </row>
    <row r="58">
      <c r="A58" s="6" t="s">
        <v>218</v>
      </c>
      <c r="B58" s="51">
        <v>43906.0</v>
      </c>
      <c r="C58" s="52">
        <v>0.375</v>
      </c>
      <c r="D58" s="6" t="s">
        <v>123</v>
      </c>
      <c r="E58" s="73" t="s">
        <v>585</v>
      </c>
    </row>
    <row r="59">
      <c r="A59" s="6" t="s">
        <v>218</v>
      </c>
      <c r="B59" s="51">
        <v>43906.0</v>
      </c>
      <c r="C59" s="52">
        <v>0.5</v>
      </c>
      <c r="D59" s="6" t="s">
        <v>98</v>
      </c>
      <c r="E59" s="73" t="s">
        <v>585</v>
      </c>
    </row>
    <row r="60">
      <c r="A60" s="6" t="s">
        <v>218</v>
      </c>
      <c r="B60" s="51">
        <v>43906.0</v>
      </c>
      <c r="C60" s="52">
        <v>0.5833333333333334</v>
      </c>
      <c r="D60" s="6" t="s">
        <v>261</v>
      </c>
      <c r="E60" s="73" t="s">
        <v>585</v>
      </c>
    </row>
    <row r="61">
      <c r="A61" s="6" t="s">
        <v>218</v>
      </c>
      <c r="B61" s="51">
        <v>43906.0</v>
      </c>
      <c r="C61" s="52">
        <v>0.6666666666666666</v>
      </c>
      <c r="D61" s="6" t="s">
        <v>262</v>
      </c>
      <c r="E61" s="73" t="s">
        <v>585</v>
      </c>
    </row>
    <row r="62">
      <c r="A62" s="6" t="s">
        <v>218</v>
      </c>
      <c r="B62" s="51">
        <v>43906.0</v>
      </c>
      <c r="C62" s="52">
        <v>0.7083333333333334</v>
      </c>
      <c r="D62" s="6" t="s">
        <v>263</v>
      </c>
      <c r="E62" s="73" t="s">
        <v>585</v>
      </c>
    </row>
    <row r="63">
      <c r="A63" s="6" t="s">
        <v>218</v>
      </c>
      <c r="B63" s="51">
        <v>43906.0</v>
      </c>
      <c r="C63" s="52">
        <v>0.75</v>
      </c>
      <c r="D63" s="6" t="s">
        <v>264</v>
      </c>
      <c r="E63" s="73" t="s">
        <v>585</v>
      </c>
    </row>
    <row r="64">
      <c r="A64" s="6" t="s">
        <v>218</v>
      </c>
      <c r="B64" s="51">
        <v>43906.0</v>
      </c>
      <c r="C64" s="52">
        <v>0.7916666666666666</v>
      </c>
      <c r="D64" s="6" t="s">
        <v>265</v>
      </c>
      <c r="E64" s="73" t="s">
        <v>585</v>
      </c>
    </row>
    <row r="65">
      <c r="A65" s="6" t="s">
        <v>218</v>
      </c>
      <c r="B65" s="51">
        <v>43906.0</v>
      </c>
      <c r="C65" s="52">
        <v>0.8333333333333334</v>
      </c>
      <c r="D65" s="6" t="s">
        <v>591</v>
      </c>
      <c r="E65" s="73" t="s">
        <v>585</v>
      </c>
    </row>
    <row r="66">
      <c r="A66" s="6" t="s">
        <v>218</v>
      </c>
      <c r="B66" s="51">
        <v>43906.0</v>
      </c>
      <c r="C66" s="52">
        <v>0.875</v>
      </c>
      <c r="D66" s="6" t="s">
        <v>268</v>
      </c>
      <c r="E66" s="73" t="s">
        <v>585</v>
      </c>
    </row>
    <row r="67">
      <c r="A67" s="6" t="s">
        <v>205</v>
      </c>
      <c r="B67" s="51">
        <v>43796.0</v>
      </c>
      <c r="C67" s="52">
        <v>0.125</v>
      </c>
      <c r="D67" s="6" t="s">
        <v>592</v>
      </c>
      <c r="E67" s="73" t="s">
        <v>585</v>
      </c>
    </row>
    <row r="68">
      <c r="A68" s="6" t="s">
        <v>205</v>
      </c>
      <c r="B68" s="51">
        <v>43796.0</v>
      </c>
      <c r="C68" s="52">
        <v>0.16666666666666666</v>
      </c>
      <c r="D68" s="6" t="s">
        <v>206</v>
      </c>
      <c r="E68" s="73" t="s">
        <v>585</v>
      </c>
    </row>
    <row r="69">
      <c r="A69" s="6" t="s">
        <v>205</v>
      </c>
      <c r="B69" s="51">
        <v>43796.0</v>
      </c>
      <c r="C69" s="52">
        <v>0.1875</v>
      </c>
      <c r="D69" s="6" t="s">
        <v>207</v>
      </c>
      <c r="E69" s="73" t="s">
        <v>585</v>
      </c>
    </row>
    <row r="70">
      <c r="A70" s="6" t="s">
        <v>205</v>
      </c>
      <c r="B70" s="51">
        <v>43796.0</v>
      </c>
      <c r="C70" s="52">
        <v>0.20833333333333334</v>
      </c>
      <c r="D70" s="6" t="s">
        <v>208</v>
      </c>
      <c r="E70" s="73" t="s">
        <v>585</v>
      </c>
    </row>
    <row r="71">
      <c r="A71" s="6" t="s">
        <v>205</v>
      </c>
      <c r="B71" s="51">
        <v>43796.0</v>
      </c>
      <c r="C71" s="52">
        <v>0.2708333333333333</v>
      </c>
      <c r="D71" s="6" t="s">
        <v>85</v>
      </c>
      <c r="E71" s="73" t="s">
        <v>585</v>
      </c>
    </row>
    <row r="72">
      <c r="A72" s="6" t="s">
        <v>205</v>
      </c>
      <c r="B72" s="51">
        <v>43796.0</v>
      </c>
      <c r="C72" s="52">
        <v>0.3333333333333333</v>
      </c>
      <c r="D72" s="6" t="s">
        <v>57</v>
      </c>
      <c r="E72" s="73" t="s">
        <v>585</v>
      </c>
    </row>
    <row r="73">
      <c r="A73" s="6" t="s">
        <v>205</v>
      </c>
      <c r="B73" s="51">
        <v>43796.0</v>
      </c>
      <c r="C73" s="52">
        <v>0.4375</v>
      </c>
      <c r="D73" s="6" t="s">
        <v>58</v>
      </c>
      <c r="E73" s="73" t="s">
        <v>585</v>
      </c>
    </row>
    <row r="74">
      <c r="A74" s="6" t="s">
        <v>205</v>
      </c>
      <c r="B74" s="51">
        <v>43803.0</v>
      </c>
      <c r="C74" s="52">
        <v>0.5833333333333334</v>
      </c>
      <c r="D74" s="6" t="s">
        <v>212</v>
      </c>
      <c r="E74" s="73" t="s">
        <v>585</v>
      </c>
    </row>
    <row r="75">
      <c r="A75" s="6" t="s">
        <v>205</v>
      </c>
      <c r="B75" s="51">
        <v>43803.0</v>
      </c>
      <c r="C75" s="52">
        <v>0.6666666666666666</v>
      </c>
      <c r="D75" s="6" t="s">
        <v>213</v>
      </c>
      <c r="E75" s="73" t="s">
        <v>585</v>
      </c>
    </row>
    <row r="76">
      <c r="A76" s="6" t="s">
        <v>205</v>
      </c>
      <c r="B76" s="51">
        <v>43900.0</v>
      </c>
      <c r="C76" s="52">
        <v>0.5416666666666666</v>
      </c>
      <c r="D76" s="6" t="s">
        <v>230</v>
      </c>
      <c r="E76" s="73" t="s">
        <v>585</v>
      </c>
    </row>
    <row r="77">
      <c r="A77" s="6" t="s">
        <v>205</v>
      </c>
      <c r="B77" s="51">
        <v>43900.0</v>
      </c>
      <c r="C77" s="52">
        <v>0.5833333333333334</v>
      </c>
      <c r="D77" s="6" t="s">
        <v>104</v>
      </c>
      <c r="E77" s="73" t="s">
        <v>585</v>
      </c>
    </row>
    <row r="78">
      <c r="A78" s="6" t="s">
        <v>205</v>
      </c>
      <c r="B78" s="51">
        <v>43900.0</v>
      </c>
      <c r="C78" s="52">
        <v>0.625</v>
      </c>
      <c r="D78" s="6" t="s">
        <v>101</v>
      </c>
      <c r="E78" s="73" t="s">
        <v>585</v>
      </c>
    </row>
    <row r="79">
      <c r="A79" s="6" t="s">
        <v>205</v>
      </c>
      <c r="B79" s="51">
        <v>43900.0</v>
      </c>
      <c r="C79" s="52">
        <v>0.75</v>
      </c>
      <c r="D79" s="6" t="s">
        <v>103</v>
      </c>
      <c r="E79" s="73" t="s">
        <v>585</v>
      </c>
    </row>
    <row r="80">
      <c r="A80" s="6" t="s">
        <v>205</v>
      </c>
      <c r="B80" s="51">
        <v>43900.0</v>
      </c>
      <c r="C80" s="52">
        <v>0.9166666666666666</v>
      </c>
      <c r="D80" s="6" t="s">
        <v>106</v>
      </c>
      <c r="E80" s="73" t="s">
        <v>585</v>
      </c>
    </row>
    <row r="81">
      <c r="A81" s="6" t="s">
        <v>205</v>
      </c>
      <c r="B81" s="51">
        <v>43901.0</v>
      </c>
      <c r="C81" s="52">
        <v>0.08333333333333333</v>
      </c>
      <c r="D81" s="6" t="s">
        <v>107</v>
      </c>
      <c r="E81" s="73" t="s">
        <v>585</v>
      </c>
    </row>
    <row r="82">
      <c r="A82" s="6" t="s">
        <v>205</v>
      </c>
      <c r="B82" s="51">
        <v>43901.0</v>
      </c>
      <c r="C82" s="52">
        <v>0.16666666666666666</v>
      </c>
      <c r="D82" s="6" t="s">
        <v>593</v>
      </c>
      <c r="E82" s="73" t="s">
        <v>585</v>
      </c>
    </row>
    <row r="83">
      <c r="A83" s="6" t="s">
        <v>205</v>
      </c>
      <c r="B83" s="51">
        <v>43901.0</v>
      </c>
      <c r="C83" s="52">
        <v>0.4166666666666667</v>
      </c>
      <c r="D83" s="6" t="s">
        <v>94</v>
      </c>
      <c r="E83" s="73" t="s">
        <v>585</v>
      </c>
    </row>
    <row r="84">
      <c r="A84" s="6" t="s">
        <v>205</v>
      </c>
      <c r="B84" s="51">
        <v>43901.0</v>
      </c>
      <c r="C84" s="52">
        <v>0.6666666666666666</v>
      </c>
      <c r="D84" s="6" t="s">
        <v>92</v>
      </c>
      <c r="E84" s="73" t="s">
        <v>585</v>
      </c>
    </row>
    <row r="85">
      <c r="A85" s="6" t="s">
        <v>205</v>
      </c>
      <c r="B85" s="51">
        <v>43905.0</v>
      </c>
      <c r="C85" s="52">
        <v>0.9166666666666666</v>
      </c>
      <c r="D85" s="6" t="s">
        <v>233</v>
      </c>
      <c r="E85" s="73" t="s">
        <v>585</v>
      </c>
    </row>
    <row r="86">
      <c r="A86" s="6" t="s">
        <v>205</v>
      </c>
      <c r="B86" s="51">
        <v>43906.0</v>
      </c>
      <c r="C86" s="52">
        <v>0.08333333333333333</v>
      </c>
      <c r="D86" s="6" t="s">
        <v>234</v>
      </c>
      <c r="E86" s="73" t="s">
        <v>585</v>
      </c>
    </row>
    <row r="87">
      <c r="A87" s="6" t="s">
        <v>205</v>
      </c>
      <c r="B87" s="51">
        <v>43906.0</v>
      </c>
      <c r="C87" s="52">
        <v>0.125</v>
      </c>
      <c r="D87" s="6" t="s">
        <v>112</v>
      </c>
      <c r="E87" s="73" t="s">
        <v>585</v>
      </c>
    </row>
    <row r="88">
      <c r="A88" s="6" t="s">
        <v>205</v>
      </c>
      <c r="B88" s="51">
        <v>43906.0</v>
      </c>
      <c r="C88" s="52">
        <v>0.16666666666666666</v>
      </c>
      <c r="D88" s="6" t="s">
        <v>113</v>
      </c>
      <c r="E88" s="73" t="s">
        <v>585</v>
      </c>
    </row>
    <row r="89">
      <c r="A89" s="6" t="s">
        <v>205</v>
      </c>
      <c r="B89" s="51">
        <v>43906.0</v>
      </c>
      <c r="C89" s="52">
        <v>0.20833333333333334</v>
      </c>
      <c r="D89" s="6" t="s">
        <v>111</v>
      </c>
      <c r="E89" s="73" t="s">
        <v>585</v>
      </c>
    </row>
    <row r="90">
      <c r="A90" s="6" t="s">
        <v>205</v>
      </c>
      <c r="B90" s="51">
        <v>43906.0</v>
      </c>
      <c r="C90" s="52">
        <v>0.25</v>
      </c>
      <c r="D90" s="6" t="s">
        <v>235</v>
      </c>
      <c r="E90" s="73" t="s">
        <v>585</v>
      </c>
    </row>
    <row r="91">
      <c r="A91" s="6" t="s">
        <v>205</v>
      </c>
      <c r="B91" s="51">
        <v>43906.0</v>
      </c>
      <c r="C91" s="52">
        <v>0.2916666666666667</v>
      </c>
      <c r="D91" s="6" t="s">
        <v>236</v>
      </c>
      <c r="E91" s="73" t="s">
        <v>585</v>
      </c>
    </row>
    <row r="92">
      <c r="A92" s="6" t="s">
        <v>205</v>
      </c>
      <c r="B92" s="51">
        <v>43906.0</v>
      </c>
      <c r="C92" s="52">
        <v>0.3333333333333333</v>
      </c>
      <c r="D92" s="6" t="s">
        <v>110</v>
      </c>
      <c r="E92" s="73" t="s">
        <v>585</v>
      </c>
    </row>
    <row r="93">
      <c r="A93" s="6" t="s">
        <v>205</v>
      </c>
      <c r="B93" s="51">
        <v>43906.0</v>
      </c>
      <c r="C93" s="52">
        <v>0.375</v>
      </c>
      <c r="D93" s="6" t="s">
        <v>237</v>
      </c>
      <c r="E93" s="73" t="s">
        <v>585</v>
      </c>
    </row>
    <row r="94">
      <c r="A94" s="6" t="s">
        <v>205</v>
      </c>
      <c r="B94" s="51">
        <v>43906.0</v>
      </c>
      <c r="C94" s="52">
        <v>0.4583333333333333</v>
      </c>
      <c r="D94" s="6" t="s">
        <v>238</v>
      </c>
      <c r="E94" s="73" t="s">
        <v>585</v>
      </c>
    </row>
    <row r="95">
      <c r="A95" s="6" t="s">
        <v>205</v>
      </c>
      <c r="B95" s="51">
        <v>43906.0</v>
      </c>
      <c r="C95" s="52">
        <v>0.5</v>
      </c>
      <c r="D95" s="6" t="s">
        <v>239</v>
      </c>
      <c r="E95" s="73" t="s">
        <v>585</v>
      </c>
    </row>
    <row r="96">
      <c r="A96" s="6" t="s">
        <v>205</v>
      </c>
      <c r="B96" s="51">
        <v>43906.0</v>
      </c>
      <c r="C96" s="52">
        <v>0.5416666666666666</v>
      </c>
      <c r="D96" s="6" t="s">
        <v>240</v>
      </c>
      <c r="E96" s="73" t="s">
        <v>585</v>
      </c>
    </row>
    <row r="97">
      <c r="A97" s="6" t="s">
        <v>205</v>
      </c>
      <c r="B97" s="51">
        <v>43906.0</v>
      </c>
      <c r="C97" s="52">
        <v>0.625</v>
      </c>
      <c r="D97" s="6" t="s">
        <v>241</v>
      </c>
      <c r="E97" s="73" t="s">
        <v>585</v>
      </c>
    </row>
    <row r="98">
      <c r="A98" s="6" t="s">
        <v>205</v>
      </c>
      <c r="B98" s="51">
        <v>43906.0</v>
      </c>
      <c r="C98" s="52">
        <v>0.6666666666666666</v>
      </c>
      <c r="D98" s="6" t="s">
        <v>242</v>
      </c>
      <c r="E98" s="73" t="s">
        <v>585</v>
      </c>
    </row>
    <row r="99">
      <c r="A99" s="6" t="s">
        <v>205</v>
      </c>
      <c r="B99" s="51">
        <v>43906.0</v>
      </c>
      <c r="C99" s="52">
        <v>0.7083333333333334</v>
      </c>
      <c r="D99" s="6" t="s">
        <v>243</v>
      </c>
      <c r="E99" s="73" t="s">
        <v>585</v>
      </c>
    </row>
    <row r="100">
      <c r="A100" s="6" t="s">
        <v>205</v>
      </c>
      <c r="B100" s="51">
        <v>43906.0</v>
      </c>
      <c r="C100" s="52">
        <v>0.75</v>
      </c>
      <c r="D100" s="6" t="s">
        <v>244</v>
      </c>
      <c r="E100" s="73" t="s">
        <v>585</v>
      </c>
    </row>
    <row r="101">
      <c r="A101" s="6" t="s">
        <v>205</v>
      </c>
      <c r="B101" s="51">
        <v>43906.0</v>
      </c>
      <c r="C101" s="52">
        <v>0.875</v>
      </c>
      <c r="D101" s="6" t="s">
        <v>245</v>
      </c>
      <c r="E101" s="73" t="s">
        <v>585</v>
      </c>
    </row>
    <row r="102">
      <c r="A102" s="6" t="s">
        <v>226</v>
      </c>
      <c r="B102" s="51">
        <v>43900.0</v>
      </c>
      <c r="C102" s="52">
        <v>0.5</v>
      </c>
      <c r="D102" s="6" t="s">
        <v>128</v>
      </c>
      <c r="E102" s="73" t="s">
        <v>585</v>
      </c>
    </row>
    <row r="103">
      <c r="A103" s="6" t="s">
        <v>226</v>
      </c>
      <c r="B103" s="51">
        <v>43906.0</v>
      </c>
      <c r="C103" s="52">
        <v>0.7916666666666666</v>
      </c>
      <c r="D103" s="6" t="s">
        <v>143</v>
      </c>
      <c r="E103" s="73" t="s">
        <v>585</v>
      </c>
    </row>
    <row r="104">
      <c r="A104" s="6" t="s">
        <v>218</v>
      </c>
      <c r="B104" s="51">
        <v>44168.0</v>
      </c>
      <c r="C104" s="52">
        <v>0.9583333333333334</v>
      </c>
      <c r="D104" s="6" t="s">
        <v>594</v>
      </c>
      <c r="E104" s="73" t="s">
        <v>585</v>
      </c>
    </row>
    <row r="105">
      <c r="A105" s="6" t="s">
        <v>218</v>
      </c>
      <c r="B105" s="51">
        <v>44169.0</v>
      </c>
      <c r="C105" s="52">
        <v>0.0</v>
      </c>
      <c r="D105" s="6" t="s">
        <v>141</v>
      </c>
      <c r="E105" s="73" t="s">
        <v>585</v>
      </c>
    </row>
    <row r="106">
      <c r="A106" s="6" t="s">
        <v>218</v>
      </c>
      <c r="B106" s="51">
        <v>43900.0</v>
      </c>
      <c r="C106" s="52">
        <v>0.25</v>
      </c>
      <c r="D106" s="6" t="s">
        <v>138</v>
      </c>
      <c r="E106" s="73" t="s">
        <v>585</v>
      </c>
    </row>
    <row r="107">
      <c r="A107" s="6" t="s">
        <v>218</v>
      </c>
      <c r="B107" s="51">
        <v>43900.0</v>
      </c>
      <c r="C107" s="52">
        <v>0.3333333333333333</v>
      </c>
      <c r="D107" s="6" t="s">
        <v>139</v>
      </c>
      <c r="E107" s="73" t="s">
        <v>585</v>
      </c>
    </row>
    <row r="108">
      <c r="A108" s="6" t="s">
        <v>218</v>
      </c>
      <c r="B108" s="51">
        <v>43900.0</v>
      </c>
      <c r="C108" s="52">
        <v>0.5</v>
      </c>
      <c r="D108" s="6" t="s">
        <v>136</v>
      </c>
      <c r="E108" s="73" t="s">
        <v>585</v>
      </c>
    </row>
    <row r="109">
      <c r="A109" s="6" t="s">
        <v>218</v>
      </c>
      <c r="B109" s="51">
        <v>43900.0</v>
      </c>
      <c r="C109" s="52">
        <v>0.75</v>
      </c>
      <c r="D109" s="6" t="s">
        <v>137</v>
      </c>
      <c r="E109" s="73" t="s">
        <v>585</v>
      </c>
    </row>
    <row r="110">
      <c r="A110" s="6" t="s">
        <v>218</v>
      </c>
      <c r="B110" s="51">
        <v>43900.0</v>
      </c>
      <c r="C110" s="52">
        <v>0.9583333333333334</v>
      </c>
      <c r="D110" s="6" t="s">
        <v>129</v>
      </c>
      <c r="E110" s="73" t="s">
        <v>585</v>
      </c>
    </row>
    <row r="111">
      <c r="A111" s="6" t="s">
        <v>218</v>
      </c>
      <c r="B111" s="51">
        <v>43901.0</v>
      </c>
      <c r="C111" s="52">
        <v>0.125</v>
      </c>
      <c r="D111" s="6" t="s">
        <v>130</v>
      </c>
      <c r="E111" s="73" t="s">
        <v>585</v>
      </c>
    </row>
    <row r="112">
      <c r="A112" s="6" t="s">
        <v>218</v>
      </c>
      <c r="B112" s="51">
        <v>43901.0</v>
      </c>
      <c r="C112" s="52">
        <v>0.25</v>
      </c>
      <c r="D112" s="6" t="s">
        <v>131</v>
      </c>
      <c r="E112" s="73" t="s">
        <v>585</v>
      </c>
    </row>
    <row r="113">
      <c r="A113" s="6" t="s">
        <v>218</v>
      </c>
      <c r="B113" s="51">
        <v>43906.0</v>
      </c>
      <c r="C113" s="52">
        <v>0.08333333333333333</v>
      </c>
      <c r="D113" s="6" t="s">
        <v>132</v>
      </c>
      <c r="E113" s="73" t="s">
        <v>585</v>
      </c>
    </row>
    <row r="114">
      <c r="A114" s="6" t="s">
        <v>218</v>
      </c>
      <c r="B114" s="51">
        <v>43906.0</v>
      </c>
      <c r="C114" s="52">
        <v>0.16666666666666666</v>
      </c>
      <c r="D114" s="6" t="s">
        <v>134</v>
      </c>
      <c r="E114" s="73" t="s">
        <v>585</v>
      </c>
    </row>
    <row r="115">
      <c r="A115" s="6" t="s">
        <v>218</v>
      </c>
      <c r="B115" s="51">
        <v>43906.0</v>
      </c>
      <c r="C115" s="52">
        <v>0.3333333333333333</v>
      </c>
      <c r="D115" s="6" t="s">
        <v>135</v>
      </c>
      <c r="E115" s="73" t="s">
        <v>585</v>
      </c>
    </row>
    <row r="116">
      <c r="A116" s="6" t="s">
        <v>218</v>
      </c>
      <c r="B116" s="51">
        <v>43906.0</v>
      </c>
      <c r="C116" s="52">
        <v>0.5416666666666666</v>
      </c>
      <c r="D116" s="6" t="s">
        <v>140</v>
      </c>
      <c r="E116" s="73" t="s">
        <v>585</v>
      </c>
    </row>
    <row r="117">
      <c r="A117" s="76" t="s">
        <v>308</v>
      </c>
      <c r="B117" s="77">
        <v>43796.0</v>
      </c>
      <c r="C117" s="78">
        <v>0.19444444444444445</v>
      </c>
      <c r="D117" s="76" t="s">
        <v>302</v>
      </c>
      <c r="E117" s="73" t="s">
        <v>595</v>
      </c>
    </row>
    <row r="118">
      <c r="A118" s="6" t="s">
        <v>308</v>
      </c>
      <c r="B118" s="51">
        <v>43796.0</v>
      </c>
      <c r="C118" s="52">
        <v>0.23958333333333334</v>
      </c>
      <c r="D118" s="6" t="s">
        <v>303</v>
      </c>
      <c r="E118" s="73" t="s">
        <v>595</v>
      </c>
    </row>
    <row r="119">
      <c r="A119" s="6" t="s">
        <v>308</v>
      </c>
      <c r="B119" s="51">
        <v>43796.0</v>
      </c>
      <c r="C119" s="52">
        <v>0.2916666666666667</v>
      </c>
      <c r="D119" s="6" t="s">
        <v>304</v>
      </c>
      <c r="E119" s="73" t="s">
        <v>595</v>
      </c>
    </row>
    <row r="120">
      <c r="A120" s="6" t="s">
        <v>308</v>
      </c>
      <c r="B120" s="51">
        <v>43796.0</v>
      </c>
      <c r="C120" s="52">
        <v>0.46527777777777773</v>
      </c>
      <c r="D120" s="6" t="s">
        <v>305</v>
      </c>
      <c r="E120" s="73" t="s">
        <v>595</v>
      </c>
    </row>
    <row r="121">
      <c r="A121" s="6" t="s">
        <v>308</v>
      </c>
      <c r="B121" s="51">
        <v>43803.0</v>
      </c>
      <c r="C121" s="52">
        <v>0.041666666666666664</v>
      </c>
      <c r="D121" s="6" t="s">
        <v>596</v>
      </c>
      <c r="E121" s="73" t="s">
        <v>595</v>
      </c>
    </row>
    <row r="122">
      <c r="A122" s="6" t="s">
        <v>308</v>
      </c>
      <c r="B122" s="51">
        <v>43803.0</v>
      </c>
      <c r="C122" s="52">
        <v>0.3645833333333333</v>
      </c>
      <c r="D122" s="6" t="s">
        <v>309</v>
      </c>
      <c r="E122" s="73" t="s">
        <v>595</v>
      </c>
    </row>
    <row r="123">
      <c r="A123" s="6" t="s">
        <v>308</v>
      </c>
      <c r="B123" s="51">
        <v>43803.0</v>
      </c>
      <c r="C123" s="52">
        <v>0.65625</v>
      </c>
      <c r="D123" s="6" t="s">
        <v>74</v>
      </c>
      <c r="E123" s="73" t="s">
        <v>595</v>
      </c>
    </row>
    <row r="124">
      <c r="A124" s="6" t="s">
        <v>308</v>
      </c>
      <c r="B124" s="51">
        <v>43815.0</v>
      </c>
      <c r="C124" s="52">
        <v>0.5833333333333334</v>
      </c>
      <c r="D124" s="6" t="s">
        <v>318</v>
      </c>
      <c r="E124" s="73" t="s">
        <v>595</v>
      </c>
    </row>
    <row r="125">
      <c r="A125" s="6" t="s">
        <v>308</v>
      </c>
      <c r="B125" s="51">
        <v>43821.0</v>
      </c>
      <c r="C125" s="52">
        <v>0.5590277777777778</v>
      </c>
      <c r="D125" s="6" t="s">
        <v>324</v>
      </c>
      <c r="E125" s="73" t="s">
        <v>595</v>
      </c>
    </row>
    <row r="126">
      <c r="A126" s="6" t="s">
        <v>308</v>
      </c>
      <c r="B126" s="51">
        <v>43838.0</v>
      </c>
      <c r="C126" s="52">
        <v>0.4201388888888889</v>
      </c>
      <c r="D126" s="6" t="s">
        <v>117</v>
      </c>
      <c r="E126" s="73" t="s">
        <v>595</v>
      </c>
    </row>
    <row r="127">
      <c r="A127" s="6" t="s">
        <v>308</v>
      </c>
      <c r="B127" s="51">
        <v>43900.0</v>
      </c>
      <c r="C127" s="52">
        <v>0.579861111111111</v>
      </c>
      <c r="D127" s="6" t="s">
        <v>597</v>
      </c>
      <c r="E127" s="73" t="s">
        <v>595</v>
      </c>
    </row>
    <row r="128">
      <c r="A128" s="6" t="s">
        <v>308</v>
      </c>
      <c r="B128" s="51">
        <v>43901.0</v>
      </c>
      <c r="C128" s="52">
        <v>0.3958333333333333</v>
      </c>
      <c r="D128" s="6" t="s">
        <v>331</v>
      </c>
      <c r="E128" s="73" t="s">
        <v>595</v>
      </c>
    </row>
    <row r="129">
      <c r="A129" s="6" t="s">
        <v>308</v>
      </c>
      <c r="B129" s="51">
        <v>43901.0</v>
      </c>
      <c r="C129" s="52">
        <v>0.7361111111111112</v>
      </c>
      <c r="D129" s="6" t="s">
        <v>68</v>
      </c>
      <c r="E129" s="73" t="s">
        <v>595</v>
      </c>
    </row>
    <row r="130">
      <c r="A130" s="6" t="s">
        <v>308</v>
      </c>
      <c r="B130" s="51">
        <v>43905.0</v>
      </c>
      <c r="C130" s="52">
        <v>0.9236111111111112</v>
      </c>
      <c r="D130" s="6" t="s">
        <v>332</v>
      </c>
      <c r="E130" s="73" t="s">
        <v>595</v>
      </c>
    </row>
    <row r="131">
      <c r="A131" s="6" t="s">
        <v>308</v>
      </c>
      <c r="B131" s="51">
        <v>43906.0</v>
      </c>
      <c r="C131" s="52">
        <v>0.4375</v>
      </c>
      <c r="D131" s="6" t="s">
        <v>334</v>
      </c>
      <c r="E131" s="73" t="s">
        <v>595</v>
      </c>
    </row>
    <row r="132">
      <c r="A132" s="6" t="s">
        <v>226</v>
      </c>
      <c r="B132" s="51">
        <v>43796.0</v>
      </c>
      <c r="C132" s="52">
        <v>0.15972222222222224</v>
      </c>
      <c r="D132" s="6" t="s">
        <v>297</v>
      </c>
      <c r="E132" s="73" t="s">
        <v>595</v>
      </c>
    </row>
    <row r="133">
      <c r="A133" s="6" t="s">
        <v>226</v>
      </c>
      <c r="B133" s="51">
        <v>43796.0</v>
      </c>
      <c r="C133" s="52">
        <v>0.20833333333333334</v>
      </c>
      <c r="D133" s="6" t="s">
        <v>298</v>
      </c>
      <c r="E133" s="73" t="s">
        <v>595</v>
      </c>
    </row>
    <row r="134">
      <c r="A134" s="6" t="s">
        <v>226</v>
      </c>
      <c r="B134" s="51">
        <v>43796.0</v>
      </c>
      <c r="C134" s="52">
        <v>0.28125</v>
      </c>
      <c r="D134" s="6" t="s">
        <v>598</v>
      </c>
      <c r="E134" s="73" t="s">
        <v>595</v>
      </c>
    </row>
    <row r="135">
      <c r="A135" s="6" t="s">
        <v>226</v>
      </c>
      <c r="B135" s="51">
        <v>43796.0</v>
      </c>
      <c r="C135" s="52">
        <v>0.4548611111111111</v>
      </c>
      <c r="D135" s="6" t="s">
        <v>301</v>
      </c>
      <c r="E135" s="73" t="s">
        <v>595</v>
      </c>
    </row>
    <row r="136">
      <c r="A136" s="6" t="s">
        <v>226</v>
      </c>
      <c r="B136" s="51">
        <v>43796.0</v>
      </c>
      <c r="C136" s="52">
        <v>0.78125</v>
      </c>
      <c r="D136" s="6" t="s">
        <v>73</v>
      </c>
      <c r="E136" s="73" t="s">
        <v>595</v>
      </c>
    </row>
    <row r="137">
      <c r="A137" s="6" t="s">
        <v>226</v>
      </c>
      <c r="B137" s="51">
        <v>43803.0</v>
      </c>
      <c r="C137" s="52">
        <v>0.03125</v>
      </c>
      <c r="D137" s="6" t="s">
        <v>312</v>
      </c>
      <c r="E137" s="73" t="s">
        <v>595</v>
      </c>
    </row>
    <row r="138">
      <c r="A138" s="6" t="s">
        <v>226</v>
      </c>
      <c r="B138" s="51">
        <v>43803.0</v>
      </c>
      <c r="C138" s="52">
        <v>0.3506944444444444</v>
      </c>
      <c r="D138" s="6" t="s">
        <v>313</v>
      </c>
      <c r="E138" s="73" t="s">
        <v>595</v>
      </c>
    </row>
    <row r="139">
      <c r="A139" s="6" t="s">
        <v>226</v>
      </c>
      <c r="B139" s="51">
        <v>43803.0</v>
      </c>
      <c r="C139" s="52">
        <v>0.6666666666666666</v>
      </c>
      <c r="D139" s="6" t="s">
        <v>75</v>
      </c>
      <c r="E139" s="73" t="s">
        <v>595</v>
      </c>
    </row>
    <row r="140">
      <c r="A140" s="6" t="s">
        <v>226</v>
      </c>
      <c r="B140" s="51">
        <v>43815.0</v>
      </c>
      <c r="C140" s="52">
        <v>0.5694444444444444</v>
      </c>
      <c r="D140" s="6" t="s">
        <v>78</v>
      </c>
      <c r="E140" s="73" t="s">
        <v>595</v>
      </c>
    </row>
    <row r="141">
      <c r="A141" s="6" t="s">
        <v>226</v>
      </c>
      <c r="B141" s="51">
        <v>43821.0</v>
      </c>
      <c r="C141" s="52">
        <v>0.545138888888889</v>
      </c>
      <c r="D141" s="6" t="s">
        <v>599</v>
      </c>
      <c r="E141" s="73" t="s">
        <v>595</v>
      </c>
    </row>
    <row r="142">
      <c r="A142" s="6" t="s">
        <v>226</v>
      </c>
      <c r="B142" s="51">
        <v>43838.0</v>
      </c>
      <c r="C142" s="52">
        <v>0.40972222222222227</v>
      </c>
      <c r="D142" s="6" t="s">
        <v>88</v>
      </c>
      <c r="E142" s="73" t="s">
        <v>595</v>
      </c>
    </row>
    <row r="143">
      <c r="A143" s="6" t="s">
        <v>226</v>
      </c>
      <c r="B143" s="51">
        <v>43899.0</v>
      </c>
      <c r="C143" s="52">
        <v>0.7638888888888888</v>
      </c>
      <c r="D143" s="6" t="s">
        <v>82</v>
      </c>
      <c r="E143" s="73" t="s">
        <v>595</v>
      </c>
    </row>
    <row r="144">
      <c r="A144" s="6" t="s">
        <v>226</v>
      </c>
      <c r="B144" s="51">
        <v>43900.0</v>
      </c>
      <c r="C144" s="52">
        <v>0.40972222222222227</v>
      </c>
      <c r="D144" s="6" t="s">
        <v>118</v>
      </c>
      <c r="E144" s="73" t="s">
        <v>595</v>
      </c>
    </row>
    <row r="145">
      <c r="A145" s="6" t="s">
        <v>226</v>
      </c>
      <c r="B145" s="51">
        <v>43900.0</v>
      </c>
      <c r="C145" s="52">
        <v>0.5694444444444444</v>
      </c>
      <c r="D145" s="6" t="s">
        <v>328</v>
      </c>
      <c r="E145" s="73" t="s">
        <v>595</v>
      </c>
    </row>
    <row r="146">
      <c r="A146" s="6" t="s">
        <v>226</v>
      </c>
      <c r="B146" s="51">
        <v>43901.0</v>
      </c>
      <c r="C146" s="52">
        <v>0.37847222222222227</v>
      </c>
      <c r="D146" s="6" t="s">
        <v>71</v>
      </c>
      <c r="E146" s="73" t="s">
        <v>595</v>
      </c>
    </row>
    <row r="147">
      <c r="A147" s="6" t="s">
        <v>226</v>
      </c>
      <c r="B147" s="51">
        <v>43901.0</v>
      </c>
      <c r="C147" s="52">
        <v>0.7465277777777778</v>
      </c>
      <c r="D147" s="6" t="s">
        <v>93</v>
      </c>
      <c r="E147" s="73" t="s">
        <v>595</v>
      </c>
    </row>
    <row r="148">
      <c r="A148" s="6" t="s">
        <v>226</v>
      </c>
      <c r="B148" s="51">
        <v>43905.0</v>
      </c>
      <c r="C148" s="52">
        <v>0.9097222222222222</v>
      </c>
      <c r="D148" s="6" t="s">
        <v>99</v>
      </c>
      <c r="E148" s="73" t="s">
        <v>595</v>
      </c>
    </row>
    <row r="149">
      <c r="A149" s="6" t="s">
        <v>226</v>
      </c>
      <c r="B149" s="51">
        <v>43906.0</v>
      </c>
      <c r="C149" s="52">
        <v>0.4895833333333333</v>
      </c>
      <c r="D149" s="6" t="s">
        <v>335</v>
      </c>
      <c r="E149" s="73" t="s">
        <v>595</v>
      </c>
    </row>
    <row r="150">
      <c r="A150" s="6" t="s">
        <v>218</v>
      </c>
      <c r="B150" s="51">
        <v>43795.0</v>
      </c>
      <c r="C150" s="52">
        <v>0.7430555555555555</v>
      </c>
      <c r="D150" s="6" t="s">
        <v>600</v>
      </c>
      <c r="E150" s="73" t="s">
        <v>595</v>
      </c>
    </row>
    <row r="151">
      <c r="A151" s="6" t="s">
        <v>218</v>
      </c>
      <c r="B151" s="51">
        <v>43796.0</v>
      </c>
      <c r="C151" s="52">
        <v>0.17013888888888887</v>
      </c>
      <c r="D151" s="6" t="s">
        <v>292</v>
      </c>
      <c r="E151" s="73" t="s">
        <v>595</v>
      </c>
    </row>
    <row r="152">
      <c r="A152" s="6" t="s">
        <v>218</v>
      </c>
      <c r="B152" s="51">
        <v>43796.0</v>
      </c>
      <c r="C152" s="52">
        <v>0.2222222222222222</v>
      </c>
      <c r="D152" s="6" t="s">
        <v>293</v>
      </c>
      <c r="E152" s="73" t="s">
        <v>595</v>
      </c>
    </row>
    <row r="153">
      <c r="A153" s="6" t="s">
        <v>218</v>
      </c>
      <c r="B153" s="51">
        <v>43796.0</v>
      </c>
      <c r="C153" s="52">
        <v>0.2638888888888889</v>
      </c>
      <c r="D153" s="6" t="s">
        <v>295</v>
      </c>
      <c r="E153" s="73" t="s">
        <v>595</v>
      </c>
    </row>
    <row r="154">
      <c r="A154" s="6" t="s">
        <v>218</v>
      </c>
      <c r="B154" s="51">
        <v>43796.0</v>
      </c>
      <c r="C154" s="52">
        <v>0.4270833333333333</v>
      </c>
      <c r="D154" s="6" t="s">
        <v>296</v>
      </c>
      <c r="E154" s="73" t="s">
        <v>595</v>
      </c>
    </row>
    <row r="155">
      <c r="A155" s="6" t="s">
        <v>218</v>
      </c>
      <c r="B155" s="51">
        <v>43803.0</v>
      </c>
      <c r="C155" s="52">
        <v>0.010416666666666666</v>
      </c>
      <c r="D155" s="6" t="s">
        <v>310</v>
      </c>
      <c r="E155" s="73" t="s">
        <v>595</v>
      </c>
    </row>
    <row r="156">
      <c r="A156" s="6" t="s">
        <v>218</v>
      </c>
      <c r="B156" s="51">
        <v>43803.0</v>
      </c>
      <c r="C156" s="52">
        <v>0.375</v>
      </c>
      <c r="D156" s="6" t="s">
        <v>114</v>
      </c>
      <c r="E156" s="73" t="s">
        <v>595</v>
      </c>
    </row>
    <row r="157">
      <c r="A157" s="6" t="s">
        <v>218</v>
      </c>
      <c r="B157" s="51">
        <v>43803.0</v>
      </c>
      <c r="C157" s="52">
        <v>0.6979166666666666</v>
      </c>
      <c r="D157" s="6" t="s">
        <v>311</v>
      </c>
      <c r="E157" s="73" t="s">
        <v>595</v>
      </c>
    </row>
    <row r="158">
      <c r="A158" s="6" t="s">
        <v>218</v>
      </c>
      <c r="B158" s="51">
        <v>43815.0</v>
      </c>
      <c r="C158" s="52">
        <v>0.6006944444444444</v>
      </c>
      <c r="D158" s="6" t="s">
        <v>79</v>
      </c>
      <c r="E158" s="73" t="s">
        <v>595</v>
      </c>
    </row>
    <row r="159">
      <c r="A159" s="6" t="s">
        <v>218</v>
      </c>
      <c r="B159" s="51">
        <v>43821.0</v>
      </c>
      <c r="C159" s="52">
        <v>0.5277777777777778</v>
      </c>
      <c r="D159" s="6" t="s">
        <v>601</v>
      </c>
      <c r="E159" s="73" t="s">
        <v>595</v>
      </c>
    </row>
    <row r="160">
      <c r="A160" s="6" t="s">
        <v>218</v>
      </c>
      <c r="B160" s="51">
        <v>43838.0</v>
      </c>
      <c r="C160" s="52">
        <v>0.37847222222222227</v>
      </c>
      <c r="D160" s="6" t="s">
        <v>116</v>
      </c>
      <c r="E160" s="73" t="s">
        <v>595</v>
      </c>
    </row>
    <row r="161">
      <c r="A161" s="6" t="s">
        <v>218</v>
      </c>
      <c r="B161" s="51">
        <v>43899.0</v>
      </c>
      <c r="C161" s="52">
        <v>0.7465277777777778</v>
      </c>
      <c r="D161" s="6" t="s">
        <v>80</v>
      </c>
      <c r="E161" s="73" t="s">
        <v>595</v>
      </c>
    </row>
    <row r="162">
      <c r="A162" s="6" t="s">
        <v>218</v>
      </c>
      <c r="B162" s="51">
        <v>43900.0</v>
      </c>
      <c r="C162" s="52">
        <v>0.3888888888888889</v>
      </c>
      <c r="D162" s="6" t="s">
        <v>69</v>
      </c>
      <c r="E162" s="73" t="s">
        <v>595</v>
      </c>
    </row>
    <row r="163">
      <c r="A163" s="6" t="s">
        <v>218</v>
      </c>
      <c r="B163" s="51">
        <v>43900.0</v>
      </c>
      <c r="C163" s="52">
        <v>0.5520833333333334</v>
      </c>
      <c r="D163" s="6" t="s">
        <v>70</v>
      </c>
      <c r="E163" s="73" t="s">
        <v>595</v>
      </c>
    </row>
    <row r="164">
      <c r="A164" s="6" t="s">
        <v>218</v>
      </c>
      <c r="B164" s="51">
        <v>43901.0</v>
      </c>
      <c r="C164" s="52">
        <v>0.4375</v>
      </c>
      <c r="D164" s="6" t="s">
        <v>96</v>
      </c>
      <c r="E164" s="73" t="s">
        <v>595</v>
      </c>
    </row>
    <row r="165">
      <c r="A165" s="6" t="s">
        <v>218</v>
      </c>
      <c r="B165" s="51">
        <v>43901.0</v>
      </c>
      <c r="C165" s="52">
        <v>0.6840277777777778</v>
      </c>
      <c r="D165" s="6" t="s">
        <v>84</v>
      </c>
      <c r="E165" s="73" t="s">
        <v>595</v>
      </c>
    </row>
    <row r="166">
      <c r="A166" s="6" t="s">
        <v>218</v>
      </c>
      <c r="B166" s="51">
        <v>43905.0</v>
      </c>
      <c r="C166" s="52">
        <v>0.9444444444444445</v>
      </c>
      <c r="D166" s="6" t="s">
        <v>125</v>
      </c>
      <c r="E166" s="73" t="s">
        <v>595</v>
      </c>
    </row>
    <row r="167">
      <c r="A167" s="6" t="s">
        <v>218</v>
      </c>
      <c r="B167" s="51">
        <v>43906.0</v>
      </c>
      <c r="C167" s="52">
        <v>0.5590277777777778</v>
      </c>
      <c r="D167" s="6" t="s">
        <v>337</v>
      </c>
      <c r="E167" s="73" t="s">
        <v>595</v>
      </c>
    </row>
    <row r="168">
      <c r="A168" s="6" t="s">
        <v>205</v>
      </c>
      <c r="B168" s="51">
        <v>43803.0</v>
      </c>
      <c r="C168" s="52">
        <v>0.020833333333333332</v>
      </c>
      <c r="D168" s="6" t="s">
        <v>314</v>
      </c>
      <c r="E168" s="73" t="s">
        <v>595</v>
      </c>
    </row>
    <row r="169">
      <c r="A169" s="6" t="s">
        <v>205</v>
      </c>
      <c r="B169" s="51">
        <v>43803.0</v>
      </c>
      <c r="C169" s="52">
        <v>0.34375</v>
      </c>
      <c r="D169" s="6" t="s">
        <v>76</v>
      </c>
      <c r="E169" s="73" t="s">
        <v>595</v>
      </c>
    </row>
    <row r="170">
      <c r="A170" s="6" t="s">
        <v>205</v>
      </c>
      <c r="B170" s="51">
        <v>43803.0</v>
      </c>
      <c r="C170" s="52">
        <v>0.642361111111111</v>
      </c>
      <c r="D170" s="6" t="s">
        <v>77</v>
      </c>
      <c r="E170" s="73" t="s">
        <v>595</v>
      </c>
    </row>
    <row r="171">
      <c r="A171" s="6" t="s">
        <v>205</v>
      </c>
      <c r="B171" s="51">
        <v>43815.0</v>
      </c>
      <c r="C171" s="52">
        <v>0.59375</v>
      </c>
      <c r="D171" s="6" t="s">
        <v>602</v>
      </c>
      <c r="E171" s="73" t="s">
        <v>595</v>
      </c>
    </row>
    <row r="172">
      <c r="A172" s="6" t="s">
        <v>205</v>
      </c>
      <c r="B172" s="51">
        <v>43821.0</v>
      </c>
      <c r="C172" s="52">
        <v>0.5347222222222222</v>
      </c>
      <c r="D172" s="6" t="s">
        <v>321</v>
      </c>
      <c r="E172" s="73" t="s">
        <v>595</v>
      </c>
    </row>
    <row r="173">
      <c r="A173" s="6" t="s">
        <v>205</v>
      </c>
      <c r="B173" s="51">
        <v>43838.0</v>
      </c>
      <c r="C173" s="52">
        <v>0.3958333333333333</v>
      </c>
      <c r="D173" s="6" t="s">
        <v>603</v>
      </c>
      <c r="E173" s="73" t="s">
        <v>595</v>
      </c>
    </row>
    <row r="174">
      <c r="A174" s="6" t="s">
        <v>205</v>
      </c>
      <c r="B174" s="51">
        <v>43899.0</v>
      </c>
      <c r="C174" s="52">
        <v>0.7569444444444445</v>
      </c>
      <c r="D174" s="6" t="s">
        <v>81</v>
      </c>
      <c r="E174" s="73" t="s">
        <v>595</v>
      </c>
    </row>
    <row r="175">
      <c r="A175" s="6" t="s">
        <v>205</v>
      </c>
      <c r="B175" s="51">
        <v>43900.0</v>
      </c>
      <c r="C175" s="52">
        <v>0.3993055555555556</v>
      </c>
      <c r="D175" s="6" t="s">
        <v>72</v>
      </c>
      <c r="E175" s="73" t="s">
        <v>595</v>
      </c>
    </row>
    <row r="176">
      <c r="A176" s="6" t="s">
        <v>205</v>
      </c>
      <c r="B176" s="51">
        <v>43900.0</v>
      </c>
      <c r="C176" s="52">
        <v>0.5625</v>
      </c>
      <c r="D176" s="6" t="s">
        <v>327</v>
      </c>
      <c r="E176" s="73" t="s">
        <v>595</v>
      </c>
    </row>
    <row r="177">
      <c r="A177" s="6" t="s">
        <v>205</v>
      </c>
      <c r="B177" s="51">
        <v>43901.0</v>
      </c>
      <c r="C177" s="52">
        <v>0.40972222222222227</v>
      </c>
      <c r="D177" s="6" t="s">
        <v>121</v>
      </c>
      <c r="E177" s="73" t="s">
        <v>595</v>
      </c>
    </row>
    <row r="178">
      <c r="A178" s="6" t="s">
        <v>205</v>
      </c>
      <c r="B178" s="51">
        <v>43901.0</v>
      </c>
      <c r="C178" s="52">
        <v>0.7152777777777778</v>
      </c>
      <c r="D178" s="6" t="s">
        <v>83</v>
      </c>
      <c r="E178" s="73" t="s">
        <v>595</v>
      </c>
    </row>
    <row r="179">
      <c r="A179" s="6" t="s">
        <v>205</v>
      </c>
      <c r="B179" s="51">
        <v>43905.0</v>
      </c>
      <c r="C179" s="52">
        <v>0.9375</v>
      </c>
      <c r="D179" s="6" t="s">
        <v>333</v>
      </c>
      <c r="E179" s="73" t="s">
        <v>595</v>
      </c>
    </row>
    <row r="180">
      <c r="A180" s="6" t="s">
        <v>205</v>
      </c>
      <c r="B180" s="51">
        <v>43906.0</v>
      </c>
      <c r="C180" s="52">
        <v>0.5520833333333334</v>
      </c>
      <c r="D180" s="6" t="s">
        <v>336</v>
      </c>
      <c r="E180" s="73" t="s">
        <v>595</v>
      </c>
    </row>
    <row r="181">
      <c r="A181" s="50" t="s">
        <v>349</v>
      </c>
      <c r="B181" s="79">
        <v>44494.0</v>
      </c>
      <c r="C181" s="80">
        <v>0.375</v>
      </c>
      <c r="D181" s="50" t="s">
        <v>393</v>
      </c>
      <c r="E181" s="50" t="s">
        <v>604</v>
      </c>
    </row>
    <row r="182">
      <c r="A182" s="50" t="s">
        <v>349</v>
      </c>
      <c r="B182" s="79">
        <v>44494.0</v>
      </c>
      <c r="C182" s="80">
        <v>0.4791666666666667</v>
      </c>
      <c r="D182" s="50" t="s">
        <v>396</v>
      </c>
      <c r="E182" s="50" t="s">
        <v>604</v>
      </c>
    </row>
    <row r="183">
      <c r="A183" s="50" t="s">
        <v>339</v>
      </c>
      <c r="B183" s="79">
        <v>44509.0</v>
      </c>
      <c r="C183" s="80">
        <v>0.3854166666666667</v>
      </c>
      <c r="D183" s="50" t="s">
        <v>144</v>
      </c>
      <c r="E183" s="50" t="s">
        <v>595</v>
      </c>
    </row>
    <row r="184">
      <c r="A184" s="50" t="s">
        <v>343</v>
      </c>
      <c r="B184" s="79">
        <v>44509.0</v>
      </c>
      <c r="C184" s="80">
        <v>0.3958333333333333</v>
      </c>
      <c r="D184" s="50" t="s">
        <v>398</v>
      </c>
      <c r="E184" s="50" t="s">
        <v>595</v>
      </c>
    </row>
    <row r="185">
      <c r="A185" s="50" t="s">
        <v>349</v>
      </c>
      <c r="B185" s="81">
        <v>44544.0</v>
      </c>
      <c r="C185" s="80">
        <v>0.2916666666666667</v>
      </c>
      <c r="D185" s="50" t="s">
        <v>401</v>
      </c>
      <c r="E185" s="50" t="s">
        <v>604</v>
      </c>
    </row>
    <row r="186">
      <c r="A186" s="82" t="s">
        <v>349</v>
      </c>
      <c r="B186" s="83">
        <v>44544.0</v>
      </c>
      <c r="C186" s="84">
        <v>0.3333333333333333</v>
      </c>
      <c r="D186" s="82" t="s">
        <v>403</v>
      </c>
      <c r="E186" s="82" t="s">
        <v>595</v>
      </c>
    </row>
    <row r="187">
      <c r="A187" s="50" t="s">
        <v>349</v>
      </c>
      <c r="B187" s="81">
        <v>44544.0</v>
      </c>
      <c r="C187" s="80">
        <v>0.375</v>
      </c>
      <c r="D187" s="50" t="s">
        <v>404</v>
      </c>
      <c r="E187" s="50" t="s">
        <v>604</v>
      </c>
    </row>
    <row r="188">
      <c r="A188" s="50" t="s">
        <v>349</v>
      </c>
      <c r="B188" s="79">
        <v>44544.0</v>
      </c>
      <c r="C188" s="80">
        <v>0.5</v>
      </c>
      <c r="D188" s="50" t="s">
        <v>405</v>
      </c>
      <c r="E188" s="50" t="s">
        <v>595</v>
      </c>
    </row>
    <row r="189">
      <c r="A189" s="50" t="s">
        <v>349</v>
      </c>
      <c r="B189" s="79">
        <v>44553.0</v>
      </c>
      <c r="C189" s="80">
        <v>0.59375</v>
      </c>
      <c r="D189" s="50" t="s">
        <v>406</v>
      </c>
      <c r="E189" s="50" t="s">
        <v>595</v>
      </c>
    </row>
    <row r="190">
      <c r="A190" s="50" t="s">
        <v>343</v>
      </c>
      <c r="B190" s="79">
        <v>44553.0</v>
      </c>
      <c r="C190" s="80">
        <v>0.6041666666666666</v>
      </c>
      <c r="D190" s="50" t="s">
        <v>407</v>
      </c>
      <c r="E190" s="50" t="s">
        <v>595</v>
      </c>
    </row>
    <row r="191">
      <c r="A191" s="50" t="s">
        <v>339</v>
      </c>
      <c r="B191" s="79">
        <v>44553.0</v>
      </c>
      <c r="C191" s="80">
        <v>0.6145833333333334</v>
      </c>
      <c r="D191" s="50" t="s">
        <v>408</v>
      </c>
      <c r="E191" s="50" t="s">
        <v>595</v>
      </c>
    </row>
    <row r="192">
      <c r="A192" s="50" t="s">
        <v>351</v>
      </c>
      <c r="B192" s="79">
        <v>44553.0</v>
      </c>
      <c r="C192" s="80">
        <v>0.625</v>
      </c>
      <c r="D192" s="50" t="s">
        <v>146</v>
      </c>
      <c r="E192" s="50" t="s">
        <v>595</v>
      </c>
    </row>
    <row r="193">
      <c r="A193" s="50" t="s">
        <v>349</v>
      </c>
      <c r="B193" s="79">
        <v>44559.0</v>
      </c>
      <c r="C193" s="80">
        <v>0.3333333333333333</v>
      </c>
      <c r="D193" s="50" t="s">
        <v>148</v>
      </c>
      <c r="E193" s="50" t="s">
        <v>595</v>
      </c>
    </row>
    <row r="194">
      <c r="A194" s="82" t="s">
        <v>349</v>
      </c>
      <c r="B194" s="83">
        <v>44559.0</v>
      </c>
      <c r="C194" s="84">
        <v>0.375</v>
      </c>
      <c r="D194" s="82" t="s">
        <v>149</v>
      </c>
      <c r="E194" s="82" t="s">
        <v>595</v>
      </c>
    </row>
    <row r="195">
      <c r="A195" s="50" t="s">
        <v>349</v>
      </c>
      <c r="B195" s="79">
        <v>44559.0</v>
      </c>
      <c r="C195" s="80">
        <v>0.4166666666666667</v>
      </c>
      <c r="D195" s="50" t="s">
        <v>150</v>
      </c>
      <c r="E195" s="50" t="s">
        <v>595</v>
      </c>
    </row>
    <row r="196">
      <c r="A196" s="50" t="s">
        <v>349</v>
      </c>
      <c r="B196" s="79">
        <v>44559.0</v>
      </c>
      <c r="C196" s="80">
        <v>0.4583333333333333</v>
      </c>
      <c r="D196" s="50" t="s">
        <v>151</v>
      </c>
      <c r="E196" s="50" t="s">
        <v>595</v>
      </c>
    </row>
    <row r="197">
      <c r="A197" s="50" t="s">
        <v>351</v>
      </c>
      <c r="B197" s="79">
        <v>44564.0</v>
      </c>
      <c r="C197" s="80">
        <v>0.3958333333333333</v>
      </c>
      <c r="D197" s="50" t="s">
        <v>152</v>
      </c>
      <c r="E197" s="50" t="s">
        <v>595</v>
      </c>
    </row>
    <row r="198">
      <c r="A198" s="50" t="s">
        <v>351</v>
      </c>
      <c r="B198" s="79">
        <v>44564.0</v>
      </c>
      <c r="C198" s="80">
        <v>0.46875</v>
      </c>
      <c r="D198" s="50" t="s">
        <v>153</v>
      </c>
      <c r="E198" s="50" t="s">
        <v>595</v>
      </c>
    </row>
    <row r="199">
      <c r="A199" s="50" t="s">
        <v>351</v>
      </c>
      <c r="B199" s="79">
        <v>44564.0</v>
      </c>
      <c r="C199" s="80">
        <v>0.6666666666666666</v>
      </c>
      <c r="D199" s="50" t="s">
        <v>154</v>
      </c>
      <c r="E199" s="50" t="s">
        <v>595</v>
      </c>
    </row>
    <row r="200">
      <c r="A200" s="50" t="s">
        <v>349</v>
      </c>
      <c r="B200" s="79">
        <v>44648.0</v>
      </c>
      <c r="C200" s="80">
        <v>0.3125</v>
      </c>
      <c r="D200" s="50" t="s">
        <v>409</v>
      </c>
      <c r="E200" s="50" t="s">
        <v>595</v>
      </c>
    </row>
    <row r="201">
      <c r="A201" s="50" t="s">
        <v>349</v>
      </c>
      <c r="B201" s="79">
        <v>44648.0</v>
      </c>
      <c r="C201" s="80">
        <v>0.4895833333333333</v>
      </c>
      <c r="D201" s="50" t="s">
        <v>411</v>
      </c>
      <c r="E201" s="50" t="s">
        <v>595</v>
      </c>
    </row>
    <row r="202">
      <c r="A202" s="50" t="s">
        <v>349</v>
      </c>
      <c r="B202" s="79">
        <v>44648.0</v>
      </c>
      <c r="C202" s="80">
        <v>0.5590277777777778</v>
      </c>
      <c r="D202" s="50" t="s">
        <v>412</v>
      </c>
      <c r="E202" s="50" t="s">
        <v>595</v>
      </c>
    </row>
    <row r="203">
      <c r="A203" s="50" t="s">
        <v>349</v>
      </c>
      <c r="B203" s="79">
        <v>44648.0</v>
      </c>
      <c r="C203" s="80">
        <v>0.22916666666666666</v>
      </c>
      <c r="D203" s="50" t="s">
        <v>413</v>
      </c>
      <c r="E203" s="50" t="s">
        <v>595</v>
      </c>
    </row>
    <row r="204">
      <c r="A204" s="50" t="s">
        <v>347</v>
      </c>
      <c r="B204" s="79">
        <v>44493.0</v>
      </c>
      <c r="C204" s="80">
        <v>0.5694444444444444</v>
      </c>
      <c r="D204" s="50" t="s">
        <v>155</v>
      </c>
      <c r="E204" s="50" t="s">
        <v>605</v>
      </c>
    </row>
    <row r="205">
      <c r="A205" s="50" t="s">
        <v>347</v>
      </c>
      <c r="B205" s="79">
        <v>44494.0</v>
      </c>
      <c r="C205" s="80">
        <v>0.125</v>
      </c>
      <c r="D205" s="50" t="s">
        <v>157</v>
      </c>
      <c r="E205" s="50" t="s">
        <v>605</v>
      </c>
    </row>
    <row r="206">
      <c r="A206" s="50" t="s">
        <v>347</v>
      </c>
      <c r="B206" s="79">
        <v>44494.0</v>
      </c>
      <c r="C206" s="80">
        <v>0.20833333333333334</v>
      </c>
      <c r="D206" s="50" t="s">
        <v>158</v>
      </c>
      <c r="E206" s="50" t="s">
        <v>605</v>
      </c>
    </row>
    <row r="207">
      <c r="A207" s="82" t="s">
        <v>347</v>
      </c>
      <c r="B207" s="83">
        <v>44494.0</v>
      </c>
      <c r="C207" s="84">
        <v>0.25</v>
      </c>
      <c r="D207" s="82" t="s">
        <v>159</v>
      </c>
      <c r="E207" s="82" t="s">
        <v>605</v>
      </c>
    </row>
    <row r="208">
      <c r="A208" s="50" t="s">
        <v>347</v>
      </c>
      <c r="B208" s="79">
        <v>44494.0</v>
      </c>
      <c r="C208" s="80">
        <v>0.2916666666666667</v>
      </c>
      <c r="D208" s="50" t="s">
        <v>160</v>
      </c>
      <c r="E208" s="50" t="s">
        <v>605</v>
      </c>
    </row>
    <row r="209">
      <c r="A209" s="82" t="s">
        <v>347</v>
      </c>
      <c r="B209" s="83">
        <v>44494.0</v>
      </c>
      <c r="C209" s="84">
        <v>0.3333333333333333</v>
      </c>
      <c r="D209" s="82" t="s">
        <v>162</v>
      </c>
      <c r="E209" s="82" t="s">
        <v>605</v>
      </c>
    </row>
    <row r="210">
      <c r="A210" s="50" t="s">
        <v>347</v>
      </c>
      <c r="B210" s="79">
        <v>44494.0</v>
      </c>
      <c r="C210" s="80">
        <v>0.375</v>
      </c>
      <c r="D210" s="50" t="s">
        <v>164</v>
      </c>
      <c r="E210" s="50" t="s">
        <v>605</v>
      </c>
    </row>
    <row r="211">
      <c r="A211" s="82" t="s">
        <v>347</v>
      </c>
      <c r="B211" s="83">
        <v>44494.0</v>
      </c>
      <c r="C211" s="84">
        <v>0.4166666666666667</v>
      </c>
      <c r="D211" s="82" t="s">
        <v>606</v>
      </c>
      <c r="E211" s="82" t="s">
        <v>605</v>
      </c>
    </row>
    <row r="212">
      <c r="A212" s="50" t="s">
        <v>347</v>
      </c>
      <c r="B212" s="79">
        <v>44494.0</v>
      </c>
      <c r="C212" s="80">
        <v>0.4583333333333333</v>
      </c>
      <c r="D212" s="50" t="s">
        <v>482</v>
      </c>
      <c r="E212" s="50" t="s">
        <v>605</v>
      </c>
    </row>
    <row r="213">
      <c r="A213" s="82" t="s">
        <v>347</v>
      </c>
      <c r="B213" s="83">
        <v>44494.0</v>
      </c>
      <c r="C213" s="84">
        <v>0.5</v>
      </c>
      <c r="D213" s="82" t="s">
        <v>483</v>
      </c>
      <c r="E213" s="82" t="s">
        <v>605</v>
      </c>
    </row>
    <row r="214">
      <c r="A214" s="50" t="s">
        <v>347</v>
      </c>
      <c r="B214" s="79">
        <v>44494.0</v>
      </c>
      <c r="C214" s="80">
        <v>0.5416666666666666</v>
      </c>
      <c r="D214" s="50" t="s">
        <v>484</v>
      </c>
      <c r="E214" s="50" t="s">
        <v>605</v>
      </c>
    </row>
    <row r="215">
      <c r="A215" s="50" t="s">
        <v>347</v>
      </c>
      <c r="B215" s="79">
        <v>44494.0</v>
      </c>
      <c r="C215" s="80">
        <v>0.5833333333333334</v>
      </c>
      <c r="D215" s="50" t="s">
        <v>165</v>
      </c>
      <c r="E215" s="50" t="s">
        <v>605</v>
      </c>
    </row>
    <row r="216">
      <c r="A216" s="82" t="s">
        <v>343</v>
      </c>
      <c r="B216" s="83">
        <v>44494.0</v>
      </c>
      <c r="C216" s="84">
        <v>0.9166666666666666</v>
      </c>
      <c r="D216" s="82" t="s">
        <v>167</v>
      </c>
      <c r="E216" s="82" t="s">
        <v>605</v>
      </c>
    </row>
    <row r="217">
      <c r="A217" s="50" t="s">
        <v>347</v>
      </c>
      <c r="B217" s="79">
        <v>44494.0</v>
      </c>
      <c r="C217" s="80">
        <v>0.9583333333333334</v>
      </c>
      <c r="D217" s="50" t="s">
        <v>169</v>
      </c>
      <c r="E217" s="50" t="s">
        <v>605</v>
      </c>
    </row>
    <row r="218">
      <c r="A218" s="50" t="s">
        <v>351</v>
      </c>
      <c r="B218" s="79">
        <v>44494.0</v>
      </c>
      <c r="C218" s="80">
        <v>0.4166666666666667</v>
      </c>
      <c r="D218" s="50" t="s">
        <v>486</v>
      </c>
      <c r="E218" s="50" t="s">
        <v>605</v>
      </c>
    </row>
    <row r="219">
      <c r="A219" s="82" t="s">
        <v>351</v>
      </c>
      <c r="B219" s="83">
        <v>44494.0</v>
      </c>
      <c r="C219" s="84">
        <v>0.4583333333333333</v>
      </c>
      <c r="D219" s="82" t="s">
        <v>488</v>
      </c>
      <c r="E219" s="82" t="s">
        <v>605</v>
      </c>
    </row>
    <row r="220">
      <c r="A220" s="50" t="s">
        <v>351</v>
      </c>
      <c r="B220" s="79">
        <v>44494.0</v>
      </c>
      <c r="C220" s="80">
        <v>0.5</v>
      </c>
      <c r="D220" s="50" t="s">
        <v>490</v>
      </c>
      <c r="E220" s="50" t="s">
        <v>605</v>
      </c>
    </row>
    <row r="221">
      <c r="A221" s="82" t="s">
        <v>351</v>
      </c>
      <c r="B221" s="83">
        <v>44494.0</v>
      </c>
      <c r="C221" s="84">
        <v>0.5416666666666666</v>
      </c>
      <c r="D221" s="82" t="s">
        <v>491</v>
      </c>
      <c r="E221" s="82" t="s">
        <v>605</v>
      </c>
    </row>
    <row r="222">
      <c r="A222" s="50" t="s">
        <v>351</v>
      </c>
      <c r="B222" s="79">
        <v>44494.0</v>
      </c>
      <c r="C222" s="80">
        <v>0.5833333333333334</v>
      </c>
      <c r="D222" s="50" t="s">
        <v>492</v>
      </c>
      <c r="E222" s="50" t="s">
        <v>605</v>
      </c>
    </row>
    <row r="223">
      <c r="A223" s="50" t="s">
        <v>351</v>
      </c>
      <c r="B223" s="79">
        <v>44494.0</v>
      </c>
      <c r="C223" s="80">
        <v>0.75</v>
      </c>
      <c r="D223" s="50" t="s">
        <v>493</v>
      </c>
      <c r="E223" s="50" t="s">
        <v>605</v>
      </c>
    </row>
    <row r="224">
      <c r="A224" s="82" t="s">
        <v>351</v>
      </c>
      <c r="B224" s="83">
        <v>44494.0</v>
      </c>
      <c r="C224" s="84">
        <v>0.9166666666666666</v>
      </c>
      <c r="D224" s="82" t="s">
        <v>494</v>
      </c>
      <c r="E224" s="82" t="s">
        <v>605</v>
      </c>
    </row>
    <row r="225">
      <c r="A225" s="50" t="s">
        <v>351</v>
      </c>
      <c r="B225" s="79">
        <v>44494.0</v>
      </c>
      <c r="C225" s="80">
        <v>0.9583333333333334</v>
      </c>
      <c r="D225" s="50" t="s">
        <v>495</v>
      </c>
      <c r="E225" s="50" t="s">
        <v>605</v>
      </c>
    </row>
    <row r="226">
      <c r="A226" s="50" t="s">
        <v>355</v>
      </c>
      <c r="B226" s="79">
        <v>44494.0</v>
      </c>
      <c r="C226" s="80">
        <v>0.375</v>
      </c>
      <c r="D226" s="50" t="s">
        <v>170</v>
      </c>
      <c r="E226" s="50" t="s">
        <v>605</v>
      </c>
    </row>
    <row r="227">
      <c r="A227" s="82" t="s">
        <v>355</v>
      </c>
      <c r="B227" s="83">
        <v>44494.0</v>
      </c>
      <c r="C227" s="84">
        <v>0.4166666666666667</v>
      </c>
      <c r="D227" s="82" t="s">
        <v>171</v>
      </c>
      <c r="E227" s="82" t="s">
        <v>605</v>
      </c>
    </row>
    <row r="228">
      <c r="A228" s="50" t="s">
        <v>355</v>
      </c>
      <c r="B228" s="79">
        <v>44494.0</v>
      </c>
      <c r="C228" s="80">
        <v>0.4583333333333333</v>
      </c>
      <c r="D228" s="50" t="s">
        <v>172</v>
      </c>
      <c r="E228" s="50" t="s">
        <v>605</v>
      </c>
    </row>
    <row r="229">
      <c r="A229" s="82" t="s">
        <v>355</v>
      </c>
      <c r="B229" s="83">
        <v>44494.0</v>
      </c>
      <c r="C229" s="84">
        <v>0.5</v>
      </c>
      <c r="D229" s="82" t="s">
        <v>173</v>
      </c>
      <c r="E229" s="82" t="s">
        <v>605</v>
      </c>
    </row>
    <row r="230">
      <c r="A230" s="50" t="s">
        <v>355</v>
      </c>
      <c r="B230" s="79">
        <v>44494.0</v>
      </c>
      <c r="C230" s="80">
        <v>0.5416666666666666</v>
      </c>
      <c r="D230" s="50" t="s">
        <v>174</v>
      </c>
      <c r="E230" s="50" t="s">
        <v>605</v>
      </c>
    </row>
    <row r="231">
      <c r="A231" s="50" t="s">
        <v>355</v>
      </c>
      <c r="B231" s="79">
        <v>44494.0</v>
      </c>
      <c r="C231" s="80">
        <v>0.5833333333333334</v>
      </c>
      <c r="D231" s="50" t="s">
        <v>175</v>
      </c>
      <c r="E231" s="50" t="s">
        <v>605</v>
      </c>
    </row>
    <row r="232">
      <c r="A232" s="82" t="s">
        <v>355</v>
      </c>
      <c r="B232" s="83">
        <v>44494.0</v>
      </c>
      <c r="C232" s="84">
        <v>0.9166666666666666</v>
      </c>
      <c r="D232" s="82" t="s">
        <v>607</v>
      </c>
      <c r="E232" s="82" t="s">
        <v>605</v>
      </c>
    </row>
    <row r="233">
      <c r="A233" s="50" t="s">
        <v>355</v>
      </c>
      <c r="B233" s="79">
        <v>44494.0</v>
      </c>
      <c r="C233" s="80">
        <v>0.9583333333333334</v>
      </c>
      <c r="D233" s="50" t="s">
        <v>496</v>
      </c>
      <c r="E233" s="50" t="s">
        <v>605</v>
      </c>
    </row>
    <row r="234">
      <c r="A234" s="50" t="s">
        <v>351</v>
      </c>
      <c r="B234" s="79">
        <v>44543.0</v>
      </c>
      <c r="C234" s="80">
        <v>0.3645833333333333</v>
      </c>
      <c r="D234" s="50" t="s">
        <v>497</v>
      </c>
      <c r="E234" s="50" t="s">
        <v>605</v>
      </c>
    </row>
    <row r="235">
      <c r="A235" s="50" t="s">
        <v>343</v>
      </c>
      <c r="B235" s="79">
        <v>44543.0</v>
      </c>
      <c r="C235" s="80">
        <v>0.3854166666666667</v>
      </c>
      <c r="D235" s="50" t="s">
        <v>499</v>
      </c>
      <c r="E235" s="50" t="s">
        <v>605</v>
      </c>
    </row>
    <row r="236">
      <c r="A236" s="50" t="s">
        <v>351</v>
      </c>
      <c r="B236" s="79">
        <v>44543.0</v>
      </c>
      <c r="C236" s="80">
        <v>0.5</v>
      </c>
      <c r="D236" s="50" t="s">
        <v>176</v>
      </c>
      <c r="E236" s="50" t="s">
        <v>605</v>
      </c>
    </row>
    <row r="237">
      <c r="A237" s="50" t="s">
        <v>351</v>
      </c>
      <c r="B237" s="79">
        <v>44543.0</v>
      </c>
      <c r="C237" s="80">
        <v>0.65625</v>
      </c>
      <c r="D237" s="50" t="s">
        <v>500</v>
      </c>
      <c r="E237" s="50" t="s">
        <v>605</v>
      </c>
    </row>
    <row r="238">
      <c r="A238" s="50" t="s">
        <v>351</v>
      </c>
      <c r="B238" s="79">
        <v>44543.0</v>
      </c>
      <c r="C238" s="80">
        <v>0.8125</v>
      </c>
      <c r="D238" s="50" t="s">
        <v>501</v>
      </c>
      <c r="E238" s="50" t="s">
        <v>605</v>
      </c>
    </row>
    <row r="239">
      <c r="A239" s="50" t="s">
        <v>351</v>
      </c>
      <c r="B239" s="79">
        <v>44543.0</v>
      </c>
      <c r="C239" s="80">
        <v>0.9166666666666666</v>
      </c>
      <c r="D239" s="50" t="s">
        <v>502</v>
      </c>
      <c r="E239" s="50" t="s">
        <v>605</v>
      </c>
    </row>
    <row r="240">
      <c r="A240" s="50" t="s">
        <v>351</v>
      </c>
      <c r="B240" s="79">
        <v>44543.0</v>
      </c>
      <c r="C240" s="80">
        <v>0.96875</v>
      </c>
      <c r="D240" s="50" t="s">
        <v>503</v>
      </c>
      <c r="E240" s="50" t="s">
        <v>605</v>
      </c>
    </row>
    <row r="241">
      <c r="A241" s="50" t="s">
        <v>351</v>
      </c>
      <c r="B241" s="79">
        <v>44544.0</v>
      </c>
      <c r="C241" s="80">
        <v>1.0208333333333333</v>
      </c>
      <c r="D241" s="50" t="s">
        <v>504</v>
      </c>
      <c r="E241" s="50" t="s">
        <v>605</v>
      </c>
    </row>
    <row r="242">
      <c r="A242" s="50" t="s">
        <v>351</v>
      </c>
      <c r="B242" s="79">
        <v>44544.0</v>
      </c>
      <c r="C242" s="80">
        <v>1.0729166666666667</v>
      </c>
      <c r="D242" s="50" t="s">
        <v>506</v>
      </c>
      <c r="E242" s="50" t="s">
        <v>605</v>
      </c>
    </row>
    <row r="243">
      <c r="A243" s="50" t="s">
        <v>351</v>
      </c>
      <c r="B243" s="79">
        <v>44544.0</v>
      </c>
      <c r="C243" s="80">
        <v>1.125</v>
      </c>
      <c r="D243" s="50" t="s">
        <v>508</v>
      </c>
      <c r="E243" s="50" t="s">
        <v>605</v>
      </c>
    </row>
    <row r="244">
      <c r="A244" s="50" t="s">
        <v>351</v>
      </c>
      <c r="B244" s="79">
        <v>44544.0</v>
      </c>
      <c r="C244" s="80">
        <v>1.1770833333333333</v>
      </c>
      <c r="D244" s="50" t="s">
        <v>510</v>
      </c>
      <c r="E244" s="50" t="s">
        <v>605</v>
      </c>
    </row>
    <row r="245">
      <c r="A245" s="50" t="s">
        <v>351</v>
      </c>
      <c r="B245" s="79">
        <v>44544.0</v>
      </c>
      <c r="C245" s="80">
        <v>0.28125</v>
      </c>
      <c r="D245" s="50" t="s">
        <v>512</v>
      </c>
      <c r="E245" s="50" t="s">
        <v>605</v>
      </c>
    </row>
    <row r="246">
      <c r="A246" s="50" t="s">
        <v>351</v>
      </c>
      <c r="B246" s="79">
        <v>44544.0</v>
      </c>
      <c r="C246" s="80">
        <v>0.3854166666666667</v>
      </c>
      <c r="D246" s="50" t="s">
        <v>514</v>
      </c>
      <c r="E246" s="50" t="s">
        <v>605</v>
      </c>
    </row>
    <row r="247">
      <c r="A247" s="50" t="s">
        <v>351</v>
      </c>
      <c r="B247" s="79">
        <v>44544.0</v>
      </c>
      <c r="C247" s="80">
        <v>0.4375</v>
      </c>
      <c r="D247" s="50" t="s">
        <v>516</v>
      </c>
      <c r="E247" s="50" t="s">
        <v>605</v>
      </c>
    </row>
    <row r="248">
      <c r="A248" s="50" t="s">
        <v>351</v>
      </c>
      <c r="B248" s="79">
        <v>44544.0</v>
      </c>
      <c r="C248" s="80">
        <v>0.5416666666666666</v>
      </c>
      <c r="D248" s="50" t="s">
        <v>517</v>
      </c>
      <c r="E248" s="50" t="s">
        <v>605</v>
      </c>
    </row>
    <row r="249">
      <c r="A249" s="50" t="s">
        <v>351</v>
      </c>
      <c r="B249" s="79">
        <v>44544.0</v>
      </c>
      <c r="C249" s="80">
        <v>0.6458333333333334</v>
      </c>
      <c r="D249" s="50" t="s">
        <v>518</v>
      </c>
      <c r="E249" s="50" t="s">
        <v>605</v>
      </c>
    </row>
    <row r="250">
      <c r="A250" s="50" t="s">
        <v>343</v>
      </c>
      <c r="B250" s="79">
        <v>44543.0</v>
      </c>
      <c r="C250" s="80">
        <v>0.5</v>
      </c>
      <c r="D250" s="50" t="s">
        <v>520</v>
      </c>
      <c r="E250" s="50" t="s">
        <v>605</v>
      </c>
    </row>
    <row r="251">
      <c r="A251" s="50" t="s">
        <v>343</v>
      </c>
      <c r="B251" s="79">
        <v>44543.0</v>
      </c>
      <c r="C251" s="80">
        <v>0.5520833333333334</v>
      </c>
      <c r="D251" s="50" t="s">
        <v>521</v>
      </c>
      <c r="E251" s="50" t="s">
        <v>605</v>
      </c>
    </row>
    <row r="252">
      <c r="A252" s="50" t="s">
        <v>343</v>
      </c>
      <c r="B252" s="79">
        <v>44543.0</v>
      </c>
      <c r="C252" s="80">
        <v>0.65625</v>
      </c>
      <c r="D252" s="50" t="s">
        <v>522</v>
      </c>
      <c r="E252" s="50" t="s">
        <v>605</v>
      </c>
    </row>
    <row r="253">
      <c r="A253" s="50" t="s">
        <v>343</v>
      </c>
      <c r="B253" s="79">
        <v>44543.0</v>
      </c>
      <c r="C253" s="80">
        <v>0.7083333333333334</v>
      </c>
      <c r="D253" s="50" t="s">
        <v>523</v>
      </c>
      <c r="E253" s="50" t="s">
        <v>605</v>
      </c>
    </row>
    <row r="254">
      <c r="A254" s="50" t="s">
        <v>343</v>
      </c>
      <c r="B254" s="79">
        <v>44543.0</v>
      </c>
      <c r="C254" s="80">
        <v>0.8125</v>
      </c>
      <c r="D254" s="50" t="s">
        <v>524</v>
      </c>
      <c r="E254" s="50" t="s">
        <v>605</v>
      </c>
    </row>
    <row r="255">
      <c r="A255" s="82" t="s">
        <v>343</v>
      </c>
      <c r="B255" s="83">
        <v>44543.0</v>
      </c>
      <c r="C255" s="84">
        <v>0.8645833333333334</v>
      </c>
      <c r="D255" s="82" t="s">
        <v>526</v>
      </c>
      <c r="E255" s="82" t="s">
        <v>605</v>
      </c>
    </row>
    <row r="256">
      <c r="A256" s="50" t="s">
        <v>343</v>
      </c>
      <c r="B256" s="79">
        <v>44543.0</v>
      </c>
      <c r="C256" s="80">
        <v>0.96875</v>
      </c>
      <c r="D256" s="50" t="s">
        <v>527</v>
      </c>
      <c r="E256" s="50" t="s">
        <v>605</v>
      </c>
    </row>
    <row r="257">
      <c r="A257" s="50" t="s">
        <v>343</v>
      </c>
      <c r="B257" s="79">
        <v>44544.0</v>
      </c>
      <c r="C257" s="80">
        <v>0.125</v>
      </c>
      <c r="D257" s="50" t="s">
        <v>529</v>
      </c>
      <c r="E257" s="50" t="s">
        <v>605</v>
      </c>
    </row>
    <row r="258">
      <c r="A258" s="50" t="s">
        <v>343</v>
      </c>
      <c r="B258" s="79">
        <v>44544.0</v>
      </c>
      <c r="C258" s="80">
        <v>0.22916666666666666</v>
      </c>
      <c r="D258" s="50" t="s">
        <v>531</v>
      </c>
      <c r="E258" s="50" t="s">
        <v>605</v>
      </c>
    </row>
    <row r="259">
      <c r="A259" s="50" t="s">
        <v>343</v>
      </c>
      <c r="B259" s="79">
        <v>44544.0</v>
      </c>
      <c r="C259" s="80">
        <v>0.28125</v>
      </c>
      <c r="D259" s="50" t="s">
        <v>532</v>
      </c>
      <c r="E259" s="50" t="s">
        <v>605</v>
      </c>
    </row>
    <row r="260">
      <c r="A260" s="50" t="s">
        <v>343</v>
      </c>
      <c r="B260" s="79">
        <v>44544.0</v>
      </c>
      <c r="C260" s="80">
        <v>0.3854166666666667</v>
      </c>
      <c r="D260" s="50" t="s">
        <v>177</v>
      </c>
      <c r="E260" s="50" t="s">
        <v>605</v>
      </c>
    </row>
    <row r="261">
      <c r="A261" s="50" t="s">
        <v>343</v>
      </c>
      <c r="B261" s="79">
        <v>44544.0</v>
      </c>
      <c r="C261" s="80">
        <v>0.4895833333333333</v>
      </c>
      <c r="D261" s="50" t="s">
        <v>533</v>
      </c>
      <c r="E261" s="50" t="s">
        <v>605</v>
      </c>
    </row>
    <row r="262">
      <c r="A262" s="50" t="s">
        <v>343</v>
      </c>
      <c r="B262" s="79">
        <v>44544.0</v>
      </c>
      <c r="C262" s="80">
        <v>0.6458333333333334</v>
      </c>
      <c r="D262" s="50" t="s">
        <v>534</v>
      </c>
      <c r="E262" s="50" t="s">
        <v>605</v>
      </c>
    </row>
    <row r="263">
      <c r="A263" s="50" t="s">
        <v>355</v>
      </c>
      <c r="B263" s="79">
        <v>44543.0</v>
      </c>
      <c r="C263" s="80">
        <v>0.8125</v>
      </c>
      <c r="D263" s="50" t="s">
        <v>535</v>
      </c>
      <c r="E263" s="50" t="s">
        <v>605</v>
      </c>
    </row>
    <row r="264">
      <c r="A264" s="82" t="s">
        <v>355</v>
      </c>
      <c r="B264" s="83">
        <v>44543.0</v>
      </c>
      <c r="C264" s="84">
        <v>0.8645833333333334</v>
      </c>
      <c r="D264" s="82" t="s">
        <v>608</v>
      </c>
      <c r="E264" s="82" t="s">
        <v>605</v>
      </c>
    </row>
    <row r="265">
      <c r="A265" s="50" t="s">
        <v>355</v>
      </c>
      <c r="B265" s="79">
        <v>44543.0</v>
      </c>
      <c r="C265" s="80">
        <v>0.9166666666666666</v>
      </c>
      <c r="D265" s="50" t="s">
        <v>536</v>
      </c>
      <c r="E265" s="50" t="s">
        <v>605</v>
      </c>
    </row>
    <row r="266">
      <c r="A266" s="82" t="s">
        <v>355</v>
      </c>
      <c r="B266" s="83">
        <v>44544.0</v>
      </c>
      <c r="C266" s="84">
        <v>0.020833333333333332</v>
      </c>
      <c r="D266" s="82" t="s">
        <v>609</v>
      </c>
      <c r="E266" s="82" t="s">
        <v>605</v>
      </c>
    </row>
    <row r="267">
      <c r="A267" s="50" t="s">
        <v>355</v>
      </c>
      <c r="B267" s="79">
        <v>44544.0</v>
      </c>
      <c r="C267" s="80">
        <v>0.07291666666666667</v>
      </c>
      <c r="D267" s="50" t="s">
        <v>537</v>
      </c>
      <c r="E267" s="50" t="s">
        <v>605</v>
      </c>
    </row>
    <row r="268">
      <c r="A268" s="50" t="s">
        <v>355</v>
      </c>
      <c r="B268" s="79">
        <v>44544.0</v>
      </c>
      <c r="C268" s="80">
        <v>0.125</v>
      </c>
      <c r="D268" s="50" t="s">
        <v>538</v>
      </c>
      <c r="E268" s="50" t="s">
        <v>605</v>
      </c>
    </row>
    <row r="269">
      <c r="A269" s="50" t="s">
        <v>355</v>
      </c>
      <c r="B269" s="79">
        <v>44544.0</v>
      </c>
      <c r="C269" s="80">
        <v>0.22916666666666666</v>
      </c>
      <c r="D269" s="50" t="s">
        <v>539</v>
      </c>
      <c r="E269" s="50" t="s">
        <v>605</v>
      </c>
    </row>
    <row r="270">
      <c r="A270" s="50" t="s">
        <v>355</v>
      </c>
      <c r="B270" s="79">
        <v>44544.0</v>
      </c>
      <c r="C270" s="80">
        <v>0.28125</v>
      </c>
      <c r="D270" s="50" t="s">
        <v>540</v>
      </c>
      <c r="E270" s="50" t="s">
        <v>605</v>
      </c>
    </row>
    <row r="271">
      <c r="A271" s="50" t="s">
        <v>355</v>
      </c>
      <c r="B271" s="79">
        <v>44544.0</v>
      </c>
      <c r="C271" s="80">
        <v>0.3854166666666667</v>
      </c>
      <c r="D271" s="50" t="s">
        <v>541</v>
      </c>
      <c r="E271" s="50" t="s">
        <v>605</v>
      </c>
    </row>
    <row r="272">
      <c r="A272" s="50" t="s">
        <v>355</v>
      </c>
      <c r="B272" s="79">
        <v>44544.0</v>
      </c>
      <c r="C272" s="80">
        <v>0.4895833333333333</v>
      </c>
      <c r="D272" s="50" t="s">
        <v>542</v>
      </c>
      <c r="E272" s="50" t="s">
        <v>605</v>
      </c>
    </row>
    <row r="273">
      <c r="A273" s="50" t="s">
        <v>355</v>
      </c>
      <c r="B273" s="79">
        <v>44544.0</v>
      </c>
      <c r="C273" s="80">
        <v>0.6458333333333334</v>
      </c>
      <c r="D273" s="50" t="s">
        <v>543</v>
      </c>
      <c r="E273" s="50" t="s">
        <v>605</v>
      </c>
    </row>
    <row r="274">
      <c r="A274" s="50" t="s">
        <v>339</v>
      </c>
      <c r="B274" s="79">
        <v>44559.0</v>
      </c>
      <c r="C274" s="80">
        <v>0.0</v>
      </c>
      <c r="D274" s="50" t="s">
        <v>178</v>
      </c>
      <c r="E274" s="50" t="s">
        <v>605</v>
      </c>
    </row>
    <row r="275">
      <c r="A275" s="50" t="s">
        <v>339</v>
      </c>
      <c r="B275" s="79">
        <v>44559.0</v>
      </c>
      <c r="C275" s="80">
        <v>0.08333333333333333</v>
      </c>
      <c r="D275" s="50" t="s">
        <v>179</v>
      </c>
      <c r="E275" s="50" t="s">
        <v>605</v>
      </c>
    </row>
    <row r="276">
      <c r="A276" s="50" t="s">
        <v>339</v>
      </c>
      <c r="B276" s="79">
        <v>44559.0</v>
      </c>
      <c r="C276" s="80">
        <v>0.16666666666666666</v>
      </c>
      <c r="D276" s="50" t="s">
        <v>180</v>
      </c>
      <c r="E276" s="50" t="s">
        <v>605</v>
      </c>
    </row>
    <row r="277">
      <c r="A277" s="82" t="s">
        <v>339</v>
      </c>
      <c r="B277" s="83">
        <v>44559.0</v>
      </c>
      <c r="C277" s="84">
        <v>0.20833333333333334</v>
      </c>
      <c r="D277" s="82" t="s">
        <v>181</v>
      </c>
      <c r="E277" s="82" t="s">
        <v>605</v>
      </c>
    </row>
    <row r="278">
      <c r="A278" s="50" t="s">
        <v>339</v>
      </c>
      <c r="B278" s="79">
        <v>44559.0</v>
      </c>
      <c r="C278" s="80">
        <v>0.2916666666666667</v>
      </c>
      <c r="D278" s="50" t="s">
        <v>182</v>
      </c>
      <c r="E278" s="50" t="s">
        <v>605</v>
      </c>
    </row>
    <row r="279">
      <c r="A279" s="82" t="s">
        <v>339</v>
      </c>
      <c r="B279" s="83">
        <v>44559.0</v>
      </c>
      <c r="C279" s="84">
        <v>0.375</v>
      </c>
      <c r="D279" s="82" t="s">
        <v>183</v>
      </c>
      <c r="E279" s="82" t="s">
        <v>605</v>
      </c>
    </row>
    <row r="280">
      <c r="A280" s="50" t="s">
        <v>339</v>
      </c>
      <c r="B280" s="79">
        <v>44559.0</v>
      </c>
      <c r="C280" s="80">
        <v>0.4166666666666667</v>
      </c>
      <c r="D280" s="50" t="s">
        <v>184</v>
      </c>
      <c r="E280" s="50" t="s">
        <v>605</v>
      </c>
    </row>
    <row r="281">
      <c r="A281" s="50" t="s">
        <v>339</v>
      </c>
      <c r="B281" s="79">
        <v>44559.0</v>
      </c>
      <c r="C281" s="80">
        <v>0.4791666666666667</v>
      </c>
      <c r="D281" s="50" t="s">
        <v>185</v>
      </c>
      <c r="E281" s="50" t="s">
        <v>605</v>
      </c>
    </row>
    <row r="282">
      <c r="A282" s="50" t="s">
        <v>351</v>
      </c>
      <c r="B282" s="79">
        <v>44559.0</v>
      </c>
      <c r="C282" s="80">
        <v>0.1875</v>
      </c>
      <c r="D282" s="50" t="s">
        <v>545</v>
      </c>
      <c r="E282" s="50" t="s">
        <v>605</v>
      </c>
    </row>
    <row r="283">
      <c r="A283" s="50" t="s">
        <v>351</v>
      </c>
      <c r="B283" s="79">
        <v>44559.0</v>
      </c>
      <c r="C283" s="80">
        <v>0.20833333333333334</v>
      </c>
      <c r="D283" s="50" t="s">
        <v>548</v>
      </c>
      <c r="E283" s="50" t="s">
        <v>605</v>
      </c>
    </row>
    <row r="284">
      <c r="A284" s="50" t="s">
        <v>351</v>
      </c>
      <c r="B284" s="79">
        <v>44559.0</v>
      </c>
      <c r="C284" s="80">
        <v>0.2708333333333333</v>
      </c>
      <c r="D284" s="50" t="s">
        <v>186</v>
      </c>
      <c r="E284" s="50" t="s">
        <v>605</v>
      </c>
    </row>
    <row r="285">
      <c r="A285" s="50" t="s">
        <v>351</v>
      </c>
      <c r="B285" s="79">
        <v>44559.0</v>
      </c>
      <c r="C285" s="80">
        <v>0.3333333333333333</v>
      </c>
      <c r="D285" s="50" t="s">
        <v>549</v>
      </c>
      <c r="E285" s="50" t="s">
        <v>605</v>
      </c>
    </row>
    <row r="286">
      <c r="A286" s="50" t="s">
        <v>351</v>
      </c>
      <c r="B286" s="79">
        <v>44559.0</v>
      </c>
      <c r="C286" s="80">
        <v>0.3958333333333333</v>
      </c>
      <c r="D286" s="50" t="s">
        <v>551</v>
      </c>
      <c r="E286" s="50" t="s">
        <v>605</v>
      </c>
    </row>
    <row r="287">
      <c r="A287" s="82" t="s">
        <v>351</v>
      </c>
      <c r="B287" s="83">
        <v>44559.0</v>
      </c>
      <c r="C287" s="84">
        <v>0.4375</v>
      </c>
      <c r="D287" s="82" t="s">
        <v>553</v>
      </c>
      <c r="E287" s="82" t="s">
        <v>605</v>
      </c>
    </row>
    <row r="288">
      <c r="A288" s="50" t="s">
        <v>351</v>
      </c>
      <c r="B288" s="79">
        <v>44648.0</v>
      </c>
      <c r="C288" s="80">
        <v>0.6666666666666666</v>
      </c>
      <c r="D288" s="50" t="s">
        <v>555</v>
      </c>
      <c r="E288" s="50" t="s">
        <v>605</v>
      </c>
    </row>
    <row r="289">
      <c r="A289" s="50" t="s">
        <v>351</v>
      </c>
      <c r="B289" s="79">
        <v>44648.0</v>
      </c>
      <c r="C289" s="80">
        <v>0.8333333333333334</v>
      </c>
      <c r="D289" s="50" t="s">
        <v>556</v>
      </c>
      <c r="E289" s="50" t="s">
        <v>605</v>
      </c>
    </row>
    <row r="290">
      <c r="A290" s="50" t="s">
        <v>351</v>
      </c>
      <c r="B290" s="79">
        <v>44648.0</v>
      </c>
      <c r="C290" s="80">
        <v>0.9583333333333334</v>
      </c>
      <c r="D290" s="50" t="s">
        <v>557</v>
      </c>
      <c r="E290" s="50" t="s">
        <v>605</v>
      </c>
    </row>
    <row r="291">
      <c r="A291" s="82" t="s">
        <v>351</v>
      </c>
      <c r="B291" s="83">
        <v>44648.0</v>
      </c>
      <c r="C291" s="84">
        <v>0.4583333333333333</v>
      </c>
      <c r="D291" s="82" t="s">
        <v>610</v>
      </c>
      <c r="E291" s="82" t="s">
        <v>605</v>
      </c>
    </row>
    <row r="292">
      <c r="A292" s="50" t="s">
        <v>351</v>
      </c>
      <c r="B292" s="79">
        <v>44648.0</v>
      </c>
      <c r="C292" s="80">
        <v>0.5</v>
      </c>
      <c r="D292" s="50" t="s">
        <v>558</v>
      </c>
      <c r="E292" s="50" t="s">
        <v>605</v>
      </c>
    </row>
    <row r="293">
      <c r="A293" s="50" t="s">
        <v>339</v>
      </c>
      <c r="B293" s="79">
        <v>44648.0</v>
      </c>
      <c r="C293" s="80">
        <v>0.25</v>
      </c>
      <c r="D293" s="50" t="s">
        <v>559</v>
      </c>
      <c r="E293" s="50" t="s">
        <v>605</v>
      </c>
    </row>
    <row r="294">
      <c r="A294" s="82" t="s">
        <v>339</v>
      </c>
      <c r="B294" s="83">
        <v>44648.0</v>
      </c>
      <c r="C294" s="84">
        <v>0.2916666666666667</v>
      </c>
      <c r="D294" s="82" t="s">
        <v>560</v>
      </c>
      <c r="E294" s="82" t="s">
        <v>605</v>
      </c>
    </row>
    <row r="295">
      <c r="A295" s="50" t="s">
        <v>339</v>
      </c>
      <c r="B295" s="79">
        <v>44648.0</v>
      </c>
      <c r="C295" s="80">
        <v>0.3333333333333333</v>
      </c>
      <c r="D295" s="50" t="s">
        <v>561</v>
      </c>
      <c r="E295" s="50" t="s">
        <v>605</v>
      </c>
    </row>
    <row r="296">
      <c r="A296" s="82" t="s">
        <v>339</v>
      </c>
      <c r="B296" s="83">
        <v>44648.0</v>
      </c>
      <c r="C296" s="84">
        <v>0.375</v>
      </c>
      <c r="D296" s="82" t="s">
        <v>562</v>
      </c>
      <c r="E296" s="82" t="s">
        <v>605</v>
      </c>
    </row>
    <row r="297">
      <c r="A297" s="50" t="s">
        <v>339</v>
      </c>
      <c r="B297" s="79">
        <v>44648.0</v>
      </c>
      <c r="C297" s="80">
        <v>0.4166666666666667</v>
      </c>
      <c r="D297" s="50" t="s">
        <v>563</v>
      </c>
      <c r="E297" s="50" t="s">
        <v>605</v>
      </c>
    </row>
    <row r="298">
      <c r="A298" s="50" t="s">
        <v>339</v>
      </c>
      <c r="B298" s="79">
        <v>44648.0</v>
      </c>
      <c r="C298" s="80">
        <v>0.5416666666666666</v>
      </c>
      <c r="D298" s="50" t="s">
        <v>564</v>
      </c>
      <c r="E298" s="50" t="s">
        <v>605</v>
      </c>
    </row>
    <row r="299">
      <c r="A299" s="50" t="s">
        <v>339</v>
      </c>
      <c r="B299" s="79">
        <v>44648.0</v>
      </c>
      <c r="C299" s="80">
        <v>0.7083333333333334</v>
      </c>
      <c r="D299" s="50" t="s">
        <v>565</v>
      </c>
      <c r="E299" s="50" t="s">
        <v>605</v>
      </c>
    </row>
    <row r="300">
      <c r="A300" s="50" t="s">
        <v>339</v>
      </c>
      <c r="B300" s="79">
        <v>44648.0</v>
      </c>
      <c r="C300" s="80">
        <v>0.875</v>
      </c>
      <c r="D300" s="50" t="s">
        <v>566</v>
      </c>
      <c r="E300" s="50" t="s">
        <v>605</v>
      </c>
    </row>
    <row r="301">
      <c r="A301" s="50" t="s">
        <v>343</v>
      </c>
      <c r="B301" s="79">
        <v>44647.0</v>
      </c>
      <c r="C301" s="80">
        <v>0.9166666666666666</v>
      </c>
      <c r="D301" s="50" t="s">
        <v>567</v>
      </c>
      <c r="E301" s="50" t="s">
        <v>605</v>
      </c>
    </row>
    <row r="302">
      <c r="A302" s="50" t="s">
        <v>343</v>
      </c>
      <c r="B302" s="79">
        <v>44647.0</v>
      </c>
      <c r="C302" s="80">
        <v>0.0</v>
      </c>
      <c r="D302" s="50" t="s">
        <v>568</v>
      </c>
      <c r="E302" s="50" t="s">
        <v>605</v>
      </c>
    </row>
    <row r="303">
      <c r="A303" s="50" t="s">
        <v>343</v>
      </c>
      <c r="B303" s="79">
        <v>44648.0</v>
      </c>
      <c r="C303" s="80">
        <v>0.16666666666666666</v>
      </c>
      <c r="D303" s="50" t="s">
        <v>569</v>
      </c>
      <c r="E303" s="50" t="s">
        <v>605</v>
      </c>
    </row>
    <row r="304">
      <c r="A304" s="82" t="s">
        <v>343</v>
      </c>
      <c r="B304" s="83">
        <v>44648.0</v>
      </c>
      <c r="C304" s="84">
        <v>0.20833333333333334</v>
      </c>
      <c r="D304" s="82" t="s">
        <v>570</v>
      </c>
      <c r="E304" s="82" t="s">
        <v>605</v>
      </c>
    </row>
    <row r="305">
      <c r="A305" s="50" t="s">
        <v>343</v>
      </c>
      <c r="B305" s="79">
        <v>44648.0</v>
      </c>
      <c r="C305" s="80">
        <v>0.25</v>
      </c>
      <c r="D305" s="50" t="s">
        <v>571</v>
      </c>
      <c r="E305" s="50" t="s">
        <v>605</v>
      </c>
    </row>
    <row r="306">
      <c r="A306" s="82" t="s">
        <v>343</v>
      </c>
      <c r="B306" s="83">
        <v>44648.0</v>
      </c>
      <c r="C306" s="84">
        <v>0.2916666666666667</v>
      </c>
      <c r="D306" s="82" t="s">
        <v>572</v>
      </c>
      <c r="E306" s="82" t="s">
        <v>605</v>
      </c>
    </row>
    <row r="307">
      <c r="A307" s="50" t="s">
        <v>343</v>
      </c>
      <c r="B307" s="79">
        <v>44648.0</v>
      </c>
      <c r="C307" s="80">
        <v>0.375</v>
      </c>
      <c r="D307" s="50" t="s">
        <v>573</v>
      </c>
      <c r="E307" s="50" t="s">
        <v>605</v>
      </c>
    </row>
    <row r="308">
      <c r="A308" s="82" t="s">
        <v>343</v>
      </c>
      <c r="B308" s="83">
        <v>44648.0</v>
      </c>
      <c r="C308" s="84">
        <v>0.4166666666666667</v>
      </c>
      <c r="D308" s="82" t="s">
        <v>574</v>
      </c>
      <c r="E308" s="82" t="s">
        <v>605</v>
      </c>
    </row>
    <row r="309">
      <c r="A309" s="50" t="s">
        <v>343</v>
      </c>
      <c r="B309" s="79">
        <v>44648.0</v>
      </c>
      <c r="C309" s="80">
        <v>0.5</v>
      </c>
      <c r="D309" s="50" t="s">
        <v>575</v>
      </c>
      <c r="E309" s="50" t="s">
        <v>605</v>
      </c>
    </row>
    <row r="310">
      <c r="A310" s="50" t="s">
        <v>343</v>
      </c>
      <c r="B310" s="79">
        <v>44648.0</v>
      </c>
      <c r="C310" s="80">
        <v>0.7083333333333334</v>
      </c>
      <c r="D310" s="50" t="s">
        <v>576</v>
      </c>
      <c r="E310" s="50" t="s">
        <v>605</v>
      </c>
    </row>
    <row r="311">
      <c r="A311" s="50" t="s">
        <v>343</v>
      </c>
      <c r="B311" s="79">
        <v>44648.0</v>
      </c>
      <c r="C311" s="80">
        <v>0.875</v>
      </c>
      <c r="D311" s="50" t="s">
        <v>187</v>
      </c>
      <c r="E311" s="50" t="s">
        <v>605</v>
      </c>
    </row>
    <row r="312">
      <c r="A312" s="50" t="s">
        <v>349</v>
      </c>
      <c r="B312" s="79">
        <v>44494.0</v>
      </c>
      <c r="C312" s="80">
        <v>0.375</v>
      </c>
      <c r="D312" s="50" t="s">
        <v>393</v>
      </c>
      <c r="E312" s="50" t="s">
        <v>604</v>
      </c>
    </row>
    <row r="313">
      <c r="A313" s="50" t="s">
        <v>349</v>
      </c>
      <c r="B313" s="79">
        <v>44494.0</v>
      </c>
      <c r="C313" s="80">
        <v>0.4791666666666667</v>
      </c>
      <c r="D313" s="50" t="s">
        <v>396</v>
      </c>
      <c r="E313" s="50" t="s">
        <v>604</v>
      </c>
    </row>
    <row r="314">
      <c r="A314" s="50" t="s">
        <v>349</v>
      </c>
      <c r="B314" s="81">
        <v>44544.0</v>
      </c>
      <c r="C314" s="80">
        <v>0.2916666666666667</v>
      </c>
      <c r="D314" s="50" t="s">
        <v>401</v>
      </c>
      <c r="E314" s="50" t="s">
        <v>604</v>
      </c>
    </row>
    <row r="315">
      <c r="A315" s="50" t="s">
        <v>349</v>
      </c>
      <c r="B315" s="81">
        <v>44544.0</v>
      </c>
      <c r="C315" s="80">
        <v>0.375</v>
      </c>
      <c r="D315" s="50" t="s">
        <v>404</v>
      </c>
      <c r="E315" s="50" t="s">
        <v>604</v>
      </c>
    </row>
    <row r="316">
      <c r="A316" s="50" t="s">
        <v>349</v>
      </c>
      <c r="B316" s="79">
        <v>44544.0</v>
      </c>
      <c r="C316" s="80">
        <v>0.5</v>
      </c>
      <c r="D316" s="50" t="s">
        <v>405</v>
      </c>
      <c r="E316" s="50" t="s">
        <v>595</v>
      </c>
    </row>
    <row r="317">
      <c r="A317" s="50" t="s">
        <v>349</v>
      </c>
      <c r="B317" s="79">
        <v>44553.0</v>
      </c>
      <c r="C317" s="80">
        <v>0.59375</v>
      </c>
      <c r="D317" s="50" t="s">
        <v>406</v>
      </c>
      <c r="E317" s="50" t="s">
        <v>595</v>
      </c>
    </row>
    <row r="318">
      <c r="A318" s="50" t="s">
        <v>349</v>
      </c>
      <c r="B318" s="79">
        <v>44559.0</v>
      </c>
      <c r="C318" s="80">
        <v>0.3333333333333333</v>
      </c>
      <c r="D318" s="50" t="s">
        <v>148</v>
      </c>
      <c r="E318" s="50" t="s">
        <v>595</v>
      </c>
    </row>
    <row r="319">
      <c r="A319" s="50" t="s">
        <v>349</v>
      </c>
      <c r="B319" s="79">
        <v>44559.0</v>
      </c>
      <c r="C319" s="80">
        <v>0.4166666666666667</v>
      </c>
      <c r="D319" s="50" t="s">
        <v>150</v>
      </c>
      <c r="E319" s="50" t="s">
        <v>595</v>
      </c>
    </row>
    <row r="320">
      <c r="A320" s="50" t="s">
        <v>349</v>
      </c>
      <c r="B320" s="79">
        <v>44648.0</v>
      </c>
      <c r="C320" s="80">
        <v>0.3125</v>
      </c>
      <c r="D320" s="50" t="s">
        <v>409</v>
      </c>
      <c r="E320" s="50" t="s">
        <v>595</v>
      </c>
    </row>
    <row r="321">
      <c r="A321" s="50" t="s">
        <v>349</v>
      </c>
      <c r="B321" s="79">
        <v>44648.0</v>
      </c>
      <c r="C321" s="80">
        <v>0.4895833333333333</v>
      </c>
      <c r="D321" s="50" t="s">
        <v>411</v>
      </c>
      <c r="E321" s="50" t="s">
        <v>595</v>
      </c>
    </row>
    <row r="322">
      <c r="A322" s="50" t="s">
        <v>349</v>
      </c>
      <c r="B322" s="79">
        <v>44648.0</v>
      </c>
      <c r="C322" s="80">
        <v>0.5590277777777778</v>
      </c>
      <c r="D322" s="50" t="s">
        <v>412</v>
      </c>
      <c r="E322" s="50" t="s">
        <v>595</v>
      </c>
    </row>
    <row r="323">
      <c r="A323" s="50" t="s">
        <v>349</v>
      </c>
      <c r="B323" s="79">
        <v>44648.0</v>
      </c>
      <c r="C323" s="80">
        <v>0.22916666666666666</v>
      </c>
      <c r="D323" s="50" t="s">
        <v>413</v>
      </c>
      <c r="E323" s="50" t="s">
        <v>595</v>
      </c>
    </row>
    <row r="324">
      <c r="A324" s="85" t="s">
        <v>339</v>
      </c>
      <c r="B324" s="86">
        <v>44192.0</v>
      </c>
      <c r="C324" s="87">
        <v>0.9375</v>
      </c>
      <c r="D324" s="88" t="s">
        <v>338</v>
      </c>
      <c r="E324" s="50" t="s">
        <v>595</v>
      </c>
    </row>
    <row r="325">
      <c r="A325" s="89" t="s">
        <v>343</v>
      </c>
      <c r="B325" s="90">
        <v>44192.0</v>
      </c>
      <c r="C325" s="91">
        <v>0.9583333333333334</v>
      </c>
      <c r="D325" s="12" t="s">
        <v>342</v>
      </c>
      <c r="E325" s="50" t="s">
        <v>595</v>
      </c>
    </row>
    <row r="326">
      <c r="A326" s="89" t="s">
        <v>345</v>
      </c>
      <c r="B326" s="90">
        <v>44192.0</v>
      </c>
      <c r="C326" s="91">
        <v>0.9791666666666666</v>
      </c>
      <c r="D326" s="12" t="s">
        <v>344</v>
      </c>
      <c r="E326" s="50" t="s">
        <v>595</v>
      </c>
    </row>
    <row r="327">
      <c r="A327" s="89" t="s">
        <v>347</v>
      </c>
      <c r="B327" s="90">
        <v>44193.0</v>
      </c>
      <c r="C327" s="91">
        <v>0.3333333333333333</v>
      </c>
      <c r="D327" s="12" t="s">
        <v>346</v>
      </c>
      <c r="E327" s="50" t="s">
        <v>595</v>
      </c>
    </row>
    <row r="328">
      <c r="A328" s="89" t="s">
        <v>349</v>
      </c>
      <c r="B328" s="90">
        <v>44193.0</v>
      </c>
      <c r="C328" s="91">
        <v>0.34375</v>
      </c>
      <c r="D328" s="12" t="s">
        <v>348</v>
      </c>
      <c r="E328" s="50" t="s">
        <v>595</v>
      </c>
    </row>
    <row r="329">
      <c r="A329" s="37" t="s">
        <v>351</v>
      </c>
      <c r="B329" s="90">
        <v>44193.0</v>
      </c>
      <c r="C329" s="91">
        <v>0.3645833333333333</v>
      </c>
      <c r="D329" s="12" t="s">
        <v>350</v>
      </c>
      <c r="E329" s="50" t="s">
        <v>595</v>
      </c>
    </row>
    <row r="330">
      <c r="A330" s="89" t="s">
        <v>349</v>
      </c>
      <c r="B330" s="90">
        <v>44193.0</v>
      </c>
      <c r="C330" s="91">
        <v>0.6666666666666666</v>
      </c>
      <c r="D330" s="12" t="s">
        <v>352</v>
      </c>
      <c r="E330" s="50" t="s">
        <v>595</v>
      </c>
    </row>
    <row r="331">
      <c r="A331" s="89" t="s">
        <v>351</v>
      </c>
      <c r="B331" s="90">
        <v>44193.0</v>
      </c>
      <c r="C331" s="91">
        <v>0.6875</v>
      </c>
      <c r="D331" s="12" t="s">
        <v>353</v>
      </c>
      <c r="E331" s="50" t="s">
        <v>595</v>
      </c>
    </row>
    <row r="332">
      <c r="A332" s="89" t="s">
        <v>355</v>
      </c>
      <c r="B332" s="90">
        <v>44193.0</v>
      </c>
      <c r="C332" s="91">
        <v>0.6979166666666666</v>
      </c>
      <c r="D332" s="12" t="s">
        <v>354</v>
      </c>
      <c r="E332" s="50" t="s">
        <v>595</v>
      </c>
    </row>
    <row r="333">
      <c r="A333" s="89" t="s">
        <v>343</v>
      </c>
      <c r="B333" s="90">
        <v>44193.0</v>
      </c>
      <c r="C333" s="91">
        <v>0.7083333333333334</v>
      </c>
      <c r="D333" s="12" t="s">
        <v>356</v>
      </c>
      <c r="E333" s="50" t="s">
        <v>595</v>
      </c>
    </row>
    <row r="334">
      <c r="A334" s="37" t="s">
        <v>351</v>
      </c>
      <c r="B334" s="38">
        <v>44194.0</v>
      </c>
      <c r="C334" s="39">
        <v>0.375</v>
      </c>
      <c r="D334" s="12" t="s">
        <v>357</v>
      </c>
      <c r="E334" s="50" t="s">
        <v>595</v>
      </c>
    </row>
    <row r="335">
      <c r="A335" s="92" t="s">
        <v>343</v>
      </c>
      <c r="B335" s="93">
        <v>44221.0</v>
      </c>
      <c r="C335" s="94">
        <v>0.625</v>
      </c>
      <c r="D335" s="12" t="s">
        <v>358</v>
      </c>
      <c r="E335" s="50" t="s">
        <v>595</v>
      </c>
    </row>
    <row r="336">
      <c r="A336" s="92" t="s">
        <v>355</v>
      </c>
      <c r="B336" s="93">
        <v>44221.0</v>
      </c>
      <c r="C336" s="94">
        <v>0.6354166666666666</v>
      </c>
      <c r="D336" s="12" t="s">
        <v>360</v>
      </c>
      <c r="E336" s="50" t="s">
        <v>595</v>
      </c>
    </row>
    <row r="337">
      <c r="A337" s="92" t="s">
        <v>349</v>
      </c>
      <c r="B337" s="93">
        <v>44223.0</v>
      </c>
      <c r="C337" s="94">
        <v>0.3541666666666667</v>
      </c>
      <c r="D337" s="11" t="s">
        <v>365</v>
      </c>
      <c r="E337" s="50" t="s">
        <v>595</v>
      </c>
    </row>
    <row r="338">
      <c r="A338" s="37" t="s">
        <v>349</v>
      </c>
      <c r="B338" s="38">
        <v>44224.0</v>
      </c>
      <c r="C338" s="39">
        <v>0.625</v>
      </c>
      <c r="D338" s="33" t="s">
        <v>371</v>
      </c>
      <c r="E338" s="50" t="s">
        <v>595</v>
      </c>
    </row>
    <row r="339">
      <c r="A339" s="92" t="s">
        <v>351</v>
      </c>
      <c r="B339" s="93">
        <v>44224.0</v>
      </c>
      <c r="C339" s="94">
        <v>0.6354166666666666</v>
      </c>
      <c r="D339" s="11" t="s">
        <v>372</v>
      </c>
      <c r="E339" s="50" t="s">
        <v>595</v>
      </c>
    </row>
    <row r="340">
      <c r="A340" s="92" t="s">
        <v>349</v>
      </c>
      <c r="B340" s="93">
        <v>44225.0</v>
      </c>
      <c r="C340" s="94">
        <v>0.3645833333333333</v>
      </c>
      <c r="D340" s="11" t="s">
        <v>373</v>
      </c>
      <c r="E340" s="50" t="s">
        <v>595</v>
      </c>
    </row>
    <row r="341">
      <c r="A341" s="7" t="s">
        <v>351</v>
      </c>
      <c r="B341" s="53">
        <v>44225.0</v>
      </c>
      <c r="C341" s="54">
        <v>0.375</v>
      </c>
      <c r="D341" s="11" t="s">
        <v>374</v>
      </c>
      <c r="E341" s="50" t="s">
        <v>595</v>
      </c>
    </row>
    <row r="342">
      <c r="A342" s="7" t="s">
        <v>378</v>
      </c>
      <c r="B342" s="53">
        <v>44224.0</v>
      </c>
      <c r="C342" s="54">
        <v>0.6666666666666666</v>
      </c>
      <c r="D342" s="12" t="s">
        <v>377</v>
      </c>
      <c r="E342" s="50" t="s">
        <v>595</v>
      </c>
    </row>
    <row r="343">
      <c r="A343" s="25" t="s">
        <v>378</v>
      </c>
      <c r="B343" s="17">
        <v>44224.0</v>
      </c>
      <c r="C343" s="41">
        <v>0.6875</v>
      </c>
      <c r="D343" s="5" t="s">
        <v>379</v>
      </c>
      <c r="E343" s="50" t="s">
        <v>595</v>
      </c>
    </row>
    <row r="344">
      <c r="A344" s="25" t="s">
        <v>378</v>
      </c>
      <c r="B344" s="17">
        <v>44224.0</v>
      </c>
      <c r="C344" s="41">
        <v>0.7083333333333334</v>
      </c>
      <c r="D344" s="5" t="s">
        <v>380</v>
      </c>
      <c r="E344" s="50" t="s">
        <v>595</v>
      </c>
    </row>
    <row r="345">
      <c r="A345" s="7" t="s">
        <v>378</v>
      </c>
      <c r="B345" s="53">
        <v>44224.0</v>
      </c>
      <c r="C345" s="54">
        <v>0.7291666666666666</v>
      </c>
      <c r="D345" s="16" t="s">
        <v>381</v>
      </c>
      <c r="E345" s="50" t="s">
        <v>595</v>
      </c>
    </row>
    <row r="346">
      <c r="A346" s="7" t="s">
        <v>378</v>
      </c>
      <c r="B346" s="53">
        <v>44224.0</v>
      </c>
      <c r="C346" s="54">
        <v>0.75</v>
      </c>
      <c r="D346" s="16" t="s">
        <v>382</v>
      </c>
      <c r="E346" s="50" t="s">
        <v>595</v>
      </c>
    </row>
    <row r="347">
      <c r="A347" s="7" t="s">
        <v>378</v>
      </c>
      <c r="B347" s="53">
        <v>44224.0</v>
      </c>
      <c r="C347" s="54">
        <v>0.7708333333333334</v>
      </c>
      <c r="D347" s="16" t="s">
        <v>383</v>
      </c>
      <c r="E347" s="50" t="s">
        <v>595</v>
      </c>
    </row>
    <row r="348">
      <c r="A348" s="25" t="s">
        <v>378</v>
      </c>
      <c r="B348" s="17">
        <v>44224.0</v>
      </c>
      <c r="C348" s="41">
        <v>0.8125</v>
      </c>
      <c r="D348" s="33" t="s">
        <v>384</v>
      </c>
      <c r="E348" s="50" t="s">
        <v>595</v>
      </c>
    </row>
    <row r="349">
      <c r="A349" s="25" t="s">
        <v>378</v>
      </c>
      <c r="B349" s="17">
        <v>44224.0</v>
      </c>
      <c r="C349" s="41">
        <v>0.8541666666666666</v>
      </c>
      <c r="D349" s="5" t="s">
        <v>385</v>
      </c>
      <c r="E349" s="50" t="s">
        <v>595</v>
      </c>
    </row>
    <row r="350">
      <c r="A350" s="7" t="s">
        <v>378</v>
      </c>
      <c r="B350" s="53">
        <v>44224.0</v>
      </c>
      <c r="C350" s="54">
        <v>0.8958333333333334</v>
      </c>
      <c r="D350" s="16" t="s">
        <v>386</v>
      </c>
      <c r="E350" s="50" t="s">
        <v>595</v>
      </c>
    </row>
    <row r="351">
      <c r="A351" s="25" t="s">
        <v>345</v>
      </c>
      <c r="B351" s="27">
        <v>44265.0</v>
      </c>
      <c r="C351" s="41">
        <v>0.0</v>
      </c>
      <c r="D351" s="6" t="s">
        <v>391</v>
      </c>
      <c r="E351" s="50" t="s">
        <v>595</v>
      </c>
    </row>
    <row r="352">
      <c r="A352" s="50" t="s">
        <v>343</v>
      </c>
      <c r="B352" s="51">
        <v>44192.0</v>
      </c>
      <c r="C352" s="52">
        <v>0.9583333333333334</v>
      </c>
      <c r="D352" s="12" t="s">
        <v>416</v>
      </c>
      <c r="E352" s="73" t="s">
        <v>605</v>
      </c>
    </row>
    <row r="353">
      <c r="A353" s="50" t="s">
        <v>343</v>
      </c>
      <c r="B353" s="51">
        <v>44193.0</v>
      </c>
      <c r="C353" s="52">
        <v>0.0</v>
      </c>
      <c r="D353" s="6" t="s">
        <v>417</v>
      </c>
      <c r="E353" s="73" t="s">
        <v>605</v>
      </c>
    </row>
    <row r="354">
      <c r="A354" s="50" t="s">
        <v>343</v>
      </c>
      <c r="B354" s="51">
        <v>44193.0</v>
      </c>
      <c r="C354" s="52">
        <v>0.041666666666666664</v>
      </c>
      <c r="D354" s="6" t="s">
        <v>418</v>
      </c>
      <c r="E354" s="73" t="s">
        <v>605</v>
      </c>
    </row>
    <row r="355">
      <c r="A355" s="50" t="s">
        <v>343</v>
      </c>
      <c r="B355" s="51">
        <v>44193.0</v>
      </c>
      <c r="C355" s="52">
        <v>0.08333333333333333</v>
      </c>
      <c r="D355" s="6" t="s">
        <v>419</v>
      </c>
      <c r="E355" s="73" t="s">
        <v>605</v>
      </c>
    </row>
    <row r="356">
      <c r="A356" s="50" t="s">
        <v>343</v>
      </c>
      <c r="B356" s="51">
        <v>44193.0</v>
      </c>
      <c r="C356" s="52">
        <v>0.125</v>
      </c>
      <c r="D356" s="6" t="s">
        <v>420</v>
      </c>
      <c r="E356" s="73" t="s">
        <v>605</v>
      </c>
    </row>
    <row r="357">
      <c r="A357" s="50" t="s">
        <v>343</v>
      </c>
      <c r="B357" s="51">
        <v>44193.0</v>
      </c>
      <c r="C357" s="52">
        <v>0.16666666666666666</v>
      </c>
      <c r="D357" s="6" t="s">
        <v>421</v>
      </c>
      <c r="E357" s="73" t="s">
        <v>605</v>
      </c>
    </row>
    <row r="358">
      <c r="A358" s="50" t="s">
        <v>343</v>
      </c>
      <c r="B358" s="51">
        <v>44193.0</v>
      </c>
      <c r="C358" s="52">
        <v>0.20833333333333334</v>
      </c>
      <c r="D358" s="12" t="s">
        <v>422</v>
      </c>
      <c r="E358" s="73" t="s">
        <v>605</v>
      </c>
    </row>
    <row r="359">
      <c r="A359" s="7" t="s">
        <v>343</v>
      </c>
      <c r="B359" s="53">
        <v>44193.0</v>
      </c>
      <c r="C359" s="54">
        <v>0.25</v>
      </c>
      <c r="D359" s="6" t="s">
        <v>423</v>
      </c>
      <c r="E359" s="73" t="s">
        <v>605</v>
      </c>
    </row>
    <row r="360">
      <c r="A360" s="7" t="s">
        <v>347</v>
      </c>
      <c r="B360" s="53">
        <v>44193.0</v>
      </c>
      <c r="C360" s="41">
        <v>0.2916666666666667</v>
      </c>
      <c r="D360" s="12" t="s">
        <v>425</v>
      </c>
      <c r="E360" s="73" t="s">
        <v>605</v>
      </c>
    </row>
    <row r="361">
      <c r="A361" s="7" t="s">
        <v>343</v>
      </c>
      <c r="B361" s="53">
        <v>44193.0</v>
      </c>
      <c r="C361" s="54">
        <v>0.3333333333333333</v>
      </c>
      <c r="D361" s="12" t="s">
        <v>426</v>
      </c>
      <c r="E361" s="73" t="s">
        <v>605</v>
      </c>
    </row>
    <row r="362">
      <c r="A362" s="7" t="s">
        <v>347</v>
      </c>
      <c r="B362" s="53">
        <v>44193.0</v>
      </c>
      <c r="C362" s="41">
        <v>0.375</v>
      </c>
      <c r="D362" s="12" t="s">
        <v>427</v>
      </c>
      <c r="E362" s="73" t="s">
        <v>605</v>
      </c>
    </row>
    <row r="363">
      <c r="A363" s="7" t="s">
        <v>343</v>
      </c>
      <c r="B363" s="53">
        <v>44193.0</v>
      </c>
      <c r="C363" s="54">
        <v>0.4166666666666667</v>
      </c>
      <c r="D363" s="12" t="s">
        <v>428</v>
      </c>
      <c r="E363" s="73" t="s">
        <v>605</v>
      </c>
    </row>
    <row r="364">
      <c r="A364" s="7" t="s">
        <v>347</v>
      </c>
      <c r="B364" s="53">
        <v>44193.0</v>
      </c>
      <c r="C364" s="41">
        <v>0.4583333333333333</v>
      </c>
      <c r="D364" s="12" t="s">
        <v>429</v>
      </c>
      <c r="E364" s="73" t="s">
        <v>605</v>
      </c>
    </row>
    <row r="365">
      <c r="A365" s="7" t="s">
        <v>343</v>
      </c>
      <c r="B365" s="53">
        <v>44193.0</v>
      </c>
      <c r="C365" s="54">
        <v>0.5</v>
      </c>
      <c r="D365" s="12" t="s">
        <v>430</v>
      </c>
      <c r="E365" s="73" t="s">
        <v>605</v>
      </c>
    </row>
    <row r="366">
      <c r="A366" s="7" t="s">
        <v>347</v>
      </c>
      <c r="B366" s="53">
        <v>44193.0</v>
      </c>
      <c r="C366" s="41">
        <v>0.5416666666666666</v>
      </c>
      <c r="D366" s="12" t="s">
        <v>431</v>
      </c>
      <c r="E366" s="73" t="s">
        <v>605</v>
      </c>
    </row>
    <row r="367">
      <c r="A367" s="7" t="s">
        <v>343</v>
      </c>
      <c r="B367" s="53">
        <v>44193.0</v>
      </c>
      <c r="C367" s="54">
        <v>0.5833333333333334</v>
      </c>
      <c r="D367" s="12" t="s">
        <v>432</v>
      </c>
      <c r="E367" s="73" t="s">
        <v>605</v>
      </c>
    </row>
    <row r="368">
      <c r="A368" s="7" t="s">
        <v>343</v>
      </c>
      <c r="B368" s="53">
        <v>44193.0</v>
      </c>
      <c r="C368" s="54">
        <v>0.625</v>
      </c>
      <c r="D368" s="12" t="s">
        <v>433</v>
      </c>
      <c r="E368" s="73" t="s">
        <v>605</v>
      </c>
    </row>
    <row r="369">
      <c r="A369" s="7" t="s">
        <v>347</v>
      </c>
      <c r="B369" s="53">
        <v>44193.0</v>
      </c>
      <c r="C369" s="54">
        <v>0.6666666666666666</v>
      </c>
      <c r="D369" s="11" t="s">
        <v>434</v>
      </c>
      <c r="E369" s="73" t="s">
        <v>605</v>
      </c>
    </row>
    <row r="370">
      <c r="A370" s="7" t="s">
        <v>343</v>
      </c>
      <c r="B370" s="53">
        <v>44193.0</v>
      </c>
      <c r="C370" s="41">
        <v>0.7083333333333334</v>
      </c>
      <c r="D370" s="12" t="s">
        <v>435</v>
      </c>
      <c r="E370" s="73" t="s">
        <v>605</v>
      </c>
    </row>
    <row r="371">
      <c r="A371" s="7" t="s">
        <v>343</v>
      </c>
      <c r="B371" s="53">
        <v>44193.0</v>
      </c>
      <c r="C371" s="41">
        <v>0.75</v>
      </c>
      <c r="D371" s="12" t="s">
        <v>436</v>
      </c>
      <c r="E371" s="73" t="s">
        <v>605</v>
      </c>
    </row>
    <row r="372">
      <c r="A372" s="7" t="s">
        <v>343</v>
      </c>
      <c r="B372" s="53">
        <v>44193.0</v>
      </c>
      <c r="C372" s="41">
        <v>0.7916666666666666</v>
      </c>
      <c r="D372" s="12" t="s">
        <v>437</v>
      </c>
      <c r="E372" s="73" t="s">
        <v>605</v>
      </c>
    </row>
    <row r="373">
      <c r="A373" s="7" t="s">
        <v>343</v>
      </c>
      <c r="B373" s="53">
        <v>44193.0</v>
      </c>
      <c r="C373" s="41">
        <v>0.8333333333333334</v>
      </c>
      <c r="D373" s="12" t="s">
        <v>438</v>
      </c>
      <c r="E373" s="73" t="s">
        <v>605</v>
      </c>
    </row>
    <row r="374">
      <c r="A374" s="25" t="s">
        <v>343</v>
      </c>
      <c r="B374" s="28">
        <v>44223.0</v>
      </c>
      <c r="C374" s="41">
        <v>0.3333333333333333</v>
      </c>
      <c r="D374" s="33" t="s">
        <v>441</v>
      </c>
      <c r="E374" s="73" t="s">
        <v>605</v>
      </c>
    </row>
    <row r="375">
      <c r="A375" s="25" t="s">
        <v>343</v>
      </c>
      <c r="B375" s="28">
        <v>44223.0</v>
      </c>
      <c r="C375" s="41">
        <v>0.4583333333333333</v>
      </c>
      <c r="D375" s="5" t="s">
        <v>442</v>
      </c>
      <c r="E375" s="73" t="s">
        <v>605</v>
      </c>
    </row>
    <row r="376">
      <c r="A376" s="5"/>
      <c r="B376" s="20"/>
      <c r="C376" s="57"/>
      <c r="D376" s="33" t="s">
        <v>443</v>
      </c>
      <c r="E376" s="73" t="s">
        <v>605</v>
      </c>
    </row>
    <row r="377">
      <c r="A377" s="5"/>
      <c r="B377" s="5"/>
      <c r="C377" s="5"/>
      <c r="D377" s="11" t="s">
        <v>444</v>
      </c>
      <c r="E377" s="73" t="s">
        <v>605</v>
      </c>
    </row>
    <row r="378">
      <c r="A378" s="25" t="s">
        <v>343</v>
      </c>
      <c r="B378" s="17">
        <v>44224.0</v>
      </c>
      <c r="C378" s="41">
        <v>0.5833333333333334</v>
      </c>
      <c r="D378" s="6" t="s">
        <v>445</v>
      </c>
      <c r="E378" s="73" t="s">
        <v>605</v>
      </c>
    </row>
    <row r="379">
      <c r="A379" s="25" t="s">
        <v>343</v>
      </c>
      <c r="B379" s="17">
        <v>44224.0</v>
      </c>
      <c r="C379" s="41">
        <v>0.6458333333333334</v>
      </c>
      <c r="D379" s="12" t="s">
        <v>446</v>
      </c>
      <c r="E379" s="73" t="s">
        <v>605</v>
      </c>
    </row>
    <row r="380">
      <c r="A380" s="25" t="s">
        <v>343</v>
      </c>
      <c r="B380" s="17">
        <v>44224.0</v>
      </c>
      <c r="C380" s="41">
        <v>0.7083333333333334</v>
      </c>
      <c r="D380" s="6" t="s">
        <v>447</v>
      </c>
      <c r="E380" s="73" t="s">
        <v>605</v>
      </c>
    </row>
    <row r="381">
      <c r="A381" s="5"/>
      <c r="B381" s="59"/>
      <c r="C381" s="57"/>
      <c r="D381" s="33" t="s">
        <v>448</v>
      </c>
      <c r="E381" s="73" t="s">
        <v>605</v>
      </c>
    </row>
    <row r="382">
      <c r="A382" s="5"/>
      <c r="B382" s="20"/>
      <c r="C382" s="57"/>
      <c r="D382" s="12" t="s">
        <v>449</v>
      </c>
      <c r="E382" s="73" t="s">
        <v>605</v>
      </c>
    </row>
    <row r="383">
      <c r="A383" s="5"/>
      <c r="B383" s="5"/>
      <c r="C383" s="5"/>
      <c r="D383" s="11" t="s">
        <v>450</v>
      </c>
      <c r="E383" s="73" t="s">
        <v>605</v>
      </c>
    </row>
    <row r="384">
      <c r="A384" s="5"/>
      <c r="B384" s="20"/>
      <c r="C384" s="57"/>
      <c r="D384" s="16" t="s">
        <v>451</v>
      </c>
      <c r="E384" s="73" t="s">
        <v>605</v>
      </c>
    </row>
    <row r="385">
      <c r="A385" s="5"/>
      <c r="B385" s="5"/>
      <c r="C385" s="5"/>
      <c r="D385" s="16" t="s">
        <v>452</v>
      </c>
      <c r="E385" s="73" t="s">
        <v>605</v>
      </c>
    </row>
    <row r="386">
      <c r="A386" s="5"/>
      <c r="B386" s="20"/>
      <c r="C386" s="57"/>
      <c r="D386" s="5" t="s">
        <v>453</v>
      </c>
      <c r="E386" s="73" t="s">
        <v>605</v>
      </c>
    </row>
    <row r="387">
      <c r="A387" s="5"/>
      <c r="B387" s="5"/>
      <c r="C387" s="5"/>
      <c r="D387" s="11" t="s">
        <v>454</v>
      </c>
      <c r="E387" s="73" t="s">
        <v>605</v>
      </c>
    </row>
    <row r="388">
      <c r="A388" s="5"/>
      <c r="B388" s="5"/>
      <c r="C388" s="5"/>
      <c r="D388" s="16" t="s">
        <v>455</v>
      </c>
      <c r="E388" s="73" t="s">
        <v>605</v>
      </c>
    </row>
    <row r="389">
      <c r="A389" s="5"/>
      <c r="B389" s="21"/>
      <c r="C389" s="57"/>
      <c r="D389" s="6" t="s">
        <v>456</v>
      </c>
      <c r="E389" s="73" t="s">
        <v>605</v>
      </c>
    </row>
    <row r="390">
      <c r="A390" s="5"/>
      <c r="B390" s="20"/>
      <c r="C390" s="57"/>
      <c r="D390" s="12" t="s">
        <v>457</v>
      </c>
      <c r="E390" s="73" t="s">
        <v>605</v>
      </c>
    </row>
    <row r="391">
      <c r="A391" s="5"/>
      <c r="B391" s="59"/>
      <c r="C391" s="57"/>
      <c r="D391" s="12" t="s">
        <v>458</v>
      </c>
      <c r="E391" s="73" t="s">
        <v>605</v>
      </c>
    </row>
    <row r="392">
      <c r="A392" s="5"/>
      <c r="B392" s="20"/>
      <c r="C392" s="57"/>
      <c r="D392" s="6" t="s">
        <v>459</v>
      </c>
      <c r="E392" s="73" t="s">
        <v>605</v>
      </c>
    </row>
    <row r="393">
      <c r="A393" s="5"/>
      <c r="B393" s="20"/>
      <c r="C393" s="57"/>
      <c r="D393" s="12" t="s">
        <v>460</v>
      </c>
      <c r="E393" s="73" t="s">
        <v>605</v>
      </c>
    </row>
    <row r="394">
      <c r="A394" s="61"/>
      <c r="B394" s="61"/>
      <c r="C394" s="61"/>
      <c r="D394" s="95" t="s">
        <v>461</v>
      </c>
      <c r="E394" s="73" t="s">
        <v>605</v>
      </c>
    </row>
    <row r="395">
      <c r="A395" s="5"/>
      <c r="B395" s="21"/>
      <c r="C395" s="57"/>
      <c r="D395" s="33" t="s">
        <v>462</v>
      </c>
      <c r="E395" s="73" t="s">
        <v>605</v>
      </c>
    </row>
    <row r="396">
      <c r="A396" s="61"/>
      <c r="B396" s="65"/>
      <c r="C396" s="66"/>
      <c r="D396" s="95" t="s">
        <v>463</v>
      </c>
      <c r="E396" s="73" t="s">
        <v>605</v>
      </c>
    </row>
    <row r="397">
      <c r="A397" s="25" t="s">
        <v>351</v>
      </c>
      <c r="B397" s="17">
        <v>44224.0</v>
      </c>
      <c r="C397" s="41">
        <v>0.6458333333333334</v>
      </c>
      <c r="D397" s="12" t="s">
        <v>464</v>
      </c>
      <c r="E397" s="73" t="s">
        <v>605</v>
      </c>
    </row>
    <row r="398">
      <c r="A398" s="25" t="s">
        <v>351</v>
      </c>
      <c r="B398" s="17">
        <v>44224.0</v>
      </c>
      <c r="C398" s="41">
        <v>0.7083333333333334</v>
      </c>
      <c r="D398" s="33" t="s">
        <v>465</v>
      </c>
      <c r="E398" s="73" t="s">
        <v>605</v>
      </c>
    </row>
    <row r="399">
      <c r="A399" s="5"/>
      <c r="B399" s="20"/>
      <c r="C399" s="57"/>
      <c r="D399" s="12" t="s">
        <v>466</v>
      </c>
      <c r="E399" s="73" t="s">
        <v>605</v>
      </c>
    </row>
    <row r="400">
      <c r="A400" s="5"/>
      <c r="B400" s="20"/>
      <c r="C400" s="57"/>
      <c r="D400" s="12" t="s">
        <v>467</v>
      </c>
      <c r="E400" s="73" t="s">
        <v>605</v>
      </c>
    </row>
    <row r="401">
      <c r="A401" s="5"/>
      <c r="B401" s="5"/>
      <c r="C401" s="5"/>
      <c r="D401" s="6" t="s">
        <v>468</v>
      </c>
      <c r="E401" s="73" t="s">
        <v>605</v>
      </c>
    </row>
    <row r="402">
      <c r="A402" s="5"/>
      <c r="B402" s="20"/>
      <c r="C402" s="57"/>
      <c r="D402" s="6" t="s">
        <v>469</v>
      </c>
      <c r="E402" s="73" t="s">
        <v>605</v>
      </c>
    </row>
    <row r="403">
      <c r="A403" s="5"/>
      <c r="B403" s="20"/>
      <c r="C403" s="57"/>
      <c r="D403" s="5" t="s">
        <v>470</v>
      </c>
      <c r="E403" s="73" t="s">
        <v>605</v>
      </c>
    </row>
    <row r="404">
      <c r="A404" s="5"/>
      <c r="B404" s="5"/>
      <c r="C404" s="5"/>
      <c r="D404" s="12" t="s">
        <v>471</v>
      </c>
      <c r="E404" s="73" t="s">
        <v>605</v>
      </c>
    </row>
    <row r="405">
      <c r="A405" s="5"/>
      <c r="B405" s="5"/>
      <c r="C405" s="5"/>
      <c r="D405" s="6" t="s">
        <v>472</v>
      </c>
      <c r="E405" s="73" t="s">
        <v>605</v>
      </c>
    </row>
    <row r="406">
      <c r="A406" s="5"/>
      <c r="B406" s="5"/>
      <c r="C406" s="5"/>
      <c r="D406" s="12" t="s">
        <v>473</v>
      </c>
      <c r="E406" s="73" t="s">
        <v>605</v>
      </c>
    </row>
    <row r="407">
      <c r="A407" s="5"/>
      <c r="B407" s="20"/>
      <c r="C407" s="57"/>
      <c r="D407" s="6" t="s">
        <v>474</v>
      </c>
      <c r="E407" s="73" t="s">
        <v>605</v>
      </c>
    </row>
    <row r="408">
      <c r="A408" s="5"/>
      <c r="B408" s="5"/>
      <c r="C408" s="5"/>
      <c r="D408" s="12" t="s">
        <v>475</v>
      </c>
      <c r="E408" s="73" t="s">
        <v>605</v>
      </c>
    </row>
    <row r="409">
      <c r="A409" s="5"/>
      <c r="B409" s="20"/>
      <c r="C409" s="57"/>
      <c r="D409" s="6" t="s">
        <v>476</v>
      </c>
      <c r="E409" s="73" t="s">
        <v>605</v>
      </c>
    </row>
    <row r="410">
      <c r="A410" s="5"/>
      <c r="B410" s="20"/>
      <c r="C410" s="57"/>
      <c r="D410" s="6" t="s">
        <v>477</v>
      </c>
      <c r="E410" s="73" t="s">
        <v>605</v>
      </c>
    </row>
    <row r="411">
      <c r="A411" s="5"/>
      <c r="B411" s="20"/>
      <c r="C411" s="57"/>
      <c r="D411" s="6" t="s">
        <v>478</v>
      </c>
      <c r="E411" s="73" t="s">
        <v>605</v>
      </c>
    </row>
    <row r="412">
      <c r="A412" s="43"/>
      <c r="B412" s="55"/>
      <c r="C412" s="56"/>
      <c r="D412" s="67" t="s">
        <v>479</v>
      </c>
      <c r="E412" s="73" t="s">
        <v>605</v>
      </c>
    </row>
    <row r="413">
      <c r="A413" s="5"/>
      <c r="B413" s="5"/>
      <c r="C413" s="5"/>
      <c r="D413" s="11" t="s">
        <v>439</v>
      </c>
      <c r="E413" s="73" t="s">
        <v>605</v>
      </c>
    </row>
    <row r="414">
      <c r="A414" s="5"/>
      <c r="B414" s="5"/>
      <c r="C414" s="5"/>
      <c r="D414" s="16" t="s">
        <v>366</v>
      </c>
      <c r="E414" s="73" t="s">
        <v>595</v>
      </c>
    </row>
    <row r="415">
      <c r="A415" s="5"/>
      <c r="B415" s="5"/>
      <c r="C415" s="5"/>
      <c r="D415" s="16" t="s">
        <v>387</v>
      </c>
      <c r="E415" s="73" t="s">
        <v>595</v>
      </c>
    </row>
    <row r="416">
      <c r="A416" s="5"/>
      <c r="B416" s="5"/>
      <c r="C416" s="5"/>
      <c r="D416" s="16" t="s">
        <v>389</v>
      </c>
      <c r="E416" s="73" t="s">
        <v>595</v>
      </c>
    </row>
    <row r="417">
      <c r="A417" s="5"/>
      <c r="B417" s="21"/>
      <c r="C417" s="57"/>
      <c r="D417" s="16" t="s">
        <v>367</v>
      </c>
      <c r="E417" s="73" t="s">
        <v>595</v>
      </c>
    </row>
    <row r="418">
      <c r="A418" s="5"/>
      <c r="B418" s="5"/>
      <c r="C418" s="5"/>
      <c r="D418" s="16" t="s">
        <v>388</v>
      </c>
      <c r="E418" s="73" t="s">
        <v>595</v>
      </c>
    </row>
    <row r="419">
      <c r="A419" s="5"/>
      <c r="B419" s="5"/>
      <c r="C419" s="5"/>
      <c r="D419" s="16" t="s">
        <v>390</v>
      </c>
      <c r="E419" s="73" t="s">
        <v>595</v>
      </c>
    </row>
    <row r="420">
      <c r="A420" s="5"/>
      <c r="B420" s="5"/>
      <c r="C420" s="5"/>
      <c r="D420" s="16" t="s">
        <v>368</v>
      </c>
      <c r="E420" s="73" t="s">
        <v>595</v>
      </c>
    </row>
    <row r="421">
      <c r="A421" s="5"/>
      <c r="B421" s="5"/>
      <c r="C421" s="5"/>
      <c r="D421" s="16" t="s">
        <v>376</v>
      </c>
      <c r="E421" s="73" t="s">
        <v>595</v>
      </c>
    </row>
    <row r="422">
      <c r="A422" s="5"/>
      <c r="B422" s="5"/>
      <c r="C422" s="5"/>
      <c r="D422" s="16" t="s">
        <v>375</v>
      </c>
      <c r="E422" s="73" t="s">
        <v>595</v>
      </c>
    </row>
    <row r="423">
      <c r="A423" s="5"/>
      <c r="B423" s="5"/>
      <c r="C423" s="5"/>
      <c r="D423" s="16" t="s">
        <v>414</v>
      </c>
      <c r="E423" s="73" t="s">
        <v>605</v>
      </c>
    </row>
    <row r="424">
      <c r="A424" s="5"/>
      <c r="B424" s="5"/>
      <c r="C424" s="5"/>
      <c r="D424" s="16" t="s">
        <v>415</v>
      </c>
      <c r="E424" s="73" t="s">
        <v>605</v>
      </c>
    </row>
    <row r="425">
      <c r="A425" s="5"/>
      <c r="B425" s="20"/>
      <c r="C425" s="57"/>
      <c r="D425" s="16" t="s">
        <v>370</v>
      </c>
      <c r="E425" s="73" t="s">
        <v>595</v>
      </c>
    </row>
    <row r="426">
      <c r="A426" s="5"/>
      <c r="B426" s="5"/>
      <c r="C426" s="5"/>
      <c r="D426" s="16" t="s">
        <v>369</v>
      </c>
      <c r="E426" s="73" t="s">
        <v>595</v>
      </c>
    </row>
    <row r="427">
      <c r="A427" s="43"/>
      <c r="B427" s="55"/>
      <c r="C427" s="56"/>
      <c r="D427" s="48" t="s">
        <v>362</v>
      </c>
      <c r="E427" s="73" t="s">
        <v>595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611</v>
      </c>
    </row>
    <row r="2">
      <c r="A2" s="73" t="s">
        <v>612</v>
      </c>
      <c r="B2" s="73" t="s">
        <v>613</v>
      </c>
    </row>
    <row r="3">
      <c r="A3" s="73" t="s">
        <v>614</v>
      </c>
      <c r="B3" s="73" t="s">
        <v>615</v>
      </c>
    </row>
    <row r="5">
      <c r="A5" s="73" t="s">
        <v>616</v>
      </c>
    </row>
    <row r="6">
      <c r="A6" s="73" t="s">
        <v>617</v>
      </c>
    </row>
    <row r="7">
      <c r="A7" s="73" t="s">
        <v>618</v>
      </c>
    </row>
    <row r="8">
      <c r="A8" s="73" t="s">
        <v>619</v>
      </c>
    </row>
    <row r="9">
      <c r="A9" s="73" t="s">
        <v>620</v>
      </c>
    </row>
    <row r="10">
      <c r="A10" s="73" t="s">
        <v>621</v>
      </c>
    </row>
    <row r="11">
      <c r="A11" s="73" t="s">
        <v>622</v>
      </c>
    </row>
    <row r="12">
      <c r="A12" s="73" t="s">
        <v>623</v>
      </c>
    </row>
    <row r="13">
      <c r="A13" s="73" t="s">
        <v>624</v>
      </c>
    </row>
    <row r="14">
      <c r="A14" s="73" t="s">
        <v>625</v>
      </c>
    </row>
    <row r="15">
      <c r="A15" s="73" t="s">
        <v>626</v>
      </c>
    </row>
    <row r="16">
      <c r="A16" s="73" t="s">
        <v>627</v>
      </c>
    </row>
    <row r="17">
      <c r="A17" s="73" t="s">
        <v>628</v>
      </c>
    </row>
    <row r="18">
      <c r="A18" s="73" t="s">
        <v>629</v>
      </c>
    </row>
    <row r="19">
      <c r="A19" s="73" t="s">
        <v>630</v>
      </c>
    </row>
    <row r="20">
      <c r="A20" s="73" t="s">
        <v>631</v>
      </c>
    </row>
    <row r="21">
      <c r="A21" s="73" t="s">
        <v>632</v>
      </c>
    </row>
  </sheetData>
  <drawing r:id="rId1"/>
</worksheet>
</file>