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43976259\Desktop\student project\"/>
    </mc:Choice>
  </mc:AlternateContent>
  <bookViews>
    <workbookView xWindow="0" yWindow="0" windowWidth="14130" windowHeight="5565" tabRatio="838" firstSheet="2" activeTab="9"/>
  </bookViews>
  <sheets>
    <sheet name="Menu Page " sheetId="1" state="hidden" r:id="rId1"/>
    <sheet name="hsbc product information " sheetId="7" state="hidden" r:id="rId2"/>
    <sheet name="Deposit Plus " sheetId="4" r:id="rId3"/>
    <sheet name="Sheet1" sheetId="11" r:id="rId4"/>
    <sheet name="equity linked deposit " sheetId="3" r:id="rId5"/>
    <sheet name="Interest Rate Range Accrual " sheetId="9" state="hidden" r:id="rId6"/>
    <sheet name="Capped&amp;Floored Floater Deposit " sheetId="10" state="hidden" r:id="rId7"/>
    <sheet name="Currency Linked III" sheetId="8" state="hidden" r:id="rId8"/>
    <sheet name="draft" sheetId="2" r:id="rId9"/>
    <sheet name="Useful Links " sheetId="6" r:id="rId10"/>
    <sheet name="Sheet2" sheetId="12" r:id="rId11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'Deposit Plus '!$E$17</definedName>
    <definedName name="solver_typ" localSheetId="2" hidden="1">3</definedName>
    <definedName name="solver_val" localSheetId="2" hidden="1">0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2" l="1"/>
  <c r="A18" i="12" s="1"/>
  <c r="B12" i="12"/>
  <c r="A19" i="12" l="1"/>
  <c r="B18" i="12"/>
  <c r="C18" i="12" s="1"/>
  <c r="D18" i="12" s="1"/>
  <c r="E18" i="12" s="1"/>
  <c r="B17" i="12"/>
  <c r="C17" i="12" s="1"/>
  <c r="D17" i="12" s="1"/>
  <c r="E17" i="12" s="1"/>
  <c r="D20" i="4"/>
  <c r="D21" i="4"/>
  <c r="D19" i="4"/>
  <c r="D17" i="4"/>
  <c r="D18" i="4"/>
  <c r="D22" i="4"/>
  <c r="D23" i="4"/>
  <c r="D24" i="4"/>
  <c r="A20" i="12" l="1"/>
  <c r="B19" i="12"/>
  <c r="C19" i="12" s="1"/>
  <c r="D19" i="12" s="1"/>
  <c r="E19" i="12" s="1"/>
  <c r="B24" i="3"/>
  <c r="C24" i="3"/>
  <c r="D24" i="3"/>
  <c r="E24" i="3"/>
  <c r="A24" i="3"/>
  <c r="B20" i="3"/>
  <c r="C20" i="3"/>
  <c r="D20" i="3" s="1"/>
  <c r="E20" i="3" s="1"/>
  <c r="A20" i="3"/>
  <c r="B18" i="3"/>
  <c r="C18" i="3"/>
  <c r="D18" i="3"/>
  <c r="E18" i="3"/>
  <c r="A18" i="3"/>
  <c r="A22" i="3"/>
  <c r="C22" i="3"/>
  <c r="D22" i="3" s="1"/>
  <c r="E22" i="3" s="1"/>
  <c r="B22" i="3"/>
  <c r="A25" i="3"/>
  <c r="A23" i="3"/>
  <c r="A21" i="3"/>
  <c r="A19" i="3"/>
  <c r="B12" i="3"/>
  <c r="B5" i="3"/>
  <c r="B6" i="3"/>
  <c r="A21" i="12" l="1"/>
  <c r="B20" i="12"/>
  <c r="C20" i="12" s="1"/>
  <c r="D20" i="12" s="1"/>
  <c r="E20" i="12" s="1"/>
  <c r="A17" i="3"/>
  <c r="B17" i="3"/>
  <c r="A24" i="4"/>
  <c r="A18" i="4"/>
  <c r="A19" i="4" s="1"/>
  <c r="A20" i="4" s="1"/>
  <c r="A21" i="4" s="1"/>
  <c r="A22" i="4" s="1"/>
  <c r="A23" i="4" s="1"/>
  <c r="A17" i="4"/>
  <c r="A22" i="12" l="1"/>
  <c r="B21" i="12"/>
  <c r="C21" i="12" s="1"/>
  <c r="D21" i="12" s="1"/>
  <c r="E21" i="12" s="1"/>
  <c r="B19" i="3"/>
  <c r="A23" i="12" l="1"/>
  <c r="B22" i="12"/>
  <c r="C22" i="12" s="1"/>
  <c r="D22" i="12" s="1"/>
  <c r="E22" i="12" s="1"/>
  <c r="B21" i="3"/>
  <c r="F15" i="10"/>
  <c r="F16" i="10"/>
  <c r="F17" i="10"/>
  <c r="F18" i="10"/>
  <c r="F19" i="10"/>
  <c r="F20" i="10"/>
  <c r="F21" i="10"/>
  <c r="F22" i="10"/>
  <c r="F23" i="10"/>
  <c r="F24" i="10"/>
  <c r="F25" i="10"/>
  <c r="F14" i="10"/>
  <c r="E14" i="10"/>
  <c r="E16" i="10"/>
  <c r="E17" i="10"/>
  <c r="E18" i="10"/>
  <c r="E19" i="10"/>
  <c r="E20" i="10"/>
  <c r="E21" i="10"/>
  <c r="E22" i="10"/>
  <c r="E23" i="10"/>
  <c r="E24" i="10"/>
  <c r="E25" i="10"/>
  <c r="E15" i="10"/>
  <c r="E19" i="9"/>
  <c r="E20" i="9"/>
  <c r="E21" i="9"/>
  <c r="D19" i="9"/>
  <c r="D20" i="9"/>
  <c r="D21" i="9"/>
  <c r="D18" i="9"/>
  <c r="E18" i="9" s="1"/>
  <c r="A20" i="9"/>
  <c r="A21" i="9" s="1"/>
  <c r="A19" i="9"/>
  <c r="C18" i="8"/>
  <c r="C19" i="8"/>
  <c r="C20" i="8"/>
  <c r="C21" i="8"/>
  <c r="C22" i="8"/>
  <c r="C23" i="8"/>
  <c r="C24" i="8"/>
  <c r="C25" i="8"/>
  <c r="A19" i="8"/>
  <c r="A20" i="8" s="1"/>
  <c r="B18" i="8"/>
  <c r="B13" i="8"/>
  <c r="A24" i="12" l="1"/>
  <c r="B24" i="12" s="1"/>
  <c r="C24" i="12" s="1"/>
  <c r="D24" i="12" s="1"/>
  <c r="E24" i="12" s="1"/>
  <c r="B23" i="12"/>
  <c r="C23" i="12" s="1"/>
  <c r="D23" i="12" s="1"/>
  <c r="E23" i="12" s="1"/>
  <c r="B23" i="3"/>
  <c r="D18" i="8"/>
  <c r="E18" i="8" s="1"/>
  <c r="A21" i="8"/>
  <c r="B20" i="8"/>
  <c r="B19" i="8"/>
  <c r="B14" i="3"/>
  <c r="C21" i="3" s="1"/>
  <c r="D21" i="3" s="1"/>
  <c r="E21" i="3" s="1"/>
  <c r="B13" i="3"/>
  <c r="B24" i="4"/>
  <c r="B12" i="4"/>
  <c r="C23" i="3" l="1"/>
  <c r="D23" i="3" s="1"/>
  <c r="E23" i="3" s="1"/>
  <c r="C17" i="3"/>
  <c r="D17" i="3" s="1"/>
  <c r="E17" i="3" s="1"/>
  <c r="C19" i="3"/>
  <c r="D19" i="3" s="1"/>
  <c r="E19" i="3" s="1"/>
  <c r="B25" i="3"/>
  <c r="C25" i="3" s="1"/>
  <c r="D25" i="3" s="1"/>
  <c r="E25" i="3" s="1"/>
  <c r="D20" i="8"/>
  <c r="E20" i="8" s="1"/>
  <c r="D19" i="8"/>
  <c r="E19" i="8" s="1"/>
  <c r="B21" i="8"/>
  <c r="A22" i="8"/>
  <c r="C24" i="4"/>
  <c r="E24" i="4" s="1"/>
  <c r="D21" i="8" l="1"/>
  <c r="E21" i="8" s="1"/>
  <c r="B22" i="8"/>
  <c r="A23" i="8"/>
  <c r="C18" i="2"/>
  <c r="B15" i="2"/>
  <c r="B11" i="2"/>
  <c r="B6" i="2"/>
  <c r="B4" i="2"/>
  <c r="C5" i="2"/>
  <c r="B10" i="2"/>
  <c r="B18" i="2"/>
  <c r="A18" i="2"/>
  <c r="B13" i="2"/>
  <c r="D22" i="8" l="1"/>
  <c r="E22" i="8" s="1"/>
  <c r="A24" i="8"/>
  <c r="B23" i="8"/>
  <c r="B17" i="4"/>
  <c r="C17" i="4" s="1"/>
  <c r="E17" i="4" s="1"/>
  <c r="B18" i="4"/>
  <c r="C18" i="4" s="1"/>
  <c r="E18" i="4" s="1"/>
  <c r="B19" i="4"/>
  <c r="C19" i="4" s="1"/>
  <c r="E19" i="4" s="1"/>
  <c r="D23" i="8" l="1"/>
  <c r="E23" i="8" s="1"/>
  <c r="A25" i="8"/>
  <c r="B25" i="8" s="1"/>
  <c r="B24" i="8"/>
  <c r="B20" i="4"/>
  <c r="C20" i="4" s="1"/>
  <c r="E20" i="4" s="1"/>
  <c r="D24" i="8" l="1"/>
  <c r="E24" i="8" s="1"/>
  <c r="D25" i="8"/>
  <c r="E25" i="8" s="1"/>
  <c r="B21" i="4"/>
  <c r="C21" i="4" s="1"/>
  <c r="E21" i="4" s="1"/>
  <c r="B23" i="4" l="1"/>
  <c r="C23" i="4" s="1"/>
  <c r="E23" i="4" s="1"/>
  <c r="B22" i="4"/>
  <c r="C22" i="4" s="1"/>
  <c r="E22" i="4" s="1"/>
</calcChain>
</file>

<file path=xl/sharedStrings.xml><?xml version="1.0" encoding="utf-8"?>
<sst xmlns="http://schemas.openxmlformats.org/spreadsheetml/2006/main" count="206" uniqueCount="124">
  <si>
    <r>
      <rPr>
        <sz val="14"/>
        <color rgb="FFFF0000"/>
        <rFont val="Calibri"/>
        <family val="2"/>
        <scheme val="minor"/>
      </rPr>
      <t>E</t>
    </r>
    <r>
      <rPr>
        <sz val="11"/>
        <color rgb="FFFF0000"/>
        <rFont val="Calibri"/>
        <family val="2"/>
        <scheme val="minor"/>
      </rPr>
      <t>quity</t>
    </r>
    <r>
      <rPr>
        <sz val="14"/>
        <color rgb="FFFF0000"/>
        <rFont val="Calibri"/>
        <family val="2"/>
        <scheme val="minor"/>
      </rPr>
      <t xml:space="preserve"> L</t>
    </r>
    <r>
      <rPr>
        <sz val="11"/>
        <color rgb="FFFF0000"/>
        <rFont val="Calibri"/>
        <family val="2"/>
        <scheme val="minor"/>
      </rPr>
      <t xml:space="preserve">inked </t>
    </r>
    <r>
      <rPr>
        <sz val="14"/>
        <color rgb="FFFF0000"/>
        <rFont val="Calibri"/>
        <family val="2"/>
        <scheme val="minor"/>
      </rPr>
      <t>D</t>
    </r>
    <r>
      <rPr>
        <sz val="11"/>
        <color rgb="FFFF0000"/>
        <rFont val="Calibri"/>
        <family val="2"/>
        <scheme val="minor"/>
      </rPr>
      <t xml:space="preserve">eposit </t>
    </r>
  </si>
  <si>
    <r>
      <rPr>
        <sz val="14"/>
        <color rgb="FFFF0000"/>
        <rFont val="Calibri"/>
        <family val="2"/>
        <scheme val="minor"/>
      </rPr>
      <t>C</t>
    </r>
    <r>
      <rPr>
        <sz val="11"/>
        <color rgb="FFFF0000"/>
        <rFont val="Calibri"/>
        <family val="2"/>
        <scheme val="minor"/>
      </rPr>
      <t xml:space="preserve">urrency </t>
    </r>
    <r>
      <rPr>
        <sz val="14"/>
        <color rgb="FFFF0000"/>
        <rFont val="Calibri"/>
        <family val="2"/>
        <scheme val="minor"/>
      </rPr>
      <t>L</t>
    </r>
    <r>
      <rPr>
        <sz val="11"/>
        <color rgb="FFFF0000"/>
        <rFont val="Calibri"/>
        <family val="2"/>
        <scheme val="minor"/>
      </rPr>
      <t xml:space="preserve">inked </t>
    </r>
    <r>
      <rPr>
        <sz val="14"/>
        <color rgb="FFFF0000"/>
        <rFont val="Calibri"/>
        <family val="2"/>
        <scheme val="minor"/>
      </rPr>
      <t>D</t>
    </r>
    <r>
      <rPr>
        <sz val="11"/>
        <color rgb="FFFF0000"/>
        <rFont val="Calibri"/>
        <family val="2"/>
        <scheme val="minor"/>
      </rPr>
      <t xml:space="preserve">eposit </t>
    </r>
  </si>
  <si>
    <t xml:space="preserve">Input </t>
  </si>
  <si>
    <t xml:space="preserve">Currency pair </t>
  </si>
  <si>
    <t xml:space="preserve">Deposit Currency </t>
  </si>
  <si>
    <t xml:space="preserve">Deposit Amount </t>
  </si>
  <si>
    <t xml:space="preserve">Alternate Currency </t>
  </si>
  <si>
    <t xml:space="preserve">Fixing Value </t>
  </si>
  <si>
    <t xml:space="preserve">Reference Value </t>
  </si>
  <si>
    <t>Trade date</t>
  </si>
  <si>
    <t>Determination Date</t>
  </si>
  <si>
    <t>Maturity date</t>
  </si>
  <si>
    <t xml:space="preserve">Deposit tenor </t>
  </si>
  <si>
    <t>coupon rate</t>
  </si>
  <si>
    <t xml:space="preserve">Principal Amount </t>
  </si>
  <si>
    <t xml:space="preserve">Number of Shares </t>
  </si>
  <si>
    <t xml:space="preserve">Linked stock </t>
  </si>
  <si>
    <t>Spot price</t>
  </si>
  <si>
    <t xml:space="preserve">Strike price </t>
  </si>
  <si>
    <t xml:space="preserve">final closing price </t>
  </si>
  <si>
    <t>Fixing Value on the Determination Date</t>
  </si>
  <si>
    <t>% Change Against Reference Value</t>
  </si>
  <si>
    <t>Total Payout on the Maturity Date</t>
  </si>
  <si>
    <t xml:space="preserve">Gain or Loss </t>
  </si>
  <si>
    <t>Gain or Loss in %</t>
  </si>
  <si>
    <t xml:space="preserve">coupon payment </t>
  </si>
  <si>
    <t>ranges from 1 week to 1 month</t>
  </si>
  <si>
    <t>USD, EUR, JPY, GBP, AUD, NZD, CAD, CNY, HKD and CHF</t>
  </si>
  <si>
    <t>The exchange rate of the Currency Pair at 2 p.m. Hong Kong time on the Determination Date</t>
  </si>
  <si>
    <t xml:space="preserve">If fixing rate is greater than reference rate , the client will get coupon and deposit amt  </t>
  </si>
  <si>
    <t>strike price</t>
  </si>
  <si>
    <t xml:space="preserve">Settlement date </t>
  </si>
  <si>
    <t>AUD/HKD</t>
  </si>
  <si>
    <t xml:space="preserve">Notes </t>
  </si>
  <si>
    <t>output</t>
  </si>
  <si>
    <t xml:space="preserve">Coupon payment </t>
  </si>
  <si>
    <t>Inputs</t>
  </si>
  <si>
    <t>potential payment when maturity</t>
  </si>
  <si>
    <t xml:space="preserve">linked to currency exchange </t>
  </si>
  <si>
    <t xml:space="preserve">strike price </t>
  </si>
  <si>
    <t>The official closing price of the MTR shares on the Determination Data as published by the Exchange</t>
  </si>
  <si>
    <t>Final Closing Price</t>
  </si>
  <si>
    <t>if final closing price is higher than strke price</t>
  </si>
  <si>
    <t>principal amount + coupon payment</t>
  </si>
  <si>
    <t>% Change Against strike price</t>
  </si>
  <si>
    <t>Linked stock information</t>
  </si>
  <si>
    <t>if final closing price is lower than strke price</t>
  </si>
  <si>
    <t xml:space="preserve">current stock price + coupon payment </t>
  </si>
  <si>
    <t>Deposit tenor (days)</t>
  </si>
  <si>
    <t xml:space="preserve">Currency Linked deposit </t>
  </si>
  <si>
    <t xml:space="preserve">Equity Linked deposit </t>
  </si>
  <si>
    <t xml:space="preserve">Draft </t>
  </si>
  <si>
    <t xml:space="preserve">Structure Product Calculator </t>
  </si>
  <si>
    <t>Useful links</t>
  </si>
  <si>
    <t>Structured product</t>
  </si>
  <si>
    <t>Hsbc</t>
  </si>
  <si>
    <t>https://www.personal.hsbc.com.hk/1/2/hk/investments/sp</t>
  </si>
  <si>
    <t>ubs</t>
  </si>
  <si>
    <t>https://www.ubs.com/hk/en/wealth_management/your_goals-our_solutions/investing/structured-products/categories.html</t>
  </si>
  <si>
    <t>BEA: Currency linked deposit</t>
  </si>
  <si>
    <t>http://www.hkbea.com/html/en/bea-wealth-management-investment-solutions-currency-linked-deposit.html</t>
  </si>
  <si>
    <t>BOC: Equity linked deposit</t>
  </si>
  <si>
    <t>http://www.bochk.com/images/upload/retail/pdf/eld_en.pdf</t>
  </si>
  <si>
    <t xml:space="preserve">Deposit Plus </t>
  </si>
  <si>
    <t xml:space="preserve">Equity Linked Investment </t>
  </si>
  <si>
    <t>Capital Protected Investment Deposit</t>
  </si>
  <si>
    <t>Currency Linked III</t>
  </si>
  <si>
    <t xml:space="preserve">Interest Rate Range Accrual </t>
  </si>
  <si>
    <t xml:space="preserve">Capped&amp;Floored Floater Deposit </t>
  </si>
  <si>
    <t>Structured Products</t>
  </si>
  <si>
    <r>
      <rPr>
        <sz val="16"/>
        <color rgb="FFFF0000"/>
        <rFont val="Calibri"/>
        <family val="2"/>
        <scheme val="minor"/>
      </rPr>
      <t xml:space="preserve"> D</t>
    </r>
    <r>
      <rPr>
        <sz val="11"/>
        <color rgb="FFFF0000"/>
        <rFont val="Calibri"/>
        <family val="2"/>
        <scheme val="minor"/>
      </rPr>
      <t xml:space="preserve">eposit </t>
    </r>
    <r>
      <rPr>
        <sz val="16"/>
        <color rgb="FFFF0000"/>
        <rFont val="Calibri"/>
        <family val="2"/>
        <scheme val="minor"/>
      </rPr>
      <t>P</t>
    </r>
    <r>
      <rPr>
        <sz val="11"/>
        <color rgb="FFFF0000"/>
        <rFont val="Calibri"/>
        <family val="2"/>
        <scheme val="minor"/>
      </rPr>
      <t xml:space="preserve">lus </t>
    </r>
  </si>
  <si>
    <r>
      <rPr>
        <sz val="14"/>
        <color rgb="FFFF0000"/>
        <rFont val="Calibri"/>
        <family val="2"/>
        <scheme val="minor"/>
      </rPr>
      <t>C</t>
    </r>
    <r>
      <rPr>
        <sz val="11"/>
        <color rgb="FFFF0000"/>
        <rFont val="Calibri"/>
        <family val="2"/>
        <scheme val="minor"/>
      </rPr>
      <t xml:space="preserve">urrency </t>
    </r>
    <r>
      <rPr>
        <sz val="14"/>
        <color rgb="FFFF0000"/>
        <rFont val="Calibri"/>
        <family val="2"/>
        <scheme val="minor"/>
      </rPr>
      <t>L</t>
    </r>
    <r>
      <rPr>
        <sz val="11"/>
        <color rgb="FFFF0000"/>
        <rFont val="Calibri"/>
        <family val="2"/>
        <scheme val="minor"/>
      </rPr>
      <t xml:space="preserve">inked </t>
    </r>
    <r>
      <rPr>
        <sz val="14"/>
        <color rgb="FFFF0000"/>
        <rFont val="Calibri"/>
        <family val="2"/>
        <scheme val="minor"/>
      </rPr>
      <t>III</t>
    </r>
  </si>
  <si>
    <t xml:space="preserve">Trigger Rate </t>
  </si>
  <si>
    <t xml:space="preserve">not principal protected </t>
  </si>
  <si>
    <t xml:space="preserve">limited potential gain </t>
  </si>
  <si>
    <t>Characteristics</t>
  </si>
  <si>
    <t xml:space="preserve">principal protected </t>
  </si>
  <si>
    <t>interest rate</t>
  </si>
  <si>
    <t xml:space="preserve">interest payment </t>
  </si>
  <si>
    <t>AUD/USD</t>
  </si>
  <si>
    <t xml:space="preserve">gain from currency appreciation </t>
  </si>
  <si>
    <t>fixing value-trigger rate</t>
  </si>
  <si>
    <t xml:space="preserve">Spot rate </t>
  </si>
  <si>
    <r>
      <rPr>
        <sz val="16"/>
        <color rgb="FFFF0000"/>
        <rFont val="Calibri"/>
        <family val="2"/>
        <scheme val="minor"/>
      </rPr>
      <t>I</t>
    </r>
    <r>
      <rPr>
        <sz val="11"/>
        <color rgb="FFFF0000"/>
        <rFont val="Calibri"/>
        <family val="2"/>
        <scheme val="minor"/>
      </rPr>
      <t>nterest</t>
    </r>
    <r>
      <rPr>
        <sz val="16"/>
        <color rgb="FFFF0000"/>
        <rFont val="Calibri"/>
        <family val="2"/>
        <scheme val="minor"/>
      </rPr>
      <t xml:space="preserve"> R</t>
    </r>
    <r>
      <rPr>
        <sz val="11"/>
        <color rgb="FFFF0000"/>
        <rFont val="Calibri"/>
        <family val="2"/>
        <scheme val="minor"/>
      </rPr>
      <t xml:space="preserve">ate </t>
    </r>
    <r>
      <rPr>
        <sz val="16"/>
        <color rgb="FFFF0000"/>
        <rFont val="Calibri"/>
        <family val="2"/>
        <scheme val="minor"/>
      </rPr>
      <t>R</t>
    </r>
    <r>
      <rPr>
        <sz val="11"/>
        <color rgb="FFFF0000"/>
        <rFont val="Calibri"/>
        <family val="2"/>
        <scheme val="minor"/>
      </rPr>
      <t xml:space="preserve">ange </t>
    </r>
    <r>
      <rPr>
        <sz val="16"/>
        <color rgb="FFFF0000"/>
        <rFont val="Calibri"/>
        <family val="2"/>
        <scheme val="minor"/>
      </rPr>
      <t>A</t>
    </r>
    <r>
      <rPr>
        <sz val="11"/>
        <color rgb="FFFF0000"/>
        <rFont val="Calibri"/>
        <family val="2"/>
        <scheme val="minor"/>
      </rPr>
      <t xml:space="preserve">ccrual </t>
    </r>
  </si>
  <si>
    <t>Interest Rate Reference Index</t>
  </si>
  <si>
    <t xml:space="preserve">Accrual Range </t>
  </si>
  <si>
    <t>0.25-0.6%</t>
  </si>
  <si>
    <t xml:space="preserve">Interest period </t>
  </si>
  <si>
    <t xml:space="preserve">number of calendar days </t>
  </si>
  <si>
    <t>number of days upon which Libor stay at or within the range</t>
  </si>
  <si>
    <t>number of days upon which Libor stay outside the range</t>
  </si>
  <si>
    <t xml:space="preserve">number of annual payments </t>
  </si>
  <si>
    <t xml:space="preserve">Interest Rate </t>
  </si>
  <si>
    <t>US Dollar 3-month LIBOR will stay within the range of 0.25 - 0.60% (inclusive) in the coming 1 year</t>
  </si>
  <si>
    <t>Deposit currency</t>
  </si>
  <si>
    <t>CNY</t>
  </si>
  <si>
    <t>Accrual in rate x (No of days 3M LIBOR stays at or within the Accrual Range) / Total number of days</t>
  </si>
  <si>
    <t>+</t>
  </si>
  <si>
    <t>Accrual out rate x (No of days 3M LIBOR stays outside the Accrual Range) / Total number of days</t>
  </si>
  <si>
    <t>Accrual in rate</t>
  </si>
  <si>
    <t>Accrual out rate</t>
  </si>
  <si>
    <t>https://www.personal.hsbc.com.hk/1/PA_esf-ca-app-content/content/hongkongpws/pdf/sid_whyconsider.pdf</t>
  </si>
  <si>
    <t xml:space="preserve">Interest payment </t>
  </si>
  <si>
    <r>
      <rPr>
        <sz val="16"/>
        <color rgb="FFFF0000"/>
        <rFont val="Calibri"/>
        <family val="2"/>
        <scheme val="minor"/>
      </rPr>
      <t>C</t>
    </r>
    <r>
      <rPr>
        <sz val="11"/>
        <color rgb="FFFF0000"/>
        <rFont val="Calibri"/>
        <family val="2"/>
        <scheme val="minor"/>
      </rPr>
      <t xml:space="preserve">apped &amp; </t>
    </r>
    <r>
      <rPr>
        <sz val="16"/>
        <color rgb="FFFF0000"/>
        <rFont val="Calibri"/>
        <family val="2"/>
        <scheme val="minor"/>
      </rPr>
      <t>F</t>
    </r>
    <r>
      <rPr>
        <sz val="11"/>
        <color rgb="FFFF0000"/>
        <rFont val="Calibri"/>
        <family val="2"/>
        <scheme val="minor"/>
      </rPr>
      <t xml:space="preserve">loored </t>
    </r>
    <r>
      <rPr>
        <sz val="16"/>
        <color rgb="FFFF0000"/>
        <rFont val="Calibri"/>
        <family val="2"/>
        <scheme val="minor"/>
      </rPr>
      <t>F</t>
    </r>
    <r>
      <rPr>
        <sz val="11"/>
        <color rgb="FFFF0000"/>
        <rFont val="Calibri"/>
        <family val="2"/>
        <scheme val="minor"/>
      </rPr>
      <t xml:space="preserve">loater </t>
    </r>
    <r>
      <rPr>
        <sz val="16"/>
        <color rgb="FFFF0000"/>
        <rFont val="Calibri"/>
        <family val="2"/>
        <scheme val="minor"/>
      </rPr>
      <t>D</t>
    </r>
    <r>
      <rPr>
        <sz val="11"/>
        <color rgb="FFFF0000"/>
        <rFont val="Calibri"/>
        <family val="2"/>
        <scheme val="minor"/>
      </rPr>
      <t xml:space="preserve">eposit </t>
    </r>
  </si>
  <si>
    <t>US Dollar 3-month LIBOR will stay within the range of 0.85% p.a.- 1.50% p.a. in the coming 3 years</t>
  </si>
  <si>
    <t>USD Dollar 3-month LIBOR (3M LIBOR)</t>
  </si>
  <si>
    <t>USD</t>
  </si>
  <si>
    <t>Interest Floor</t>
  </si>
  <si>
    <t xml:space="preserve">Interest Cap </t>
  </si>
  <si>
    <t xml:space="preserve">Year </t>
  </si>
  <si>
    <t>2 London Business Day prior to the Deposit Date</t>
  </si>
  <si>
    <t>2 London Business Day prior to the first date of the interest period</t>
  </si>
  <si>
    <t>Quarterly</t>
  </si>
  <si>
    <t>USD 3 Month LIBOR validation date</t>
  </si>
  <si>
    <t>USD 3-month LIBOR (p.a.)</t>
  </si>
  <si>
    <t>Interest rate for the period (p.a.)</t>
  </si>
  <si>
    <t>Interest earned for the period</t>
  </si>
  <si>
    <t>]</t>
  </si>
  <si>
    <t xml:space="preserve">clients will receive 100% principals in the end </t>
  </si>
  <si>
    <t>hsbc product information</t>
  </si>
  <si>
    <t xml:space="preserve">notes </t>
  </si>
  <si>
    <t>10--15</t>
  </si>
  <si>
    <t>Short Put Option</t>
  </si>
  <si>
    <t>0700.HK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</si>
</sst>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0.000%"/>
    <numFmt numFmtId="165" formatCode="0_)"/>
    <numFmt numFmtId="166" formatCode="0%_)"/>
    <numFmt numFmtId="167" formatCode="&quot;$&quot;#,##0.00"/>
    <numFmt numFmtId="168" formatCode="0.0000_)"/>
    <numFmt numFmtId="169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9"/>
      <color rgb="FF5E5E5E"/>
      <name val="Arial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rgb="FFFF0000"/>
      <name val="Calibri"/>
      <family val="2"/>
      <scheme val="minor"/>
    </font>
    <font>
      <sz val="9"/>
      <color rgb="FF666666"/>
      <name val="Arial"/>
      <family val="2"/>
    </font>
    <font>
      <b/>
      <sz val="11"/>
      <color rgb="FF666666"/>
      <name val="Arial"/>
      <family val="2"/>
    </font>
    <font>
      <sz val="11"/>
      <color theme="6" tint="-0.499984740745262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sz val="11"/>
      <color theme="1"/>
      <name val="Calibri"/>
      <family val="2"/>
    </font>
    <font>
      <sz val="7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5" fontId="1" fillId="0" borderId="0"/>
    <xf numFmtId="166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5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1" xfId="0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2" borderId="2" xfId="0" applyFill="1" applyBorder="1" applyAlignment="1">
      <alignment horizontal="left"/>
    </xf>
    <xf numFmtId="14" fontId="0" fillId="2" borderId="2" xfId="0" applyNumberFormat="1" applyFill="1" applyBorder="1" applyAlignment="1">
      <alignment horizontal="left" vertical="top" wrapText="1"/>
    </xf>
    <xf numFmtId="14" fontId="0" fillId="0" borderId="2" xfId="0" applyNumberForma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164" fontId="0" fillId="2" borderId="2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Fill="1" applyBorder="1" applyAlignment="1">
      <alignment vertical="top"/>
    </xf>
    <xf numFmtId="165" fontId="1" fillId="3" borderId="4" xfId="1" applyFill="1" applyBorder="1" applyAlignment="1">
      <alignment horizontal="right"/>
    </xf>
    <xf numFmtId="167" fontId="1" fillId="3" borderId="4" xfId="2" applyNumberFormat="1" applyFill="1" applyBorder="1" applyAlignment="1">
      <alignment horizontal="right"/>
    </xf>
    <xf numFmtId="14" fontId="1" fillId="3" borderId="4" xfId="2" applyNumberFormat="1" applyFill="1" applyBorder="1" applyAlignment="1">
      <alignment horizontal="right"/>
    </xf>
    <xf numFmtId="14" fontId="1" fillId="3" borderId="4" xfId="1" applyNumberFormat="1" applyFill="1" applyBorder="1" applyAlignment="1">
      <alignment horizontal="right"/>
    </xf>
    <xf numFmtId="0" fontId="3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168" fontId="1" fillId="0" borderId="4" xfId="1" applyNumberFormat="1" applyFill="1" applyBorder="1" applyAlignment="1">
      <alignment horizontal="right"/>
    </xf>
    <xf numFmtId="0" fontId="0" fillId="0" borderId="0" xfId="0" applyBorder="1" applyAlignment="1">
      <alignment vertical="top" wrapText="1"/>
    </xf>
    <xf numFmtId="10" fontId="0" fillId="0" borderId="0" xfId="4" applyNumberFormat="1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10" fontId="0" fillId="0" borderId="0" xfId="0" applyNumberFormat="1" applyBorder="1" applyAlignment="1">
      <alignment horizontal="left" vertical="top" wrapText="1"/>
    </xf>
    <xf numFmtId="168" fontId="0" fillId="0" borderId="0" xfId="0" applyNumberFormat="1" applyBorder="1" applyAlignment="1">
      <alignment vertical="top" wrapText="1"/>
    </xf>
    <xf numFmtId="0" fontId="0" fillId="0" borderId="5" xfId="0" applyBorder="1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4" applyNumberFormat="1" applyFont="1"/>
    <xf numFmtId="44" fontId="0" fillId="0" borderId="0" xfId="0" applyNumberFormat="1"/>
    <xf numFmtId="1" fontId="0" fillId="0" borderId="0" xfId="0" applyNumberFormat="1" applyAlignment="1">
      <alignment horizontal="right"/>
    </xf>
    <xf numFmtId="44" fontId="1" fillId="3" borderId="4" xfId="3" applyFill="1" applyBorder="1" applyAlignment="1">
      <alignment horizontal="right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10" fontId="0" fillId="0" borderId="0" xfId="4" applyNumberFormat="1" applyFont="1" applyBorder="1" applyAlignment="1">
      <alignment horizontal="right"/>
    </xf>
    <xf numFmtId="44" fontId="0" fillId="0" borderId="0" xfId="0" applyNumberFormat="1" applyBorder="1"/>
    <xf numFmtId="10" fontId="0" fillId="0" borderId="9" xfId="4" applyNumberFormat="1" applyFont="1" applyBorder="1"/>
    <xf numFmtId="10" fontId="0" fillId="0" borderId="10" xfId="4" applyNumberFormat="1" applyFont="1" applyBorder="1" applyAlignment="1">
      <alignment horizontal="right"/>
    </xf>
    <xf numFmtId="44" fontId="0" fillId="0" borderId="10" xfId="0" applyNumberFormat="1" applyBorder="1"/>
    <xf numFmtId="10" fontId="0" fillId="0" borderId="11" xfId="4" applyNumberFormat="1" applyFont="1" applyBorder="1"/>
    <xf numFmtId="0" fontId="6" fillId="0" borderId="0" xfId="0" applyFont="1"/>
    <xf numFmtId="0" fontId="3" fillId="0" borderId="0" xfId="0" applyFont="1"/>
    <xf numFmtId="44" fontId="0" fillId="0" borderId="0" xfId="3" applyFont="1"/>
    <xf numFmtId="44" fontId="0" fillId="0" borderId="0" xfId="0" applyNumberFormat="1" applyBorder="1" applyAlignment="1">
      <alignment horizontal="left" vertical="top" wrapText="1"/>
    </xf>
    <xf numFmtId="0" fontId="0" fillId="0" borderId="4" xfId="0" applyBorder="1" applyAlignment="1">
      <alignment horizontal="right" vertical="top"/>
    </xf>
    <xf numFmtId="44" fontId="0" fillId="0" borderId="0" xfId="3" applyFont="1" applyAlignment="1">
      <alignment horizontal="right"/>
    </xf>
    <xf numFmtId="0" fontId="0" fillId="0" borderId="0" xfId="0" applyAlignment="1">
      <alignment vertical="center"/>
    </xf>
    <xf numFmtId="0" fontId="7" fillId="0" borderId="0" xfId="5" applyAlignment="1">
      <alignment vertical="center"/>
    </xf>
    <xf numFmtId="168" fontId="1" fillId="4" borderId="4" xfId="1" applyNumberFormat="1" applyFill="1" applyBorder="1" applyAlignment="1">
      <alignment horizontal="right"/>
    </xf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165" fontId="0" fillId="3" borderId="4" xfId="1" applyFont="1" applyFill="1" applyBorder="1" applyAlignment="1">
      <alignment horizontal="right"/>
    </xf>
    <xf numFmtId="10" fontId="0" fillId="0" borderId="0" xfId="0" applyNumberFormat="1"/>
    <xf numFmtId="10" fontId="0" fillId="2" borderId="0" xfId="0" applyNumberFormat="1" applyFill="1" applyBorder="1" applyAlignment="1">
      <alignment horizontal="left" vertical="top" wrapText="1"/>
    </xf>
    <xf numFmtId="44" fontId="0" fillId="3" borderId="4" xfId="3" applyFont="1" applyFill="1" applyBorder="1" applyAlignment="1">
      <alignment horizontal="right"/>
    </xf>
    <xf numFmtId="1" fontId="0" fillId="3" borderId="4" xfId="3" applyNumberFormat="1" applyFont="1" applyFill="1" applyBorder="1" applyAlignment="1">
      <alignment horizontal="right"/>
    </xf>
    <xf numFmtId="0" fontId="9" fillId="0" borderId="0" xfId="0" applyFont="1"/>
    <xf numFmtId="0" fontId="10" fillId="0" borderId="0" xfId="0" applyFont="1"/>
    <xf numFmtId="167" fontId="1" fillId="3" borderId="4" xfId="1" applyNumberFormat="1" applyFill="1" applyBorder="1" applyAlignment="1">
      <alignment horizontal="right"/>
    </xf>
    <xf numFmtId="0" fontId="11" fillId="0" borderId="0" xfId="0" applyFont="1"/>
    <xf numFmtId="10" fontId="1" fillId="3" borderId="4" xfId="1" applyNumberFormat="1" applyFill="1" applyBorder="1" applyAlignment="1">
      <alignment horizontal="right"/>
    </xf>
    <xf numFmtId="9" fontId="1" fillId="3" borderId="4" xfId="1" applyNumberFormat="1" applyFill="1" applyBorder="1" applyAlignment="1">
      <alignment horizontal="right"/>
    </xf>
    <xf numFmtId="0" fontId="12" fillId="0" borderId="0" xfId="0" applyFont="1" applyAlignment="1">
      <alignment wrapText="1"/>
    </xf>
    <xf numFmtId="0" fontId="0" fillId="2" borderId="0" xfId="0" applyFill="1"/>
    <xf numFmtId="14" fontId="0" fillId="3" borderId="4" xfId="1" applyNumberFormat="1" applyFont="1" applyFill="1" applyBorder="1" applyAlignment="1">
      <alignment horizontal="right"/>
    </xf>
    <xf numFmtId="0" fontId="13" fillId="0" borderId="0" xfId="0" applyFont="1"/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7" fillId="0" borderId="0" xfId="5"/>
    <xf numFmtId="169" fontId="0" fillId="0" borderId="0" xfId="0" applyNumberFormat="1"/>
    <xf numFmtId="169" fontId="18" fillId="0" borderId="0" xfId="0" applyNumberFormat="1" applyFont="1"/>
    <xf numFmtId="0" fontId="19" fillId="0" borderId="0" xfId="0" applyFont="1"/>
    <xf numFmtId="0" fontId="21" fillId="0" borderId="0" xfId="0" applyFont="1"/>
    <xf numFmtId="0" fontId="0" fillId="0" borderId="0" xfId="0" applyFont="1"/>
    <xf numFmtId="16" fontId="0" fillId="0" borderId="0" xfId="0" applyNumberFormat="1"/>
    <xf numFmtId="44" fontId="0" fillId="0" borderId="8" xfId="0" applyNumberFormat="1" applyBorder="1"/>
    <xf numFmtId="44" fontId="0" fillId="0" borderId="10" xfId="4" applyNumberFormat="1" applyFont="1" applyBorder="1" applyAlignment="1">
      <alignment horizontal="right"/>
    </xf>
    <xf numFmtId="0" fontId="0" fillId="0" borderId="0" xfId="0" applyAlignment="1">
      <alignment horizontal="left" vertical="top"/>
    </xf>
    <xf numFmtId="10" fontId="0" fillId="0" borderId="0" xfId="4" applyNumberFormat="1" applyFont="1" applyBorder="1"/>
    <xf numFmtId="0" fontId="0" fillId="0" borderId="0" xfId="0" applyBorder="1" applyAlignment="1"/>
    <xf numFmtId="10" fontId="0" fillId="0" borderId="6" xfId="4" applyNumberFormat="1" applyFont="1" applyBorder="1"/>
    <xf numFmtId="0" fontId="20" fillId="0" borderId="0" xfId="0" applyFont="1" applyAlignment="1">
      <alignment horizontal="center" vertical="center"/>
    </xf>
    <xf numFmtId="0" fontId="14" fillId="0" borderId="12" xfId="0" applyFont="1" applyBorder="1" applyAlignment="1">
      <alignment horizontal="center" wrapText="1"/>
    </xf>
    <xf numFmtId="44" fontId="12" fillId="3" borderId="13" xfId="3" applyFont="1" applyFill="1" applyBorder="1" applyAlignment="1">
      <alignment horizontal="center" wrapText="1"/>
    </xf>
    <xf numFmtId="44" fontId="12" fillId="3" borderId="14" xfId="3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5" fillId="0" borderId="3" xfId="0" applyFont="1" applyBorder="1" applyAlignment="1">
      <alignment horizontal="center" wrapText="1"/>
    </xf>
    <xf numFmtId="44" fontId="12" fillId="3" borderId="1" xfId="3" applyFont="1" applyFill="1" applyBorder="1" applyAlignment="1">
      <alignment horizontal="center" wrapText="1"/>
    </xf>
    <xf numFmtId="44" fontId="12" fillId="3" borderId="3" xfId="3" applyFont="1" applyFill="1" applyBorder="1" applyAlignment="1">
      <alignment horizontal="center" wrapText="1"/>
    </xf>
    <xf numFmtId="0" fontId="0" fillId="0" borderId="0" xfId="0" applyAlignment="1">
      <alignment horizontal="left" vertical="top"/>
    </xf>
    <xf numFmtId="0" fontId="12" fillId="0" borderId="0" xfId="0" applyFont="1" applyAlignment="1">
      <alignment horizontal="center" vertical="center" wrapText="1"/>
    </xf>
  </cellXfs>
  <cellStyles count="6">
    <cellStyle name="Currency" xfId="3" builtinId="4"/>
    <cellStyle name="Hyperlink" xfId="5" builtinId="8"/>
    <cellStyle name="Normal" xfId="0" builtinId="0"/>
    <cellStyle name="NUMBER" xfId="1"/>
    <cellStyle name="Percent" xfId="4" builtinId="5"/>
    <cellStyle name="PERCENTAGE" xfId="2"/>
  </cellStyles>
  <dxfs count="18">
    <dxf>
      <numFmt numFmtId="14" formatCode="0.00%"/>
      <alignment horizontal="left" vertical="top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left" vertical="top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left" vertical="top" textRotation="0" wrapText="1" indent="0" justifyLastLine="0" shrinkToFit="0" readingOrder="0"/>
    </dxf>
    <dxf>
      <numFmt numFmtId="169" formatCode="0.00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4" formatCode="_(&quot;$&quot;* #,##0.00_);_(&quot;$&quot;* \(#,##0.00\);_(&quot;$&quot;* &quot;-&quot;??_);_(@_)"/>
      <alignment horizontal="left" vertical="top" textRotation="0" wrapText="1" indent="0" justifyLastLine="0" shrinkToFit="0" readingOrder="0"/>
    </dxf>
    <dxf>
      <numFmt numFmtId="14" formatCode="0.00%"/>
      <alignment horizontal="left" vertical="top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left" vertical="top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left" vertical="top" textRotation="0" wrapText="1" indent="0" justifyLastLine="0" shrinkToFit="0" readingOrder="0"/>
    </dxf>
    <dxf>
      <numFmt numFmtId="169" formatCode="0.00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4" formatCode="0.00%"/>
      <alignment horizontal="left" vertical="top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left" vertical="top" textRotation="0" wrapText="1" indent="0" justifyLastLine="0" shrinkToFit="0" readingOrder="0"/>
    </dxf>
    <dxf>
      <numFmt numFmtId="169" formatCode="0.00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46629073963157"/>
          <c:y val="2.3880597014925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'Deposit Plus '!$C$16</c:f>
              <c:strCache>
                <c:ptCount val="1"/>
                <c:pt idx="0">
                  <c:v>Total Payout on the Maturity 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'Deposit Plus '!$A$17:$A$24</c:f>
              <c:numCache>
                <c:formatCode>0.0000_)</c:formatCode>
                <c:ptCount val="8"/>
                <c:pt idx="0">
                  <c:v>6.2</c:v>
                </c:pt>
                <c:pt idx="1">
                  <c:v>6.25</c:v>
                </c:pt>
                <c:pt idx="2">
                  <c:v>6.3</c:v>
                </c:pt>
                <c:pt idx="3">
                  <c:v>6.35</c:v>
                </c:pt>
                <c:pt idx="4">
                  <c:v>6.3999999999999995</c:v>
                </c:pt>
                <c:pt idx="5">
                  <c:v>6.4499999999999993</c:v>
                </c:pt>
                <c:pt idx="6">
                  <c:v>6.4999999999999991</c:v>
                </c:pt>
                <c:pt idx="7">
                  <c:v>6.5499999999999989</c:v>
                </c:pt>
              </c:numCache>
            </c:numRef>
          </c:xVal>
          <c:yVal>
            <c:numRef>
              <c:f>'Deposit Plus '!$C$17:$C$24</c:f>
              <c:numCache>
                <c:formatCode>_("$"* #,##0.00_);_("$"* \(#,##0.00\);_("$"* "-"??_);_(@_)</c:formatCode>
                <c:ptCount val="8"/>
                <c:pt idx="0">
                  <c:v>9793.4321489726026</c:v>
                </c:pt>
                <c:pt idx="1">
                  <c:v>9872.4114404965749</c:v>
                </c:pt>
                <c:pt idx="2">
                  <c:v>9951.3907320205471</c:v>
                </c:pt>
                <c:pt idx="3">
                  <c:v>10030.370023544519</c:v>
                </c:pt>
                <c:pt idx="4">
                  <c:v>10109.349315068492</c:v>
                </c:pt>
                <c:pt idx="5">
                  <c:v>10109.349315068494</c:v>
                </c:pt>
                <c:pt idx="6">
                  <c:v>10109.349315068494</c:v>
                </c:pt>
                <c:pt idx="7">
                  <c:v>10109.349315068494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86704"/>
        <c:axId val="482485920"/>
      </c:scatterChart>
      <c:valAx>
        <c:axId val="48248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85920"/>
        <c:crosses val="autoZero"/>
        <c:crossBetween val="midCat"/>
      </c:valAx>
      <c:valAx>
        <c:axId val="4824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8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3395669291338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'equity linked deposit '!$C$16</c:f>
              <c:strCache>
                <c:ptCount val="1"/>
                <c:pt idx="0">
                  <c:v>Total Payout on the Maturity 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'equity linked deposit '!$A$17:$A$28</c15:sqref>
                  </c15:fullRef>
                </c:ext>
              </c:extLst>
              <c:f>'equity linked deposit '!$A$17:$A$25</c:f>
              <c:numCache>
                <c:formatCode>_("$"* #,##0.00_);_("$"* \(#,##0.00\);_("$"* "-"??_);_(@_)</c:formatCode>
                <c:ptCount val="9"/>
                <c:pt idx="0">
                  <c:v>76.5</c:v>
                </c:pt>
                <c:pt idx="1">
                  <c:v>78.75</c:v>
                </c:pt>
                <c:pt idx="2">
                  <c:v>81</c:v>
                </c:pt>
                <c:pt idx="3">
                  <c:v>83.25</c:v>
                </c:pt>
                <c:pt idx="4">
                  <c:v>85.5</c:v>
                </c:pt>
                <c:pt idx="5">
                  <c:v>87.75</c:v>
                </c:pt>
                <c:pt idx="6">
                  <c:v>90</c:v>
                </c:pt>
                <c:pt idx="7">
                  <c:v>92.249999999999986</c:v>
                </c:pt>
                <c:pt idx="8">
                  <c:v>94.5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'equity linked deposit '!$C$17:$C$28</c15:sqref>
                  </c15:fullRef>
                </c:ext>
              </c:extLst>
              <c:f>'equity linked deposit '!$C$17:$C$25</c:f>
              <c:numCache>
                <c:formatCode>_("$"* #,##0.00_);_("$"* \(#,##0.00\);_("$"* "-"??_);_(@_)</c:formatCode>
                <c:ptCount val="9"/>
                <c:pt idx="0">
                  <c:v>880624.65753424657</c:v>
                </c:pt>
                <c:pt idx="1">
                  <c:v>905624.65753424657</c:v>
                </c:pt>
                <c:pt idx="2">
                  <c:v>930624.65753424657</c:v>
                </c:pt>
                <c:pt idx="3">
                  <c:v>955624.65753424657</c:v>
                </c:pt>
                <c:pt idx="4">
                  <c:v>980624.65753424657</c:v>
                </c:pt>
                <c:pt idx="5">
                  <c:v>1005624.6575342466</c:v>
                </c:pt>
                <c:pt idx="6">
                  <c:v>1030624.6575342466</c:v>
                </c:pt>
                <c:pt idx="7">
                  <c:v>1030624.6575342466</c:v>
                </c:pt>
                <c:pt idx="8">
                  <c:v>1030624.6575342466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005960"/>
        <c:axId val="482005176"/>
      </c:lineChart>
      <c:catAx>
        <c:axId val="482005960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05176"/>
        <c:crosses val="autoZero"/>
        <c:auto val="1"/>
        <c:lblAlgn val="ctr"/>
        <c:lblOffset val="100"/>
        <c:noMultiLvlLbl val="0"/>
      </c:catAx>
      <c:valAx>
        <c:axId val="4820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0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46629073963157"/>
          <c:y val="2.3880597014925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'Deposit Plus '!$C$16</c:f>
              <c:strCache>
                <c:ptCount val="1"/>
                <c:pt idx="0">
                  <c:v>Total Payout on the Maturity 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'Deposit Plus '!$A$17:$A$24</c:f>
              <c:numCache>
                <c:formatCode>0.0000_)</c:formatCode>
                <c:ptCount val="8"/>
                <c:pt idx="0">
                  <c:v>6.2</c:v>
                </c:pt>
                <c:pt idx="1">
                  <c:v>6.25</c:v>
                </c:pt>
                <c:pt idx="2">
                  <c:v>6.3</c:v>
                </c:pt>
                <c:pt idx="3">
                  <c:v>6.35</c:v>
                </c:pt>
                <c:pt idx="4">
                  <c:v>6.3999999999999995</c:v>
                </c:pt>
                <c:pt idx="5">
                  <c:v>6.4499999999999993</c:v>
                </c:pt>
                <c:pt idx="6">
                  <c:v>6.4999999999999991</c:v>
                </c:pt>
                <c:pt idx="7">
                  <c:v>6.5499999999999989</c:v>
                </c:pt>
              </c:numCache>
            </c:numRef>
          </c:xVal>
          <c:yVal>
            <c:numRef>
              <c:f>'Deposit Plus '!$C$17:$C$24</c:f>
              <c:numCache>
                <c:formatCode>_("$"* #,##0.00_);_("$"* \(#,##0.00\);_("$"* "-"??_);_(@_)</c:formatCode>
                <c:ptCount val="8"/>
                <c:pt idx="0">
                  <c:v>9793.4321489726026</c:v>
                </c:pt>
                <c:pt idx="1">
                  <c:v>9872.4114404965749</c:v>
                </c:pt>
                <c:pt idx="2">
                  <c:v>9951.3907320205471</c:v>
                </c:pt>
                <c:pt idx="3">
                  <c:v>10030.370023544519</c:v>
                </c:pt>
                <c:pt idx="4">
                  <c:v>10109.349315068492</c:v>
                </c:pt>
                <c:pt idx="5">
                  <c:v>10109.349315068494</c:v>
                </c:pt>
                <c:pt idx="6">
                  <c:v>10109.349315068494</c:v>
                </c:pt>
                <c:pt idx="7">
                  <c:v>10109.349315068494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26984"/>
        <c:axId val="653127376"/>
      </c:scatterChart>
      <c:valAx>
        <c:axId val="65312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27376"/>
        <c:crosses val="autoZero"/>
        <c:crossBetween val="midCat"/>
      </c:valAx>
      <c:valAx>
        <c:axId val="6531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2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0</xdr:rowOff>
    </xdr:from>
    <xdr:to>
      <xdr:col>8</xdr:col>
      <xdr:colOff>180975</xdr:colOff>
      <xdr:row>9</xdr:row>
      <xdr:rowOff>38100</xdr:rowOff>
    </xdr:to>
    <xdr:sp macro="" textlink="">
      <xdr:nvSpPr>
        <xdr:cNvPr id="2" name="TextBox 1"/>
        <xdr:cNvSpPr txBox="1"/>
      </xdr:nvSpPr>
      <xdr:spPr>
        <a:xfrm>
          <a:off x="8305800" y="0"/>
          <a:ext cx="3162300" cy="1838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Stage 1</a:t>
          </a:r>
          <a:r>
            <a:rPr lang="en-US" sz="1100" baseline="0"/>
            <a:t> . </a:t>
          </a:r>
          <a:r>
            <a:rPr lang="en-US" sz="1100"/>
            <a:t>Place a deposit, choose your currency pair,decide maturity, referenc value with bank.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/>
            <a:t>Stage 2.If fixing value &gt; reference value , deposit amount + interest payment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fixing value &lt; reference value , (deposit amount + interest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payment)/Reference value * Fixing value 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0</xdr:col>
      <xdr:colOff>0</xdr:colOff>
      <xdr:row>27</xdr:row>
      <xdr:rowOff>114299</xdr:rowOff>
    </xdr:from>
    <xdr:to>
      <xdr:col>2</xdr:col>
      <xdr:colOff>1733551</xdr:colOff>
      <xdr:row>44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528636</xdr:colOff>
      <xdr:row>6</xdr:row>
      <xdr:rowOff>76200</xdr:rowOff>
    </xdr:from>
    <xdr:to>
      <xdr:col>11</xdr:col>
      <xdr:colOff>180975</xdr:colOff>
      <xdr:row>24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6</xdr:row>
      <xdr:rowOff>28575</xdr:rowOff>
    </xdr:from>
    <xdr:to>
      <xdr:col>17</xdr:col>
      <xdr:colOff>200025</xdr:colOff>
      <xdr:row>16</xdr:row>
      <xdr:rowOff>142875</xdr:rowOff>
    </xdr:to>
    <xdr:sp macro="" textlink="">
      <xdr:nvSpPr>
        <xdr:cNvPr id="2" name="TextBox 1"/>
        <xdr:cNvSpPr txBox="1"/>
      </xdr:nvSpPr>
      <xdr:spPr>
        <a:xfrm>
          <a:off x="10763250" y="866775"/>
          <a:ext cx="2705100" cy="163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8</xdr:col>
      <xdr:colOff>590550</xdr:colOff>
      <xdr:row>0</xdr:row>
      <xdr:rowOff>0</xdr:rowOff>
    </xdr:from>
    <xdr:to>
      <xdr:col>17</xdr:col>
      <xdr:colOff>466055</xdr:colOff>
      <xdr:row>21</xdr:row>
      <xdr:rowOff>161358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53425" y="0"/>
          <a:ext cx="5361905" cy="45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885825</xdr:colOff>
      <xdr:row>2</xdr:row>
      <xdr:rowOff>57150</xdr:rowOff>
    </xdr:from>
    <xdr:to>
      <xdr:col>15</xdr:col>
      <xdr:colOff>94551</xdr:colOff>
      <xdr:row>14</xdr:row>
      <xdr:rowOff>56787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514350"/>
          <a:ext cx="5590476" cy="29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8</xdr:col>
      <xdr:colOff>142875</xdr:colOff>
      <xdr:row>9</xdr:row>
      <xdr:rowOff>76200</xdr:rowOff>
    </xdr:to>
    <xdr:sp macro="" textlink="">
      <xdr:nvSpPr>
        <xdr:cNvPr id="2" name="TextBox 1"/>
        <xdr:cNvSpPr txBox="1"/>
      </xdr:nvSpPr>
      <xdr:spPr>
        <a:xfrm>
          <a:off x="8181975" y="0"/>
          <a:ext cx="3162300" cy="1847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stage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Place a deposit, choose your currency pair (11 for HSBC), decide maturity, referenc value with bank</a:t>
          </a:r>
          <a:r>
            <a:rPr lang="en-US"/>
            <a:t>       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stage 2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fixing value &gt; trigger rate , 100% deposit amount + interest payment + gain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from currency appreciation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fixing value &lt; trigger rate , 100 % deposit amount + interest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payment 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0</xdr:rowOff>
    </xdr:from>
    <xdr:to>
      <xdr:col>8</xdr:col>
      <xdr:colOff>180975</xdr:colOff>
      <xdr:row>9</xdr:row>
      <xdr:rowOff>38100</xdr:rowOff>
    </xdr:to>
    <xdr:sp macro="" textlink="">
      <xdr:nvSpPr>
        <xdr:cNvPr id="2" name="TextBox 1"/>
        <xdr:cNvSpPr txBox="1"/>
      </xdr:nvSpPr>
      <xdr:spPr>
        <a:xfrm>
          <a:off x="8305800" y="0"/>
          <a:ext cx="3162300" cy="1838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Stage 1</a:t>
          </a:r>
          <a:r>
            <a:rPr lang="en-US" sz="1100" baseline="0"/>
            <a:t> . </a:t>
          </a:r>
          <a:r>
            <a:rPr lang="en-US" sz="1100"/>
            <a:t>Place a deposit, choose your currency pair,decide maturity, referenc value with bank.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/>
            <a:t>Stage 2.If fixing value &gt; reference value , deposit amount + interest payment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fixing value &lt; reference value , (deposit amount + interest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payment)/Reference value * Fixing value 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0</xdr:col>
      <xdr:colOff>0</xdr:colOff>
      <xdr:row>27</xdr:row>
      <xdr:rowOff>114299</xdr:rowOff>
    </xdr:from>
    <xdr:to>
      <xdr:col>2</xdr:col>
      <xdr:colOff>1733551</xdr:colOff>
      <xdr:row>44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6:E24" totalsRowShown="0" tableBorderDxfId="17">
  <tableColumns count="5">
    <tableColumn id="1" name="Fixing Value on the Determination Date" dataDxfId="16"/>
    <tableColumn id="2" name="% Change Against Reference Value" dataDxfId="15" dataCellStyle="Percent">
      <calculatedColumnFormula>(A17-$B$9)/$B$9</calculatedColumnFormula>
    </tableColumn>
    <tableColumn id="3" name="Total Payout on the Maturity Date" dataDxfId="14">
      <calculatedColumnFormula>IF(B17&gt;0,$B$4+$B$12,($B$4+$B$12)*A17/$B$9)</calculatedColumnFormula>
    </tableColumn>
    <tableColumn id="4" name="Gain or Loss " dataDxfId="6">
      <calculatedColumnFormula>C17-$B$4</calculatedColumnFormula>
    </tableColumn>
    <tableColumn id="5" name="Gain or Loss in %" dataDxfId="13">
      <calculatedColumnFormula>D17/$B$4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7:E25" totalsRowShown="0" tableBorderDxfId="12">
  <tableColumns count="5">
    <tableColumn id="1" name="Fixing Value on the Determination Date" dataDxfId="11"/>
    <tableColumn id="2" name="% Change Against Reference Value" dataDxfId="10" dataCellStyle="Percent">
      <calculatedColumnFormula>(A18-$B$9)/$B$9</calculatedColumnFormula>
    </tableColumn>
    <tableColumn id="3" name="Total Payout on the Maturity Date" dataDxfId="9">
      <calculatedColumnFormula>IF(B18&gt;0,$B$4+$B$13+($B$9-$B$10)*$B$4,$B$4+$B$13)</calculatedColumnFormula>
    </tableColumn>
    <tableColumn id="4" name="Gain or Loss " dataDxfId="8">
      <calculatedColumnFormula>C18-10000</calculatedColumnFormula>
    </tableColumn>
    <tableColumn id="5" name="Gain or Loss in %" dataDxfId="7">
      <calculatedColumnFormula>D18/$B$4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6:E24" totalsRowShown="0" tableBorderDxfId="5">
  <tableColumns count="5">
    <tableColumn id="1" name="Fixing Value on the Determination Date" dataDxfId="4"/>
    <tableColumn id="2" name="% Change Against Reference Value" dataDxfId="3" dataCellStyle="Percent">
      <calculatedColumnFormula>(A17-$B$9)/$B$9</calculatedColumnFormula>
    </tableColumn>
    <tableColumn id="3" name="Total Payout on the Maturity Date" dataDxfId="2">
      <calculatedColumnFormula>IF(B17&gt;0,$B$4+$B$12,($B$4+$B$12)*A17/$B$9)</calculatedColumnFormula>
    </tableColumn>
    <tableColumn id="4" name="Gain or Loss " dataDxfId="1">
      <calculatedColumnFormula>C17-$B$4</calculatedColumnFormula>
    </tableColumn>
    <tableColumn id="5" name="Gain or Loss in %" dataDxfId="0">
      <calculatedColumnFormula>D17/$B$4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kbea.com/html/en/bea-wealth-management-investment-solutions-currency-linked-deposit.html" TargetMode="External"/><Relationship Id="rId2" Type="http://schemas.openxmlformats.org/officeDocument/2006/relationships/hyperlink" Target="https://www.ubs.com/hk/en/wealth_management/your_goals-our_solutions/investing/structured-products/categories.html" TargetMode="External"/><Relationship Id="rId1" Type="http://schemas.openxmlformats.org/officeDocument/2006/relationships/hyperlink" Target="https://www.personal.hsbc.com.hk/1/2/hk/investments/sp" TargetMode="External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https://www.personal.hsbc.com.hk/1/PA_esf-ca-app-content/content/hongkongpws/pdf/sid_whyconsider.pdf" TargetMode="External"/><Relationship Id="rId4" Type="http://schemas.openxmlformats.org/officeDocument/2006/relationships/hyperlink" Target="http://www.bochk.com/images/upload/retail/pdf/eld_en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2"/>
  <sheetViews>
    <sheetView workbookViewId="0">
      <selection activeCell="E2" sqref="E2"/>
    </sheetView>
  </sheetViews>
  <sheetFormatPr defaultRowHeight="15" x14ac:dyDescent="0.25"/>
  <cols>
    <col min="1" max="1" width="26.7109375" bestFit="1" customWidth="1"/>
  </cols>
  <sheetData>
    <row r="1" spans="1:4" ht="18.75" x14ac:dyDescent="0.3">
      <c r="A1" s="80" t="s">
        <v>52</v>
      </c>
    </row>
    <row r="2" spans="1:4" x14ac:dyDescent="0.25">
      <c r="A2" s="81" t="s">
        <v>119</v>
      </c>
      <c r="D2" t="s">
        <v>120</v>
      </c>
    </row>
    <row r="3" spans="1:4" x14ac:dyDescent="0.25">
      <c r="A3" t="s">
        <v>49</v>
      </c>
    </row>
    <row r="4" spans="1:4" x14ac:dyDescent="0.25">
      <c r="B4" t="s">
        <v>63</v>
      </c>
    </row>
    <row r="5" spans="1:4" x14ac:dyDescent="0.25">
      <c r="B5" t="s">
        <v>66</v>
      </c>
    </row>
    <row r="6" spans="1:4" x14ac:dyDescent="0.25">
      <c r="A6" t="s">
        <v>50</v>
      </c>
    </row>
    <row r="7" spans="1:4" x14ac:dyDescent="0.25">
      <c r="A7" t="s">
        <v>67</v>
      </c>
    </row>
    <row r="8" spans="1:4" x14ac:dyDescent="0.25">
      <c r="A8" t="s">
        <v>68</v>
      </c>
    </row>
    <row r="11" spans="1:4" x14ac:dyDescent="0.25">
      <c r="A11" t="s">
        <v>51</v>
      </c>
    </row>
    <row r="12" spans="1:4" x14ac:dyDescent="0.25">
      <c r="A12" t="s">
        <v>53</v>
      </c>
    </row>
  </sheetData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12"/>
  <sheetViews>
    <sheetView tabSelected="1" workbookViewId="0">
      <selection activeCell="A47" sqref="A47"/>
    </sheetView>
  </sheetViews>
  <sheetFormatPr defaultRowHeight="15" x14ac:dyDescent="0.25"/>
  <cols>
    <col min="1" max="1" width="115.42578125" bestFit="1" customWidth="1"/>
  </cols>
  <sheetData>
    <row r="1" spans="1:1" x14ac:dyDescent="0.25">
      <c r="A1" s="50" t="s">
        <v>54</v>
      </c>
    </row>
    <row r="2" spans="1:1" x14ac:dyDescent="0.25">
      <c r="A2" s="50" t="s">
        <v>55</v>
      </c>
    </row>
    <row r="3" spans="1:1" x14ac:dyDescent="0.25">
      <c r="A3" s="51" t="s">
        <v>56</v>
      </c>
    </row>
    <row r="4" spans="1:1" x14ac:dyDescent="0.25">
      <c r="A4" s="76" t="s">
        <v>101</v>
      </c>
    </row>
    <row r="5" spans="1:1" x14ac:dyDescent="0.25">
      <c r="A5" s="50" t="s">
        <v>57</v>
      </c>
    </row>
    <row r="6" spans="1:1" x14ac:dyDescent="0.25">
      <c r="A6" s="51" t="s">
        <v>58</v>
      </c>
    </row>
    <row r="7" spans="1:1" x14ac:dyDescent="0.25">
      <c r="A7" s="50"/>
    </row>
    <row r="8" spans="1:1" x14ac:dyDescent="0.25">
      <c r="A8" s="50" t="s">
        <v>59</v>
      </c>
    </row>
    <row r="9" spans="1:1" x14ac:dyDescent="0.25">
      <c r="A9" s="51" t="s">
        <v>60</v>
      </c>
    </row>
    <row r="10" spans="1:1" x14ac:dyDescent="0.25">
      <c r="A10" s="50"/>
    </row>
    <row r="11" spans="1:1" x14ac:dyDescent="0.25">
      <c r="A11" s="50" t="s">
        <v>61</v>
      </c>
    </row>
    <row r="12" spans="1:1" x14ac:dyDescent="0.25">
      <c r="A12" s="51" t="s">
        <v>62</v>
      </c>
    </row>
  </sheetData>
  <hyperlinks>
    <hyperlink ref="A3" r:id="rId1"/>
    <hyperlink ref="A6" r:id="rId2"/>
    <hyperlink ref="A9" r:id="rId3"/>
    <hyperlink ref="A12" r:id="rId4"/>
    <hyperlink ref="A4" r:id="rId5"/>
  </hyperlinks>
  <pageMargins left="0.7" right="0.7" top="0.75" bottom="0.75" header="0.3" footer="0.3"/>
  <pageSetup orientation="portrait" r:id="rId6"/>
  <headerFooter>
    <oddFooter>&amp;LINTERNAL</oddFooter>
    <evenFooter>&amp;LINTERNAL</evenFooter>
    <firstFooter>&amp;LINTERNAL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7" sqref="B7"/>
    </sheetView>
  </sheetViews>
  <sheetFormatPr defaultRowHeight="15" x14ac:dyDescent="0.25"/>
  <cols>
    <col min="1" max="1" width="38.140625" customWidth="1"/>
    <col min="2" max="2" width="32.28515625" customWidth="1"/>
    <col min="3" max="3" width="31.42578125" bestFit="1" customWidth="1"/>
    <col min="4" max="4" width="22.140625" bestFit="1" customWidth="1"/>
    <col min="5" max="5" width="17.85546875" customWidth="1"/>
  </cols>
  <sheetData>
    <row r="1" spans="1:5" ht="21" x14ac:dyDescent="0.25">
      <c r="A1" s="5" t="s">
        <v>70</v>
      </c>
      <c r="B1" s="3"/>
      <c r="C1" s="3"/>
      <c r="D1" s="53" t="s">
        <v>75</v>
      </c>
    </row>
    <row r="2" spans="1:5" x14ac:dyDescent="0.25">
      <c r="A2" s="21" t="s">
        <v>36</v>
      </c>
      <c r="B2" s="3"/>
      <c r="C2" s="3"/>
      <c r="D2" s="74" t="s">
        <v>73</v>
      </c>
    </row>
    <row r="3" spans="1:5" ht="15.75" thickBot="1" x14ac:dyDescent="0.3">
      <c r="A3" s="7" t="s">
        <v>3</v>
      </c>
      <c r="B3" s="17" t="s">
        <v>32</v>
      </c>
      <c r="C3" s="4"/>
      <c r="D3" s="75" t="s">
        <v>74</v>
      </c>
    </row>
    <row r="4" spans="1:5" x14ac:dyDescent="0.25">
      <c r="A4" s="7" t="s">
        <v>5</v>
      </c>
      <c r="B4" s="18">
        <v>10000</v>
      </c>
      <c r="D4" s="45"/>
    </row>
    <row r="5" spans="1:5" x14ac:dyDescent="0.25">
      <c r="A5" s="7" t="s">
        <v>9</v>
      </c>
      <c r="B5" s="19">
        <v>42704</v>
      </c>
      <c r="C5" s="3"/>
    </row>
    <row r="6" spans="1:5" x14ac:dyDescent="0.25">
      <c r="A6" s="7" t="s">
        <v>11</v>
      </c>
      <c r="B6" s="20">
        <v>42735</v>
      </c>
      <c r="C6" s="3"/>
    </row>
    <row r="7" spans="1:5" x14ac:dyDescent="0.25">
      <c r="A7" s="7" t="s">
        <v>77</v>
      </c>
      <c r="B7" s="52">
        <v>0.12875</v>
      </c>
      <c r="C7" s="3"/>
    </row>
    <row r="8" spans="1:5" x14ac:dyDescent="0.25">
      <c r="A8" s="7" t="s">
        <v>7</v>
      </c>
      <c r="B8" s="48" t="s">
        <v>38</v>
      </c>
      <c r="C8" s="85"/>
    </row>
    <row r="9" spans="1:5" x14ac:dyDescent="0.25">
      <c r="A9" s="7" t="s">
        <v>8</v>
      </c>
      <c r="B9" s="23">
        <v>6.4</v>
      </c>
      <c r="C9" s="3" t="s">
        <v>39</v>
      </c>
    </row>
    <row r="10" spans="1:5" x14ac:dyDescent="0.25">
      <c r="A10" s="7"/>
    </row>
    <row r="11" spans="1:5" x14ac:dyDescent="0.25">
      <c r="A11" s="22" t="s">
        <v>34</v>
      </c>
    </row>
    <row r="12" spans="1:5" x14ac:dyDescent="0.25">
      <c r="A12" s="16" t="s">
        <v>78</v>
      </c>
      <c r="B12" s="46">
        <f>B4*B7*(B6-B5)/365</f>
        <v>109.34931506849315</v>
      </c>
    </row>
    <row r="13" spans="1:5" x14ac:dyDescent="0.25">
      <c r="A13" s="16"/>
    </row>
    <row r="15" spans="1:5" x14ac:dyDescent="0.25">
      <c r="A15" s="16" t="s">
        <v>37</v>
      </c>
    </row>
    <row r="16" spans="1:5" ht="30" x14ac:dyDescent="0.25">
      <c r="A16" s="24" t="s">
        <v>20</v>
      </c>
      <c r="B16" s="25" t="s">
        <v>21</v>
      </c>
      <c r="C16" s="26" t="s">
        <v>22</v>
      </c>
      <c r="D16" s="26" t="s">
        <v>23</v>
      </c>
      <c r="E16" s="27" t="s">
        <v>24</v>
      </c>
    </row>
    <row r="17" spans="1:5" x14ac:dyDescent="0.25">
      <c r="A17" s="28">
        <f>B9-0.2</f>
        <v>6.2</v>
      </c>
      <c r="B17" s="25">
        <f>(A17-$B$9)/$B$9</f>
        <v>-3.1250000000000028E-2</v>
      </c>
      <c r="C17" s="47">
        <f>IF(B17&gt;0,$B$4+$B$12,($B$4+$B$12)*A17/$B$9)</f>
        <v>9793.4321489726026</v>
      </c>
      <c r="D17" s="47">
        <f t="shared" ref="D17:D24" si="0">C17-$B$4</f>
        <v>-206.56785102739741</v>
      </c>
      <c r="E17" s="27">
        <f>D17/$B$4</f>
        <v>-2.0656785102739741E-2</v>
      </c>
    </row>
    <row r="18" spans="1:5" x14ac:dyDescent="0.25">
      <c r="A18" s="28">
        <f>A17+0.05</f>
        <v>6.25</v>
      </c>
      <c r="B18" s="25">
        <f>(A18-$B$9)/$B$9</f>
        <v>-2.3437500000000056E-2</v>
      </c>
      <c r="C18" s="47">
        <f>IF(B18&gt;0,$B$4+$B$12,($B$4+$B$12)*A18/$B$9)</f>
        <v>9872.4114404965749</v>
      </c>
      <c r="D18" s="47">
        <f t="shared" si="0"/>
        <v>-127.58855950342513</v>
      </c>
      <c r="E18" s="27">
        <f t="shared" ref="E18:E24" si="1">D18/$B$4</f>
        <v>-1.2758855950342513E-2</v>
      </c>
    </row>
    <row r="19" spans="1:5" x14ac:dyDescent="0.25">
      <c r="A19" s="28">
        <f t="shared" ref="A19:A24" si="2">A18+0.05</f>
        <v>6.3</v>
      </c>
      <c r="B19" s="25">
        <f t="shared" ref="B19:B24" si="3">(A19-$B$9)/$B$9</f>
        <v>-1.5625000000000083E-2</v>
      </c>
      <c r="C19" s="47">
        <f t="shared" ref="C19:C24" si="4">IF(B19&gt;0,$B$4+$B$12,($B$4+$B$12)*A19/$B$9)</f>
        <v>9951.3907320205471</v>
      </c>
      <c r="D19" s="47">
        <f t="shared" si="0"/>
        <v>-48.609267979452852</v>
      </c>
      <c r="E19" s="27">
        <f t="shared" si="1"/>
        <v>-4.8609267979452852E-3</v>
      </c>
    </row>
    <row r="20" spans="1:5" x14ac:dyDescent="0.25">
      <c r="A20" s="28">
        <f t="shared" si="2"/>
        <v>6.35</v>
      </c>
      <c r="B20" s="25">
        <f t="shared" si="3"/>
        <v>-7.812500000000111E-3</v>
      </c>
      <c r="C20" s="47">
        <f t="shared" si="4"/>
        <v>10030.370023544519</v>
      </c>
      <c r="D20" s="47">
        <f>C20-$B$4</f>
        <v>30.370023544519427</v>
      </c>
      <c r="E20" s="27">
        <f t="shared" si="1"/>
        <v>3.0370023544519426E-3</v>
      </c>
    </row>
    <row r="21" spans="1:5" x14ac:dyDescent="0.25">
      <c r="A21" s="28">
        <f t="shared" si="2"/>
        <v>6.3999999999999995</v>
      </c>
      <c r="B21" s="25">
        <f t="shared" si="3"/>
        <v>-1.3877787807814457E-16</v>
      </c>
      <c r="C21" s="47">
        <f t="shared" si="4"/>
        <v>10109.349315068492</v>
      </c>
      <c r="D21" s="47">
        <f>C21-$B$4</f>
        <v>109.34931506849171</v>
      </c>
      <c r="E21" s="27">
        <f t="shared" si="1"/>
        <v>1.093493150684917E-2</v>
      </c>
    </row>
    <row r="22" spans="1:5" x14ac:dyDescent="0.25">
      <c r="A22" s="28">
        <f t="shared" si="2"/>
        <v>6.4499999999999993</v>
      </c>
      <c r="B22" s="25">
        <f t="shared" si="3"/>
        <v>7.8124999999998335E-3</v>
      </c>
      <c r="C22" s="47">
        <f t="shared" si="4"/>
        <v>10109.349315068494</v>
      </c>
      <c r="D22" s="47">
        <f t="shared" si="0"/>
        <v>109.34931506849352</v>
      </c>
      <c r="E22" s="27">
        <f t="shared" si="1"/>
        <v>1.0934931506849353E-2</v>
      </c>
    </row>
    <row r="23" spans="1:5" x14ac:dyDescent="0.25">
      <c r="A23" s="28">
        <f t="shared" si="2"/>
        <v>6.4999999999999991</v>
      </c>
      <c r="B23" s="25">
        <f t="shared" si="3"/>
        <v>1.5624999999999806E-2</v>
      </c>
      <c r="C23" s="47">
        <f t="shared" si="4"/>
        <v>10109.349315068494</v>
      </c>
      <c r="D23" s="47">
        <f t="shared" si="0"/>
        <v>109.34931506849352</v>
      </c>
      <c r="E23" s="27">
        <f t="shared" si="1"/>
        <v>1.0934931506849353E-2</v>
      </c>
    </row>
    <row r="24" spans="1:5" x14ac:dyDescent="0.25">
      <c r="A24" s="28">
        <f t="shared" si="2"/>
        <v>6.5499999999999989</v>
      </c>
      <c r="B24" s="25">
        <f t="shared" si="3"/>
        <v>2.3437499999999778E-2</v>
      </c>
      <c r="C24" s="47">
        <f t="shared" si="4"/>
        <v>10109.349315068494</v>
      </c>
      <c r="D24" s="47">
        <f t="shared" si="0"/>
        <v>109.34931506849352</v>
      </c>
      <c r="E24" s="27">
        <f t="shared" si="1"/>
        <v>1.0934931506849353E-2</v>
      </c>
    </row>
  </sheetData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9"/>
  <sheetViews>
    <sheetView workbookViewId="0">
      <selection activeCell="E2" sqref="E2"/>
    </sheetView>
  </sheetViews>
  <sheetFormatPr defaultRowHeight="15" x14ac:dyDescent="0.25"/>
  <cols>
    <col min="2" max="2" width="18.5703125" customWidth="1"/>
    <col min="3" max="3" width="31.140625" bestFit="1" customWidth="1"/>
  </cols>
  <sheetData>
    <row r="1" spans="1:6" x14ac:dyDescent="0.25">
      <c r="B1" t="s">
        <v>69</v>
      </c>
    </row>
    <row r="2" spans="1:6" x14ac:dyDescent="0.25">
      <c r="A2">
        <v>1</v>
      </c>
      <c r="B2" t="s">
        <v>63</v>
      </c>
    </row>
    <row r="3" spans="1:6" x14ac:dyDescent="0.25">
      <c r="A3">
        <v>2</v>
      </c>
      <c r="B3" t="s">
        <v>64</v>
      </c>
    </row>
    <row r="4" spans="1:6" x14ac:dyDescent="0.25">
      <c r="A4">
        <v>3</v>
      </c>
      <c r="B4" t="s">
        <v>65</v>
      </c>
      <c r="D4" s="89" t="s">
        <v>117</v>
      </c>
    </row>
    <row r="5" spans="1:6" x14ac:dyDescent="0.25">
      <c r="C5" t="s">
        <v>66</v>
      </c>
      <c r="D5" s="89"/>
      <c r="F5" s="79"/>
    </row>
    <row r="6" spans="1:6" x14ac:dyDescent="0.25">
      <c r="A6">
        <v>4</v>
      </c>
      <c r="B6" t="s">
        <v>65</v>
      </c>
      <c r="D6" s="89"/>
      <c r="E6" t="s">
        <v>118</v>
      </c>
    </row>
    <row r="7" spans="1:6" x14ac:dyDescent="0.25">
      <c r="C7" t="s">
        <v>67</v>
      </c>
      <c r="D7" s="89"/>
    </row>
    <row r="8" spans="1:6" x14ac:dyDescent="0.25">
      <c r="A8">
        <v>5</v>
      </c>
      <c r="B8" t="s">
        <v>65</v>
      </c>
      <c r="D8" s="89"/>
    </row>
    <row r="9" spans="1:6" x14ac:dyDescent="0.25">
      <c r="C9" t="s">
        <v>68</v>
      </c>
      <c r="D9" s="89"/>
    </row>
  </sheetData>
  <mergeCells count="1">
    <mergeCell ref="D4:D9"/>
  </mergeCells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4"/>
  <sheetViews>
    <sheetView workbookViewId="0">
      <selection activeCell="D44" sqref="A1:XFD1048576"/>
    </sheetView>
  </sheetViews>
  <sheetFormatPr defaultRowHeight="15" x14ac:dyDescent="0.25"/>
  <cols>
    <col min="1" max="1" width="38.140625" customWidth="1"/>
    <col min="2" max="2" width="32.28515625" customWidth="1"/>
    <col min="3" max="3" width="31.42578125" bestFit="1" customWidth="1"/>
    <col min="4" max="4" width="22.140625" bestFit="1" customWidth="1"/>
    <col min="5" max="5" width="17.85546875" customWidth="1"/>
  </cols>
  <sheetData>
    <row r="1" spans="1:5" ht="21" x14ac:dyDescent="0.25">
      <c r="A1" s="5" t="s">
        <v>70</v>
      </c>
      <c r="B1" s="3"/>
      <c r="C1" s="3"/>
      <c r="D1" s="53" t="s">
        <v>75</v>
      </c>
    </row>
    <row r="2" spans="1:5" x14ac:dyDescent="0.25">
      <c r="A2" s="21" t="s">
        <v>36</v>
      </c>
      <c r="B2" s="3"/>
      <c r="C2" s="3"/>
      <c r="D2" s="74" t="s">
        <v>73</v>
      </c>
    </row>
    <row r="3" spans="1:5" ht="15.75" thickBot="1" x14ac:dyDescent="0.3">
      <c r="A3" s="7" t="s">
        <v>3</v>
      </c>
      <c r="B3" s="17" t="s">
        <v>32</v>
      </c>
      <c r="C3" s="4"/>
      <c r="D3" s="75" t="s">
        <v>74</v>
      </c>
    </row>
    <row r="4" spans="1:5" x14ac:dyDescent="0.25">
      <c r="A4" s="7" t="s">
        <v>5</v>
      </c>
      <c r="B4" s="18">
        <v>10000</v>
      </c>
      <c r="D4" s="45"/>
    </row>
    <row r="5" spans="1:5" x14ac:dyDescent="0.25">
      <c r="A5" s="7" t="s">
        <v>9</v>
      </c>
      <c r="B5" s="19">
        <v>42704</v>
      </c>
      <c r="C5" s="3"/>
    </row>
    <row r="6" spans="1:5" x14ac:dyDescent="0.25">
      <c r="A6" s="7" t="s">
        <v>11</v>
      </c>
      <c r="B6" s="20">
        <v>42735</v>
      </c>
      <c r="C6" s="3"/>
    </row>
    <row r="7" spans="1:5" x14ac:dyDescent="0.25">
      <c r="A7" s="7" t="s">
        <v>77</v>
      </c>
      <c r="B7" s="52">
        <v>0.12875</v>
      </c>
      <c r="C7" s="3"/>
    </row>
    <row r="8" spans="1:5" x14ac:dyDescent="0.25">
      <c r="A8" s="7" t="s">
        <v>7</v>
      </c>
      <c r="B8" s="48" t="s">
        <v>38</v>
      </c>
      <c r="C8" s="2"/>
    </row>
    <row r="9" spans="1:5" x14ac:dyDescent="0.25">
      <c r="A9" s="7" t="s">
        <v>8</v>
      </c>
      <c r="B9" s="23">
        <v>6.4</v>
      </c>
      <c r="C9" s="3" t="s">
        <v>39</v>
      </c>
    </row>
    <row r="10" spans="1:5" x14ac:dyDescent="0.25">
      <c r="A10" s="7"/>
    </row>
    <row r="11" spans="1:5" x14ac:dyDescent="0.25">
      <c r="A11" s="22" t="s">
        <v>34</v>
      </c>
    </row>
    <row r="12" spans="1:5" x14ac:dyDescent="0.25">
      <c r="A12" s="16" t="s">
        <v>78</v>
      </c>
      <c r="B12" s="46">
        <f>B4*B7*(B6-B5)/365</f>
        <v>109.34931506849315</v>
      </c>
    </row>
    <row r="13" spans="1:5" x14ac:dyDescent="0.25">
      <c r="A13" s="16"/>
    </row>
    <row r="15" spans="1:5" x14ac:dyDescent="0.25">
      <c r="A15" s="16" t="s">
        <v>37</v>
      </c>
    </row>
    <row r="16" spans="1:5" ht="30" x14ac:dyDescent="0.25">
      <c r="A16" s="24" t="s">
        <v>20</v>
      </c>
      <c r="B16" s="25" t="s">
        <v>21</v>
      </c>
      <c r="C16" s="26" t="s">
        <v>22</v>
      </c>
      <c r="D16" s="26" t="s">
        <v>23</v>
      </c>
      <c r="E16" s="27" t="s">
        <v>24</v>
      </c>
    </row>
    <row r="17" spans="1:5" x14ac:dyDescent="0.25">
      <c r="A17" s="28">
        <f>B9-0.2</f>
        <v>6.2</v>
      </c>
      <c r="B17" s="25">
        <f>(A17-$B$9)/$B$9</f>
        <v>-3.1250000000000028E-2</v>
      </c>
      <c r="C17" s="47">
        <f>IF(B17&gt;0,$B$4+$B$12,($B$4+$B$12)*A17/$B$9)</f>
        <v>9793.4321489726026</v>
      </c>
      <c r="D17" s="47">
        <f t="shared" ref="D17:D24" si="0">C17-$B$4</f>
        <v>-206.56785102739741</v>
      </c>
      <c r="E17" s="27">
        <f>D17/$B$4</f>
        <v>-2.0656785102739741E-2</v>
      </c>
    </row>
    <row r="18" spans="1:5" x14ac:dyDescent="0.25">
      <c r="A18" s="28">
        <f>A17+0.05</f>
        <v>6.25</v>
      </c>
      <c r="B18" s="25">
        <f>(A18-$B$9)/$B$9</f>
        <v>-2.3437500000000056E-2</v>
      </c>
      <c r="C18" s="47">
        <f>IF(B18&gt;0,$B$4+$B$12,($B$4+$B$12)*A18/$B$9)</f>
        <v>9872.4114404965749</v>
      </c>
      <c r="D18" s="47">
        <f t="shared" si="0"/>
        <v>-127.58855950342513</v>
      </c>
      <c r="E18" s="27">
        <f t="shared" ref="E18:E24" si="1">D18/$B$4</f>
        <v>-1.2758855950342513E-2</v>
      </c>
    </row>
    <row r="19" spans="1:5" x14ac:dyDescent="0.25">
      <c r="A19" s="28">
        <f t="shared" ref="A19:A24" si="2">A18+0.05</f>
        <v>6.3</v>
      </c>
      <c r="B19" s="25">
        <f t="shared" ref="B19:B24" si="3">(A19-$B$9)/$B$9</f>
        <v>-1.5625000000000083E-2</v>
      </c>
      <c r="C19" s="47">
        <f t="shared" ref="C19:C24" si="4">IF(B19&gt;0,$B$4+$B$12,($B$4+$B$12)*A19/$B$9)</f>
        <v>9951.3907320205471</v>
      </c>
      <c r="D19" s="47">
        <f t="shared" si="0"/>
        <v>-48.609267979452852</v>
      </c>
      <c r="E19" s="27">
        <f t="shared" si="1"/>
        <v>-4.8609267979452852E-3</v>
      </c>
    </row>
    <row r="20" spans="1:5" x14ac:dyDescent="0.25">
      <c r="A20" s="28">
        <f t="shared" si="2"/>
        <v>6.35</v>
      </c>
      <c r="B20" s="25">
        <f t="shared" si="3"/>
        <v>-7.812500000000111E-3</v>
      </c>
      <c r="C20" s="47">
        <f t="shared" si="4"/>
        <v>10030.370023544519</v>
      </c>
      <c r="D20" s="47">
        <f>C20-$B$4</f>
        <v>30.370023544519427</v>
      </c>
      <c r="E20" s="27">
        <f t="shared" si="1"/>
        <v>3.0370023544519426E-3</v>
      </c>
    </row>
    <row r="21" spans="1:5" x14ac:dyDescent="0.25">
      <c r="A21" s="28">
        <f t="shared" si="2"/>
        <v>6.3999999999999995</v>
      </c>
      <c r="B21" s="25">
        <f t="shared" si="3"/>
        <v>-1.3877787807814457E-16</v>
      </c>
      <c r="C21" s="47">
        <f t="shared" si="4"/>
        <v>10109.349315068492</v>
      </c>
      <c r="D21" s="47">
        <f>C21-$B$4</f>
        <v>109.34931506849171</v>
      </c>
      <c r="E21" s="27">
        <f t="shared" si="1"/>
        <v>1.093493150684917E-2</v>
      </c>
    </row>
    <row r="22" spans="1:5" x14ac:dyDescent="0.25">
      <c r="A22" s="28">
        <f t="shared" si="2"/>
        <v>6.4499999999999993</v>
      </c>
      <c r="B22" s="25">
        <f t="shared" si="3"/>
        <v>7.8124999999998335E-3</v>
      </c>
      <c r="C22" s="47">
        <f t="shared" si="4"/>
        <v>10109.349315068494</v>
      </c>
      <c r="D22" s="47">
        <f t="shared" si="0"/>
        <v>109.34931506849352</v>
      </c>
      <c r="E22" s="27">
        <f t="shared" si="1"/>
        <v>1.0934931506849353E-2</v>
      </c>
    </row>
    <row r="23" spans="1:5" x14ac:dyDescent="0.25">
      <c r="A23" s="28">
        <f t="shared" si="2"/>
        <v>6.4999999999999991</v>
      </c>
      <c r="B23" s="25">
        <f t="shared" si="3"/>
        <v>1.5624999999999806E-2</v>
      </c>
      <c r="C23" s="47">
        <f t="shared" si="4"/>
        <v>10109.349315068494</v>
      </c>
      <c r="D23" s="47">
        <f t="shared" si="0"/>
        <v>109.34931506849352</v>
      </c>
      <c r="E23" s="27">
        <f t="shared" si="1"/>
        <v>1.0934931506849353E-2</v>
      </c>
    </row>
    <row r="24" spans="1:5" x14ac:dyDescent="0.25">
      <c r="A24" s="28">
        <f t="shared" si="2"/>
        <v>6.5499999999999989</v>
      </c>
      <c r="B24" s="25">
        <f t="shared" si="3"/>
        <v>2.3437499999999778E-2</v>
      </c>
      <c r="C24" s="47">
        <f t="shared" si="4"/>
        <v>10109.349315068494</v>
      </c>
      <c r="D24" s="47">
        <f t="shared" si="0"/>
        <v>109.34931506849352</v>
      </c>
      <c r="E24" s="27">
        <f t="shared" si="1"/>
        <v>1.0934931506849353E-2</v>
      </c>
    </row>
  </sheetData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8" sqref="B58"/>
    </sheetView>
  </sheetViews>
  <sheetFormatPr defaultRowHeight="15" x14ac:dyDescent="0.25"/>
  <sheetData/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1"/>
  <sheetViews>
    <sheetView workbookViewId="0">
      <selection activeCell="F45" sqref="F45"/>
    </sheetView>
  </sheetViews>
  <sheetFormatPr defaultRowHeight="15" x14ac:dyDescent="0.25"/>
  <cols>
    <col min="1" max="1" width="21.7109375" bestFit="1" customWidth="1"/>
    <col min="2" max="2" width="29.7109375" style="30" customWidth="1"/>
    <col min="3" max="3" width="31.42578125" bestFit="1" customWidth="1"/>
    <col min="4" max="4" width="13.42578125" bestFit="1" customWidth="1"/>
    <col min="5" max="5" width="15.7109375" bestFit="1" customWidth="1"/>
    <col min="6" max="6" width="41.28515625" bestFit="1" customWidth="1"/>
    <col min="7" max="7" width="35.28515625" bestFit="1" customWidth="1"/>
  </cols>
  <sheetData>
    <row r="1" spans="1:7" ht="18.75" x14ac:dyDescent="0.3">
      <c r="A1" s="1" t="s">
        <v>0</v>
      </c>
    </row>
    <row r="2" spans="1:7" x14ac:dyDescent="0.25">
      <c r="A2" s="44" t="s">
        <v>36</v>
      </c>
    </row>
    <row r="3" spans="1:7" x14ac:dyDescent="0.25">
      <c r="A3" t="s">
        <v>14</v>
      </c>
      <c r="B3" s="17">
        <v>1000000</v>
      </c>
      <c r="C3" s="45" t="s">
        <v>45</v>
      </c>
      <c r="F3" t="s">
        <v>42</v>
      </c>
      <c r="G3" t="s">
        <v>43</v>
      </c>
    </row>
    <row r="4" spans="1:7" x14ac:dyDescent="0.25">
      <c r="A4" t="s">
        <v>9</v>
      </c>
      <c r="B4" s="20">
        <v>42756</v>
      </c>
      <c r="C4" t="s">
        <v>17</v>
      </c>
      <c r="D4" s="35">
        <v>98.5</v>
      </c>
      <c r="E4" s="82" t="s">
        <v>121</v>
      </c>
      <c r="F4" t="s">
        <v>46</v>
      </c>
      <c r="G4" t="s">
        <v>47</v>
      </c>
    </row>
    <row r="5" spans="1:7" x14ac:dyDescent="0.25">
      <c r="A5" t="s">
        <v>10</v>
      </c>
      <c r="B5" s="20">
        <f>B6-1</f>
        <v>42935</v>
      </c>
      <c r="C5" t="s">
        <v>16</v>
      </c>
      <c r="D5" s="56" t="s">
        <v>123</v>
      </c>
    </row>
    <row r="6" spans="1:7" x14ac:dyDescent="0.25">
      <c r="A6" t="s">
        <v>11</v>
      </c>
      <c r="B6" s="20">
        <f>B4+180</f>
        <v>42936</v>
      </c>
    </row>
    <row r="7" spans="1:7" x14ac:dyDescent="0.25">
      <c r="A7" t="s">
        <v>18</v>
      </c>
      <c r="B7" s="59">
        <v>90</v>
      </c>
    </row>
    <row r="8" spans="1:7" x14ac:dyDescent="0.25">
      <c r="A8" t="s">
        <v>19</v>
      </c>
      <c r="B8" s="2" t="s">
        <v>40</v>
      </c>
    </row>
    <row r="9" spans="1:7" x14ac:dyDescent="0.25">
      <c r="A9" t="s">
        <v>13</v>
      </c>
      <c r="B9" s="31">
        <v>6.2100000000000002E-2</v>
      </c>
    </row>
    <row r="11" spans="1:7" x14ac:dyDescent="0.25">
      <c r="A11" s="45" t="s">
        <v>34</v>
      </c>
    </row>
    <row r="12" spans="1:7" x14ac:dyDescent="0.25">
      <c r="A12" t="s">
        <v>35</v>
      </c>
      <c r="B12" s="49">
        <f>B3*B9*B14/365</f>
        <v>30624.657534246577</v>
      </c>
    </row>
    <row r="13" spans="1:7" x14ac:dyDescent="0.25">
      <c r="A13" t="s">
        <v>15</v>
      </c>
      <c r="B13" s="34">
        <f>B3/B7</f>
        <v>11111.111111111111</v>
      </c>
    </row>
    <row r="14" spans="1:7" x14ac:dyDescent="0.25">
      <c r="A14" t="s">
        <v>48</v>
      </c>
      <c r="B14" s="30">
        <f>B6-B4</f>
        <v>180</v>
      </c>
    </row>
    <row r="15" spans="1:7" ht="15.75" thickBot="1" x14ac:dyDescent="0.3"/>
    <row r="16" spans="1:7" x14ac:dyDescent="0.25">
      <c r="A16" s="29" t="s">
        <v>41</v>
      </c>
      <c r="B16" s="36" t="s">
        <v>44</v>
      </c>
      <c r="C16" s="36" t="s">
        <v>22</v>
      </c>
      <c r="D16" s="36" t="s">
        <v>23</v>
      </c>
      <c r="E16" s="37" t="s">
        <v>24</v>
      </c>
    </row>
    <row r="17" spans="1:7" x14ac:dyDescent="0.25">
      <c r="A17" s="83">
        <f>$B$7*0.85</f>
        <v>76.5</v>
      </c>
      <c r="B17" s="38">
        <f>(A17-$B$7)/$B$7</f>
        <v>-0.15</v>
      </c>
      <c r="C17" s="39">
        <f>IF(B17&gt;0, $B$12+$B$3,$B$12+$B$13*A17)</f>
        <v>880624.65753424657</v>
      </c>
      <c r="D17" s="39">
        <f>C17-$B$3</f>
        <v>-119375.34246575343</v>
      </c>
      <c r="E17" s="40">
        <f>D17/$B$3</f>
        <v>-0.11937534246575343</v>
      </c>
    </row>
    <row r="18" spans="1:7" x14ac:dyDescent="0.25">
      <c r="A18" s="83">
        <f>$B$7*0.875</f>
        <v>78.75</v>
      </c>
      <c r="B18" s="38">
        <f>(A18-$B$7)/$B$7</f>
        <v>-0.125</v>
      </c>
      <c r="C18" s="39">
        <f>IF(B18&gt;0, $B$12+$B$3,$B$12+$B$13*A18)</f>
        <v>905624.65753424657</v>
      </c>
      <c r="D18" s="39">
        <f>C18-$B$3</f>
        <v>-94375.342465753434</v>
      </c>
      <c r="E18" s="40">
        <f>D18/$B$3</f>
        <v>-9.4375342465753437E-2</v>
      </c>
    </row>
    <row r="19" spans="1:7" x14ac:dyDescent="0.25">
      <c r="A19" s="83">
        <f>$B$7*0.9</f>
        <v>81</v>
      </c>
      <c r="B19" s="38">
        <f t="shared" ref="B19:B25" si="0">(A19-$B$7)/$B$7</f>
        <v>-0.1</v>
      </c>
      <c r="C19" s="39">
        <f t="shared" ref="C19:C25" si="1">IF(B19&gt;0, $B$12+$B$3,$B$12+$B$13*A19)</f>
        <v>930624.65753424657</v>
      </c>
      <c r="D19" s="39">
        <f t="shared" ref="D19:D25" si="2">C19-$B$3</f>
        <v>-69375.342465753434</v>
      </c>
      <c r="E19" s="40">
        <f t="shared" ref="E19:E25" si="3">D19/$B$3</f>
        <v>-6.9375342465753428E-2</v>
      </c>
    </row>
    <row r="20" spans="1:7" x14ac:dyDescent="0.25">
      <c r="A20" s="83">
        <f>$B$7*0.925</f>
        <v>83.25</v>
      </c>
      <c r="B20" s="38">
        <f t="shared" ref="B20" si="4">(A20-$B$7)/$B$7</f>
        <v>-7.4999999999999997E-2</v>
      </c>
      <c r="C20" s="39">
        <f t="shared" ref="C20" si="5">IF(B20&gt;0, $B$12+$B$3,$B$12+$B$13*A20)</f>
        <v>955624.65753424657</v>
      </c>
      <c r="D20" s="39">
        <f t="shared" ref="D20" si="6">C20-$B$3</f>
        <v>-44375.342465753434</v>
      </c>
      <c r="E20" s="40">
        <f t="shared" ref="E20" si="7">D20/$B$3</f>
        <v>-4.4375342465753434E-2</v>
      </c>
    </row>
    <row r="21" spans="1:7" x14ac:dyDescent="0.25">
      <c r="A21" s="83">
        <f>$B$7*0.95</f>
        <v>85.5</v>
      </c>
      <c r="B21" s="38">
        <f t="shared" si="0"/>
        <v>-0.05</v>
      </c>
      <c r="C21" s="39">
        <f t="shared" si="1"/>
        <v>980624.65753424657</v>
      </c>
      <c r="D21" s="39">
        <f t="shared" si="2"/>
        <v>-19375.342465753434</v>
      </c>
      <c r="E21" s="40">
        <f t="shared" si="3"/>
        <v>-1.9375342465753433E-2</v>
      </c>
    </row>
    <row r="22" spans="1:7" x14ac:dyDescent="0.25">
      <c r="A22" s="83">
        <f>B7*0.975</f>
        <v>87.75</v>
      </c>
      <c r="B22" s="38">
        <f t="shared" si="0"/>
        <v>-2.5000000000000001E-2</v>
      </c>
      <c r="C22" s="39">
        <f t="shared" ref="C22" si="8">IF(B22&gt;0, $B$12+$B$3,$B$12+$B$13*A22)</f>
        <v>1005624.6575342466</v>
      </c>
      <c r="D22" s="39">
        <f t="shared" ref="D22" si="9">C22-$B$3</f>
        <v>5624.6575342465658</v>
      </c>
      <c r="E22" s="40">
        <f t="shared" ref="E22" si="10">D22/$B$3</f>
        <v>5.6246575342465662E-3</v>
      </c>
    </row>
    <row r="23" spans="1:7" x14ac:dyDescent="0.25">
      <c r="A23" s="83">
        <f>$B$7*1</f>
        <v>90</v>
      </c>
      <c r="B23" s="38">
        <f t="shared" si="0"/>
        <v>0</v>
      </c>
      <c r="C23" s="39">
        <f t="shared" si="1"/>
        <v>1030624.6575342466</v>
      </c>
      <c r="D23" s="39">
        <f t="shared" si="2"/>
        <v>30624.657534246566</v>
      </c>
      <c r="E23" s="40">
        <f t="shared" si="3"/>
        <v>3.0624657534246567E-2</v>
      </c>
    </row>
    <row r="24" spans="1:7" x14ac:dyDescent="0.25">
      <c r="A24" s="83">
        <f>$B$7*1.025</f>
        <v>92.249999999999986</v>
      </c>
      <c r="B24" s="38">
        <f t="shared" ref="B24" si="11">(A24-$B$7)/$B$7</f>
        <v>2.4999999999999842E-2</v>
      </c>
      <c r="C24" s="39">
        <f t="shared" ref="C24" si="12">IF(B24&gt;0, $B$12+$B$3,$B$12+$B$13*A24)</f>
        <v>1030624.6575342466</v>
      </c>
      <c r="D24" s="39">
        <f t="shared" ref="D24" si="13">C24-$B$3</f>
        <v>30624.657534246566</v>
      </c>
      <c r="E24" s="40">
        <f t="shared" ref="E24" si="14">D24/$B$3</f>
        <v>3.0624657534246567E-2</v>
      </c>
    </row>
    <row r="25" spans="1:7" x14ac:dyDescent="0.25">
      <c r="A25" s="83">
        <f>$B$7*1.05</f>
        <v>94.5</v>
      </c>
      <c r="B25" s="38">
        <f t="shared" si="0"/>
        <v>0.05</v>
      </c>
      <c r="C25" s="39">
        <f t="shared" si="1"/>
        <v>1030624.6575342466</v>
      </c>
      <c r="D25" s="39">
        <f t="shared" si="2"/>
        <v>30624.657534246566</v>
      </c>
      <c r="E25" s="40">
        <f t="shared" si="3"/>
        <v>3.0624657534246567E-2</v>
      </c>
    </row>
    <row r="26" spans="1:7" ht="15.75" thickBot="1" x14ac:dyDescent="0.3">
      <c r="A26" s="84"/>
      <c r="B26" s="41"/>
      <c r="C26" s="42"/>
      <c r="D26" s="42"/>
      <c r="E26" s="43"/>
    </row>
    <row r="27" spans="1:7" x14ac:dyDescent="0.25">
      <c r="A27" s="83"/>
      <c r="B27" s="38"/>
      <c r="C27" s="39"/>
      <c r="D27" s="39"/>
      <c r="E27" s="88"/>
      <c r="F27" s="87"/>
    </row>
    <row r="28" spans="1:7" x14ac:dyDescent="0.25">
      <c r="A28" s="83"/>
      <c r="B28" s="38"/>
      <c r="C28" s="39"/>
      <c r="D28" s="39"/>
      <c r="E28" s="86"/>
      <c r="G28" t="s">
        <v>122</v>
      </c>
    </row>
    <row r="30" spans="1:7" x14ac:dyDescent="0.25">
      <c r="C30" s="33"/>
      <c r="D30" s="33"/>
      <c r="E30" s="32"/>
    </row>
    <row r="31" spans="1:7" x14ac:dyDescent="0.25">
      <c r="C31" s="33"/>
      <c r="D31" s="33"/>
      <c r="E31" s="32"/>
    </row>
  </sheetData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21"/>
  <sheetViews>
    <sheetView workbookViewId="0">
      <selection activeCell="J34" sqref="J34"/>
    </sheetView>
  </sheetViews>
  <sheetFormatPr defaultRowHeight="15" x14ac:dyDescent="0.25"/>
  <cols>
    <col min="1" max="1" width="27.42578125" bestFit="1" customWidth="1"/>
    <col min="2" max="2" width="12.7109375" customWidth="1"/>
    <col min="3" max="3" width="22.42578125" customWidth="1"/>
    <col min="4" max="4" width="17.28515625" customWidth="1"/>
  </cols>
  <sheetData>
    <row r="1" spans="1:12" ht="21" x14ac:dyDescent="0.35">
      <c r="A1" s="1" t="s">
        <v>83</v>
      </c>
      <c r="L1" s="76"/>
    </row>
    <row r="2" spans="1:12" x14ac:dyDescent="0.25">
      <c r="A2" s="1"/>
      <c r="B2" s="62" t="s">
        <v>93</v>
      </c>
    </row>
    <row r="3" spans="1:12" x14ac:dyDescent="0.25">
      <c r="A3" s="45" t="s">
        <v>36</v>
      </c>
    </row>
    <row r="4" spans="1:12" ht="15" customHeight="1" x14ac:dyDescent="0.25">
      <c r="A4" t="s">
        <v>94</v>
      </c>
      <c r="B4" s="20" t="s">
        <v>95</v>
      </c>
      <c r="C4" s="90" t="s">
        <v>84</v>
      </c>
      <c r="D4" s="91" t="s">
        <v>105</v>
      </c>
    </row>
    <row r="5" spans="1:12" x14ac:dyDescent="0.25">
      <c r="A5" t="s">
        <v>14</v>
      </c>
      <c r="B5" s="63">
        <v>1000000</v>
      </c>
      <c r="C5" s="90"/>
      <c r="D5" s="92"/>
    </row>
    <row r="6" spans="1:12" x14ac:dyDescent="0.25">
      <c r="A6" t="s">
        <v>9</v>
      </c>
      <c r="B6" s="20">
        <v>42756</v>
      </c>
    </row>
    <row r="7" spans="1:12" x14ac:dyDescent="0.25">
      <c r="A7" t="s">
        <v>11</v>
      </c>
      <c r="B7" s="20">
        <v>43121</v>
      </c>
    </row>
    <row r="8" spans="1:12" x14ac:dyDescent="0.25">
      <c r="A8" t="s">
        <v>85</v>
      </c>
      <c r="B8" s="59" t="s">
        <v>86</v>
      </c>
    </row>
    <row r="9" spans="1:12" x14ac:dyDescent="0.25">
      <c r="A9" t="s">
        <v>91</v>
      </c>
      <c r="B9" s="60">
        <v>4</v>
      </c>
    </row>
    <row r="10" spans="1:12" x14ac:dyDescent="0.25">
      <c r="A10" t="s">
        <v>99</v>
      </c>
      <c r="B10" s="65">
        <v>7.0000000000000001E-3</v>
      </c>
    </row>
    <row r="11" spans="1:12" x14ac:dyDescent="0.25">
      <c r="A11" t="s">
        <v>100</v>
      </c>
      <c r="B11" s="66">
        <v>0</v>
      </c>
    </row>
    <row r="12" spans="1:12" x14ac:dyDescent="0.25">
      <c r="A12" t="s">
        <v>92</v>
      </c>
      <c r="B12" s="64" t="s">
        <v>96</v>
      </c>
    </row>
    <row r="13" spans="1:12" x14ac:dyDescent="0.25">
      <c r="B13" s="64" t="s">
        <v>97</v>
      </c>
    </row>
    <row r="14" spans="1:12" x14ac:dyDescent="0.25">
      <c r="B14" s="64" t="s">
        <v>98</v>
      </c>
    </row>
    <row r="17" spans="1:5" ht="38.25" customHeight="1" x14ac:dyDescent="0.25">
      <c r="A17" t="s">
        <v>87</v>
      </c>
      <c r="B17" s="67" t="s">
        <v>88</v>
      </c>
      <c r="C17" s="67" t="s">
        <v>89</v>
      </c>
      <c r="D17" s="67" t="s">
        <v>90</v>
      </c>
      <c r="E17" s="67" t="s">
        <v>102</v>
      </c>
    </row>
    <row r="18" spans="1:5" x14ac:dyDescent="0.25">
      <c r="A18">
        <v>1</v>
      </c>
      <c r="B18" s="68">
        <v>93</v>
      </c>
      <c r="C18">
        <v>93</v>
      </c>
      <c r="D18">
        <f>B18-C18</f>
        <v>0</v>
      </c>
      <c r="E18">
        <f>$B$5*($B$10/$B$9)*(C18/B18)+($B$11/4)*(D18/B18)</f>
        <v>1750</v>
      </c>
    </row>
    <row r="19" spans="1:5" x14ac:dyDescent="0.25">
      <c r="A19">
        <f>A18+1</f>
        <v>2</v>
      </c>
      <c r="B19" s="68">
        <v>91</v>
      </c>
      <c r="C19">
        <v>91</v>
      </c>
      <c r="D19">
        <f t="shared" ref="D19:D21" si="0">B19-C19</f>
        <v>0</v>
      </c>
      <c r="E19">
        <f t="shared" ref="E19:E21" si="1">$B$5*($B$10/$B$9)*(C19/B19)+($B$11/4)*(D19/B19)</f>
        <v>1750</v>
      </c>
    </row>
    <row r="20" spans="1:5" x14ac:dyDescent="0.25">
      <c r="A20">
        <f t="shared" ref="A20:A21" si="2">A19+1</f>
        <v>3</v>
      </c>
      <c r="B20" s="68">
        <v>91</v>
      </c>
      <c r="C20">
        <v>91</v>
      </c>
      <c r="D20">
        <f t="shared" si="0"/>
        <v>0</v>
      </c>
      <c r="E20">
        <f t="shared" si="1"/>
        <v>1750</v>
      </c>
    </row>
    <row r="21" spans="1:5" x14ac:dyDescent="0.25">
      <c r="A21">
        <f t="shared" si="2"/>
        <v>4</v>
      </c>
      <c r="B21" s="68">
        <v>90</v>
      </c>
      <c r="C21">
        <v>90</v>
      </c>
      <c r="D21">
        <f t="shared" si="0"/>
        <v>0</v>
      </c>
      <c r="E21">
        <f t="shared" si="1"/>
        <v>1750</v>
      </c>
    </row>
  </sheetData>
  <mergeCells count="2">
    <mergeCell ref="C4:C5"/>
    <mergeCell ref="D4:D5"/>
  </mergeCells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25"/>
  <sheetViews>
    <sheetView workbookViewId="0">
      <selection activeCell="J34" sqref="J34"/>
    </sheetView>
  </sheetViews>
  <sheetFormatPr defaultRowHeight="15" x14ac:dyDescent="0.25"/>
  <cols>
    <col min="1" max="1" width="26.5703125" customWidth="1"/>
    <col min="2" max="2" width="12.7109375" bestFit="1" customWidth="1"/>
    <col min="3" max="3" width="13.42578125" customWidth="1"/>
    <col min="4" max="4" width="18" customWidth="1"/>
    <col min="5" max="5" width="13.7109375" bestFit="1" customWidth="1"/>
    <col min="6" max="6" width="13.42578125" bestFit="1" customWidth="1"/>
  </cols>
  <sheetData>
    <row r="1" spans="1:6" ht="21" x14ac:dyDescent="0.35">
      <c r="A1" s="1" t="s">
        <v>103</v>
      </c>
    </row>
    <row r="2" spans="1:6" x14ac:dyDescent="0.25">
      <c r="C2" s="61" t="s">
        <v>104</v>
      </c>
    </row>
    <row r="3" spans="1:6" ht="15.75" thickBot="1" x14ac:dyDescent="0.3">
      <c r="A3" s="45" t="s">
        <v>36</v>
      </c>
    </row>
    <row r="4" spans="1:6" x14ac:dyDescent="0.25">
      <c r="A4" t="s">
        <v>94</v>
      </c>
      <c r="B4" s="69" t="s">
        <v>106</v>
      </c>
      <c r="C4" s="93" t="s">
        <v>84</v>
      </c>
      <c r="D4" s="95" t="s">
        <v>105</v>
      </c>
    </row>
    <row r="5" spans="1:6" ht="16.5" customHeight="1" thickBot="1" x14ac:dyDescent="0.3">
      <c r="A5" t="s">
        <v>14</v>
      </c>
      <c r="B5" s="63">
        <v>10000</v>
      </c>
      <c r="C5" s="94"/>
      <c r="D5" s="96"/>
    </row>
    <row r="6" spans="1:6" x14ac:dyDescent="0.25">
      <c r="A6" t="s">
        <v>9</v>
      </c>
      <c r="B6" s="20">
        <v>42756</v>
      </c>
    </row>
    <row r="7" spans="1:6" x14ac:dyDescent="0.25">
      <c r="A7" t="s">
        <v>11</v>
      </c>
      <c r="B7" s="20">
        <v>43851</v>
      </c>
    </row>
    <row r="8" spans="1:6" x14ac:dyDescent="0.25">
      <c r="A8" t="s">
        <v>85</v>
      </c>
      <c r="B8" s="59" t="s">
        <v>86</v>
      </c>
    </row>
    <row r="9" spans="1:6" x14ac:dyDescent="0.25">
      <c r="A9" t="s">
        <v>91</v>
      </c>
      <c r="B9" s="60">
        <v>4</v>
      </c>
    </row>
    <row r="10" spans="1:6" x14ac:dyDescent="0.25">
      <c r="A10" t="s">
        <v>107</v>
      </c>
      <c r="B10" s="65">
        <v>8.5000000000000006E-3</v>
      </c>
    </row>
    <row r="11" spans="1:6" x14ac:dyDescent="0.25">
      <c r="A11" t="s">
        <v>108</v>
      </c>
      <c r="B11" s="65">
        <v>1.4999999999999999E-2</v>
      </c>
    </row>
    <row r="13" spans="1:6" ht="30.75" customHeight="1" x14ac:dyDescent="0.25">
      <c r="A13" t="s">
        <v>109</v>
      </c>
      <c r="B13" s="70" t="s">
        <v>112</v>
      </c>
      <c r="C13" s="71" t="s">
        <v>113</v>
      </c>
      <c r="D13" s="72" t="s">
        <v>114</v>
      </c>
      <c r="E13" s="73" t="s">
        <v>115</v>
      </c>
      <c r="F13" s="73" t="s">
        <v>116</v>
      </c>
    </row>
    <row r="14" spans="1:6" ht="45.75" x14ac:dyDescent="0.25">
      <c r="A14" s="97">
        <v>1</v>
      </c>
      <c r="B14">
        <v>1</v>
      </c>
      <c r="C14" s="72" t="s">
        <v>110</v>
      </c>
      <c r="D14" s="78">
        <v>1.4999999999999999E-2</v>
      </c>
      <c r="E14">
        <f>IF(D14&gt;$B$11,$B$11,IF(D14&lt;$B$10,$B$10,D14))</f>
        <v>1.4999999999999999E-2</v>
      </c>
      <c r="F14">
        <f>E14/$B$9</f>
        <v>3.7499999999999999E-3</v>
      </c>
    </row>
    <row r="15" spans="1:6" x14ac:dyDescent="0.25">
      <c r="A15" s="97"/>
      <c r="B15">
        <v>2</v>
      </c>
      <c r="C15" s="98" t="s">
        <v>111</v>
      </c>
      <c r="D15" s="78">
        <v>1.6E-2</v>
      </c>
      <c r="E15">
        <f>IF(D15&gt;$B$11,$B$11,IF(D15&lt;$B$10,$B$10,D15))</f>
        <v>1.4999999999999999E-2</v>
      </c>
      <c r="F15">
        <f t="shared" ref="F15:F25" si="0">E15/$B$9</f>
        <v>3.7499999999999999E-3</v>
      </c>
    </row>
    <row r="16" spans="1:6" x14ac:dyDescent="0.25">
      <c r="A16" s="97"/>
      <c r="B16">
        <v>3</v>
      </c>
      <c r="C16" s="98"/>
      <c r="D16" s="78">
        <v>1.7000000000000001E-2</v>
      </c>
      <c r="E16">
        <f t="shared" ref="E16:E25" si="1">IF(D16&gt;$B$11,$B$11,IF(D16&lt;$B$10,$B$10,D16))</f>
        <v>1.4999999999999999E-2</v>
      </c>
      <c r="F16">
        <f t="shared" si="0"/>
        <v>3.7499999999999999E-3</v>
      </c>
    </row>
    <row r="17" spans="1:6" x14ac:dyDescent="0.25">
      <c r="A17" s="97"/>
      <c r="B17">
        <v>4</v>
      </c>
      <c r="C17" s="98"/>
      <c r="D17" s="78">
        <v>1.7999999999999999E-2</v>
      </c>
      <c r="E17">
        <f t="shared" si="1"/>
        <v>1.4999999999999999E-2</v>
      </c>
      <c r="F17">
        <f t="shared" si="0"/>
        <v>3.7499999999999999E-3</v>
      </c>
    </row>
    <row r="18" spans="1:6" x14ac:dyDescent="0.25">
      <c r="A18" s="97">
        <v>2</v>
      </c>
      <c r="B18">
        <v>1</v>
      </c>
      <c r="C18" s="98"/>
      <c r="D18" s="78">
        <v>1.9E-2</v>
      </c>
      <c r="E18">
        <f t="shared" si="1"/>
        <v>1.4999999999999999E-2</v>
      </c>
      <c r="F18">
        <f t="shared" si="0"/>
        <v>3.7499999999999999E-3</v>
      </c>
    </row>
    <row r="19" spans="1:6" x14ac:dyDescent="0.25">
      <c r="A19" s="97"/>
      <c r="B19">
        <v>2</v>
      </c>
      <c r="C19" s="98"/>
      <c r="D19" s="77">
        <v>1.95E-2</v>
      </c>
      <c r="E19">
        <f t="shared" si="1"/>
        <v>1.4999999999999999E-2</v>
      </c>
      <c r="F19">
        <f t="shared" si="0"/>
        <v>3.7499999999999999E-3</v>
      </c>
    </row>
    <row r="20" spans="1:6" x14ac:dyDescent="0.25">
      <c r="A20" s="97"/>
      <c r="B20">
        <v>3</v>
      </c>
      <c r="C20" s="98"/>
      <c r="D20" s="77">
        <v>0.02</v>
      </c>
      <c r="E20">
        <f t="shared" si="1"/>
        <v>1.4999999999999999E-2</v>
      </c>
      <c r="F20">
        <f t="shared" si="0"/>
        <v>3.7499999999999999E-3</v>
      </c>
    </row>
    <row r="21" spans="1:6" x14ac:dyDescent="0.25">
      <c r="A21" s="97"/>
      <c r="B21">
        <v>4</v>
      </c>
      <c r="C21" s="98"/>
      <c r="D21" s="77">
        <v>2.0500000000000001E-2</v>
      </c>
      <c r="E21">
        <f t="shared" si="1"/>
        <v>1.4999999999999999E-2</v>
      </c>
      <c r="F21">
        <f t="shared" si="0"/>
        <v>3.7499999999999999E-3</v>
      </c>
    </row>
    <row r="22" spans="1:6" x14ac:dyDescent="0.25">
      <c r="A22" s="97">
        <v>3</v>
      </c>
      <c r="B22">
        <v>1</v>
      </c>
      <c r="C22" s="98"/>
      <c r="D22" s="77">
        <v>2.0500000000000001E-2</v>
      </c>
      <c r="E22">
        <f t="shared" si="1"/>
        <v>1.4999999999999999E-2</v>
      </c>
      <c r="F22">
        <f t="shared" si="0"/>
        <v>3.7499999999999999E-3</v>
      </c>
    </row>
    <row r="23" spans="1:6" x14ac:dyDescent="0.25">
      <c r="A23" s="97"/>
      <c r="B23">
        <v>2</v>
      </c>
      <c r="C23" s="98"/>
      <c r="D23" s="77">
        <v>2.0500000000000001E-2</v>
      </c>
      <c r="E23">
        <f t="shared" si="1"/>
        <v>1.4999999999999999E-2</v>
      </c>
      <c r="F23">
        <f t="shared" si="0"/>
        <v>3.7499999999999999E-3</v>
      </c>
    </row>
    <row r="24" spans="1:6" x14ac:dyDescent="0.25">
      <c r="A24" s="97"/>
      <c r="B24">
        <v>3</v>
      </c>
      <c r="C24" s="98"/>
      <c r="D24" s="77">
        <v>2.1000000000000001E-2</v>
      </c>
      <c r="E24">
        <f t="shared" si="1"/>
        <v>1.4999999999999999E-2</v>
      </c>
      <c r="F24">
        <f t="shared" si="0"/>
        <v>3.7499999999999999E-3</v>
      </c>
    </row>
    <row r="25" spans="1:6" x14ac:dyDescent="0.25">
      <c r="A25" s="97"/>
      <c r="B25">
        <v>4</v>
      </c>
      <c r="C25" s="98"/>
      <c r="D25" s="77">
        <v>2.1499999999999998E-2</v>
      </c>
      <c r="E25">
        <f t="shared" si="1"/>
        <v>1.4999999999999999E-2</v>
      </c>
      <c r="F25">
        <f t="shared" si="0"/>
        <v>3.7499999999999999E-3</v>
      </c>
    </row>
  </sheetData>
  <mergeCells count="6">
    <mergeCell ref="C4:C5"/>
    <mergeCell ref="D4:D5"/>
    <mergeCell ref="A14:A17"/>
    <mergeCell ref="A18:A21"/>
    <mergeCell ref="A22:A25"/>
    <mergeCell ref="C15:C25"/>
  </mergeCells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25"/>
  <sheetViews>
    <sheetView workbookViewId="0">
      <selection activeCell="J34" sqref="J34"/>
    </sheetView>
  </sheetViews>
  <sheetFormatPr defaultRowHeight="15" x14ac:dyDescent="0.25"/>
  <cols>
    <col min="1" max="1" width="38.140625" customWidth="1"/>
    <col min="2" max="2" width="32.28515625" customWidth="1"/>
    <col min="3" max="3" width="31.42578125" bestFit="1" customWidth="1"/>
    <col min="4" max="4" width="18.5703125" bestFit="1" customWidth="1"/>
    <col min="5" max="5" width="17.85546875" customWidth="1"/>
  </cols>
  <sheetData>
    <row r="1" spans="1:4" ht="18.75" x14ac:dyDescent="0.25">
      <c r="A1" s="5" t="s">
        <v>71</v>
      </c>
      <c r="B1" s="3"/>
      <c r="C1" s="3"/>
      <c r="D1" s="53" t="s">
        <v>75</v>
      </c>
    </row>
    <row r="2" spans="1:4" x14ac:dyDescent="0.25">
      <c r="A2" s="21" t="s">
        <v>36</v>
      </c>
      <c r="B2" s="3"/>
      <c r="C2" s="3"/>
      <c r="D2" s="54" t="s">
        <v>76</v>
      </c>
    </row>
    <row r="3" spans="1:4" ht="15.75" thickBot="1" x14ac:dyDescent="0.3">
      <c r="A3" s="7" t="s">
        <v>3</v>
      </c>
      <c r="B3" s="56" t="s">
        <v>79</v>
      </c>
      <c r="C3" s="4"/>
      <c r="D3" s="55"/>
    </row>
    <row r="4" spans="1:4" x14ac:dyDescent="0.25">
      <c r="A4" s="7" t="s">
        <v>5</v>
      </c>
      <c r="B4" s="18">
        <v>10000</v>
      </c>
    </row>
    <row r="5" spans="1:4" x14ac:dyDescent="0.25">
      <c r="A5" s="7" t="s">
        <v>9</v>
      </c>
      <c r="B5" s="19">
        <v>42704</v>
      </c>
      <c r="C5" s="3"/>
    </row>
    <row r="6" spans="1:4" x14ac:dyDescent="0.25">
      <c r="A6" s="7" t="s">
        <v>11</v>
      </c>
      <c r="B6" s="20">
        <v>43069</v>
      </c>
      <c r="C6" s="3"/>
    </row>
    <row r="7" spans="1:4" x14ac:dyDescent="0.25">
      <c r="A7" s="7" t="s">
        <v>77</v>
      </c>
      <c r="B7" s="52">
        <v>3.6400000000000002E-2</v>
      </c>
      <c r="C7" s="3"/>
    </row>
    <row r="8" spans="1:4" x14ac:dyDescent="0.25">
      <c r="A8" s="7" t="s">
        <v>7</v>
      </c>
      <c r="B8" s="48" t="s">
        <v>38</v>
      </c>
      <c r="C8" s="2"/>
    </row>
    <row r="9" spans="1:4" x14ac:dyDescent="0.25">
      <c r="A9" s="7" t="s">
        <v>72</v>
      </c>
      <c r="B9" s="23">
        <v>0.79300000000000004</v>
      </c>
      <c r="C9" s="3" t="s">
        <v>39</v>
      </c>
    </row>
    <row r="10" spans="1:4" x14ac:dyDescent="0.25">
      <c r="A10" s="7" t="s">
        <v>82</v>
      </c>
      <c r="B10" s="23">
        <v>0.745</v>
      </c>
    </row>
    <row r="11" spans="1:4" x14ac:dyDescent="0.25">
      <c r="A11" s="7"/>
    </row>
    <row r="12" spans="1:4" x14ac:dyDescent="0.25">
      <c r="A12" s="22" t="s">
        <v>34</v>
      </c>
    </row>
    <row r="13" spans="1:4" x14ac:dyDescent="0.25">
      <c r="A13" s="16" t="s">
        <v>78</v>
      </c>
      <c r="B13" s="46">
        <f>B4*B7*(B6-B5)/365</f>
        <v>364</v>
      </c>
    </row>
    <row r="14" spans="1:4" x14ac:dyDescent="0.25">
      <c r="A14" s="16" t="s">
        <v>80</v>
      </c>
      <c r="B14" t="s">
        <v>81</v>
      </c>
    </row>
    <row r="16" spans="1:4" x14ac:dyDescent="0.25">
      <c r="A16" s="16" t="s">
        <v>37</v>
      </c>
    </row>
    <row r="17" spans="1:6" ht="30" x14ac:dyDescent="0.25">
      <c r="A17" s="24" t="s">
        <v>20</v>
      </c>
      <c r="B17" s="25" t="s">
        <v>21</v>
      </c>
      <c r="C17" s="26" t="s">
        <v>22</v>
      </c>
      <c r="D17" s="26" t="s">
        <v>23</v>
      </c>
      <c r="E17" s="27" t="s">
        <v>24</v>
      </c>
    </row>
    <row r="18" spans="1:6" x14ac:dyDescent="0.25">
      <c r="A18" s="28">
        <v>0.77500000000000002</v>
      </c>
      <c r="B18" s="25">
        <f>(A18-$B$9)/$B$9</f>
        <v>-2.2698612862547308E-2</v>
      </c>
      <c r="C18" s="47">
        <f t="shared" ref="C18:C25" si="0">IF(B18&gt;0,$B$4+$B$13+($B$9-$B$10)*$B$4,$B$4+$B$13)</f>
        <v>10364</v>
      </c>
      <c r="D18" s="47">
        <f>C18-10000</f>
        <v>364</v>
      </c>
      <c r="E18" s="27">
        <f>D18/$B$4</f>
        <v>3.6400000000000002E-2</v>
      </c>
    </row>
    <row r="19" spans="1:6" x14ac:dyDescent="0.25">
      <c r="A19" s="28">
        <f>A18+0.01</f>
        <v>0.78500000000000003</v>
      </c>
      <c r="B19" s="25">
        <f>(A19-$B$9)/$B$9</f>
        <v>-1.0088272383354359E-2</v>
      </c>
      <c r="C19" s="47">
        <f t="shared" si="0"/>
        <v>10364</v>
      </c>
      <c r="D19" s="47">
        <f t="shared" ref="D19:D25" si="1">C19-10000</f>
        <v>364</v>
      </c>
      <c r="E19" s="27">
        <f t="shared" ref="E19:E25" si="2">D19/$B$4</f>
        <v>3.6400000000000002E-2</v>
      </c>
    </row>
    <row r="20" spans="1:6" x14ac:dyDescent="0.25">
      <c r="A20" s="28">
        <f t="shared" ref="A20:A25" si="3">A19+0.05</f>
        <v>0.83500000000000008</v>
      </c>
      <c r="B20" s="25">
        <f t="shared" ref="B20:B25" si="4">(A20-$B$9)/$B$9</f>
        <v>5.2963430012610384E-2</v>
      </c>
      <c r="C20" s="47">
        <f t="shared" si="0"/>
        <v>10844</v>
      </c>
      <c r="D20" s="47">
        <f t="shared" si="1"/>
        <v>844</v>
      </c>
      <c r="E20" s="58">
        <f t="shared" si="2"/>
        <v>8.4400000000000003E-2</v>
      </c>
      <c r="F20" s="57">
        <v>5.6000000000000001E-2</v>
      </c>
    </row>
    <row r="21" spans="1:6" x14ac:dyDescent="0.25">
      <c r="A21" s="28">
        <f t="shared" si="3"/>
        <v>0.88500000000000012</v>
      </c>
      <c r="B21" s="25">
        <f t="shared" si="4"/>
        <v>0.11601513240857513</v>
      </c>
      <c r="C21" s="47">
        <f t="shared" si="0"/>
        <v>10844</v>
      </c>
      <c r="D21" s="47">
        <f t="shared" si="1"/>
        <v>844</v>
      </c>
      <c r="E21" s="58">
        <f t="shared" si="2"/>
        <v>8.4400000000000003E-2</v>
      </c>
    </row>
    <row r="22" spans="1:6" x14ac:dyDescent="0.25">
      <c r="A22" s="28">
        <f t="shared" si="3"/>
        <v>0.93500000000000016</v>
      </c>
      <c r="B22" s="25">
        <f t="shared" si="4"/>
        <v>0.17906683480453986</v>
      </c>
      <c r="C22" s="47">
        <f t="shared" si="0"/>
        <v>10844</v>
      </c>
      <c r="D22" s="47">
        <f t="shared" si="1"/>
        <v>844</v>
      </c>
      <c r="E22" s="58">
        <f t="shared" si="2"/>
        <v>8.4400000000000003E-2</v>
      </c>
    </row>
    <row r="23" spans="1:6" x14ac:dyDescent="0.25">
      <c r="A23" s="28">
        <f t="shared" si="3"/>
        <v>0.98500000000000021</v>
      </c>
      <c r="B23" s="25">
        <f t="shared" si="4"/>
        <v>0.24211853720050461</v>
      </c>
      <c r="C23" s="47">
        <f t="shared" si="0"/>
        <v>10844</v>
      </c>
      <c r="D23" s="47">
        <f t="shared" si="1"/>
        <v>844</v>
      </c>
      <c r="E23" s="58">
        <f t="shared" si="2"/>
        <v>8.4400000000000003E-2</v>
      </c>
    </row>
    <row r="24" spans="1:6" x14ac:dyDescent="0.25">
      <c r="A24" s="28">
        <f t="shared" si="3"/>
        <v>1.0350000000000001</v>
      </c>
      <c r="B24" s="25">
        <f t="shared" si="4"/>
        <v>0.30517023959646922</v>
      </c>
      <c r="C24" s="47">
        <f t="shared" si="0"/>
        <v>10844</v>
      </c>
      <c r="D24" s="47">
        <f t="shared" si="1"/>
        <v>844</v>
      </c>
      <c r="E24" s="58">
        <f t="shared" si="2"/>
        <v>8.4400000000000003E-2</v>
      </c>
    </row>
    <row r="25" spans="1:6" x14ac:dyDescent="0.25">
      <c r="A25" s="28">
        <f t="shared" si="3"/>
        <v>1.0850000000000002</v>
      </c>
      <c r="B25" s="25">
        <f t="shared" si="4"/>
        <v>0.36822194199243397</v>
      </c>
      <c r="C25" s="47">
        <f t="shared" si="0"/>
        <v>10844</v>
      </c>
      <c r="D25" s="47">
        <f t="shared" si="1"/>
        <v>844</v>
      </c>
      <c r="E25" s="58">
        <f t="shared" si="2"/>
        <v>8.4400000000000003E-2</v>
      </c>
    </row>
  </sheetData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8"/>
  <sheetViews>
    <sheetView workbookViewId="0">
      <selection activeCell="B16" sqref="B16"/>
    </sheetView>
  </sheetViews>
  <sheetFormatPr defaultRowHeight="15" x14ac:dyDescent="0.25"/>
  <cols>
    <col min="1" max="1" width="19.28515625" style="6" customWidth="1"/>
    <col min="2" max="2" width="16.7109375" style="3" customWidth="1"/>
    <col min="3" max="3" width="18.140625" style="3" customWidth="1"/>
    <col min="4" max="4" width="13.5703125" style="3" customWidth="1"/>
    <col min="5" max="5" width="11.42578125" style="3" bestFit="1" customWidth="1"/>
    <col min="10" max="10" width="40.42578125" bestFit="1" customWidth="1"/>
  </cols>
  <sheetData>
    <row r="1" spans="1:10" ht="18.75" x14ac:dyDescent="0.25">
      <c r="A1" s="5" t="s">
        <v>1</v>
      </c>
    </row>
    <row r="2" spans="1:10" ht="15.75" thickBot="1" x14ac:dyDescent="0.3">
      <c r="A2" s="7" t="s">
        <v>2</v>
      </c>
      <c r="C2" s="3" t="s">
        <v>33</v>
      </c>
    </row>
    <row r="3" spans="1:10" x14ac:dyDescent="0.25">
      <c r="A3" s="7" t="s">
        <v>3</v>
      </c>
      <c r="B3" s="8" t="s">
        <v>32</v>
      </c>
      <c r="C3" s="4" t="s">
        <v>27</v>
      </c>
    </row>
    <row r="4" spans="1:10" x14ac:dyDescent="0.25">
      <c r="A4" s="7" t="s">
        <v>4</v>
      </c>
      <c r="B4" s="9" t="str">
        <f>RIGHT(B3,3)</f>
        <v>HKD</v>
      </c>
      <c r="C4"/>
      <c r="D4"/>
    </row>
    <row r="5" spans="1:10" x14ac:dyDescent="0.25">
      <c r="A5" s="7" t="s">
        <v>5</v>
      </c>
      <c r="B5" s="10">
        <v>100000</v>
      </c>
      <c r="C5" t="str">
        <f>B4</f>
        <v>HKD</v>
      </c>
      <c r="D5"/>
    </row>
    <row r="6" spans="1:10" x14ac:dyDescent="0.25">
      <c r="A6" s="7" t="s">
        <v>6</v>
      </c>
      <c r="B6" s="9" t="str">
        <f>LEFT(B3,3)</f>
        <v>AUD</v>
      </c>
      <c r="C6"/>
      <c r="D6"/>
    </row>
    <row r="7" spans="1:10" x14ac:dyDescent="0.25">
      <c r="A7" s="7" t="s">
        <v>7</v>
      </c>
      <c r="B7" s="10">
        <v>6.0030000000000001</v>
      </c>
      <c r="C7" t="s">
        <v>28</v>
      </c>
      <c r="D7"/>
    </row>
    <row r="8" spans="1:10" x14ac:dyDescent="0.25">
      <c r="A8" s="7" t="s">
        <v>8</v>
      </c>
      <c r="B8" s="10">
        <v>6.0220000000000002</v>
      </c>
      <c r="C8" t="s">
        <v>30</v>
      </c>
      <c r="D8"/>
      <c r="J8" s="2" t="s">
        <v>29</v>
      </c>
    </row>
    <row r="9" spans="1:10" x14ac:dyDescent="0.25">
      <c r="A9" s="7" t="s">
        <v>9</v>
      </c>
      <c r="B9" s="11">
        <v>42704</v>
      </c>
    </row>
    <row r="10" spans="1:10" x14ac:dyDescent="0.25">
      <c r="A10" s="7" t="s">
        <v>31</v>
      </c>
      <c r="B10" s="12">
        <f>B9+1</f>
        <v>42705</v>
      </c>
    </row>
    <row r="11" spans="1:10" x14ac:dyDescent="0.25">
      <c r="A11" s="7" t="s">
        <v>10</v>
      </c>
      <c r="B11" s="12">
        <f>B12-1</f>
        <v>42734</v>
      </c>
    </row>
    <row r="12" spans="1:10" x14ac:dyDescent="0.25">
      <c r="A12" s="7" t="s">
        <v>11</v>
      </c>
      <c r="B12" s="11">
        <v>42735</v>
      </c>
    </row>
    <row r="13" spans="1:10" ht="30" x14ac:dyDescent="0.25">
      <c r="A13" s="7" t="s">
        <v>12</v>
      </c>
      <c r="B13" s="13">
        <f>B12-B10</f>
        <v>30</v>
      </c>
      <c r="C13" s="3" t="s">
        <v>26</v>
      </c>
    </row>
    <row r="14" spans="1:10" x14ac:dyDescent="0.25">
      <c r="A14" s="7" t="s">
        <v>13</v>
      </c>
      <c r="B14" s="14">
        <v>0.12875</v>
      </c>
    </row>
    <row r="15" spans="1:10" ht="15.75" thickBot="1" x14ac:dyDescent="0.3">
      <c r="A15" s="6" t="s">
        <v>25</v>
      </c>
      <c r="B15" s="15">
        <f>B5*B14*B13/365</f>
        <v>1058.2191780821918</v>
      </c>
    </row>
    <row r="17" spans="1:5" ht="37.5" customHeight="1" x14ac:dyDescent="0.25">
      <c r="A17" s="6" t="s">
        <v>20</v>
      </c>
      <c r="B17" s="3" t="s">
        <v>21</v>
      </c>
      <c r="C17" s="3" t="s">
        <v>22</v>
      </c>
      <c r="D17" s="3" t="s">
        <v>23</v>
      </c>
      <c r="E17" s="3" t="s">
        <v>24</v>
      </c>
    </row>
    <row r="18" spans="1:5" x14ac:dyDescent="0.25">
      <c r="A18" s="6">
        <f>B7</f>
        <v>6.0030000000000001</v>
      </c>
      <c r="B18" s="3">
        <f>(B7-B8)/B8</f>
        <v>-3.155097974095006E-3</v>
      </c>
      <c r="C18" s="3">
        <f>IF(B18&gt;0,B5+B15,(B5+B15)*B7/B8)</f>
        <v>100739.37059548777</v>
      </c>
    </row>
  </sheetData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D567E4008F5D41AE891B45050D4490" ma:contentTypeVersion="0" ma:contentTypeDescription="Create a new document." ma:contentTypeScope="" ma:versionID="8a03fb7a2e8fb95ff0892839af86a3c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68ED68-B36A-474D-8589-848FD5400A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44ED8C-06C2-4928-B864-9445C0345F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D73F861-4D28-4344-89E0-2B27330B4D6D}">
  <ds:schemaRefs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Menu Page </vt:lpstr>
      <vt:lpstr>hsbc product information </vt:lpstr>
      <vt:lpstr>Deposit Plus </vt:lpstr>
      <vt:lpstr>Sheet1</vt:lpstr>
      <vt:lpstr>equity linked deposit </vt:lpstr>
      <vt:lpstr>Interest Rate Range Accrual </vt:lpstr>
      <vt:lpstr>Capped&amp;Floored Floater Deposit </vt:lpstr>
      <vt:lpstr>Currency Linked III</vt:lpstr>
      <vt:lpstr>draft</vt:lpstr>
      <vt:lpstr>Useful Links </vt:lpstr>
      <vt:lpstr>Sheet2</vt:lpstr>
    </vt:vector>
  </TitlesOfParts>
  <Company>HSBC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Yawen Fan</dc:creator>
  <cp:keywords>INTERNAL</cp:keywords>
  <dc:description>INTERNAL</dc:description>
  <cp:lastModifiedBy>Yawen Fan</cp:lastModifiedBy>
  <dcterms:created xsi:type="dcterms:W3CDTF">2016-11-25T07:41:25Z</dcterms:created>
  <dcterms:modified xsi:type="dcterms:W3CDTF">2016-12-12T01:10:38Z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INTERNAL</vt:lpwstr>
  </property>
  <property fmtid="{D5CDD505-2E9C-101B-9397-08002B2CF9AE}" pid="3" name="Source">
    <vt:lpwstr>Internal</vt:lpwstr>
  </property>
  <property fmtid="{D5CDD505-2E9C-101B-9397-08002B2CF9AE}" pid="4" name="Footers">
    <vt:lpwstr>Footers</vt:lpwstr>
  </property>
  <property fmtid="{D5CDD505-2E9C-101B-9397-08002B2CF9AE}" pid="5" name="DocClassification">
    <vt:lpwstr>CLAINTERN</vt:lpwstr>
  </property>
  <property fmtid="{D5CDD505-2E9C-101B-9397-08002B2CF9AE}" pid="6" name="ContentTypeId">
    <vt:lpwstr>0x01010042D567E4008F5D41AE891B45050D4490</vt:lpwstr>
  </property>
</Properties>
</file>