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tr2669\Desktop\DS775\Final\"/>
    </mc:Choice>
  </mc:AlternateContent>
  <bookViews>
    <workbookView xWindow="0" yWindow="0" windowWidth="21420" windowHeight="7020" activeTab="1"/>
  </bookViews>
  <sheets>
    <sheet name="1" sheetId="1" r:id="rId1"/>
    <sheet name="2" sheetId="2" r:id="rId2"/>
  </sheets>
  <definedNames>
    <definedName name="solver_bigm" localSheetId="0" hidden="1">1000000</definedName>
    <definedName name="solver_bnd" localSheetId="0" hidden="1">1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rr" hidden="1">1</definedName>
    <definedName name="solver_ctp1" hidden="1">0</definedName>
    <definedName name="solver_ctp2" hidden="1">0</definedName>
    <definedName name="solver_dimcalc" localSheetId="0" hidden="1">0</definedName>
    <definedName name="solver_disp" hidden="1">0</definedName>
    <definedName name="solver_eval" hidden="1">0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sm" localSheetId="0" hidden="1">0</definedName>
    <definedName name="solver_lcens" hidden="1">-1E+30</definedName>
    <definedName name="solver_lcut" hidden="1">-1E+30</definedName>
    <definedName name="solver_log" localSheetId="0" hidden="1">1</definedName>
    <definedName name="solver_mda" localSheetId="0" hidden="1">4</definedName>
    <definedName name="solver_mod" localSheetId="0" hidden="1">3</definedName>
    <definedName name="solver_msl" localSheetId="0" hidden="1">1</definedName>
    <definedName name="solver_node1" localSheetId="1" hidden="1">"1;$I$42;;;;$H$33;Bet;1;"</definedName>
    <definedName name="solver_node2" localSheetId="1" hidden="1">"0;$M$37;$I$42;0;;Big Time;Market;1;"</definedName>
    <definedName name="solver_node3" localSheetId="1" hidden="1">"2;$Q$35;$M$37;=F59;0.371;Huge Market;Terminal;1;"</definedName>
    <definedName name="solver_node4" localSheetId="1" hidden="1">"2;$Q$40;$M$37;=H59;0.629;Limted Market;Terminal;1;"</definedName>
    <definedName name="solver_node5" localSheetId="1" hidden="1">"0;$M$47;$I$42;0;;Small Scale;Market?;1;"</definedName>
    <definedName name="solver_node6" localSheetId="1" hidden="1">"2;$Q$45;$M$47;=F60;0.371;Huge Market;Terminal;1;"</definedName>
    <definedName name="solver_node7" localSheetId="1" hidden="1">"2;$Q$50;$M$47;=H60;0.629;Limited Market;Terminal;1;"</definedName>
    <definedName name="solver_nodes" localSheetId="1" hidden="1">7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5000</definedName>
    <definedName name="solver_psi" localSheetId="0" hidden="1">0</definedName>
    <definedName name="solver_rgen" hidden="1">1</definedName>
    <definedName name="solver_rsd" localSheetId="0" hidden="1">5</definedName>
    <definedName name="solver_rsmp" hidden="1">2</definedName>
    <definedName name="solver_sclt" hidden="1">100</definedName>
    <definedName name="solver_scs" localSheetId="0" hidden="1">0</definedName>
    <definedName name="solver_seed" hidden="1">0</definedName>
    <definedName name="solver_slv" localSheetId="0" hidden="1">0</definedName>
    <definedName name="solver_slvu" localSheetId="0" hidden="1">0</definedName>
    <definedName name="solver_strm" hidden="1">0</definedName>
    <definedName name="solver_tree_a" localSheetId="0" hidden="1">1</definedName>
    <definedName name="solver_tree_a" localSheetId="1" hidden="1">1</definedName>
    <definedName name="solver_tree_b" localSheetId="0" hidden="1">1</definedName>
    <definedName name="solver_tree_b" localSheetId="1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ree_rt" localSheetId="1" hidden="1">1000000000000</definedName>
    <definedName name="solver_treeroot" localSheetId="1" hidden="1">'2'!$H$33</definedName>
    <definedName name="solver_typ" localSheetId="0" hidden="1">2</definedName>
    <definedName name="solver_ucens" hidden="1">1E+30</definedName>
    <definedName name="solver_ucut" hidden="1">1E+30</definedName>
    <definedName name="solver_umod" localSheetId="0" hidden="1">1</definedName>
    <definedName name="solver_ver" localSheetId="0" hidden="1">16</definedName>
    <definedName name="solver_vol" localSheetId="0" hidden="1">0</definedName>
    <definedName name="solveri_ISpPars_B2" localSheetId="0" hidden="1">"RiskSolver.UI.Charts.InputDlgPars:-1000001;1;1;26;23;48;50;0;90;90;0;0;0;0;1;"</definedName>
    <definedName name="solveri_ISpPars_E2" localSheetId="0" hidden="1">"RiskSolver.UI.Charts.InputDlgPars:-1000001;1;1;26;23;48;50;0;90;90;0;0;0;0;1;"</definedName>
    <definedName name="solveri_ISpPars_E3" localSheetId="0" hidden="1">"RiskSolver.UI.Charts.InputDlgPars:-1000001;1;1;26;23;48;50;0;90;90;0;0;0;0;1;"</definedName>
    <definedName name="solveri_ISpPars_E4" localSheetId="0" hidden="1">"RiskSolver.UI.Charts.InputDlgPars:-1000001;1;1;26;23;48;50;0;90;90;0;0;0;0;1;"</definedName>
    <definedName name="solveri_ISpPars_E5" localSheetId="0" hidden="1">"RiskSolver.UI.Charts.InputDlgPars:-1000001;1;1;26;23;48;50;0;90;90;0;0;0;0;1;"</definedName>
    <definedName name="solvero_CRMax_F12" localSheetId="0" hidden="1">"System.Double:2"</definedName>
    <definedName name="solvero_CRMax_F14" localSheetId="0" hidden="1">"System.Double:0"</definedName>
    <definedName name="solvero_CRMax_H6" localSheetId="0" hidden="1">"System.Double:256.478185616439"</definedName>
    <definedName name="solvero_CRMin_F12" localSheetId="0" hidden="1">"System.Double:0.78397840613586"</definedName>
    <definedName name="solvero_CRMin_F14" localSheetId="0" hidden="1">"System.Double:-0.873365442629813"</definedName>
    <definedName name="solvero_CRMin_H6" localSheetId="0" hidden="1">"System.Double:51.6510260150471"</definedName>
    <definedName name="solvero_OSpPars_F12" localSheetId="0" hidden="1">"RiskSolver.UI.Charts.OutDlgPars:-1000001;18;18;63;60;0;1;90;80;0;0;0;0;1;"</definedName>
    <definedName name="solvero_OSpPars_F14" localSheetId="0" hidden="1">"RiskSolver.UI.Charts.OutDlgPars:-1000001;18;18;63;60;0;1;90;80;0;0;0;0;1;"</definedName>
    <definedName name="solvero_OSpPars_H6" localSheetId="0" hidden="1">"RiskSolver.UI.Charts.OutDlgPars:-1000001;43;25;62;50;4;1;90;80;0;0;0;0;1;"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2" l="1"/>
  <c r="O51" i="2"/>
  <c r="R50" i="2"/>
  <c r="P51" i="2" s="1"/>
  <c r="L48" i="2" s="1"/>
  <c r="O46" i="2"/>
  <c r="P46" i="2"/>
  <c r="R45" i="2"/>
  <c r="O41" i="2"/>
  <c r="P41" i="2"/>
  <c r="R40" i="2"/>
  <c r="O36" i="2"/>
  <c r="R35" i="2"/>
  <c r="P36" i="2" s="1"/>
  <c r="L38" i="2" s="1"/>
  <c r="H43" i="2" s="1"/>
  <c r="I42" i="2" s="1"/>
  <c r="E53" i="2"/>
  <c r="E50" i="2"/>
  <c r="E47" i="2"/>
  <c r="I8" i="2" l="1"/>
  <c r="G13" i="2"/>
  <c r="G23" i="2" s="1"/>
  <c r="F23" i="2"/>
  <c r="F14" i="2"/>
  <c r="G22" i="2" s="1"/>
  <c r="J26" i="2"/>
  <c r="I26" i="2"/>
  <c r="H26" i="2"/>
  <c r="G26" i="2"/>
  <c r="F26" i="2"/>
  <c r="E26" i="2"/>
  <c r="D26" i="2"/>
  <c r="J25" i="2"/>
  <c r="I25" i="2"/>
  <c r="H25" i="2"/>
  <c r="G25" i="2"/>
  <c r="F25" i="2"/>
  <c r="E25" i="2"/>
  <c r="D25" i="2"/>
  <c r="J24" i="2"/>
  <c r="I24" i="2"/>
  <c r="H24" i="2"/>
  <c r="G24" i="2"/>
  <c r="F24" i="2"/>
  <c r="E24" i="2"/>
  <c r="D24" i="2"/>
  <c r="J23" i="2"/>
  <c r="I23" i="2"/>
  <c r="H23" i="2"/>
  <c r="D23" i="2"/>
  <c r="J22" i="2"/>
  <c r="I22" i="2"/>
  <c r="H22" i="2"/>
  <c r="F22" i="2"/>
  <c r="D22" i="2"/>
  <c r="J21" i="2"/>
  <c r="I21" i="2"/>
  <c r="H21" i="2"/>
  <c r="G21" i="2"/>
  <c r="F21" i="2"/>
  <c r="I7" i="2" l="1"/>
  <c r="E22" i="2"/>
  <c r="E23" i="2"/>
  <c r="G5" i="2"/>
  <c r="G4" i="2"/>
  <c r="E5" i="2"/>
  <c r="E4" i="2"/>
  <c r="B9" i="1"/>
  <c r="E5" i="1"/>
  <c r="E4" i="1"/>
  <c r="E3" i="1"/>
  <c r="E2" i="1"/>
  <c r="H6" i="1" l="1"/>
</calcChain>
</file>

<file path=xl/sharedStrings.xml><?xml version="1.0" encoding="utf-8"?>
<sst xmlns="http://schemas.openxmlformats.org/spreadsheetml/2006/main" count="54" uniqueCount="48">
  <si>
    <t>Software Only</t>
  </si>
  <si>
    <t>Mechanical Only</t>
  </si>
  <si>
    <t>Both Software and Mechanical</t>
  </si>
  <si>
    <t>Electrical Only</t>
  </si>
  <si>
    <t>Lognormal(.75,6)</t>
  </si>
  <si>
    <t>Exponential(1.5)</t>
  </si>
  <si>
    <t>Weibull(2,3)</t>
  </si>
  <si>
    <t>Triangular(0,1.2,4)</t>
  </si>
  <si>
    <t>Repair time distribution</t>
  </si>
  <si>
    <t>cost/hour</t>
  </si>
  <si>
    <t>prob</t>
  </si>
  <si>
    <t>unc var duration</t>
  </si>
  <si>
    <t>sample repair cost</t>
  </si>
  <si>
    <t>Probability &gt; 'tree fiftie'</t>
  </si>
  <si>
    <t>Payoff Table</t>
  </si>
  <si>
    <t>Huge Market</t>
  </si>
  <si>
    <t>Limited Market</t>
  </si>
  <si>
    <t>Big Tme</t>
  </si>
  <si>
    <t>Small Scale</t>
  </si>
  <si>
    <t>Template for Posterior Probabilities</t>
  </si>
  <si>
    <t>Data:</t>
  </si>
  <si>
    <t>State of</t>
  </si>
  <si>
    <t>Prior</t>
  </si>
  <si>
    <t>Finding</t>
  </si>
  <si>
    <t>Nature</t>
  </si>
  <si>
    <t>Probability</t>
  </si>
  <si>
    <t>Posterior</t>
  </si>
  <si>
    <t>Probabilities:</t>
  </si>
  <si>
    <t>State of Nature</t>
  </si>
  <si>
    <t>P(Finding)</t>
  </si>
  <si>
    <t>P(LM)</t>
  </si>
  <si>
    <t>P(HM)</t>
  </si>
  <si>
    <t>MktRshHM</t>
  </si>
  <si>
    <t>MktRshLM</t>
  </si>
  <si>
    <t>P(HM|MRPLM)</t>
  </si>
  <si>
    <t>P(HM|MRPHM)</t>
  </si>
  <si>
    <t>Big Time</t>
  </si>
  <si>
    <t>Cost of perfect info</t>
  </si>
  <si>
    <t>Since cost pi &lt; value of pi, we should do it</t>
  </si>
  <si>
    <t>Limted Market</t>
  </si>
  <si>
    <t>Payout Table given we do research</t>
  </si>
  <si>
    <t>LimitedMarket</t>
  </si>
  <si>
    <t>HugeMarket</t>
  </si>
  <si>
    <t>BigTIme</t>
  </si>
  <si>
    <t>EVPI = Value of perfect info</t>
  </si>
  <si>
    <t>Expected payoff w/perfect info</t>
  </si>
  <si>
    <t>Expected payoff w/o perfect info</t>
  </si>
  <si>
    <t xml:space="preserve">Expected payout given the information 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</si>
</sst>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9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4" fillId="0" borderId="1" xfId="1" applyFont="1" applyFill="1" applyBorder="1" applyAlignment="1">
      <alignment horizontal="left"/>
    </xf>
    <xf numFmtId="0" fontId="3" fillId="0" borderId="2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3" fillId="0" borderId="11" xfId="1" applyFont="1" applyFill="1" applyBorder="1" applyAlignment="1">
      <alignment horizontal="center"/>
    </xf>
    <xf numFmtId="0" fontId="3" fillId="3" borderId="12" xfId="1" applyFont="1" applyFill="1" applyBorder="1" applyAlignment="1">
      <alignment horizontal="center"/>
    </xf>
    <xf numFmtId="0" fontId="3" fillId="3" borderId="13" xfId="1" applyFont="1" applyFill="1" applyBorder="1" applyAlignment="1">
      <alignment horizontal="center"/>
    </xf>
    <xf numFmtId="0" fontId="3" fillId="3" borderId="6" xfId="1" applyFont="1" applyFill="1" applyBorder="1" applyAlignment="1">
      <alignment horizontal="center"/>
    </xf>
    <xf numFmtId="0" fontId="3" fillId="3" borderId="7" xfId="1" applyFont="1" applyFill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3" fillId="3" borderId="9" xfId="1" applyFont="1" applyFill="1" applyBorder="1" applyAlignment="1">
      <alignment horizontal="center"/>
    </xf>
    <xf numFmtId="0" fontId="3" fillId="3" borderId="14" xfId="1" applyFont="1" applyFill="1" applyBorder="1" applyAlignment="1">
      <alignment horizontal="center"/>
    </xf>
    <xf numFmtId="0" fontId="3" fillId="3" borderId="15" xfId="1" applyFont="1" applyFill="1" applyBorder="1" applyAlignment="1">
      <alignment horizontal="center"/>
    </xf>
    <xf numFmtId="0" fontId="3" fillId="3" borderId="16" xfId="1" applyFont="1" applyFill="1" applyBorder="1" applyAlignment="1">
      <alignment horizontal="center"/>
    </xf>
    <xf numFmtId="0" fontId="3" fillId="3" borderId="17" xfId="1" applyFont="1" applyFill="1" applyBorder="1" applyAlignment="1">
      <alignment horizontal="center"/>
    </xf>
    <xf numFmtId="0" fontId="4" fillId="0" borderId="18" xfId="1" applyFont="1" applyFill="1" applyBorder="1" applyAlignment="1">
      <alignment horizontal="left"/>
    </xf>
    <xf numFmtId="0" fontId="3" fillId="0" borderId="19" xfId="1" applyFont="1" applyFill="1" applyBorder="1" applyAlignment="1">
      <alignment horizontal="center"/>
    </xf>
    <xf numFmtId="0" fontId="4" fillId="0" borderId="20" xfId="1" applyFont="1" applyFill="1" applyBorder="1" applyAlignment="1">
      <alignment horizontal="left"/>
    </xf>
    <xf numFmtId="0" fontId="3" fillId="0" borderId="21" xfId="1" applyFont="1" applyFill="1" applyBorder="1" applyAlignment="1">
      <alignment horizontal="center"/>
    </xf>
    <xf numFmtId="0" fontId="3" fillId="0" borderId="22" xfId="1" applyFont="1" applyFill="1" applyBorder="1" applyAlignment="1">
      <alignment horizontal="center"/>
    </xf>
    <xf numFmtId="0" fontId="3" fillId="4" borderId="23" xfId="1" applyNumberFormat="1" applyFont="1" applyFill="1" applyBorder="1" applyAlignment="1">
      <alignment horizontal="center"/>
    </xf>
    <xf numFmtId="0" fontId="3" fillId="4" borderId="12" xfId="1" applyNumberFormat="1" applyFont="1" applyFill="1" applyBorder="1" applyAlignment="1">
      <alignment horizontal="center"/>
    </xf>
    <xf numFmtId="0" fontId="3" fillId="4" borderId="13" xfId="1" applyNumberFormat="1" applyFont="1" applyFill="1" applyBorder="1" applyAlignment="1">
      <alignment horizontal="center"/>
    </xf>
    <xf numFmtId="0" fontId="3" fillId="4" borderId="24" xfId="1" applyFont="1" applyFill="1" applyBorder="1" applyAlignment="1">
      <alignment horizontal="center"/>
    </xf>
    <xf numFmtId="0" fontId="3" fillId="4" borderId="25" xfId="1" applyFont="1" applyFill="1" applyBorder="1" applyAlignment="1">
      <alignment horizontal="center"/>
    </xf>
    <xf numFmtId="0" fontId="3" fillId="4" borderId="0" xfId="1" applyFont="1" applyFill="1" applyBorder="1" applyAlignment="1">
      <alignment horizontal="center"/>
    </xf>
    <xf numFmtId="0" fontId="3" fillId="4" borderId="9" xfId="1" applyFont="1" applyFill="1" applyBorder="1" applyAlignment="1">
      <alignment horizontal="center"/>
    </xf>
    <xf numFmtId="0" fontId="3" fillId="4" borderId="7" xfId="1" applyFont="1" applyFill="1" applyBorder="1" applyAlignment="1">
      <alignment horizontal="center"/>
    </xf>
    <xf numFmtId="0" fontId="3" fillId="4" borderId="26" xfId="1" applyFont="1" applyFill="1" applyBorder="1" applyAlignment="1">
      <alignment horizontal="center"/>
    </xf>
    <xf numFmtId="0" fontId="3" fillId="4" borderId="15" xfId="1" applyFont="1" applyFill="1" applyBorder="1" applyAlignment="1">
      <alignment horizontal="center"/>
    </xf>
    <xf numFmtId="0" fontId="3" fillId="4" borderId="16" xfId="1" applyFont="1" applyFill="1" applyBorder="1" applyAlignment="1">
      <alignment horizontal="center"/>
    </xf>
    <xf numFmtId="0" fontId="3" fillId="4" borderId="17" xfId="1" applyFont="1" applyFill="1" applyBorder="1" applyAlignment="1">
      <alignment horizontal="center"/>
    </xf>
    <xf numFmtId="0" fontId="0" fillId="0" borderId="0" xfId="0" applyNumberFormat="1"/>
    <xf numFmtId="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Normal" xfId="0" builtinId="0"/>
    <cellStyle name="Normal_Ch.10 - Decision Analysis.xl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41</xdr:row>
      <xdr:rowOff>0</xdr:rowOff>
    </xdr:from>
    <xdr:to>
      <xdr:col>8</xdr:col>
      <xdr:colOff>152400</xdr:colOff>
      <xdr:row>41</xdr:row>
      <xdr:rowOff>152400</xdr:rowOff>
    </xdr:to>
    <xdr:sp macro="" textlink="">
      <xdr:nvSpPr>
        <xdr:cNvPr id="891" name="Solver_shape$I$42"/>
        <xdr:cNvSpPr/>
      </xdr:nvSpPr>
      <xdr:spPr>
        <a:xfrm>
          <a:off x="6267450" y="7886700"/>
          <a:ext cx="152400" cy="152400"/>
        </a:xfrm>
        <a:prstGeom prst="flowChartProcess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41</xdr:row>
      <xdr:rowOff>76200</xdr:rowOff>
    </xdr:from>
    <xdr:to>
      <xdr:col>8</xdr:col>
      <xdr:colOff>0</xdr:colOff>
      <xdr:row>41</xdr:row>
      <xdr:rowOff>76200</xdr:rowOff>
    </xdr:to>
    <xdr:cxnSp macro="">
      <xdr:nvCxnSpPr>
        <xdr:cNvPr id="892" name="Solver_line$I$42"/>
        <xdr:cNvCxnSpPr/>
      </xdr:nvCxnSpPr>
      <xdr:spPr>
        <a:xfrm>
          <a:off x="5295900" y="7962900"/>
          <a:ext cx="97155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36</xdr:row>
      <xdr:rowOff>76200</xdr:rowOff>
    </xdr:from>
    <xdr:to>
      <xdr:col>10</xdr:col>
      <xdr:colOff>0</xdr:colOff>
      <xdr:row>41</xdr:row>
      <xdr:rowOff>76200</xdr:rowOff>
    </xdr:to>
    <xdr:cxnSp macro="">
      <xdr:nvCxnSpPr>
        <xdr:cNvPr id="893" name="Solver_shapecon$M$37"/>
        <xdr:cNvCxnSpPr/>
      </xdr:nvCxnSpPr>
      <xdr:spPr>
        <a:xfrm flipV="1">
          <a:off x="6419850" y="70104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152400</xdr:rowOff>
    </xdr:to>
    <xdr:sp macro="" textlink="">
      <xdr:nvSpPr>
        <xdr:cNvPr id="894" name="Solver_shape$M$37"/>
        <xdr:cNvSpPr/>
      </xdr:nvSpPr>
      <xdr:spPr>
        <a:xfrm>
          <a:off x="7991475" y="69342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36</xdr:row>
      <xdr:rowOff>76200</xdr:rowOff>
    </xdr:from>
    <xdr:to>
      <xdr:col>12</xdr:col>
      <xdr:colOff>0</xdr:colOff>
      <xdr:row>36</xdr:row>
      <xdr:rowOff>76200</xdr:rowOff>
    </xdr:to>
    <xdr:cxnSp macro="">
      <xdr:nvCxnSpPr>
        <xdr:cNvPr id="895" name="Solver_line$M$37"/>
        <xdr:cNvCxnSpPr/>
      </xdr:nvCxnSpPr>
      <xdr:spPr>
        <a:xfrm>
          <a:off x="6667500" y="7010400"/>
          <a:ext cx="13239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34</xdr:row>
      <xdr:rowOff>76200</xdr:rowOff>
    </xdr:from>
    <xdr:to>
      <xdr:col>14</xdr:col>
      <xdr:colOff>0</xdr:colOff>
      <xdr:row>36</xdr:row>
      <xdr:rowOff>76200</xdr:rowOff>
    </xdr:to>
    <xdr:cxnSp macro="">
      <xdr:nvCxnSpPr>
        <xdr:cNvPr id="896" name="Solver_shapecon$Q$35"/>
        <xdr:cNvCxnSpPr/>
      </xdr:nvCxnSpPr>
      <xdr:spPr>
        <a:xfrm flipV="1">
          <a:off x="8143875" y="66294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0</xdr:colOff>
      <xdr:row>34</xdr:row>
      <xdr:rowOff>0</xdr:rowOff>
    </xdr:from>
    <xdr:to>
      <xdr:col>17</xdr:col>
      <xdr:colOff>0</xdr:colOff>
      <xdr:row>34</xdr:row>
      <xdr:rowOff>152400</xdr:rowOff>
    </xdr:to>
    <xdr:sp macro="" textlink="">
      <xdr:nvSpPr>
        <xdr:cNvPr id="897" name="Solver_shape$Q$35"/>
        <xdr:cNvSpPr/>
      </xdr:nvSpPr>
      <xdr:spPr>
        <a:xfrm rot="16200000">
          <a:off x="9877425" y="65532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34</xdr:row>
      <xdr:rowOff>76200</xdr:rowOff>
    </xdr:from>
    <xdr:to>
      <xdr:col>16</xdr:col>
      <xdr:colOff>0</xdr:colOff>
      <xdr:row>34</xdr:row>
      <xdr:rowOff>76200</xdr:rowOff>
    </xdr:to>
    <xdr:cxnSp macro="">
      <xdr:nvCxnSpPr>
        <xdr:cNvPr id="898" name="Solver_line$Q$35"/>
        <xdr:cNvCxnSpPr/>
      </xdr:nvCxnSpPr>
      <xdr:spPr>
        <a:xfrm>
          <a:off x="8391525" y="6629400"/>
          <a:ext cx="14859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36</xdr:row>
      <xdr:rowOff>76200</xdr:rowOff>
    </xdr:from>
    <xdr:to>
      <xdr:col>14</xdr:col>
      <xdr:colOff>0</xdr:colOff>
      <xdr:row>39</xdr:row>
      <xdr:rowOff>76200</xdr:rowOff>
    </xdr:to>
    <xdr:cxnSp macro="">
      <xdr:nvCxnSpPr>
        <xdr:cNvPr id="899" name="Solver_shapecon$Q$40"/>
        <xdr:cNvCxnSpPr/>
      </xdr:nvCxnSpPr>
      <xdr:spPr>
        <a:xfrm>
          <a:off x="8143875" y="69723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0</xdr:colOff>
      <xdr:row>39</xdr:row>
      <xdr:rowOff>0</xdr:rowOff>
    </xdr:from>
    <xdr:to>
      <xdr:col>17</xdr:col>
      <xdr:colOff>0</xdr:colOff>
      <xdr:row>39</xdr:row>
      <xdr:rowOff>152400</xdr:rowOff>
    </xdr:to>
    <xdr:sp macro="" textlink="">
      <xdr:nvSpPr>
        <xdr:cNvPr id="900" name="Solver_shape$Q$40"/>
        <xdr:cNvSpPr/>
      </xdr:nvSpPr>
      <xdr:spPr>
        <a:xfrm rot="16200000">
          <a:off x="9877425" y="74295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39</xdr:row>
      <xdr:rowOff>76200</xdr:rowOff>
    </xdr:from>
    <xdr:to>
      <xdr:col>16</xdr:col>
      <xdr:colOff>0</xdr:colOff>
      <xdr:row>39</xdr:row>
      <xdr:rowOff>76200</xdr:rowOff>
    </xdr:to>
    <xdr:cxnSp macro="">
      <xdr:nvCxnSpPr>
        <xdr:cNvPr id="901" name="Solver_line$Q$40"/>
        <xdr:cNvCxnSpPr/>
      </xdr:nvCxnSpPr>
      <xdr:spPr>
        <a:xfrm>
          <a:off x="8391525" y="7505700"/>
          <a:ext cx="14859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41</xdr:row>
      <xdr:rowOff>76200</xdr:rowOff>
    </xdr:from>
    <xdr:to>
      <xdr:col>10</xdr:col>
      <xdr:colOff>0</xdr:colOff>
      <xdr:row>46</xdr:row>
      <xdr:rowOff>76200</xdr:rowOff>
    </xdr:to>
    <xdr:cxnSp macro="">
      <xdr:nvCxnSpPr>
        <xdr:cNvPr id="902" name="Solver_shapecon$M$47"/>
        <xdr:cNvCxnSpPr/>
      </xdr:nvCxnSpPr>
      <xdr:spPr>
        <a:xfrm>
          <a:off x="6419850" y="7848600"/>
          <a:ext cx="247650" cy="91440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0</xdr:colOff>
      <xdr:row>46</xdr:row>
      <xdr:rowOff>0</xdr:rowOff>
    </xdr:from>
    <xdr:to>
      <xdr:col>13</xdr:col>
      <xdr:colOff>0</xdr:colOff>
      <xdr:row>46</xdr:row>
      <xdr:rowOff>152400</xdr:rowOff>
    </xdr:to>
    <xdr:sp macro="" textlink="">
      <xdr:nvSpPr>
        <xdr:cNvPr id="903" name="Solver_shape$M$47"/>
        <xdr:cNvSpPr/>
      </xdr:nvSpPr>
      <xdr:spPr>
        <a:xfrm>
          <a:off x="7991475" y="8686800"/>
          <a:ext cx="152400" cy="152400"/>
        </a:xfrm>
        <a:prstGeom prst="flowChartConnector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46</xdr:row>
      <xdr:rowOff>76200</xdr:rowOff>
    </xdr:from>
    <xdr:to>
      <xdr:col>12</xdr:col>
      <xdr:colOff>0</xdr:colOff>
      <xdr:row>46</xdr:row>
      <xdr:rowOff>76200</xdr:rowOff>
    </xdr:to>
    <xdr:cxnSp macro="">
      <xdr:nvCxnSpPr>
        <xdr:cNvPr id="904" name="Solver_line$M$47"/>
        <xdr:cNvCxnSpPr/>
      </xdr:nvCxnSpPr>
      <xdr:spPr>
        <a:xfrm>
          <a:off x="6667500" y="8763000"/>
          <a:ext cx="1323975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44</xdr:row>
      <xdr:rowOff>76200</xdr:rowOff>
    </xdr:from>
    <xdr:to>
      <xdr:col>14</xdr:col>
      <xdr:colOff>0</xdr:colOff>
      <xdr:row>46</xdr:row>
      <xdr:rowOff>76200</xdr:rowOff>
    </xdr:to>
    <xdr:cxnSp macro="">
      <xdr:nvCxnSpPr>
        <xdr:cNvPr id="905" name="Solver_shapecon$Q$45"/>
        <xdr:cNvCxnSpPr/>
      </xdr:nvCxnSpPr>
      <xdr:spPr>
        <a:xfrm flipV="1">
          <a:off x="8143875" y="8382000"/>
          <a:ext cx="247650" cy="38100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0</xdr:colOff>
      <xdr:row>44</xdr:row>
      <xdr:rowOff>0</xdr:rowOff>
    </xdr:from>
    <xdr:to>
      <xdr:col>17</xdr:col>
      <xdr:colOff>0</xdr:colOff>
      <xdr:row>44</xdr:row>
      <xdr:rowOff>152400</xdr:rowOff>
    </xdr:to>
    <xdr:sp macro="" textlink="">
      <xdr:nvSpPr>
        <xdr:cNvPr id="906" name="Solver_shape$Q$45"/>
        <xdr:cNvSpPr/>
      </xdr:nvSpPr>
      <xdr:spPr>
        <a:xfrm rot="16200000">
          <a:off x="9877425" y="8305800"/>
          <a:ext cx="152400" cy="152400"/>
        </a:xfrm>
        <a:prstGeom prst="flowChartExtract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44</xdr:row>
      <xdr:rowOff>76200</xdr:rowOff>
    </xdr:from>
    <xdr:to>
      <xdr:col>16</xdr:col>
      <xdr:colOff>0</xdr:colOff>
      <xdr:row>44</xdr:row>
      <xdr:rowOff>76200</xdr:rowOff>
    </xdr:to>
    <xdr:cxnSp macro="">
      <xdr:nvCxnSpPr>
        <xdr:cNvPr id="907" name="Solver_line$Q$45"/>
        <xdr:cNvCxnSpPr/>
      </xdr:nvCxnSpPr>
      <xdr:spPr>
        <a:xfrm>
          <a:off x="8391525" y="8382000"/>
          <a:ext cx="148590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46</xdr:row>
      <xdr:rowOff>76200</xdr:rowOff>
    </xdr:from>
    <xdr:to>
      <xdr:col>14</xdr:col>
      <xdr:colOff>0</xdr:colOff>
      <xdr:row>49</xdr:row>
      <xdr:rowOff>76200</xdr:rowOff>
    </xdr:to>
    <xdr:cxnSp macro="">
      <xdr:nvCxnSpPr>
        <xdr:cNvPr id="908" name="Solver_shapecon$Q$50"/>
        <xdr:cNvCxnSpPr/>
      </xdr:nvCxnSpPr>
      <xdr:spPr>
        <a:xfrm>
          <a:off x="8143875" y="8724900"/>
          <a:ext cx="247650" cy="53340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0</xdr:colOff>
      <xdr:row>49</xdr:row>
      <xdr:rowOff>0</xdr:rowOff>
    </xdr:from>
    <xdr:to>
      <xdr:col>17</xdr:col>
      <xdr:colOff>0</xdr:colOff>
      <xdr:row>49</xdr:row>
      <xdr:rowOff>152400</xdr:rowOff>
    </xdr:to>
    <xdr:sp macro="" textlink="">
      <xdr:nvSpPr>
        <xdr:cNvPr id="909" name="Solver_shape$Q$50"/>
        <xdr:cNvSpPr/>
      </xdr:nvSpPr>
      <xdr:spPr>
        <a:xfrm rot="16200000">
          <a:off x="9877425" y="9182100"/>
          <a:ext cx="152400" cy="152400"/>
        </a:xfrm>
        <a:prstGeom prst="flowChartExtract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49</xdr:row>
      <xdr:rowOff>76200</xdr:rowOff>
    </xdr:from>
    <xdr:to>
      <xdr:col>16</xdr:col>
      <xdr:colOff>0</xdr:colOff>
      <xdr:row>49</xdr:row>
      <xdr:rowOff>76200</xdr:rowOff>
    </xdr:to>
    <xdr:cxnSp macro="">
      <xdr:nvCxnSpPr>
        <xdr:cNvPr id="910" name="Solver_line$Q$50"/>
        <xdr:cNvCxnSpPr/>
      </xdr:nvCxnSpPr>
      <xdr:spPr>
        <a:xfrm>
          <a:off x="8391525" y="9258300"/>
          <a:ext cx="148590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9" sqref="B9"/>
    </sheetView>
  </sheetViews>
  <sheetFormatPr defaultRowHeight="15"/>
  <cols>
    <col min="1" max="1" width="28.28515625" customWidth="1"/>
    <col min="2" max="2" width="24.85546875" bestFit="1" customWidth="1"/>
  </cols>
  <sheetData>
    <row r="1" spans="1:8">
      <c r="B1" t="s">
        <v>8</v>
      </c>
      <c r="C1" s="1" t="s">
        <v>10</v>
      </c>
      <c r="D1" t="s">
        <v>9</v>
      </c>
      <c r="E1" t="s">
        <v>11</v>
      </c>
    </row>
    <row r="2" spans="1:8">
      <c r="A2" t="s">
        <v>0</v>
      </c>
      <c r="B2" s="2" t="s">
        <v>4</v>
      </c>
      <c r="C2" s="1">
        <v>0.35</v>
      </c>
      <c r="D2">
        <v>70</v>
      </c>
      <c r="E2">
        <f ca="1">_xll.PsiLogNormal(0.75,6)</f>
        <v>0.12579421043269751</v>
      </c>
    </row>
    <row r="3" spans="1:8">
      <c r="A3" t="s">
        <v>1</v>
      </c>
      <c r="B3" t="s">
        <v>5</v>
      </c>
      <c r="C3">
        <v>0.4</v>
      </c>
      <c r="D3">
        <v>80</v>
      </c>
      <c r="E3">
        <f ca="1">_xll.PsiExponential(1.5)</f>
        <v>0.21694171688900665</v>
      </c>
    </row>
    <row r="4" spans="1:8">
      <c r="A4" t="s">
        <v>2</v>
      </c>
      <c r="B4" s="2" t="s">
        <v>6</v>
      </c>
      <c r="C4" s="3">
        <v>0.15</v>
      </c>
      <c r="D4">
        <v>130</v>
      </c>
      <c r="E4">
        <f ca="1">_xll.PsiWeibull(2,3)</f>
        <v>3.466802913810326</v>
      </c>
    </row>
    <row r="5" spans="1:8">
      <c r="A5" t="s">
        <v>3</v>
      </c>
      <c r="B5" s="2" t="s">
        <v>7</v>
      </c>
      <c r="C5" s="3">
        <v>0.1</v>
      </c>
      <c r="D5">
        <v>90</v>
      </c>
      <c r="E5">
        <f ca="1">_xll.PsiTriangular(0,1.2,4)</f>
        <v>1.1402498719262455</v>
      </c>
    </row>
    <row r="6" spans="1:8">
      <c r="E6" t="s">
        <v>12</v>
      </c>
      <c r="H6">
        <f ca="1">E2*D2*C2+E3*D3*C3+E4*D4*C4+E5*D5*C5 + _xll.PsiOutput()</f>
        <v>87.888998762686853</v>
      </c>
    </row>
    <row r="8" spans="1:8">
      <c r="B8" t="s">
        <v>13</v>
      </c>
    </row>
    <row r="9" spans="1:8">
      <c r="B9">
        <f>1-_xlfn.NORM.DIST(350,133.2833595,109.5312969,TRUE)</f>
        <v>2.3931550117670342E-2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63"/>
  <sheetViews>
    <sheetView tabSelected="1" topLeftCell="C36" workbookViewId="0">
      <selection activeCell="I63" sqref="I63"/>
    </sheetView>
  </sheetViews>
  <sheetFormatPr defaultRowHeight="15"/>
  <cols>
    <col min="4" max="4" width="13.140625" bestFit="1" customWidth="1"/>
    <col min="5" max="5" width="12.28515625" bestFit="1" customWidth="1"/>
    <col min="6" max="6" width="12" bestFit="1" customWidth="1"/>
    <col min="7" max="8" width="14.5703125" bestFit="1" customWidth="1"/>
    <col min="9" max="9" width="12" bestFit="1" customWidth="1"/>
    <col min="10" max="10" width="14.7109375" bestFit="1" customWidth="1"/>
    <col min="11" max="11" width="10.85546875" bestFit="1" customWidth="1"/>
    <col min="12" max="12" width="9" bestFit="1" customWidth="1"/>
    <col min="13" max="13" width="2.28515625" customWidth="1"/>
    <col min="14" max="14" width="3.7109375" customWidth="1"/>
    <col min="15" max="15" width="14.5703125" bestFit="1" customWidth="1"/>
    <col min="16" max="16" width="7.7109375" bestFit="1" customWidth="1"/>
    <col min="17" max="17" width="2.28515625" customWidth="1"/>
    <col min="18" max="18" width="7.7109375" bestFit="1" customWidth="1"/>
  </cols>
  <sheetData>
    <row r="2" spans="3:10">
      <c r="C2" t="s">
        <v>14</v>
      </c>
      <c r="E2" t="s">
        <v>15</v>
      </c>
      <c r="G2" t="s">
        <v>16</v>
      </c>
    </row>
    <row r="3" spans="3:10">
      <c r="E3">
        <v>0.43</v>
      </c>
      <c r="G3">
        <v>0.56999999999999995</v>
      </c>
    </row>
    <row r="4" spans="3:10">
      <c r="D4" t="s">
        <v>17</v>
      </c>
      <c r="E4">
        <f>935500-459300</f>
        <v>476200</v>
      </c>
      <c r="G4">
        <f>215000-459300</f>
        <v>-244300</v>
      </c>
    </row>
    <row r="5" spans="3:10">
      <c r="D5" t="s">
        <v>18</v>
      </c>
      <c r="E5">
        <f>390600-81600</f>
        <v>309000</v>
      </c>
      <c r="G5">
        <f>202100-81600</f>
        <v>120500</v>
      </c>
    </row>
    <row r="7" spans="3:10">
      <c r="I7">
        <f>F13*E13/(F13*E13+F14*E14)</f>
        <v>0.89245283018867927</v>
      </c>
      <c r="J7" t="s">
        <v>35</v>
      </c>
    </row>
    <row r="8" spans="3:10" ht="18">
      <c r="C8" s="4" t="s">
        <v>19</v>
      </c>
      <c r="D8" s="5"/>
      <c r="E8" s="5"/>
      <c r="F8" s="5"/>
      <c r="G8" s="5"/>
      <c r="H8" s="5"/>
      <c r="I8" s="5">
        <f>G13*E14/(SUMPRODUCT(E13:E14,G13:G14))</f>
        <v>0.20842607313195544</v>
      </c>
      <c r="J8" s="5" t="s">
        <v>34</v>
      </c>
    </row>
    <row r="9" spans="3:10" ht="15.75" thickBot="1">
      <c r="C9" s="5"/>
      <c r="D9" s="5"/>
      <c r="E9" s="5"/>
      <c r="F9" s="5"/>
      <c r="G9" s="5"/>
      <c r="H9" s="5"/>
      <c r="I9" s="5"/>
      <c r="J9" s="5"/>
    </row>
    <row r="10" spans="3:10">
      <c r="C10" s="5"/>
      <c r="D10" s="6" t="s">
        <v>20</v>
      </c>
      <c r="E10" s="7"/>
      <c r="F10" s="8"/>
      <c r="G10" s="9"/>
      <c r="H10" s="9"/>
      <c r="I10" s="9"/>
      <c r="J10" s="10"/>
    </row>
    <row r="11" spans="3:10">
      <c r="C11" s="5"/>
      <c r="D11" s="11" t="s">
        <v>21</v>
      </c>
      <c r="E11" s="12" t="s">
        <v>22</v>
      </c>
      <c r="F11" s="13" t="s">
        <v>23</v>
      </c>
      <c r="G11" s="14"/>
      <c r="H11" s="14"/>
      <c r="I11" s="14"/>
      <c r="J11" s="15"/>
    </row>
    <row r="12" spans="3:10">
      <c r="C12" s="5"/>
      <c r="D12" s="16" t="s">
        <v>24</v>
      </c>
      <c r="E12" s="17" t="s">
        <v>25</v>
      </c>
      <c r="F12" s="18" t="s">
        <v>32</v>
      </c>
      <c r="G12" s="18" t="s">
        <v>33</v>
      </c>
      <c r="H12" s="18"/>
      <c r="I12" s="18"/>
      <c r="J12" s="19"/>
    </row>
    <row r="13" spans="3:10">
      <c r="C13" s="5"/>
      <c r="D13" s="20" t="s">
        <v>31</v>
      </c>
      <c r="E13" s="21">
        <v>0.43</v>
      </c>
      <c r="F13" s="22">
        <v>0.77</v>
      </c>
      <c r="G13" s="22">
        <f>1-F13</f>
        <v>0.22999999999999998</v>
      </c>
      <c r="H13" s="22"/>
      <c r="I13" s="22"/>
      <c r="J13" s="23"/>
    </row>
    <row r="14" spans="3:10">
      <c r="C14" s="5"/>
      <c r="D14" s="20" t="s">
        <v>30</v>
      </c>
      <c r="E14" s="21">
        <v>0.56999999999999995</v>
      </c>
      <c r="F14" s="22">
        <f>1-G14</f>
        <v>6.9999999999999951E-2</v>
      </c>
      <c r="G14" s="22">
        <v>0.93</v>
      </c>
      <c r="H14" s="22"/>
      <c r="I14" s="22"/>
      <c r="J14" s="23"/>
    </row>
    <row r="15" spans="3:10">
      <c r="C15" s="5"/>
      <c r="D15" s="20"/>
      <c r="E15" s="21"/>
      <c r="F15" s="22"/>
      <c r="G15" s="22"/>
      <c r="H15" s="22"/>
      <c r="I15" s="22"/>
      <c r="J15" s="23"/>
    </row>
    <row r="16" spans="3:10">
      <c r="C16" s="5"/>
      <c r="D16" s="20"/>
      <c r="E16" s="21"/>
      <c r="F16" s="22"/>
      <c r="G16" s="22"/>
      <c r="H16" s="22"/>
      <c r="I16" s="22"/>
      <c r="J16" s="23"/>
    </row>
    <row r="17" spans="3:10" ht="15.75" thickBot="1">
      <c r="C17" s="5"/>
      <c r="D17" s="24"/>
      <c r="E17" s="25"/>
      <c r="F17" s="26"/>
      <c r="G17" s="26"/>
      <c r="H17" s="26"/>
      <c r="I17" s="26"/>
      <c r="J17" s="27"/>
    </row>
    <row r="18" spans="3:10" ht="15.75" thickBot="1">
      <c r="C18" s="5"/>
      <c r="D18" s="5"/>
      <c r="E18" s="5"/>
      <c r="F18" s="5"/>
      <c r="G18" s="5"/>
      <c r="H18" s="5"/>
      <c r="I18" s="5"/>
      <c r="J18" s="5"/>
    </row>
    <row r="19" spans="3:10">
      <c r="C19" s="5"/>
      <c r="D19" s="28" t="s">
        <v>26</v>
      </c>
      <c r="E19" s="29"/>
      <c r="F19" s="8"/>
      <c r="G19" s="9"/>
      <c r="H19" s="9"/>
      <c r="I19" s="9"/>
      <c r="J19" s="10"/>
    </row>
    <row r="20" spans="3:10">
      <c r="C20" s="5"/>
      <c r="D20" s="30" t="s">
        <v>27</v>
      </c>
      <c r="E20" s="17"/>
      <c r="F20" s="13" t="s">
        <v>28</v>
      </c>
      <c r="G20" s="14"/>
      <c r="H20" s="14"/>
      <c r="I20" s="14"/>
      <c r="J20" s="15"/>
    </row>
    <row r="21" spans="3:10">
      <c r="C21" s="5"/>
      <c r="D21" s="31" t="s">
        <v>23</v>
      </c>
      <c r="E21" s="32" t="s">
        <v>29</v>
      </c>
      <c r="F21" s="33" t="str">
        <f>IF(D13="","",D13)</f>
        <v>P(HM)</v>
      </c>
      <c r="G21" s="34" t="str">
        <f>IF(D14="","",D14)</f>
        <v>P(LM)</v>
      </c>
      <c r="H21" s="34" t="str">
        <f>IF(D15="","",D15)</f>
        <v/>
      </c>
      <c r="I21" s="34" t="str">
        <f>IF(D16="","",D16)</f>
        <v/>
      </c>
      <c r="J21" s="35" t="str">
        <f>IF(D17="","",D17)</f>
        <v/>
      </c>
    </row>
    <row r="22" spans="3:10">
      <c r="C22" s="5"/>
      <c r="D22" s="36" t="str">
        <f>IF(F12="","",F12)</f>
        <v>MktRshHM</v>
      </c>
      <c r="E22" s="37">
        <f>IF(F13="","",SUMPRODUCT(E13:E17,F13:F17))</f>
        <v>0.371</v>
      </c>
      <c r="F22" s="38">
        <f>IF(F13="","",E13*F13/SUMPRODUCT(E13:E17,F13:F17))</f>
        <v>0.89245283018867927</v>
      </c>
      <c r="G22" s="38">
        <f>IF(F14="","",E14*F14/SUMPRODUCT(E13:E17,F13:F17))</f>
        <v>0.10754716981132068</v>
      </c>
      <c r="H22" s="38" t="str">
        <f>IF(F15="","",E15*F15/SUMPRODUCT(E13:E17,F13:F17))</f>
        <v/>
      </c>
      <c r="I22" s="38" t="str">
        <f>IF(F16="","",E16*F16/SUMPRODUCT(E13:E17,F13:F17))</f>
        <v/>
      </c>
      <c r="J22" s="39" t="str">
        <f>IF(F17="","",E17*F17/SUMPRODUCT(E13:E17,F13:F17))</f>
        <v/>
      </c>
    </row>
    <row r="23" spans="3:10">
      <c r="C23" s="5"/>
      <c r="D23" s="36" t="str">
        <f>IF(G12="","",G12)</f>
        <v>MktRshLM</v>
      </c>
      <c r="E23" s="40">
        <f>IF(G13="","",SUMPRODUCT(E13:E17,G13:G17))</f>
        <v>0.629</v>
      </c>
      <c r="F23" s="38">
        <f>IF(G13="","",E13*G13/SUMPRODUCT(E13:E14,G13:G14))</f>
        <v>0.15723370429252781</v>
      </c>
      <c r="G23" s="38">
        <f>IF(G14="","",(E14*G14)/SUMPRODUCT(E13:E17,G13:G17))</f>
        <v>0.84276629570747219</v>
      </c>
      <c r="H23" s="38" t="str">
        <f>IF(G15="","",E15*G15/SUMPRODUCT(E13:E17,G13:G17))</f>
        <v/>
      </c>
      <c r="I23" s="38" t="str">
        <f>IF(G16="","",E16*G16/SUMPRODUCT(E13:E17,G13:G17))</f>
        <v/>
      </c>
      <c r="J23" s="39" t="str">
        <f>IF(G17="","",E17*G17/SUMPRODUCT(E13:E17,G13:G17))</f>
        <v/>
      </c>
    </row>
    <row r="24" spans="3:10">
      <c r="C24" s="5"/>
      <c r="D24" s="36" t="str">
        <f>IF(H12="","",H12)</f>
        <v/>
      </c>
      <c r="E24" s="40" t="str">
        <f>IF(H13="","",SUMPRODUCT(E13:E17,H13:H17))</f>
        <v/>
      </c>
      <c r="F24" s="38" t="str">
        <f>IF(H13="","",E13*H13/SUMPRODUCT(E13:E17,H13:H17))</f>
        <v/>
      </c>
      <c r="G24" s="38" t="str">
        <f>IF(H14="","",E14*H14/SUMPRODUCT(E13:E17,H13:H17))</f>
        <v/>
      </c>
      <c r="H24" s="38" t="str">
        <f>IF(H15="","",E15*H15/SUMPRODUCT(E13:E17,H13:H17))</f>
        <v/>
      </c>
      <c r="I24" s="38" t="str">
        <f>IF(H16="","",E16*H16/SUMPRODUCT(E13:E17,H13:H17))</f>
        <v/>
      </c>
      <c r="J24" s="39" t="str">
        <f>IF(H17="","",E17*H17/SUMPRODUCT(E13:E17,H13:H17))</f>
        <v/>
      </c>
    </row>
    <row r="25" spans="3:10">
      <c r="C25" s="5"/>
      <c r="D25" s="36" t="str">
        <f>IF(I12="","",I12)</f>
        <v/>
      </c>
      <c r="E25" s="40" t="str">
        <f>IF(I13="","",SUMPRODUCT(E13:E17,I13:I17))</f>
        <v/>
      </c>
      <c r="F25" s="38" t="str">
        <f>IF(I13="","",E13*I13/SUMPRODUCT(E13:E17,I13:I17))</f>
        <v/>
      </c>
      <c r="G25" s="38" t="str">
        <f>IF(I14="","",E14*I14/SUMPRODUCT(E13:E17,I13:I17))</f>
        <v/>
      </c>
      <c r="H25" s="38" t="str">
        <f>IF(I15="","",E15*I15/SUMPRODUCT(E13:E17,I13:I17))</f>
        <v/>
      </c>
      <c r="I25" s="38" t="str">
        <f>IF(I16="","",E16*I16/SUMPRODUCT(E13:E17,I13:I17))</f>
        <v/>
      </c>
      <c r="J25" s="39" t="str">
        <f>IF(I17="","",E17*I17/SUMPRODUCT(E13:E17,I13:I17))</f>
        <v/>
      </c>
    </row>
    <row r="26" spans="3:10" ht="15.75" thickBot="1">
      <c r="C26" s="5"/>
      <c r="D26" s="41" t="str">
        <f>IF(J12="","",J12)</f>
        <v/>
      </c>
      <c r="E26" s="42" t="str">
        <f>IF(J13="","",SUMPRODUCT(E13:E17,J13:J17))</f>
        <v/>
      </c>
      <c r="F26" s="43" t="str">
        <f>IF(J13="","",E13*J13/SUMPRODUCT(E13:E17,J13:J17))</f>
        <v/>
      </c>
      <c r="G26" s="43" t="str">
        <f>IF(J14="","",E14*J14/SUMPRODUCT(E13:E17,J13:J17))</f>
        <v/>
      </c>
      <c r="H26" s="43" t="str">
        <f>IF(J15="","",E15*J15/SUMPRODUCT(E13:E17,J13:J17))</f>
        <v/>
      </c>
      <c r="I26" s="43" t="str">
        <f>IF(J16="","",E16*J16/SUMPRODUCT(E13:E17,J13:J17))</f>
        <v/>
      </c>
      <c r="J26" s="44" t="str">
        <f>IF(J17="","",E17*J17/SUMPRODUCT(E13:E17,J13:J17))</f>
        <v/>
      </c>
    </row>
    <row r="27" spans="3:10">
      <c r="C27" s="5"/>
      <c r="D27" s="5"/>
      <c r="E27" s="5"/>
      <c r="F27" s="5"/>
      <c r="G27" s="5"/>
      <c r="H27" s="5"/>
      <c r="I27" s="5"/>
      <c r="J27" s="5"/>
    </row>
    <row r="32" spans="3:10">
      <c r="H32" s="46"/>
    </row>
    <row r="33" spans="5:18">
      <c r="K33" s="46"/>
      <c r="O33" s="46">
        <v>0.371</v>
      </c>
    </row>
    <row r="34" spans="5:18">
      <c r="H34" s="46"/>
      <c r="O34" t="s">
        <v>15</v>
      </c>
    </row>
    <row r="35" spans="5:18">
      <c r="H35" s="45"/>
      <c r="K35" s="46"/>
      <c r="L35" s="45"/>
      <c r="R35">
        <f>SUM($O$36,$K$38)</f>
        <v>476200</v>
      </c>
    </row>
    <row r="36" spans="5:18">
      <c r="K36" s="45" t="s">
        <v>36</v>
      </c>
      <c r="O36" s="45">
        <f>F59</f>
        <v>476200</v>
      </c>
      <c r="P36">
        <f>$R$35</f>
        <v>476200</v>
      </c>
    </row>
    <row r="37" spans="5:18">
      <c r="H37" s="47"/>
    </row>
    <row r="38" spans="5:18">
      <c r="K38" s="47">
        <v>0</v>
      </c>
      <c r="L38">
        <f>IF(ABS(1-SUM($O$33,$O$38))&lt;=0.00001,SUM($O$33*$P$36,$O$38*$P$41),NA())</f>
        <v>23005.5</v>
      </c>
      <c r="O38" s="46">
        <v>0.629</v>
      </c>
    </row>
    <row r="39" spans="5:18">
      <c r="O39" t="s">
        <v>39</v>
      </c>
    </row>
    <row r="40" spans="5:18">
      <c r="E40" t="s">
        <v>45</v>
      </c>
      <c r="H40" s="45"/>
      <c r="L40" s="45"/>
      <c r="R40">
        <f>SUM($O$41,$K$38)</f>
        <v>-244300</v>
      </c>
    </row>
    <row r="41" spans="5:18">
      <c r="K41" s="45"/>
      <c r="O41" s="45">
        <f>H59</f>
        <v>-244300</v>
      </c>
      <c r="P41">
        <f>$R$40</f>
        <v>-244300</v>
      </c>
    </row>
    <row r="42" spans="5:18">
      <c r="H42" s="46"/>
      <c r="I42">
        <f>IF($H$43=$L$38,1,IF($H$43=$L$48,2))</f>
        <v>2</v>
      </c>
    </row>
    <row r="43" spans="5:18">
      <c r="H43">
        <f>MAX($L$38,$L$48)</f>
        <v>190433.5</v>
      </c>
      <c r="K43" s="46"/>
      <c r="O43" s="46">
        <v>0.371</v>
      </c>
    </row>
    <row r="44" spans="5:18">
      <c r="E44">
        <v>273451</v>
      </c>
      <c r="H44" s="46"/>
      <c r="O44" t="s">
        <v>15</v>
      </c>
    </row>
    <row r="45" spans="5:18">
      <c r="H45" s="45"/>
      <c r="K45" s="46"/>
      <c r="L45" s="45"/>
      <c r="R45">
        <f>SUM($O$46,$K$48)</f>
        <v>309000</v>
      </c>
    </row>
    <row r="46" spans="5:18">
      <c r="E46" t="s">
        <v>46</v>
      </c>
      <c r="K46" s="45" t="s">
        <v>18</v>
      </c>
      <c r="O46" s="45">
        <f>F60</f>
        <v>309000</v>
      </c>
      <c r="P46">
        <f>$R$45</f>
        <v>309000</v>
      </c>
    </row>
    <row r="47" spans="5:18">
      <c r="E47">
        <f>E5*E3+G3*G5</f>
        <v>201555</v>
      </c>
      <c r="H47" s="45"/>
    </row>
    <row r="48" spans="5:18">
      <c r="K48" s="47">
        <v>0</v>
      </c>
      <c r="L48">
        <f>IF(ABS(1-SUM($O$43,$O$48))&lt;=0.00001,SUM($O$43*$P$46,$O$48*$P$51),NA())</f>
        <v>190433.5</v>
      </c>
      <c r="O48" s="46">
        <v>0.629</v>
      </c>
    </row>
    <row r="49" spans="5:18">
      <c r="E49" t="s">
        <v>37</v>
      </c>
      <c r="O49" t="s">
        <v>16</v>
      </c>
    </row>
    <row r="50" spans="5:18">
      <c r="E50">
        <f>12530</f>
        <v>12530</v>
      </c>
      <c r="L50" s="45"/>
      <c r="R50">
        <f>SUM($O$51,$K$48)</f>
        <v>120500</v>
      </c>
    </row>
    <row r="51" spans="5:18">
      <c r="K51" s="45"/>
      <c r="O51" s="45">
        <f>H60</f>
        <v>120500</v>
      </c>
      <c r="P51">
        <f>$R$50</f>
        <v>120500</v>
      </c>
    </row>
    <row r="52" spans="5:18">
      <c r="E52" t="s">
        <v>44</v>
      </c>
    </row>
    <row r="53" spans="5:18">
      <c r="E53">
        <f>E44-E47</f>
        <v>71896</v>
      </c>
    </row>
    <row r="55" spans="5:18">
      <c r="E55" t="s">
        <v>38</v>
      </c>
    </row>
    <row r="56" spans="5:18">
      <c r="F56" t="s">
        <v>42</v>
      </c>
      <c r="H56" t="s">
        <v>41</v>
      </c>
    </row>
    <row r="57" spans="5:18">
      <c r="F57" t="s">
        <v>40</v>
      </c>
    </row>
    <row r="58" spans="5:18">
      <c r="F58">
        <v>0.43</v>
      </c>
      <c r="H58">
        <v>0.56999999999999995</v>
      </c>
    </row>
    <row r="59" spans="5:18">
      <c r="E59" t="s">
        <v>43</v>
      </c>
      <c r="F59">
        <v>476200</v>
      </c>
      <c r="H59">
        <v>-244300</v>
      </c>
    </row>
    <row r="60" spans="5:18">
      <c r="E60" t="s">
        <v>18</v>
      </c>
      <c r="F60">
        <v>309000</v>
      </c>
      <c r="H60">
        <v>120500</v>
      </c>
    </row>
    <row r="63" spans="5:18">
      <c r="E63" t="s">
        <v>47</v>
      </c>
      <c r="H63">
        <f>H43-E47</f>
        <v>-11121.5</v>
      </c>
    </row>
  </sheetData>
  <mergeCells count="4">
    <mergeCell ref="F10:J10"/>
    <mergeCell ref="F11:J11"/>
    <mergeCell ref="F19:J19"/>
    <mergeCell ref="F20:J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Reineke David M</dc:creator>
  <cp:lastModifiedBy>Rick Lentz</cp:lastModifiedBy>
  <dcterms:created xsi:type="dcterms:W3CDTF">2016-11-14T14:52:54Z</dcterms:created>
  <dcterms:modified xsi:type="dcterms:W3CDTF">2017-12-17T22:58:09Z</dcterms:modified>
</cp:coreProperties>
</file>