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ntr2669\Desktop\DS775\mid-term\"/>
    </mc:Choice>
  </mc:AlternateContent>
  <bookViews>
    <workbookView xWindow="0" yWindow="0" windowWidth="12585" windowHeight="10290" tabRatio="759" firstSheet="11" activeTab="19"/>
  </bookViews>
  <sheets>
    <sheet name="4.7-6" sheetId="5" r:id="rId1"/>
    <sheet name="SensitivityReport476" sheetId="23" r:id="rId2"/>
    <sheet name="7.3-4a" sheetId="11" r:id="rId3"/>
    <sheet name="7.3-4f" sheetId="15" r:id="rId4"/>
    <sheet name="7.3-4g" sheetId="18" r:id="rId5"/>
    <sheet name="7.3-4h" sheetId="21" r:id="rId6"/>
    <sheet name="7.3-5f -Sensitivity Report 1" sheetId="60" r:id="rId7"/>
    <sheet name="7.3-5a" sheetId="22" r:id="rId8"/>
    <sheet name="7.3-5b" sheetId="54" r:id="rId9"/>
    <sheet name="7.3-5c" sheetId="55" r:id="rId10"/>
    <sheet name="7.3-5d Analysis Report" sheetId="58" r:id="rId11"/>
    <sheet name="7.3-5e Analysis Report" sheetId="59" r:id="rId12"/>
    <sheet name="7.3-5d" sheetId="56" r:id="rId13"/>
    <sheet name="7.3-7" sheetId="61" r:id="rId14"/>
    <sheet name="7.4-4a" sheetId="2" r:id="rId15"/>
    <sheet name="7.4-4b" sheetId="1" r:id="rId16"/>
    <sheet name="7.5-1" sheetId="8" r:id="rId17"/>
    <sheet name="7.5-4" sheetId="9" r:id="rId18"/>
    <sheet name="7.6-1" sheetId="7" r:id="rId19"/>
    <sheet name="7.6-3" sheetId="62" r:id="rId20"/>
  </sheets>
  <definedNames>
    <definedName name="coefficientsObj">'7.4-4b'!#REF!</definedName>
    <definedName name="CoefObj476">'4.7-6'!$C$6:$F$6</definedName>
    <definedName name="CoefObj734a">'7.3-4a'!$C$6:$D$6</definedName>
    <definedName name="CoefObj735a">'7.3-5a'!$C$6:$D$6</definedName>
    <definedName name="CoefObj736a">#REF!</definedName>
    <definedName name="CoefObj736b">#REF!</definedName>
    <definedName name="CoefObj736c">#REF!</definedName>
    <definedName name="CoefObj736d">#REF!</definedName>
    <definedName name="CoefObj736e">#REF!</definedName>
    <definedName name="CoefObj738c">#REF!</definedName>
    <definedName name="CoefObj738cII">#REF!</definedName>
    <definedName name="CoefObj738d">#REF!</definedName>
    <definedName name="CoefObj738gI">#REF!</definedName>
    <definedName name="CoefObj751">'7.5-1'!$D$5:$E$5</definedName>
    <definedName name="CoefObj754">'7.5-4'!$C$16:$E$16</definedName>
    <definedName name="CoefObj754b">#REF!</definedName>
    <definedName name="CoefObj761">'7.6-1'!$D$5:$F$5</definedName>
    <definedName name="CoefObjPartA">'7.4-4a'!$C$6:$E$6</definedName>
    <definedName name="CoefObjPartB">'7.4-4b'!$C$6:$E$6</definedName>
    <definedName name="CoefObjUA">#REF!</definedName>
    <definedName name="coin_cuttype" localSheetId="12" hidden="1">1</definedName>
    <definedName name="coin_dualtol" localSheetId="12" hidden="1">0.0000001</definedName>
    <definedName name="coin_heurs" localSheetId="12" hidden="1">1</definedName>
    <definedName name="coin_integerpresolve" localSheetId="12" hidden="1">1</definedName>
    <definedName name="coin_presolve1" localSheetId="12" hidden="1">1</definedName>
    <definedName name="coin_primaltol" localSheetId="12" hidden="1">0.0000001</definedName>
    <definedName name="Csubi">'7.4-4b'!#REF!</definedName>
    <definedName name="Csubi476">'4.7-6'!$C$13:$F$13</definedName>
    <definedName name="Csubi734a">'7.3-4a'!$C$13:$D$13</definedName>
    <definedName name="Csubi751">'7.5-1'!$D$13:$E$13</definedName>
    <definedName name="Csubi754">'7.5-4'!$C$24:$E$24</definedName>
    <definedName name="Csubi754b">#REF!</definedName>
    <definedName name="Csubi761">'7.6-1'!$D$15:$F$15</definedName>
    <definedName name="CsubiPartA">'7.4-4a'!$C$14:$E$14</definedName>
    <definedName name="CsubiPartB">'7.4-4b'!$C$14:$E$14</definedName>
    <definedName name="Csubj751">'7.5-1'!$D$13:$E$13</definedName>
    <definedName name="grb_async_callbacks" localSheetId="2" hidden="1">1</definedName>
    <definedName name="grb_bariter" localSheetId="2" hidden="1">1E+100</definedName>
    <definedName name="grb_bartol" localSheetId="2" hidden="1">0.00000001</definedName>
    <definedName name="grb_crossover" localSheetId="2" hidden="1">-1</definedName>
    <definedName name="grb_cut_passes" localSheetId="2" hidden="1">-1</definedName>
    <definedName name="grb_cutoff" localSheetId="2" hidden="1">1E+100</definedName>
    <definedName name="grb_cuts" localSheetId="2" hidden="1">-1</definedName>
    <definedName name="grb_focus" localSheetId="2" hidden="1">0</definedName>
    <definedName name="grb_heur" localSheetId="2" hidden="1">0.05</definedName>
    <definedName name="grb_improv" localSheetId="2" hidden="1">1E+100</definedName>
    <definedName name="grb_improv_start_gap" localSheetId="2" hidden="1">0</definedName>
    <definedName name="grb_infeas" localSheetId="2" hidden="1">0.000001</definedName>
    <definedName name="grb_inttol" localSheetId="2" hidden="1">0.00001</definedName>
    <definedName name="grb_method" localSheetId="2" hidden="1">-1</definedName>
    <definedName name="grb_nodefilestart" localSheetId="2" hidden="1">1E+100</definedName>
    <definedName name="grb_optimal" localSheetId="2" hidden="1">0.000001</definedName>
    <definedName name="grb_order" localSheetId="2" hidden="1">-1</definedName>
    <definedName name="grb_pre_passes" localSheetId="2" hidden="1">-1</definedName>
    <definedName name="grb_presolve" localSheetId="2" hidden="1">-1</definedName>
    <definedName name="grb_pricing" localSheetId="2" hidden="1">-1</definedName>
    <definedName name="grb_psdtol" localSheetId="2" hidden="1">0.000001</definedName>
    <definedName name="grb_qcptol" localSheetId="2" hidden="1">0.000001</definedName>
    <definedName name="grb_relmip" localSheetId="2" hidden="1">0.0001</definedName>
    <definedName name="grb_scaleflag" localSheetId="2" hidden="1">1</definedName>
    <definedName name="grb_seed" localSheetId="2" hidden="1">0</definedName>
    <definedName name="grb_submip" localSheetId="2" hidden="1">500</definedName>
    <definedName name="grb_symmetry" localSheetId="2" hidden="1">-1</definedName>
    <definedName name="grb_threads" localSheetId="2" hidden="1">0</definedName>
    <definedName name="grb_var" localSheetId="2" hidden="1">-1</definedName>
    <definedName name="gurobi_qp" localSheetId="2" hidden="1">0</definedName>
    <definedName name="MaxHrDavid">#REF!</definedName>
    <definedName name="MaxHrLaDeana">#REF!</definedName>
    <definedName name="MaxHrLydia">#REF!</definedName>
    <definedName name="MaxHrsDavid">#REF!</definedName>
    <definedName name="MaxHrsLaDeana">#REF!</definedName>
    <definedName name="MaxHrsLydia">#REF!</definedName>
    <definedName name="ProfitGrandfClock">#REF!</definedName>
    <definedName name="ProfitPerGrandfClock">#REF!</definedName>
    <definedName name="ProfitPerUnitOfSubassem">'7.3-4a'!$D$6</definedName>
    <definedName name="ProfitPerUnitOfToys">'7.3-4a'!$C$6</definedName>
    <definedName name="ProfitPerWallClock">#REF!</definedName>
    <definedName name="ProfitWallClock">#REF!</definedName>
    <definedName name="Shift1Cost">#REF!</definedName>
    <definedName name="Shift1Workers">#REF!</definedName>
    <definedName name="Shift2Cost">#REF!</definedName>
    <definedName name="Shift2Workers">#REF!</definedName>
    <definedName name="Shift3Cost">#REF!</definedName>
    <definedName name="Shift3Workers">#REF!</definedName>
    <definedName name="Shift4Cost">#REF!</definedName>
    <definedName name="Shift4Workers">#REF!</definedName>
    <definedName name="Shift5Cost">#REF!</definedName>
    <definedName name="Shift5Workers">#REF!</definedName>
    <definedName name="solver_adj" localSheetId="0" hidden="1">'4.7-6'!$C$13:$F$13</definedName>
    <definedName name="solver_adj" localSheetId="2" hidden="1">'7.3-4a'!$C$13:$D$13</definedName>
    <definedName name="solver_adj" localSheetId="7" hidden="1">'7.3-5a'!$C$13:$D$13</definedName>
    <definedName name="solver_adj" localSheetId="8" hidden="1">'7.3-5b'!$C$13:$D$13</definedName>
    <definedName name="solver_adj" localSheetId="9" hidden="1">'7.3-5c'!$C$13:$D$13</definedName>
    <definedName name="solver_adj" localSheetId="12" hidden="1">'7.3-5d'!$C$13:$D$13</definedName>
    <definedName name="solver_adj" localSheetId="14" hidden="1">'7.4-4a'!$C$14:$E$14</definedName>
    <definedName name="solver_adj" localSheetId="15" hidden="1">'7.4-4b'!$C$14:$E$14</definedName>
    <definedName name="solver_adj" localSheetId="16" hidden="1">'7.5-1'!$D$13:$E$13</definedName>
    <definedName name="solver_adj" localSheetId="17" hidden="1">'7.5-4'!$C$24:$E$24</definedName>
    <definedName name="solver_adj" localSheetId="18" hidden="1">'7.6-1'!$D$15:$F$15</definedName>
    <definedName name="solver_adj" localSheetId="19" hidden="1">'7.6-3'!$C$17:$F$17</definedName>
    <definedName name="solver_adj_ob" localSheetId="2" hidden="1">1</definedName>
    <definedName name="solver_adj_ob" localSheetId="12" hidden="1">1</definedName>
    <definedName name="solver_cha" localSheetId="2" hidden="1">0</definedName>
    <definedName name="solver_cha" localSheetId="12" hidden="1">0</definedName>
    <definedName name="solver_chc1" localSheetId="2" hidden="1">0</definedName>
    <definedName name="solver_chc1" localSheetId="12" hidden="1">0</definedName>
    <definedName name="solver_chn" localSheetId="2" hidden="1">4</definedName>
    <definedName name="solver_chn" localSheetId="12" hidden="1">4</definedName>
    <definedName name="solver_chp1" localSheetId="2" hidden="1">0</definedName>
    <definedName name="solver_chp1" localSheetId="12" hidden="1">0</definedName>
    <definedName name="solver_cht" localSheetId="2" hidden="1">0</definedName>
    <definedName name="solver_cht" localSheetId="12" hidden="1">0</definedName>
    <definedName name="solver_cir1" localSheetId="2" hidden="1">1</definedName>
    <definedName name="solver_cir1" localSheetId="12" hidden="1">1</definedName>
    <definedName name="solver_con" localSheetId="2" hidden="1">" "</definedName>
    <definedName name="solver_con" localSheetId="12" hidden="1">" "</definedName>
    <definedName name="solver_con1" localSheetId="2" hidden="1">" "</definedName>
    <definedName name="solver_con1" localSheetId="12" hidden="1">" "</definedName>
    <definedName name="solver_cvg" localSheetId="0" hidden="1">0.0001</definedName>
    <definedName name="solver_cvg" localSheetId="2" hidden="1">0.0001</definedName>
    <definedName name="solver_cvg" localSheetId="7" hidden="1">0.0001</definedName>
    <definedName name="solver_cvg" localSheetId="8" hidden="1">0.0001</definedName>
    <definedName name="solver_cvg" localSheetId="9" hidden="1">0.0001</definedName>
    <definedName name="solver_cvg" localSheetId="12" hidden="1">0.0001</definedName>
    <definedName name="solver_cvg" localSheetId="14" hidden="1">0.0001</definedName>
    <definedName name="solver_cvg" localSheetId="15" hidden="1">0.0001</definedName>
    <definedName name="solver_cvg" localSheetId="16" hidden="1">0.0001</definedName>
    <definedName name="solver_cvg" localSheetId="17" hidden="1">0.0001</definedName>
    <definedName name="solver_cvg" localSheetId="18" hidden="1">0.0001</definedName>
    <definedName name="solver_cvg" localSheetId="19" hidden="1">0.0001</definedName>
    <definedName name="solver_dia" localSheetId="2" hidden="1">5</definedName>
    <definedName name="solver_dia" localSheetId="12" hidden="1">5</definedName>
    <definedName name="solver_drv" localSheetId="0" hidden="1">2</definedName>
    <definedName name="solver_drv" localSheetId="2" hidden="1">1</definedName>
    <definedName name="solver_drv" localSheetId="7" hidden="1">2</definedName>
    <definedName name="solver_drv" localSheetId="8" hidden="1">1</definedName>
    <definedName name="solver_drv" localSheetId="9" hidden="1">1</definedName>
    <definedName name="solver_drv" localSheetId="12" hidden="1">1</definedName>
    <definedName name="solver_drv" localSheetId="14" hidden="1">2</definedName>
    <definedName name="solver_drv" localSheetId="15" hidden="1">2</definedName>
    <definedName name="solver_drv" localSheetId="16" hidden="1">2</definedName>
    <definedName name="solver_drv" localSheetId="17" hidden="1">1</definedName>
    <definedName name="solver_drv" localSheetId="18" hidden="1">2</definedName>
    <definedName name="solver_drv" localSheetId="19" hidden="1">1</definedName>
    <definedName name="solver_eng" localSheetId="0" hidden="1">2</definedName>
    <definedName name="solver_eng" localSheetId="2" hidden="1">2</definedName>
    <definedName name="solver_eng" localSheetId="7" hidden="1">2</definedName>
    <definedName name="solver_eng" localSheetId="8" hidden="1">2</definedName>
    <definedName name="solver_eng" localSheetId="9" hidden="1">2</definedName>
    <definedName name="solver_eng" localSheetId="12" hidden="1">2</definedName>
    <definedName name="solver_eng" localSheetId="14" hidden="1">2</definedName>
    <definedName name="solver_eng" localSheetId="15" hidden="1">2</definedName>
    <definedName name="solver_eng" localSheetId="16" hidden="1">2</definedName>
    <definedName name="solver_eng" localSheetId="17" hidden="1">2</definedName>
    <definedName name="solver_eng" localSheetId="18" hidden="1">2</definedName>
    <definedName name="solver_eng" localSheetId="19" hidden="1">2</definedName>
    <definedName name="solver_est" localSheetId="0" hidden="1">1</definedName>
    <definedName name="solver_est" localSheetId="2" hidden="1">1</definedName>
    <definedName name="solver_est" localSheetId="7" hidden="1">1</definedName>
    <definedName name="solver_est" localSheetId="8" hidden="1">1</definedName>
    <definedName name="solver_est" localSheetId="9" hidden="1">1</definedName>
    <definedName name="solver_est" localSheetId="12" hidden="1">1</definedName>
    <definedName name="solver_est" localSheetId="14" hidden="1">1</definedName>
    <definedName name="solver_est" localSheetId="15" hidden="1">1</definedName>
    <definedName name="solver_est" localSheetId="16" hidden="1">1</definedName>
    <definedName name="solver_est" localSheetId="17" hidden="1">1</definedName>
    <definedName name="solver_est" localSheetId="18" hidden="1">1</definedName>
    <definedName name="solver_est" localSheetId="19" hidden="1">1</definedName>
    <definedName name="solver_iao" localSheetId="2" hidden="1">0</definedName>
    <definedName name="solver_iao" localSheetId="12" hidden="1">0</definedName>
    <definedName name="solver_int" localSheetId="2" hidden="1">0</definedName>
    <definedName name="solver_int" localSheetId="12" hidden="1">0</definedName>
    <definedName name="solver_irs" localSheetId="2" hidden="1">0</definedName>
    <definedName name="solver_irs" localSheetId="12" hidden="1">0</definedName>
    <definedName name="solver_ism" localSheetId="2" hidden="1">0</definedName>
    <definedName name="solver_ism" localSheetId="12" hidden="1">0</definedName>
    <definedName name="solver_itr" localSheetId="0" hidden="1">2147483647</definedName>
    <definedName name="solver_itr" localSheetId="2" hidden="1">2147483647</definedName>
    <definedName name="solver_itr" localSheetId="7" hidden="1">2147483647</definedName>
    <definedName name="solver_itr" localSheetId="8" hidden="1">2147483647</definedName>
    <definedName name="solver_itr" localSheetId="9" hidden="1">2147483647</definedName>
    <definedName name="solver_itr" localSheetId="12" hidden="1">2147483647</definedName>
    <definedName name="solver_itr" localSheetId="14" hidden="1">2147483647</definedName>
    <definedName name="solver_itr" localSheetId="15" hidden="1">2147483647</definedName>
    <definedName name="solver_itr" localSheetId="16" hidden="1">2147483647</definedName>
    <definedName name="solver_itr" localSheetId="17" hidden="1">2147483647</definedName>
    <definedName name="solver_itr" localSheetId="18" hidden="1">2147483647</definedName>
    <definedName name="solver_itr" localSheetId="19" hidden="1">2147483647</definedName>
    <definedName name="solver_kiv" localSheetId="12" hidden="1">2E+30</definedName>
    <definedName name="solver_lhs_ob1" localSheetId="2" hidden="1">0</definedName>
    <definedName name="solver_lhs_ob1" localSheetId="12" hidden="1">0</definedName>
    <definedName name="solver_lhs1" localSheetId="0" hidden="1">'4.7-6'!$G$10</definedName>
    <definedName name="solver_lhs1" localSheetId="2" hidden="1">'7.3-4a'!$E$9:$E$10</definedName>
    <definedName name="solver_lhs1" localSheetId="7" hidden="1">'7.3-5a'!$E$9:$E$11</definedName>
    <definedName name="solver_lhs1" localSheetId="8" hidden="1">'7.3-5b'!$E$9:$E$11</definedName>
    <definedName name="solver_lhs1" localSheetId="9" hidden="1">'7.3-5c'!$E$9:$E$11</definedName>
    <definedName name="solver_lhs1" localSheetId="12" hidden="1">'7.3-5d'!$E$9:$E$11</definedName>
    <definedName name="solver_lhs1" localSheetId="14" hidden="1">'7.4-4a'!$F$9:$F$11</definedName>
    <definedName name="solver_lhs1" localSheetId="15" hidden="1">'7.4-4b'!$F$9:$F$11</definedName>
    <definedName name="solver_lhs1" localSheetId="16" hidden="1">'7.5-1'!$F$10</definedName>
    <definedName name="solver_lhs1" localSheetId="17" hidden="1">'7.5-4'!$F$19</definedName>
    <definedName name="solver_lhs1" localSheetId="18" hidden="1">'7.6-1'!$G$10</definedName>
    <definedName name="solver_lhs1" localSheetId="19" hidden="1">'7.6-3'!$G$10</definedName>
    <definedName name="solver_lhs2" localSheetId="0" hidden="1">'4.7-6'!$G$9</definedName>
    <definedName name="solver_lhs2" localSheetId="14" hidden="1">'7.4-4a'!$F$9</definedName>
    <definedName name="solver_lhs2" localSheetId="15" hidden="1">'7.4-4b'!$F$9</definedName>
    <definedName name="solver_lhs2" localSheetId="16" hidden="1">'7.5-1'!$F$8</definedName>
    <definedName name="solver_lhs2" localSheetId="17" hidden="1">'7.5-4'!$F$20</definedName>
    <definedName name="solver_lhs2" localSheetId="18" hidden="1">'7.6-1'!$G$11</definedName>
    <definedName name="solver_lhs2" localSheetId="19" hidden="1">'7.6-3'!$G$11:$G$14</definedName>
    <definedName name="solver_lhs3" localSheetId="14" hidden="1">'7.4-4a'!$F$9</definedName>
    <definedName name="solver_lhs3" localSheetId="15" hidden="1">'7.4-4b'!$F$9</definedName>
    <definedName name="solver_lhs3" localSheetId="16" hidden="1">'7.5-1'!$F$9</definedName>
    <definedName name="solver_lhs3" localSheetId="17" hidden="1">'7.5-4'!$F$21</definedName>
    <definedName name="solver_lhs3" localSheetId="18" hidden="1">'7.6-1'!$G$12</definedName>
    <definedName name="solver_lhs4" localSheetId="18" hidden="1">'7.6-1'!$G$8</definedName>
    <definedName name="solver_lhs5" localSheetId="18" hidden="1">'7.6-1'!$G$9</definedName>
    <definedName name="solver_lin" localSheetId="2" hidden="1">2</definedName>
    <definedName name="solver_lin" localSheetId="12" hidden="1">1</definedName>
    <definedName name="solver_mda" localSheetId="2" hidden="1">4</definedName>
    <definedName name="solver_mda" localSheetId="12" hidden="1">4</definedName>
    <definedName name="solver_mip" localSheetId="0" hidden="1">2147483647</definedName>
    <definedName name="solver_mip" localSheetId="2" hidden="1">2147483647</definedName>
    <definedName name="solver_mip" localSheetId="7" hidden="1">2147483647</definedName>
    <definedName name="solver_mip" localSheetId="8" hidden="1">2147483647</definedName>
    <definedName name="solver_mip" localSheetId="9" hidden="1">2147483647</definedName>
    <definedName name="solver_mip" localSheetId="12" hidden="1">2147483647</definedName>
    <definedName name="solver_mip" localSheetId="14" hidden="1">2147483647</definedName>
    <definedName name="solver_mip" localSheetId="15" hidden="1">2147483647</definedName>
    <definedName name="solver_mip" localSheetId="16" hidden="1">2147483647</definedName>
    <definedName name="solver_mip" localSheetId="17" hidden="1">2147483647</definedName>
    <definedName name="solver_mip" localSheetId="18" hidden="1">2147483647</definedName>
    <definedName name="solver_mip" localSheetId="19" hidden="1">2147483647</definedName>
    <definedName name="solver_mni" localSheetId="0" hidden="1">30</definedName>
    <definedName name="solver_mni" localSheetId="2" hidden="1">30</definedName>
    <definedName name="solver_mni" localSheetId="7" hidden="1">30</definedName>
    <definedName name="solver_mni" localSheetId="8" hidden="1">30</definedName>
    <definedName name="solver_mni" localSheetId="9" hidden="1">30</definedName>
    <definedName name="solver_mni" localSheetId="12" hidden="1">30</definedName>
    <definedName name="solver_mni" localSheetId="14" hidden="1">30</definedName>
    <definedName name="solver_mni" localSheetId="15" hidden="1">30</definedName>
    <definedName name="solver_mni" localSheetId="16" hidden="1">30</definedName>
    <definedName name="solver_mni" localSheetId="17" hidden="1">30</definedName>
    <definedName name="solver_mni" localSheetId="18" hidden="1">30</definedName>
    <definedName name="solver_mni" localSheetId="19" hidden="1">30</definedName>
    <definedName name="solver_mod" localSheetId="2" hidden="1">3</definedName>
    <definedName name="solver_mod" localSheetId="12" hidden="1">3</definedName>
    <definedName name="solver_mrt" localSheetId="0" hidden="1">0.075</definedName>
    <definedName name="solver_mrt" localSheetId="2" hidden="1">0.075</definedName>
    <definedName name="solver_mrt" localSheetId="7" hidden="1">0.075</definedName>
    <definedName name="solver_mrt" localSheetId="8" hidden="1">0.075</definedName>
    <definedName name="solver_mrt" localSheetId="9" hidden="1">0.075</definedName>
    <definedName name="solver_mrt" localSheetId="12" hidden="1">0.075</definedName>
    <definedName name="solver_mrt" localSheetId="14" hidden="1">0.075</definedName>
    <definedName name="solver_mrt" localSheetId="15" hidden="1">0.075</definedName>
    <definedName name="solver_mrt" localSheetId="16" hidden="1">0.075</definedName>
    <definedName name="solver_mrt" localSheetId="17" hidden="1">0.075</definedName>
    <definedName name="solver_mrt" localSheetId="18" hidden="1">0.075</definedName>
    <definedName name="solver_mrt" localSheetId="19" hidden="1">0.075</definedName>
    <definedName name="solver_msl" localSheetId="0" hidden="1">2</definedName>
    <definedName name="solver_msl" localSheetId="2" hidden="1">2</definedName>
    <definedName name="solver_msl" localSheetId="7" hidden="1">2</definedName>
    <definedName name="solver_msl" localSheetId="8" hidden="1">2</definedName>
    <definedName name="solver_msl" localSheetId="9" hidden="1">2</definedName>
    <definedName name="solver_msl" localSheetId="12" hidden="1">2</definedName>
    <definedName name="solver_msl" localSheetId="14" hidden="1">2</definedName>
    <definedName name="solver_msl" localSheetId="15" hidden="1">2</definedName>
    <definedName name="solver_msl" localSheetId="16" hidden="1">2</definedName>
    <definedName name="solver_msl" localSheetId="17" hidden="1">2</definedName>
    <definedName name="solver_msl" localSheetId="18" hidden="1">2</definedName>
    <definedName name="solver_msl" localSheetId="19" hidden="1">2</definedName>
    <definedName name="solver_neg" localSheetId="0" hidden="1">1</definedName>
    <definedName name="solver_neg" localSheetId="2" hidden="1">1</definedName>
    <definedName name="solver_neg" localSheetId="7" hidden="1">1</definedName>
    <definedName name="solver_neg" localSheetId="8" hidden="1">1</definedName>
    <definedName name="solver_neg" localSheetId="9" hidden="1">1</definedName>
    <definedName name="solver_neg" localSheetId="12" hidden="1">1</definedName>
    <definedName name="solver_neg" localSheetId="14" hidden="1">1</definedName>
    <definedName name="solver_neg" localSheetId="15" hidden="1">1</definedName>
    <definedName name="solver_neg" localSheetId="16" hidden="1">1</definedName>
    <definedName name="solver_neg" localSheetId="17" hidden="1">1</definedName>
    <definedName name="solver_neg" localSheetId="18" hidden="1">1</definedName>
    <definedName name="solver_neg" localSheetId="19" hidden="1">1</definedName>
    <definedName name="solver_nod" localSheetId="0" hidden="1">2147483647</definedName>
    <definedName name="solver_nod" localSheetId="2" hidden="1">2147483647</definedName>
    <definedName name="solver_nod" localSheetId="7" hidden="1">2147483647</definedName>
    <definedName name="solver_nod" localSheetId="8" hidden="1">2147483647</definedName>
    <definedName name="solver_nod" localSheetId="9" hidden="1">2147483647</definedName>
    <definedName name="solver_nod" localSheetId="12" hidden="1">2147483647</definedName>
    <definedName name="solver_nod" localSheetId="14" hidden="1">2147483647</definedName>
    <definedName name="solver_nod" localSheetId="15" hidden="1">2147483647</definedName>
    <definedName name="solver_nod" localSheetId="16" hidden="1">2147483647</definedName>
    <definedName name="solver_nod" localSheetId="17" hidden="1">2147483647</definedName>
    <definedName name="solver_nod" localSheetId="18" hidden="1">2147483647</definedName>
    <definedName name="solver_nod" localSheetId="19" hidden="1">2147483647</definedName>
    <definedName name="solver_nopt" localSheetId="2" hidden="1">1</definedName>
    <definedName name="solver_nopt" localSheetId="12" hidden="1">1</definedName>
    <definedName name="solver_ntr" localSheetId="2" hidden="1">0</definedName>
    <definedName name="solver_ntr" localSheetId="12" hidden="1">0</definedName>
    <definedName name="solver_ntri" hidden="1">1000</definedName>
    <definedName name="solver_num" localSheetId="0" hidden="1">2</definedName>
    <definedName name="solver_num" localSheetId="2" hidden="1">1</definedName>
    <definedName name="solver_num" localSheetId="7" hidden="1">1</definedName>
    <definedName name="solver_num" localSheetId="8" hidden="1">1</definedName>
    <definedName name="solver_num" localSheetId="9" hidden="1">1</definedName>
    <definedName name="solver_num" localSheetId="12" hidden="1">1</definedName>
    <definedName name="solver_num" localSheetId="14" hidden="1">1</definedName>
    <definedName name="solver_num" localSheetId="15" hidden="1">1</definedName>
    <definedName name="solver_num" localSheetId="16" hidden="1">3</definedName>
    <definedName name="solver_num" localSheetId="17" hidden="1">3</definedName>
    <definedName name="solver_num" localSheetId="18" hidden="1">5</definedName>
    <definedName name="solver_num" localSheetId="19" hidden="1">2</definedName>
    <definedName name="solver_nwt" localSheetId="0" hidden="1">1</definedName>
    <definedName name="solver_nwt" localSheetId="2" hidden="1">1</definedName>
    <definedName name="solver_nwt" localSheetId="7" hidden="1">1</definedName>
    <definedName name="solver_nwt" localSheetId="8" hidden="1">1</definedName>
    <definedName name="solver_nwt" localSheetId="9" hidden="1">1</definedName>
    <definedName name="solver_nwt" localSheetId="12" hidden="1">1</definedName>
    <definedName name="solver_nwt" localSheetId="14" hidden="1">1</definedName>
    <definedName name="solver_nwt" localSheetId="15" hidden="1">1</definedName>
    <definedName name="solver_nwt" localSheetId="16" hidden="1">1</definedName>
    <definedName name="solver_nwt" localSheetId="17" hidden="1">1</definedName>
    <definedName name="solver_nwt" localSheetId="18" hidden="1">1</definedName>
    <definedName name="solver_nwt" localSheetId="19" hidden="1">1</definedName>
    <definedName name="solver_obc" localSheetId="2" hidden="1">0</definedName>
    <definedName name="solver_obc" localSheetId="12" hidden="1">0</definedName>
    <definedName name="solver_obp" localSheetId="2" hidden="1">0</definedName>
    <definedName name="solver_obp" localSheetId="12" hidden="1">0</definedName>
    <definedName name="solver_opt" localSheetId="0" hidden="1">'4.7-6'!$I$13</definedName>
    <definedName name="solver_opt" localSheetId="2" hidden="1">'7.3-4a'!$G$13</definedName>
    <definedName name="solver_opt" localSheetId="7" hidden="1">'7.3-5a'!$G$13</definedName>
    <definedName name="solver_opt" localSheetId="8" hidden="1">'7.3-5b'!$G$13</definedName>
    <definedName name="solver_opt" localSheetId="9" hidden="1">'7.3-5c'!$G$13</definedName>
    <definedName name="solver_opt" localSheetId="12" hidden="1">'7.3-5d'!$G$13</definedName>
    <definedName name="solver_opt" localSheetId="14" hidden="1">'7.4-4a'!$H$14</definedName>
    <definedName name="solver_opt" localSheetId="15" hidden="1">'7.4-4b'!$H$14</definedName>
    <definedName name="solver_opt" localSheetId="16" hidden="1">'7.5-1'!$H$13</definedName>
    <definedName name="solver_opt" localSheetId="17" hidden="1">'7.5-4'!$H$24</definedName>
    <definedName name="solver_opt" localSheetId="18" hidden="1">'7.6-1'!$I$15</definedName>
    <definedName name="solver_opt" localSheetId="19" hidden="1">'7.6-3'!$I$17</definedName>
    <definedName name="solver_opt_ob" localSheetId="2" hidden="1">1</definedName>
    <definedName name="solver_opt_ob" localSheetId="12" hidden="1">1</definedName>
    <definedName name="solver_pre" localSheetId="0" hidden="1">0.000001</definedName>
    <definedName name="solver_pre" localSheetId="2" hidden="1">0.000001</definedName>
    <definedName name="solver_pre" localSheetId="7" hidden="1">0.000001</definedName>
    <definedName name="solver_pre" localSheetId="8" hidden="1">0.000001</definedName>
    <definedName name="solver_pre" localSheetId="9" hidden="1">0.000001</definedName>
    <definedName name="solver_pre" localSheetId="12" hidden="1">0.000001</definedName>
    <definedName name="solver_pre" localSheetId="14" hidden="1">0.000001</definedName>
    <definedName name="solver_pre" localSheetId="15" hidden="1">0.000001</definedName>
    <definedName name="solver_pre" localSheetId="16" hidden="1">0.000001</definedName>
    <definedName name="solver_pre" localSheetId="17" hidden="1">0.000001</definedName>
    <definedName name="solver_pre" localSheetId="18" hidden="1">0.000001</definedName>
    <definedName name="solver_pre" localSheetId="19" hidden="1">0.000001</definedName>
    <definedName name="solver_psi" localSheetId="2" hidden="1">0</definedName>
    <definedName name="solver_psi" localSheetId="12" hidden="1">0</definedName>
    <definedName name="solver_rbv" localSheetId="0" hidden="1">2</definedName>
    <definedName name="solver_rbv" localSheetId="2" hidden="1">1</definedName>
    <definedName name="solver_rbv" localSheetId="7" hidden="1">2</definedName>
    <definedName name="solver_rbv" localSheetId="8" hidden="1">1</definedName>
    <definedName name="solver_rbv" localSheetId="9" hidden="1">1</definedName>
    <definedName name="solver_rbv" localSheetId="12" hidden="1">1</definedName>
    <definedName name="solver_rbv" localSheetId="14" hidden="1">2</definedName>
    <definedName name="solver_rbv" localSheetId="15" hidden="1">2</definedName>
    <definedName name="solver_rbv" localSheetId="16" hidden="1">2</definedName>
    <definedName name="solver_rbv" localSheetId="17" hidden="1">1</definedName>
    <definedName name="solver_rbv" localSheetId="18" hidden="1">2</definedName>
    <definedName name="solver_rbv" localSheetId="19" hidden="1">1</definedName>
    <definedName name="solver_rdp" localSheetId="2" hidden="1">0</definedName>
    <definedName name="solver_rdp" localSheetId="12" hidden="1">0</definedName>
    <definedName name="solver_reco1" localSheetId="2" hidden="1">0</definedName>
    <definedName name="solver_reco1" localSheetId="12" hidden="1">0</definedName>
    <definedName name="solver_rel1" localSheetId="0" hidden="1">1</definedName>
    <definedName name="solver_rel1" localSheetId="2" hidden="1">1</definedName>
    <definedName name="solver_rel1" localSheetId="7" hidden="1">1</definedName>
    <definedName name="solver_rel1" localSheetId="8" hidden="1">1</definedName>
    <definedName name="solver_rel1" localSheetId="9" hidden="1">1</definedName>
    <definedName name="solver_rel1" localSheetId="12" hidden="1">1</definedName>
    <definedName name="solver_rel1" localSheetId="14" hidden="1">1</definedName>
    <definedName name="solver_rel1" localSheetId="15" hidden="1">1</definedName>
    <definedName name="solver_rel1" localSheetId="16" hidden="1">1</definedName>
    <definedName name="solver_rel1" localSheetId="17" hidden="1">1</definedName>
    <definedName name="solver_rel1" localSheetId="18" hidden="1">1</definedName>
    <definedName name="solver_rel1" localSheetId="19" hidden="1">3</definedName>
    <definedName name="solver_rel2" localSheetId="0" hidden="1">1</definedName>
    <definedName name="solver_rel2" localSheetId="14" hidden="1">1</definedName>
    <definedName name="solver_rel2" localSheetId="15" hidden="1">1</definedName>
    <definedName name="solver_rel2" localSheetId="16" hidden="1">1</definedName>
    <definedName name="solver_rel2" localSheetId="17" hidden="1">1</definedName>
    <definedName name="solver_rel2" localSheetId="18" hidden="1">1</definedName>
    <definedName name="solver_rel2" localSheetId="19" hidden="1">1</definedName>
    <definedName name="solver_rel3" localSheetId="14" hidden="1">1</definedName>
    <definedName name="solver_rel3" localSheetId="15" hidden="1">1</definedName>
    <definedName name="solver_rel3" localSheetId="16" hidden="1">1</definedName>
    <definedName name="solver_rel3" localSheetId="17" hidden="1">1</definedName>
    <definedName name="solver_rel3" localSheetId="18" hidden="1">1</definedName>
    <definedName name="solver_rel4" localSheetId="18" hidden="1">1</definedName>
    <definedName name="solver_rel5" localSheetId="18" hidden="1">1</definedName>
    <definedName name="solver_rep" localSheetId="2" hidden="1">0</definedName>
    <definedName name="solver_rep" localSheetId="12" hidden="1">0</definedName>
    <definedName name="solver_rhs1" localSheetId="0" hidden="1">'4.7-6'!$I$10</definedName>
    <definedName name="solver_rhs1" localSheetId="2" hidden="1">'7.3-4a'!$G$9:$G$10</definedName>
    <definedName name="solver_rhs1" localSheetId="7" hidden="1">'7.3-5a'!$G$9:$G$11</definedName>
    <definedName name="solver_rhs1" localSheetId="8" hidden="1">'7.3-5b'!$G$9:$G$11</definedName>
    <definedName name="solver_rhs1" localSheetId="9" hidden="1">'7.3-5c'!$G$9:$G$11</definedName>
    <definedName name="solver_rhs1" localSheetId="12" hidden="1">'7.3-5d'!$G$9:$G$11</definedName>
    <definedName name="solver_rhs1" localSheetId="14" hidden="1">'7.4-4a'!$H$9:$H$11</definedName>
    <definedName name="solver_rhs1" localSheetId="15" hidden="1">'7.4-4b'!$H$9:$H$11</definedName>
    <definedName name="solver_rhs1" localSheetId="16" hidden="1">'7.5-1'!$H$10</definedName>
    <definedName name="solver_rhs1" localSheetId="17" hidden="1">'7.5-4'!$H$19</definedName>
    <definedName name="solver_rhs1" localSheetId="18" hidden="1">'7.6-1'!$I$10</definedName>
    <definedName name="solver_rhs1" localSheetId="19" hidden="1">'7.6-3'!$I$10</definedName>
    <definedName name="solver_rhs2" localSheetId="0" hidden="1">'4.7-6'!$I$9</definedName>
    <definedName name="solver_rhs2" localSheetId="14" hidden="1">'7.4-4a'!$H$9</definedName>
    <definedName name="solver_rhs2" localSheetId="15" hidden="1">'7.4-4b'!$H$9</definedName>
    <definedName name="solver_rhs2" localSheetId="16" hidden="1">'7.5-1'!$H$8</definedName>
    <definedName name="solver_rhs2" localSheetId="17" hidden="1">'7.5-4'!$H$20</definedName>
    <definedName name="solver_rhs2" localSheetId="18" hidden="1">'7.6-1'!$I$11</definedName>
    <definedName name="solver_rhs2" localSheetId="19" hidden="1">'7.6-3'!$I$11:$I$14</definedName>
    <definedName name="solver_rhs3" localSheetId="14" hidden="1">'7.4-4a'!$H$9</definedName>
    <definedName name="solver_rhs3" localSheetId="15" hidden="1">'7.4-4b'!$H$9</definedName>
    <definedName name="solver_rhs3" localSheetId="16" hidden="1">'7.5-1'!$H$9</definedName>
    <definedName name="solver_rhs3" localSheetId="17" hidden="1">'7.5-4'!$H$21</definedName>
    <definedName name="solver_rhs3" localSheetId="18" hidden="1">'7.6-1'!$I$12</definedName>
    <definedName name="solver_rhs4" localSheetId="18" hidden="1">'7.6-1'!$I$8</definedName>
    <definedName name="solver_rhs5" localSheetId="18" hidden="1">'7.6-1'!$I$9</definedName>
    <definedName name="solver_rlx" localSheetId="0" hidden="1">2</definedName>
    <definedName name="solver_rlx" localSheetId="2" hidden="1">2</definedName>
    <definedName name="solver_rlx" localSheetId="7" hidden="1">2</definedName>
    <definedName name="solver_rlx" localSheetId="8" hidden="1">2</definedName>
    <definedName name="solver_rlx" localSheetId="9" hidden="1">2</definedName>
    <definedName name="solver_rlx" localSheetId="12" hidden="1">0</definedName>
    <definedName name="solver_rlx" localSheetId="14" hidden="1">2</definedName>
    <definedName name="solver_rlx" localSheetId="15" hidden="1">2</definedName>
    <definedName name="solver_rlx" localSheetId="16" hidden="1">2</definedName>
    <definedName name="solver_rlx" localSheetId="17" hidden="1">2</definedName>
    <definedName name="solver_rlx" localSheetId="18" hidden="1">2</definedName>
    <definedName name="solver_rlx" localSheetId="19" hidden="1">2</definedName>
    <definedName name="solver_rsd" localSheetId="0" hidden="1">0</definedName>
    <definedName name="solver_rsd" localSheetId="2" hidden="1">0</definedName>
    <definedName name="solver_rsd" localSheetId="7" hidden="1">0</definedName>
    <definedName name="solver_rsd" localSheetId="8" hidden="1">0</definedName>
    <definedName name="solver_rsd" localSheetId="9" hidden="1">0</definedName>
    <definedName name="solver_rsd" localSheetId="12" hidden="1">0</definedName>
    <definedName name="solver_rsd" localSheetId="14" hidden="1">0</definedName>
    <definedName name="solver_rsd" localSheetId="15" hidden="1">0</definedName>
    <definedName name="solver_rsd" localSheetId="16" hidden="1">0</definedName>
    <definedName name="solver_rsd" localSheetId="17" hidden="1">0</definedName>
    <definedName name="solver_rsd" localSheetId="18" hidden="1">0</definedName>
    <definedName name="solver_rsd" localSheetId="19" hidden="1">0</definedName>
    <definedName name="solver_rsmp" hidden="1">2</definedName>
    <definedName name="solver_rtr" localSheetId="2" hidden="1">0</definedName>
    <definedName name="solver_rtr" localSheetId="12" hidden="1">0</definedName>
    <definedName name="solver_rxc1" localSheetId="2" hidden="1">1</definedName>
    <definedName name="solver_rxc1" localSheetId="12" hidden="1">1</definedName>
    <definedName name="solver_rxv" localSheetId="2" hidden="1">1</definedName>
    <definedName name="solver_rxv" localSheetId="12" hidden="1">1</definedName>
    <definedName name="solver_scl" localSheetId="0" hidden="1">2</definedName>
    <definedName name="solver_scl" localSheetId="2" hidden="1">1</definedName>
    <definedName name="solver_scl" localSheetId="7" hidden="1">2</definedName>
    <definedName name="solver_scl" localSheetId="8" hidden="1">1</definedName>
    <definedName name="solver_scl" localSheetId="9" hidden="1">1</definedName>
    <definedName name="solver_scl" localSheetId="12" hidden="1">1</definedName>
    <definedName name="solver_scl" localSheetId="14" hidden="1">2</definedName>
    <definedName name="solver_scl" localSheetId="15" hidden="1">2</definedName>
    <definedName name="solver_scl" localSheetId="16" hidden="1">2</definedName>
    <definedName name="solver_scl" localSheetId="17" hidden="1">1</definedName>
    <definedName name="solver_scl" localSheetId="18" hidden="1">2</definedName>
    <definedName name="solver_scl" localSheetId="19" hidden="1">1</definedName>
    <definedName name="solver_seed" hidden="1">0</definedName>
    <definedName name="solver_sel" localSheetId="2" hidden="1">1</definedName>
    <definedName name="solver_sel" localSheetId="12" hidden="1">1</definedName>
    <definedName name="solver_sho" localSheetId="0" hidden="1">2</definedName>
    <definedName name="solver_sho" localSheetId="2" hidden="1">2</definedName>
    <definedName name="solver_sho" localSheetId="7" hidden="1">2</definedName>
    <definedName name="solver_sho" localSheetId="8" hidden="1">2</definedName>
    <definedName name="solver_sho" localSheetId="9" hidden="1">2</definedName>
    <definedName name="solver_sho" localSheetId="12" hidden="1">2</definedName>
    <definedName name="solver_sho" localSheetId="14" hidden="1">2</definedName>
    <definedName name="solver_sho" localSheetId="15" hidden="1">2</definedName>
    <definedName name="solver_sho" localSheetId="16" hidden="1">2</definedName>
    <definedName name="solver_sho" localSheetId="17" hidden="1">2</definedName>
    <definedName name="solver_sho" localSheetId="18" hidden="1">2</definedName>
    <definedName name="solver_sho" localSheetId="19" hidden="1">2</definedName>
    <definedName name="solver_slv" localSheetId="2" hidden="1">0</definedName>
    <definedName name="solver_slv" localSheetId="12" hidden="1">0</definedName>
    <definedName name="solver_slvu" localSheetId="2" hidden="1">0</definedName>
    <definedName name="solver_slvu" localSheetId="12" hidden="1">0</definedName>
    <definedName name="solver_spid" localSheetId="2" hidden="1">" "</definedName>
    <definedName name="solver_spid" localSheetId="12" hidden="1">" "</definedName>
    <definedName name="solver_srvr" localSheetId="2" hidden="1">" "</definedName>
    <definedName name="solver_srvr" localSheetId="12" hidden="1">" "</definedName>
    <definedName name="solver_ssz" localSheetId="0" hidden="1">100</definedName>
    <definedName name="solver_ssz" localSheetId="2" hidden="1">100</definedName>
    <definedName name="solver_ssz" localSheetId="7" hidden="1">100</definedName>
    <definedName name="solver_ssz" localSheetId="8" hidden="1">100</definedName>
    <definedName name="solver_ssz" localSheetId="9" hidden="1">100</definedName>
    <definedName name="solver_ssz" localSheetId="12" hidden="1">100</definedName>
    <definedName name="solver_ssz" localSheetId="14" hidden="1">100</definedName>
    <definedName name="solver_ssz" localSheetId="15" hidden="1">100</definedName>
    <definedName name="solver_ssz" localSheetId="16" hidden="1">100</definedName>
    <definedName name="solver_ssz" localSheetId="17" hidden="1">100</definedName>
    <definedName name="solver_ssz" localSheetId="18" hidden="1">100</definedName>
    <definedName name="solver_ssz" localSheetId="19" hidden="1">100</definedName>
    <definedName name="solver_tim" localSheetId="0" hidden="1">2147483647</definedName>
    <definedName name="solver_tim" localSheetId="2" hidden="1">2147483647</definedName>
    <definedName name="solver_tim" localSheetId="7" hidden="1">2147483647</definedName>
    <definedName name="solver_tim" localSheetId="8" hidden="1">2147483647</definedName>
    <definedName name="solver_tim" localSheetId="9" hidden="1">2147483647</definedName>
    <definedName name="solver_tim" localSheetId="12" hidden="1">2147483647</definedName>
    <definedName name="solver_tim" localSheetId="14" hidden="1">2147483647</definedName>
    <definedName name="solver_tim" localSheetId="15" hidden="1">2147483647</definedName>
    <definedName name="solver_tim" localSheetId="16" hidden="1">2147483647</definedName>
    <definedName name="solver_tim" localSheetId="17" hidden="1">2147483647</definedName>
    <definedName name="solver_tim" localSheetId="18" hidden="1">2147483647</definedName>
    <definedName name="solver_tim" localSheetId="19" hidden="1">2147483647</definedName>
    <definedName name="solver_tol" localSheetId="0" hidden="1">0.01</definedName>
    <definedName name="solver_tol" localSheetId="2" hidden="1">0.01</definedName>
    <definedName name="solver_tol" localSheetId="7" hidden="1">0.01</definedName>
    <definedName name="solver_tol" localSheetId="8" hidden="1">0.01</definedName>
    <definedName name="solver_tol" localSheetId="9" hidden="1">0.01</definedName>
    <definedName name="solver_tol" localSheetId="12" hidden="1">0.01</definedName>
    <definedName name="solver_tol" localSheetId="14" hidden="1">0.01</definedName>
    <definedName name="solver_tol" localSheetId="15" hidden="1">0.01</definedName>
    <definedName name="solver_tol" localSheetId="16" hidden="1">0.01</definedName>
    <definedName name="solver_tol" localSheetId="17" hidden="1">0.01</definedName>
    <definedName name="solver_tol" localSheetId="18" hidden="1">0.01</definedName>
    <definedName name="solver_tol" localSheetId="19" hidden="1">0.01</definedName>
    <definedName name="solver_typ" localSheetId="0" hidden="1">1</definedName>
    <definedName name="solver_typ" localSheetId="2" hidden="1">1</definedName>
    <definedName name="solver_typ" localSheetId="5" hidden="1">2</definedName>
    <definedName name="solver_typ" localSheetId="7" hidden="1">1</definedName>
    <definedName name="solver_typ" localSheetId="8" hidden="1">1</definedName>
    <definedName name="solver_typ" localSheetId="9" hidden="1">1</definedName>
    <definedName name="solver_typ" localSheetId="12" hidden="1">1</definedName>
    <definedName name="solver_typ" localSheetId="14" hidden="1">1</definedName>
    <definedName name="solver_typ" localSheetId="15" hidden="1">1</definedName>
    <definedName name="solver_typ" localSheetId="16" hidden="1">1</definedName>
    <definedName name="solver_typ" localSheetId="17" hidden="1">1</definedName>
    <definedName name="solver_typ" localSheetId="18" hidden="1">1</definedName>
    <definedName name="solver_typ" localSheetId="19" hidden="1">1</definedName>
    <definedName name="solver_umod" localSheetId="2" hidden="1">1</definedName>
    <definedName name="solver_umod" localSheetId="12" hidden="1">1</definedName>
    <definedName name="solver_urs" localSheetId="2" hidden="1">0</definedName>
    <definedName name="solver_urs" localSheetId="12" hidden="1">0</definedName>
    <definedName name="solver_userid" localSheetId="0" hidden="1">274945</definedName>
    <definedName name="solver_userid" localSheetId="2" hidden="1">274945</definedName>
    <definedName name="solver_userid" localSheetId="7" hidden="1">274945</definedName>
    <definedName name="solver_userid" localSheetId="8" hidden="1">246362</definedName>
    <definedName name="solver_userid" localSheetId="9" hidden="1">246362</definedName>
    <definedName name="solver_userid" localSheetId="12" hidden="1">246362</definedName>
    <definedName name="solver_userid" localSheetId="14" hidden="1">274945</definedName>
    <definedName name="solver_userid" localSheetId="15" hidden="1">274945</definedName>
    <definedName name="solver_userid" localSheetId="16" hidden="1">274945</definedName>
    <definedName name="solver_userid" localSheetId="17" hidden="1">274945</definedName>
    <definedName name="solver_userid" localSheetId="18" hidden="1">274945</definedName>
    <definedName name="solver_val" localSheetId="0" hidden="1">0</definedName>
    <definedName name="solver_val" localSheetId="2" hidden="1">0</definedName>
    <definedName name="solver_val" localSheetId="7" hidden="1">0</definedName>
    <definedName name="solver_val" localSheetId="8" hidden="1">0</definedName>
    <definedName name="solver_val" localSheetId="9" hidden="1">0</definedName>
    <definedName name="solver_val" localSheetId="12" hidden="1">0</definedName>
    <definedName name="solver_val" localSheetId="14" hidden="1">0</definedName>
    <definedName name="solver_val" localSheetId="15" hidden="1">0</definedName>
    <definedName name="solver_val" localSheetId="16" hidden="1">0</definedName>
    <definedName name="solver_val" localSheetId="17" hidden="1">0</definedName>
    <definedName name="solver_val" localSheetId="18" hidden="1">0</definedName>
    <definedName name="solver_val" localSheetId="19" hidden="1">0</definedName>
    <definedName name="solver_var" localSheetId="2" hidden="1">" "</definedName>
    <definedName name="solver_var" localSheetId="12" hidden="1">" "</definedName>
    <definedName name="solver_ver" localSheetId="0" hidden="1">3</definedName>
    <definedName name="solver_ver" localSheetId="2" hidden="1">3</definedName>
    <definedName name="solver_ver" localSheetId="5" hidden="1">16</definedName>
    <definedName name="solver_ver" localSheetId="7" hidden="1">3</definedName>
    <definedName name="solver_ver" localSheetId="8" hidden="1">3</definedName>
    <definedName name="solver_ver" localSheetId="9" hidden="1">3</definedName>
    <definedName name="solver_ver" localSheetId="12" hidden="1">16</definedName>
    <definedName name="solver_ver" localSheetId="14" hidden="1">3</definedName>
    <definedName name="solver_ver" localSheetId="15" hidden="1">3</definedName>
    <definedName name="solver_ver" localSheetId="16" hidden="1">3</definedName>
    <definedName name="solver_ver" localSheetId="17" hidden="1">3</definedName>
    <definedName name="solver_ver" localSheetId="18" hidden="1">3</definedName>
    <definedName name="solver_ver" localSheetId="19" hidden="1">3</definedName>
    <definedName name="solver_vir" localSheetId="2" hidden="1">1</definedName>
    <definedName name="solver_vir" localSheetId="12" hidden="1">1</definedName>
    <definedName name="solver_vol" localSheetId="2" hidden="1">0</definedName>
    <definedName name="solver_vol" localSheetId="12" hidden="1">0</definedName>
    <definedName name="solver_vst" localSheetId="2" hidden="1">0</definedName>
    <definedName name="solver_vst" localSheetId="12" hidden="1">0</definedName>
    <definedName name="SubassemProduced734">'7.3-4a'!$D$13</definedName>
    <definedName name="TotalZ">'7.4-4b'!#REF!</definedName>
    <definedName name="TotalZ476">'4.7-6'!$I$13</definedName>
    <definedName name="TotalZ734a">'7.3-4a'!$G$13</definedName>
    <definedName name="TotalZ735a">'7.3-5a'!$G$13</definedName>
    <definedName name="TotalZ736a">#REF!</definedName>
    <definedName name="TotalZ736b">#REF!</definedName>
    <definedName name="TotalZ736c">#REF!</definedName>
    <definedName name="TotalZ736d">#REF!</definedName>
    <definedName name="TotalZ736e">#REF!</definedName>
    <definedName name="TotalZ738cI">#REF!</definedName>
    <definedName name="TotalZ738cII">#REF!</definedName>
    <definedName name="TotalZ738d">#REF!</definedName>
    <definedName name="TotalZ738gI">#REF!</definedName>
    <definedName name="TotalZ751">'7.5-1'!$H$13</definedName>
    <definedName name="TotalZ754">'7.5-4'!$H$24</definedName>
    <definedName name="TotalZ754b">#REF!</definedName>
    <definedName name="TotalZ761">'7.6-1'!$I$15</definedName>
    <definedName name="TotalZPartA">'7.4-4a'!$H$14</definedName>
    <definedName name="TotalZPartB">'7.4-4b'!$H$14</definedName>
    <definedName name="TotalZUA">#REF!</definedName>
    <definedName name="ToysProduced734">'7.3-4a'!$C$13</definedName>
    <definedName name="UnitOfGrandfClock">#REF!</definedName>
    <definedName name="UnitOfWallClock">#REF!</definedName>
    <definedName name="UnitsOfGrandfClock">#REF!</definedName>
    <definedName name="UnitsOfWallClock">#REF!</definedName>
    <definedName name="Xsubi735a">'7.3-5a'!$C$13:$D$13</definedName>
    <definedName name="Xsubi736a">#REF!</definedName>
    <definedName name="Xsubi736b">#REF!</definedName>
    <definedName name="Xsubi736c">#REF!</definedName>
    <definedName name="Xsubi736d">#REF!</definedName>
    <definedName name="Xsubi736e">#REF!</definedName>
    <definedName name="Xsubi738c">#REF!</definedName>
    <definedName name="Xsubi738cII">#REF!</definedName>
    <definedName name="Xsubi738d">#REF!</definedName>
    <definedName name="Xsubi738gI">#REF!</definedName>
    <definedName name="XsubiUA">#REF!</definedName>
  </definedNames>
  <calcPr calcId="152511" concurrentCalc="0"/>
  <pivotCaches>
    <pivotCache cacheId="0" r:id="rId21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4" i="62" l="1"/>
  <c r="G13" i="62"/>
  <c r="G12" i="62"/>
  <c r="G11" i="62"/>
  <c r="G10" i="62"/>
  <c r="G10" i="56"/>
  <c r="G13" i="56"/>
  <c r="E11" i="56"/>
  <c r="E10" i="56"/>
  <c r="E9" i="56"/>
  <c r="G13" i="55"/>
  <c r="E11" i="55"/>
  <c r="E10" i="55"/>
  <c r="E9" i="55"/>
  <c r="E10" i="54"/>
  <c r="E11" i="54"/>
  <c r="E9" i="54"/>
  <c r="G13" i="54"/>
  <c r="C17" i="1"/>
  <c r="C27" i="9"/>
  <c r="H20" i="9"/>
  <c r="H21" i="9"/>
  <c r="H19" i="9"/>
  <c r="D13" i="9"/>
  <c r="D12" i="9"/>
  <c r="D11" i="9"/>
  <c r="F4" i="9"/>
  <c r="L4" i="9"/>
  <c r="F5" i="9"/>
  <c r="L5" i="9"/>
  <c r="F3" i="9"/>
  <c r="L3" i="9"/>
  <c r="B20" i="8"/>
  <c r="H10" i="8"/>
  <c r="H9" i="8"/>
  <c r="H8" i="8"/>
  <c r="E4" i="21"/>
  <c r="H10" i="21"/>
  <c r="H9" i="21"/>
  <c r="H8" i="21"/>
  <c r="H7" i="21"/>
  <c r="H5" i="21"/>
  <c r="H4" i="21"/>
  <c r="E14" i="21"/>
  <c r="E13" i="21"/>
  <c r="E12" i="21"/>
  <c r="E11" i="21"/>
  <c r="E10" i="21"/>
  <c r="E9" i="21"/>
  <c r="E8" i="21"/>
  <c r="E7" i="21"/>
  <c r="E5" i="21"/>
  <c r="G13" i="22"/>
  <c r="E11" i="22"/>
  <c r="E10" i="22"/>
  <c r="E9" i="22"/>
  <c r="H6" i="21"/>
  <c r="E6" i="21"/>
  <c r="E10" i="11"/>
  <c r="E9" i="11"/>
  <c r="G13" i="11"/>
  <c r="H24" i="9"/>
  <c r="F21" i="9"/>
  <c r="F20" i="9"/>
  <c r="F19" i="9"/>
  <c r="H13" i="8"/>
  <c r="F10" i="8"/>
  <c r="F9" i="8"/>
  <c r="F8" i="8"/>
  <c r="I15" i="7"/>
  <c r="G9" i="7"/>
  <c r="G10" i="7"/>
  <c r="G11" i="7"/>
  <c r="G12" i="7"/>
  <c r="G8" i="7"/>
  <c r="I13" i="5"/>
  <c r="G10" i="5"/>
  <c r="G9" i="5"/>
  <c r="H14" i="2"/>
  <c r="F11" i="2"/>
  <c r="F10" i="2"/>
  <c r="F9" i="2"/>
  <c r="H14" i="1"/>
  <c r="F11" i="1"/>
  <c r="F10" i="1"/>
  <c r="F9" i="1"/>
  <c r="I17" i="62"/>
</calcChain>
</file>

<file path=xl/sharedStrings.xml><?xml version="1.0" encoding="utf-8"?>
<sst xmlns="http://schemas.openxmlformats.org/spreadsheetml/2006/main" count="499" uniqueCount="201">
  <si>
    <t>Problem 7.4-4</t>
  </si>
  <si>
    <t>Resource 1</t>
  </si>
  <si>
    <t>Resource 2</t>
  </si>
  <si>
    <t>Resource 3</t>
  </si>
  <si>
    <t>x1</t>
  </si>
  <si>
    <t>x2</t>
  </si>
  <si>
    <t>x3</t>
  </si>
  <si>
    <t>(a)</t>
  </si>
  <si>
    <t>&lt;=</t>
  </si>
  <si>
    <t>&gt;=</t>
  </si>
  <si>
    <t>available</t>
  </si>
  <si>
    <t>used</t>
  </si>
  <si>
    <t>Total Z</t>
  </si>
  <si>
    <t>max : objective</t>
  </si>
  <si>
    <t>b sub  i</t>
  </si>
  <si>
    <t>(b)</t>
  </si>
  <si>
    <t>Robust Optimization</t>
  </si>
  <si>
    <t>Microsoft Excel 16.0 Sensitivity Report</t>
  </si>
  <si>
    <t>Variable Cells</t>
  </si>
  <si>
    <t>Cell</t>
  </si>
  <si>
    <t>Name</t>
  </si>
  <si>
    <t>Final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</si>
  <si>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</si>
  <si>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</si>
  <si>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</si>
  <si>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</si>
  <si>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</si>
  <si>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</si>
  <si>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</si>
  <si>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</si>
  <si>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Constraints</t>
  </si>
  <si>
    <t>Shadow</t>
  </si>
  <si>
    <t>Price</t>
  </si>
  <si>
    <t>Constraint</t>
  </si>
  <si>
    <t>R.H. Side</t>
  </si>
  <si>
    <t>Resource 2 used</t>
  </si>
  <si>
    <t>Resource 1 used</t>
  </si>
  <si>
    <t>% of decrease in Z =</t>
  </si>
  <si>
    <t>Problem 4.7-6</t>
  </si>
  <si>
    <t>x4</t>
  </si>
  <si>
    <t>$C$13</t>
  </si>
  <si>
    <t>$D$13</t>
  </si>
  <si>
    <t>$E$13</t>
  </si>
  <si>
    <t>$F$13</t>
  </si>
  <si>
    <t>$G$10</t>
  </si>
  <si>
    <t>$G$9</t>
  </si>
  <si>
    <t>Problem 7.6-1</t>
  </si>
  <si>
    <t>Doors</t>
  </si>
  <si>
    <t>Windows</t>
  </si>
  <si>
    <t>Profit Per Batch ($000)</t>
  </si>
  <si>
    <t>Hours</t>
  </si>
  <si>
    <t>Hours Used Per Batch Produced</t>
  </si>
  <si>
    <t>Used</t>
  </si>
  <si>
    <t>Available</t>
  </si>
  <si>
    <t>Plant 1</t>
  </si>
  <si>
    <t>Plant 2</t>
  </si>
  <si>
    <t>Plant 3</t>
  </si>
  <si>
    <t>Total Profit ($000)</t>
  </si>
  <si>
    <t>Batches Produced</t>
  </si>
  <si>
    <t>Scenario2</t>
  </si>
  <si>
    <t>Scenario1</t>
  </si>
  <si>
    <t>p(Scenario1) = 0.5 and p(Scenario2) = 0.5</t>
  </si>
  <si>
    <t>all Scenarios</t>
  </si>
  <si>
    <t>Problem 7.5-1</t>
  </si>
  <si>
    <t>Problem 7.5.4</t>
  </si>
  <si>
    <t>stochastic with recourse</t>
  </si>
  <si>
    <t>chance constraints</t>
  </si>
  <si>
    <t>constraint 1</t>
  </si>
  <si>
    <t>constraint 2</t>
  </si>
  <si>
    <t>constraint 3</t>
  </si>
  <si>
    <t>Problem 7.3-4</t>
  </si>
  <si>
    <t>produce toys</t>
  </si>
  <si>
    <t>produce subassemblies</t>
  </si>
  <si>
    <t>subassembly A</t>
  </si>
  <si>
    <t>subassembly B</t>
  </si>
  <si>
    <t>ProfitPerUnitOfToys</t>
  </si>
  <si>
    <t>ToysProduced734</t>
  </si>
  <si>
    <t>SubassemProduced734</t>
  </si>
  <si>
    <t>Worksheet: [HW5ver1009.xlsx]Prob734a</t>
  </si>
  <si>
    <t>$E$9</t>
  </si>
  <si>
    <t>subassembly A used</t>
  </si>
  <si>
    <t>$E$10</t>
  </si>
  <si>
    <t>subassembly B used</t>
  </si>
  <si>
    <t>ProfitPerUnitOfSubassem</t>
  </si>
  <si>
    <t>Report Created: 10/9/2016 11:52:31 PM</t>
  </si>
  <si>
    <t xml:space="preserve"> Activity 1 (produce toys c 1): allowable unit profit range [ $2.5 to $5 ]</t>
  </si>
  <si>
    <t>Problem 7.3-4 (f)</t>
  </si>
  <si>
    <t xml:space="preserve"> Activity 2 (produce subassemblies c 2): allowable unit profit range [ -$3.0 to -$1.5 ]</t>
  </si>
  <si>
    <t xml:space="preserve"> TotalZ734a </t>
  </si>
  <si>
    <t>Problem 7.3-4 (g)</t>
  </si>
  <si>
    <t>Problem 7.3-4 (h)</t>
  </si>
  <si>
    <t>original c1</t>
  </si>
  <si>
    <t>original c2</t>
  </si>
  <si>
    <t>new c1</t>
  </si>
  <si>
    <t>new c2</t>
  </si>
  <si>
    <t>% c1 change</t>
  </si>
  <si>
    <t>% c2 change</t>
  </si>
  <si>
    <t>before the optimal solution might change.</t>
  </si>
  <si>
    <t>According the 100 percentage rule for simultaneous changes in Z,</t>
  </si>
  <si>
    <t>Problem 7.3-5</t>
  </si>
  <si>
    <t>new constraint</t>
  </si>
  <si>
    <t>decision variables</t>
  </si>
  <si>
    <t>Worksheet: [HW5ver1010.xlsx]Prob476</t>
  </si>
  <si>
    <t>Report Created: 10/10/2016 1:31:20 PM</t>
  </si>
  <si>
    <t>decision variables x1</t>
  </si>
  <si>
    <t>decision variables x2</t>
  </si>
  <si>
    <t>decision variables x3</t>
  </si>
  <si>
    <t>decision variables x4</t>
  </si>
  <si>
    <t>Shift</t>
  </si>
  <si>
    <t>(c )</t>
  </si>
  <si>
    <t>Number Working Shift</t>
  </si>
  <si>
    <t>$H$10</t>
  </si>
  <si>
    <t>6am-8am Working</t>
  </si>
  <si>
    <t>$H$11</t>
  </si>
  <si>
    <t>8am-10am Working</t>
  </si>
  <si>
    <t>$H$12</t>
  </si>
  <si>
    <t>10am- 12pm Working</t>
  </si>
  <si>
    <t>$H$13</t>
  </si>
  <si>
    <t>12pm-2pm Working</t>
  </si>
  <si>
    <t>$H$14</t>
  </si>
  <si>
    <t>2pm-4pm Working</t>
  </si>
  <si>
    <t>$H$15</t>
  </si>
  <si>
    <t>4pm-6pm Working</t>
  </si>
  <si>
    <t>$H$16</t>
  </si>
  <si>
    <t>6pm-8pm Working</t>
  </si>
  <si>
    <t>$H$17</t>
  </si>
  <si>
    <t>8pm-10pm Working</t>
  </si>
  <si>
    <t>10pm-12am Working</t>
  </si>
  <si>
    <t>12am-6am Working</t>
  </si>
  <si>
    <t>Toys</t>
  </si>
  <si>
    <t>Subassemby</t>
  </si>
  <si>
    <t>Any combination of "new c1" and "new c2" values (or continuous number in between), so that their corresponding % c1 change + % c2 change &lt;= 100%</t>
  </si>
  <si>
    <t>The example in sec. 7.5 had a total profit of $33,122.</t>
  </si>
  <si>
    <t>Cutting the standard deviaitons in half and increasing alpha to 0.99 for each constraint increases the total profit by</t>
  </si>
  <si>
    <t>b1</t>
  </si>
  <si>
    <t>b2</t>
  </si>
  <si>
    <t>b3</t>
  </si>
  <si>
    <t>Dist</t>
  </si>
  <si>
    <t>Mean</t>
  </si>
  <si>
    <t>SD</t>
  </si>
  <si>
    <t>Normal</t>
  </si>
  <si>
    <t>P(## &lt;= bi)</t>
  </si>
  <si>
    <t>see pdf for complete solution</t>
  </si>
  <si>
    <t xml:space="preserve">Prob all satisfied = </t>
  </si>
  <si>
    <t>Constraint RHS</t>
  </si>
  <si>
    <t>(c)</t>
  </si>
  <si>
    <t>&lt;-- up $2 (shadow price), so pay up to this for each</t>
  </si>
  <si>
    <t>&lt;-- up $0.50 (shadow price), so pay up to this for each</t>
  </si>
  <si>
    <t>Profit</t>
  </si>
  <si>
    <t>Subs</t>
  </si>
  <si>
    <t>&lt;--(relabeled manually in this sheet for clarity)</t>
  </si>
  <si>
    <t>(d) &amp; (e)  - done separately, just change the parameter cell accordingly</t>
  </si>
  <si>
    <t>B supply</t>
  </si>
  <si>
    <t>A supply</t>
  </si>
  <si>
    <t>Worksheet: [HW_5_Excel_Solutions.xlsx]7.3-5a</t>
  </si>
  <si>
    <t>Report Created: 6/30/17 7:49:38 AM</t>
  </si>
  <si>
    <t>decision variables produce toys</t>
  </si>
  <si>
    <t>decision variables produce subassemblies</t>
  </si>
  <si>
    <t>$E$11</t>
  </si>
  <si>
    <t>new constraint used</t>
  </si>
  <si>
    <t>&lt;-- Allowable range = 2000 to 3500</t>
  </si>
  <si>
    <t>&lt;-- Allowable range = 500 to 1500</t>
  </si>
  <si>
    <t>&lt;-- profit doesn't change from 1600 to 2000; shadow price no longer valid</t>
  </si>
  <si>
    <t>&lt;-- profit remains same from 3500 to 4000 available, shadow price no longer valid</t>
  </si>
  <si>
    <t>7.3-7</t>
  </si>
  <si>
    <t>$C$21</t>
  </si>
  <si>
    <t>$D$21</t>
  </si>
  <si>
    <t>$E$21</t>
  </si>
  <si>
    <t>$F$21</t>
  </si>
  <si>
    <t>$G$21</t>
  </si>
  <si>
    <t>$H$8</t>
  </si>
  <si>
    <t>$H$9</t>
  </si>
  <si>
    <t>a)</t>
  </si>
  <si>
    <t>Any of these numbers in the rightmost column can be increased without increasing cost by the amounts indicated</t>
  </si>
  <si>
    <t>b)</t>
  </si>
  <si>
    <t xml:space="preserve">For the other numbers, </t>
  </si>
  <si>
    <t>Cost increase per additional</t>
  </si>
  <si>
    <t>Amount allowed</t>
  </si>
  <si>
    <t>inf</t>
  </si>
  <si>
    <t>c)</t>
  </si>
  <si>
    <t>If all values in b were simultaneously raised by 1, the answers definitively remain valid.</t>
  </si>
  <si>
    <t xml:space="preserve">d) </t>
  </si>
  <si>
    <t>The answers do not remain valid with a simultaneous increase of 1 in all 10 numbers</t>
  </si>
  <si>
    <t xml:space="preserve">e) </t>
  </si>
  <si>
    <t>The values can be simultaneously increased by 1 to maintain the solution, but not by 2 (exceeds 100% of allowable)</t>
  </si>
  <si>
    <t>Exercise 7.6-3</t>
  </si>
  <si>
    <t>Test Outcome</t>
  </si>
  <si>
    <t>Very Favorable</t>
  </si>
  <si>
    <t>Barely Favorable</t>
  </si>
  <si>
    <t>Unfavorable</t>
  </si>
  <si>
    <t>Test Advertising</t>
  </si>
  <si>
    <t xml:space="preserve">National Advertising </t>
  </si>
  <si>
    <t>National Advertising</t>
  </si>
  <si>
    <t>Dollars</t>
  </si>
  <si>
    <t>Advertising Expenditures</t>
  </si>
  <si>
    <t>Spent</t>
  </si>
  <si>
    <t>x21</t>
  </si>
  <si>
    <t>x22</t>
  </si>
  <si>
    <t>x23</t>
  </si>
  <si>
    <t>Constant</t>
  </si>
  <si>
    <t>Simplified Eqn coefs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</si>
</sst>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&quot;$&quot;#,##0.00"/>
  </numFmts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Geneva"/>
    </font>
    <font>
      <sz val="10"/>
      <name val="Arial"/>
      <family val="2"/>
    </font>
    <font>
      <b/>
      <sz val="11"/>
      <name val="Calibri"/>
      <family val="2"/>
      <scheme val="minor"/>
    </font>
    <font>
      <b/>
      <sz val="11"/>
      <color indexed="18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/>
      <top/>
      <bottom style="thin">
        <color rgb="FF999999"/>
      </bottom>
      <diagonal/>
    </border>
    <border>
      <left/>
      <right/>
      <top/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/>
      <diagonal/>
    </border>
    <border>
      <left/>
      <right style="thin">
        <color rgb="FF999999"/>
      </right>
      <top/>
      <bottom/>
      <diagonal/>
    </border>
    <border>
      <left/>
      <right style="thin">
        <color rgb="FF999999"/>
      </right>
      <top/>
      <bottom style="thin">
        <color rgb="FF999999"/>
      </bottom>
      <diagonal/>
    </border>
  </borders>
  <cellStyleXfs count="3">
    <xf numFmtId="0" fontId="0" fillId="0" borderId="0"/>
    <xf numFmtId="0" fontId="2" fillId="0" borderId="0"/>
    <xf numFmtId="44" fontId="2" fillId="0" borderId="0" applyFont="0" applyFill="0" applyBorder="0" applyAlignment="0" applyProtection="0"/>
  </cellStyleXfs>
  <cellXfs count="78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2" borderId="0" xfId="0" applyFill="1"/>
    <xf numFmtId="0" fontId="0" fillId="0" borderId="3" xfId="0" applyFill="1" applyBorder="1" applyAlignment="1"/>
    <xf numFmtId="0" fontId="0" fillId="0" borderId="4" xfId="0" applyFill="1" applyBorder="1" applyAlignment="1"/>
    <xf numFmtId="0" fontId="3" fillId="5" borderId="0" xfId="1" applyFont="1" applyFill="1" applyBorder="1" applyAlignment="1">
      <alignment horizontal="center"/>
    </xf>
    <xf numFmtId="0" fontId="2" fillId="0" borderId="0" xfId="1"/>
    <xf numFmtId="0" fontId="3" fillId="0" borderId="0" xfId="1" applyFont="1" applyFill="1" applyBorder="1" applyAlignment="1">
      <alignment horizontal="center"/>
    </xf>
    <xf numFmtId="0" fontId="3" fillId="0" borderId="0" xfId="1" applyFont="1" applyBorder="1" applyAlignment="1">
      <alignment horizontal="center"/>
    </xf>
    <xf numFmtId="0" fontId="3" fillId="0" borderId="0" xfId="1" applyFont="1" applyFill="1" applyBorder="1" applyAlignment="1">
      <alignment horizontal="centerContinuous"/>
    </xf>
    <xf numFmtId="44" fontId="3" fillId="0" borderId="0" xfId="2" applyFont="1" applyFill="1" applyBorder="1" applyAlignment="1">
      <alignment horizontal="center"/>
    </xf>
    <xf numFmtId="0" fontId="3" fillId="0" borderId="0" xfId="1" applyFont="1" applyFill="1" applyBorder="1" applyAlignment="1">
      <alignment horizontal="right"/>
    </xf>
    <xf numFmtId="0" fontId="3" fillId="0" borderId="0" xfId="1" applyFont="1" applyFill="1" applyAlignment="1">
      <alignment horizontal="right"/>
    </xf>
    <xf numFmtId="0" fontId="3" fillId="6" borderId="0" xfId="1" applyNumberFormat="1" applyFont="1" applyFill="1" applyBorder="1" applyAlignment="1">
      <alignment horizontal="center"/>
    </xf>
    <xf numFmtId="0" fontId="3" fillId="6" borderId="0" xfId="1" applyFont="1" applyFill="1" applyBorder="1" applyAlignment="1">
      <alignment horizontal="center"/>
    </xf>
    <xf numFmtId="0" fontId="3" fillId="5" borderId="5" xfId="1" applyFont="1" applyFill="1" applyBorder="1" applyAlignment="1">
      <alignment horizontal="center"/>
    </xf>
    <xf numFmtId="0" fontId="3" fillId="5" borderId="6" xfId="1" applyFont="1" applyFill="1" applyBorder="1" applyAlignment="1">
      <alignment horizontal="center"/>
    </xf>
    <xf numFmtId="0" fontId="3" fillId="7" borderId="7" xfId="2" applyNumberFormat="1" applyFont="1" applyFill="1" applyBorder="1" applyAlignment="1">
      <alignment horizontal="center"/>
    </xf>
    <xf numFmtId="0" fontId="3" fillId="0" borderId="0" xfId="1" applyFont="1" applyFill="1" applyBorder="1" applyAlignment="1">
      <alignment horizontal="left"/>
    </xf>
    <xf numFmtId="0" fontId="0" fillId="0" borderId="0" xfId="0" applyAlignment="1">
      <alignment horizontal="right"/>
    </xf>
    <xf numFmtId="0" fontId="0" fillId="8" borderId="0" xfId="0" applyFill="1" applyAlignment="1">
      <alignment horizontal="center"/>
    </xf>
    <xf numFmtId="0" fontId="2" fillId="0" borderId="0" xfId="1"/>
    <xf numFmtId="0" fontId="3" fillId="0" borderId="0" xfId="1" applyFont="1" applyFill="1" applyBorder="1" applyAlignment="1">
      <alignment horizontal="center"/>
    </xf>
    <xf numFmtId="0" fontId="3" fillId="0" borderId="0" xfId="1" applyFont="1" applyBorder="1" applyAlignment="1">
      <alignment horizontal="center"/>
    </xf>
    <xf numFmtId="0" fontId="3" fillId="0" borderId="0" xfId="1" applyFont="1" applyFill="1" applyBorder="1" applyAlignment="1">
      <alignment horizontal="centerContinuous"/>
    </xf>
    <xf numFmtId="44" fontId="3" fillId="0" borderId="0" xfId="2" applyFont="1" applyFill="1" applyBorder="1" applyAlignment="1">
      <alignment horizontal="center"/>
    </xf>
    <xf numFmtId="0" fontId="3" fillId="0" borderId="0" xfId="1" applyFont="1" applyFill="1" applyBorder="1" applyAlignment="1">
      <alignment horizontal="right"/>
    </xf>
    <xf numFmtId="0" fontId="3" fillId="0" borderId="0" xfId="1" applyFont="1" applyFill="1" applyAlignment="1">
      <alignment horizontal="right"/>
    </xf>
    <xf numFmtId="0" fontId="3" fillId="6" borderId="0" xfId="1" applyNumberFormat="1" applyFont="1" applyFill="1" applyBorder="1" applyAlignment="1">
      <alignment horizontal="center"/>
    </xf>
    <xf numFmtId="0" fontId="3" fillId="6" borderId="0" xfId="1" applyFont="1" applyFill="1" applyBorder="1" applyAlignment="1">
      <alignment horizontal="center"/>
    </xf>
    <xf numFmtId="0" fontId="3" fillId="5" borderId="5" xfId="1" applyFont="1" applyFill="1" applyBorder="1" applyAlignment="1">
      <alignment horizontal="center"/>
    </xf>
    <xf numFmtId="0" fontId="3" fillId="5" borderId="6" xfId="1" applyFont="1" applyFill="1" applyBorder="1" applyAlignment="1">
      <alignment horizontal="center"/>
    </xf>
    <xf numFmtId="0" fontId="3" fillId="7" borderId="7" xfId="2" applyNumberFormat="1" applyFont="1" applyFill="1" applyBorder="1" applyAlignment="1">
      <alignment horizontal="center"/>
    </xf>
    <xf numFmtId="0" fontId="0" fillId="0" borderId="3" xfId="0" applyNumberFormat="1" applyFill="1" applyBorder="1" applyAlignment="1"/>
    <xf numFmtId="0" fontId="0" fillId="0" borderId="4" xfId="0" applyNumberFormat="1" applyFill="1" applyBorder="1" applyAlignment="1"/>
    <xf numFmtId="0" fontId="4" fillId="0" borderId="8" xfId="0" applyFont="1" applyFill="1" applyBorder="1" applyAlignment="1">
      <alignment horizontal="left"/>
    </xf>
    <xf numFmtId="0" fontId="0" fillId="0" borderId="0" xfId="0" applyNumberFormat="1"/>
    <xf numFmtId="0" fontId="5" fillId="0" borderId="1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center"/>
    </xf>
    <xf numFmtId="0" fontId="0" fillId="0" borderId="9" xfId="0" applyBorder="1"/>
    <xf numFmtId="0" fontId="0" fillId="0" borderId="9" xfId="0" pivotButton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9" xfId="0" applyNumberFormat="1" applyBorder="1"/>
    <xf numFmtId="0" fontId="0" fillId="0" borderId="12" xfId="0" applyNumberFormat="1" applyBorder="1"/>
    <xf numFmtId="0" fontId="0" fillId="0" borderId="13" xfId="0" applyBorder="1"/>
    <xf numFmtId="0" fontId="0" fillId="0" borderId="13" xfId="0" applyNumberFormat="1" applyBorder="1"/>
    <xf numFmtId="0" fontId="0" fillId="0" borderId="14" xfId="0" applyBorder="1"/>
    <xf numFmtId="0" fontId="0" fillId="0" borderId="14" xfId="0" applyNumberFormat="1" applyBorder="1"/>
    <xf numFmtId="0" fontId="0" fillId="0" borderId="15" xfId="0" applyNumberFormat="1" applyBorder="1"/>
    <xf numFmtId="0" fontId="0" fillId="0" borderId="16" xfId="0" applyBorder="1"/>
    <xf numFmtId="0" fontId="0" fillId="0" borderId="16" xfId="0" applyNumberFormat="1" applyBorder="1"/>
    <xf numFmtId="0" fontId="0" fillId="0" borderId="17" xfId="0" applyNumberFormat="1" applyBorder="1"/>
    <xf numFmtId="0" fontId="0" fillId="0" borderId="18" xfId="0" applyNumberFormat="1" applyBorder="1"/>
    <xf numFmtId="0" fontId="3" fillId="6" borderId="0" xfId="1" applyFont="1" applyFill="1" applyBorder="1" applyAlignment="1">
      <alignment horizontal="center"/>
    </xf>
    <xf numFmtId="10" fontId="0" fillId="0" borderId="0" xfId="0" applyNumberFormat="1"/>
    <xf numFmtId="164" fontId="0" fillId="0" borderId="0" xfId="0" applyNumberFormat="1"/>
    <xf numFmtId="0" fontId="0" fillId="5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4" fillId="0" borderId="0" xfId="0" applyFont="1" applyFill="1" applyBorder="1" applyAlignment="1">
      <alignment horizontal="left"/>
    </xf>
    <xf numFmtId="0" fontId="0" fillId="5" borderId="3" xfId="0" applyNumberFormat="1" applyFill="1" applyBorder="1" applyAlignment="1"/>
    <xf numFmtId="0" fontId="0" fillId="5" borderId="4" xfId="0" applyNumberFormat="1" applyFill="1" applyBorder="1" applyAlignment="1"/>
    <xf numFmtId="0" fontId="6" fillId="0" borderId="1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0" fontId="0" fillId="9" borderId="3" xfId="0" applyFill="1" applyBorder="1" applyAlignment="1"/>
    <xf numFmtId="0" fontId="0" fillId="0" borderId="3" xfId="0" applyFill="1" applyBorder="1" applyAlignment="1">
      <alignment horizontal="right"/>
    </xf>
    <xf numFmtId="0" fontId="0" fillId="0" borderId="4" xfId="0" applyFill="1" applyBorder="1" applyAlignment="1">
      <alignment horizontal="right"/>
    </xf>
    <xf numFmtId="0" fontId="0" fillId="10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3" fillId="0" borderId="0" xfId="1" applyFont="1" applyFill="1" applyBorder="1" applyAlignment="1">
      <alignment horizontal="center"/>
    </xf>
    <xf numFmtId="0" fontId="3" fillId="0" borderId="0" xfId="1" applyFont="1" applyBorder="1" applyAlignment="1">
      <alignment horizontal="center"/>
    </xf>
    <xf numFmtId="0" fontId="3" fillId="0" borderId="0" xfId="1" applyFont="1" applyFill="1" applyBorder="1" applyAlignment="1">
      <alignment horizontal="left"/>
    </xf>
    <xf numFmtId="0" fontId="3" fillId="0" borderId="0" xfId="1" applyFont="1" applyBorder="1" applyAlignment="1">
      <alignment horizontal="left"/>
    </xf>
  </cellXfs>
  <cellStyles count="3">
    <cellStyle name="Currency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onnie" refreshedDate="42653.05093946759" createdVersion="6" refreshedVersion="6" minRefreshableVersion="3" recordCount="25">
  <cacheSource type="worksheet">
    <worksheetSource ref="A1:C26" sheet="7.3-4g"/>
  </cacheSource>
  <cacheFields count="3">
    <cacheField name="ProfitPerUnitOfToys" numFmtId="0">
      <sharedItems containsSemiMixedTypes="0" containsString="0" containsNumber="1" minValue="2" maxValue="4" count="5">
        <n v="2"/>
        <n v="2.5"/>
        <n v="3"/>
        <n v="3.5"/>
        <n v="4"/>
      </sharedItems>
    </cacheField>
    <cacheField name="ProfitPerUnitOfSubassem" numFmtId="0">
      <sharedItems containsSemiMixedTypes="0" containsString="0" containsNumber="1" minValue="-3.5" maxValue="-1.5" count="5">
        <n v="-3.5"/>
        <n v="-3"/>
        <n v="-2.5"/>
        <n v="-2"/>
        <n v="-1.5"/>
      </sharedItems>
    </cacheField>
    <cacheField name="TotalZ734a" numFmtId="0">
      <sharedItems containsSemiMixedTypes="0" containsString="0" containsNumber="1" containsInteger="1" minValue="2000" maxValue="6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5">
  <r>
    <x v="0"/>
    <x v="0"/>
    <n v="2000"/>
  </r>
  <r>
    <x v="0"/>
    <x v="1"/>
    <n v="2000"/>
  </r>
  <r>
    <x v="0"/>
    <x v="2"/>
    <n v="2000"/>
  </r>
  <r>
    <x v="0"/>
    <x v="3"/>
    <n v="2000"/>
  </r>
  <r>
    <x v="0"/>
    <x v="4"/>
    <n v="2500"/>
  </r>
  <r>
    <x v="1"/>
    <x v="0"/>
    <n v="2500"/>
  </r>
  <r>
    <x v="1"/>
    <x v="1"/>
    <n v="2500"/>
  </r>
  <r>
    <x v="1"/>
    <x v="2"/>
    <n v="2500"/>
  </r>
  <r>
    <x v="1"/>
    <x v="3"/>
    <n v="3000"/>
  </r>
  <r>
    <x v="1"/>
    <x v="4"/>
    <n v="3500"/>
  </r>
  <r>
    <x v="2"/>
    <x v="0"/>
    <n v="3000"/>
  </r>
  <r>
    <x v="2"/>
    <x v="1"/>
    <n v="3000"/>
  </r>
  <r>
    <x v="2"/>
    <x v="2"/>
    <n v="3500"/>
  </r>
  <r>
    <x v="2"/>
    <x v="3"/>
    <n v="4000"/>
  </r>
  <r>
    <x v="2"/>
    <x v="4"/>
    <n v="4500"/>
  </r>
  <r>
    <x v="3"/>
    <x v="0"/>
    <n v="3500"/>
  </r>
  <r>
    <x v="3"/>
    <x v="1"/>
    <n v="4000"/>
  </r>
  <r>
    <x v="3"/>
    <x v="2"/>
    <n v="4500"/>
  </r>
  <r>
    <x v="3"/>
    <x v="3"/>
    <n v="5000"/>
  </r>
  <r>
    <x v="3"/>
    <x v="4"/>
    <n v="5500"/>
  </r>
  <r>
    <x v="4"/>
    <x v="0"/>
    <n v="4500"/>
  </r>
  <r>
    <x v="4"/>
    <x v="1"/>
    <n v="5000"/>
  </r>
  <r>
    <x v="4"/>
    <x v="2"/>
    <n v="5500"/>
  </r>
  <r>
    <x v="4"/>
    <x v="3"/>
    <n v="6000"/>
  </r>
  <r>
    <x v="4"/>
    <x v="4"/>
    <n v="6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dataOnRows="1" applyNumberFormats="0" applyBorderFormats="0" applyFontFormats="0" applyPatternFormats="0" applyAlignmentFormats="0" applyWidthHeightFormats="1" dataCaption="Data" updatedVersion="6" showItems="0" showMultipleLabel="0" showMemberPropertyTips="0" useAutoFormatting="1" rowGrandTotals="0" colGrandTotals="0" itemPrintTitles="1" showDropZones="0" indent="0" compact="0" compactData="0" gridDropZones="1">
  <location ref="A1:F7" firstHeaderRow="1" firstDataRow="2" firstDataCol="1"/>
  <pivotFields count="3">
    <pivotField axis="axisRow" compact="0" outline="0" subtotalTop="0" showAll="0" includeNewItemsInFilter="1" sortType="ascending">
      <items count="6">
        <item x="0"/>
        <item x="1"/>
        <item x="2"/>
        <item x="3"/>
        <item x="4"/>
        <item t="default"/>
      </items>
    </pivotField>
    <pivotField axis="axisCol" compact="0" outline="0" subtotalTop="0" showAll="0" includeNewItemsInFilter="1" sortType="ascending">
      <items count="6">
        <item x="0"/>
        <item x="1"/>
        <item x="2"/>
        <item x="3"/>
        <item x="4"/>
        <item t="default"/>
      </items>
    </pivotField>
    <pivotField dataField="1" compact="0" outline="0" subtotalTop="0" showAll="0" includeNewItemsInFilter="1"/>
  </pivotFields>
  <rowFields count="1">
    <field x="0"/>
  </rowFields>
  <rowItems count="5">
    <i>
      <x/>
    </i>
    <i>
      <x v="1"/>
    </i>
    <i>
      <x v="2"/>
    </i>
    <i>
      <x v="3"/>
    </i>
    <i>
      <x v="4"/>
    </i>
  </rowItems>
  <colFields count="1">
    <field x="1"/>
  </colFields>
  <colItems count="5">
    <i>
      <x/>
    </i>
    <i>
      <x v="1"/>
    </i>
    <i>
      <x v="2"/>
    </i>
    <i>
      <x v="3"/>
    </i>
    <i>
      <x v="4"/>
    </i>
  </colItems>
  <dataFields count="1">
    <dataField name=" TotalZ734a " fld="2" baseField="0" baseItem="0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>
      <selection activeCell="B13" sqref="B13"/>
    </sheetView>
  </sheetViews>
  <sheetFormatPr defaultRowHeight="15"/>
  <cols>
    <col min="2" max="2" width="24.42578125" customWidth="1"/>
  </cols>
  <sheetData>
    <row r="1" spans="1:9">
      <c r="A1" s="1" t="s">
        <v>38</v>
      </c>
    </row>
    <row r="5" spans="1:9">
      <c r="C5" t="s">
        <v>4</v>
      </c>
      <c r="D5" t="s">
        <v>5</v>
      </c>
      <c r="E5" t="s">
        <v>6</v>
      </c>
      <c r="F5" t="s">
        <v>39</v>
      </c>
    </row>
    <row r="6" spans="1:9">
      <c r="B6" t="s">
        <v>13</v>
      </c>
      <c r="C6" s="5">
        <v>5</v>
      </c>
      <c r="D6" s="5">
        <v>4</v>
      </c>
      <c r="E6" s="5">
        <v>-1</v>
      </c>
      <c r="F6" s="5">
        <v>3</v>
      </c>
    </row>
    <row r="7" spans="1:9">
      <c r="G7" t="s">
        <v>11</v>
      </c>
      <c r="I7" t="s">
        <v>10</v>
      </c>
    </row>
    <row r="8" spans="1:9">
      <c r="I8" t="s">
        <v>14</v>
      </c>
    </row>
    <row r="9" spans="1:9">
      <c r="B9" t="s">
        <v>1</v>
      </c>
      <c r="C9" s="4">
        <v>3</v>
      </c>
      <c r="D9" s="4">
        <v>2</v>
      </c>
      <c r="E9" s="4">
        <v>-3</v>
      </c>
      <c r="F9" s="4">
        <v>1</v>
      </c>
      <c r="G9" s="2">
        <f>SUMPRODUCT(Csubi476,C9:F9)</f>
        <v>24</v>
      </c>
      <c r="H9" s="2" t="s">
        <v>8</v>
      </c>
      <c r="I9" s="5">
        <v>24</v>
      </c>
    </row>
    <row r="10" spans="1:9">
      <c r="B10" t="s">
        <v>2</v>
      </c>
      <c r="C10" s="4">
        <v>3</v>
      </c>
      <c r="D10" s="4">
        <v>3</v>
      </c>
      <c r="E10" s="4">
        <v>1</v>
      </c>
      <c r="F10" s="4">
        <v>3</v>
      </c>
      <c r="G10" s="2">
        <f>SUMPRODUCT(Csubi476,C10:F10)</f>
        <v>36</v>
      </c>
      <c r="H10" s="2" t="s">
        <v>8</v>
      </c>
      <c r="I10" s="5">
        <v>36</v>
      </c>
    </row>
    <row r="12" spans="1:9">
      <c r="C12" t="s">
        <v>4</v>
      </c>
      <c r="D12" t="s">
        <v>5</v>
      </c>
      <c r="E12" t="s">
        <v>6</v>
      </c>
      <c r="F12" t="s">
        <v>39</v>
      </c>
      <c r="I12" t="s">
        <v>12</v>
      </c>
    </row>
    <row r="13" spans="1:9">
      <c r="B13" t="s">
        <v>101</v>
      </c>
      <c r="C13" s="3">
        <v>11</v>
      </c>
      <c r="D13" s="3">
        <v>0</v>
      </c>
      <c r="E13" s="3">
        <v>3</v>
      </c>
      <c r="F13" s="3">
        <v>0</v>
      </c>
      <c r="G13" s="2"/>
      <c r="H13" s="2"/>
      <c r="I13" s="3">
        <f>SUMPRODUCT(Csubi476,CoefObj476)</f>
        <v>52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D21" sqref="D21"/>
    </sheetView>
  </sheetViews>
  <sheetFormatPr defaultRowHeight="15"/>
  <cols>
    <col min="2" max="2" width="17" bestFit="1" customWidth="1"/>
    <col min="3" max="3" width="12.42578125" bestFit="1" customWidth="1"/>
    <col min="4" max="4" width="22.140625" bestFit="1" customWidth="1"/>
  </cols>
  <sheetData>
    <row r="1" spans="1:8">
      <c r="A1" s="1" t="s">
        <v>99</v>
      </c>
    </row>
    <row r="2" spans="1:8">
      <c r="A2" t="s">
        <v>145</v>
      </c>
    </row>
    <row r="5" spans="1:8">
      <c r="C5" t="s">
        <v>71</v>
      </c>
      <c r="D5" t="s">
        <v>72</v>
      </c>
    </row>
    <row r="6" spans="1:8">
      <c r="B6" t="s">
        <v>13</v>
      </c>
      <c r="C6" s="5">
        <v>3</v>
      </c>
      <c r="D6" s="5">
        <v>-2.5</v>
      </c>
    </row>
    <row r="7" spans="1:8">
      <c r="E7" t="s">
        <v>11</v>
      </c>
      <c r="G7" t="s">
        <v>10</v>
      </c>
    </row>
    <row r="8" spans="1:8">
      <c r="G8" t="s">
        <v>14</v>
      </c>
    </row>
    <row r="9" spans="1:8">
      <c r="B9" t="s">
        <v>73</v>
      </c>
      <c r="C9" s="4">
        <v>2</v>
      </c>
      <c r="D9" s="4">
        <v>-1</v>
      </c>
      <c r="E9" s="2">
        <f>SUMPRODUCT(C$13:D$13,C9:D9)</f>
        <v>3000</v>
      </c>
      <c r="F9" s="2" t="s">
        <v>8</v>
      </c>
      <c r="G9" s="24">
        <v>3000</v>
      </c>
    </row>
    <row r="10" spans="1:8">
      <c r="B10" t="s">
        <v>74</v>
      </c>
      <c r="C10" s="4">
        <v>1</v>
      </c>
      <c r="D10" s="4">
        <v>-1</v>
      </c>
      <c r="E10" s="2">
        <f t="shared" ref="E10:E11" si="0">SUMPRODUCT(C$13:D$13,C10:D10)</f>
        <v>1001</v>
      </c>
      <c r="F10" s="2" t="s">
        <v>8</v>
      </c>
      <c r="G10" s="24">
        <v>1001</v>
      </c>
    </row>
    <row r="11" spans="1:8">
      <c r="B11" t="s">
        <v>100</v>
      </c>
      <c r="C11" s="4">
        <v>1</v>
      </c>
      <c r="D11" s="4">
        <v>0</v>
      </c>
      <c r="E11" s="2">
        <f t="shared" si="0"/>
        <v>1999</v>
      </c>
      <c r="F11" s="2" t="s">
        <v>8</v>
      </c>
      <c r="G11" s="2">
        <v>2500</v>
      </c>
    </row>
    <row r="12" spans="1:8">
      <c r="G12" t="s">
        <v>12</v>
      </c>
    </row>
    <row r="13" spans="1:8">
      <c r="B13" t="s">
        <v>101</v>
      </c>
      <c r="C13" s="3">
        <v>1999</v>
      </c>
      <c r="D13" s="3">
        <v>998</v>
      </c>
      <c r="E13" s="2"/>
      <c r="F13" s="2"/>
      <c r="G13" s="3">
        <f>SUMPRODUCT(C13:D13,C6:D6)</f>
        <v>3502</v>
      </c>
      <c r="H13" t="s">
        <v>146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K2" sqref="K2"/>
    </sheetView>
  </sheetViews>
  <sheetFormatPr defaultRowHeight="15"/>
  <cols>
    <col min="1" max="1" width="8.5703125" bestFit="1" customWidth="1"/>
    <col min="2" max="2" width="6.42578125" customWidth="1"/>
    <col min="3" max="3" width="6.140625" customWidth="1"/>
    <col min="4" max="4" width="6.28515625" customWidth="1"/>
  </cols>
  <sheetData>
    <row r="1" spans="1:5" ht="15.75" thickBot="1">
      <c r="A1" s="39" t="s">
        <v>153</v>
      </c>
      <c r="B1" s="39" t="s">
        <v>148</v>
      </c>
      <c r="C1" s="39" t="s">
        <v>129</v>
      </c>
      <c r="D1" s="39" t="s">
        <v>149</v>
      </c>
      <c r="E1" s="64" t="s">
        <v>150</v>
      </c>
    </row>
    <row r="2" spans="1:5">
      <c r="A2" s="37">
        <v>3000</v>
      </c>
      <c r="B2" s="37">
        <v>3500</v>
      </c>
      <c r="C2" s="37">
        <v>2000</v>
      </c>
      <c r="D2" s="37">
        <v>1000</v>
      </c>
    </row>
    <row r="3" spans="1:5">
      <c r="A3" s="37">
        <v>3100</v>
      </c>
      <c r="B3" s="37">
        <v>3550</v>
      </c>
      <c r="C3" s="37">
        <v>2100</v>
      </c>
      <c r="D3" s="37">
        <v>1100</v>
      </c>
    </row>
    <row r="4" spans="1:5">
      <c r="A4" s="37">
        <v>3200</v>
      </c>
      <c r="B4" s="37">
        <v>3600</v>
      </c>
      <c r="C4" s="37">
        <v>2200</v>
      </c>
      <c r="D4" s="37">
        <v>1200</v>
      </c>
    </row>
    <row r="5" spans="1:5">
      <c r="A5" s="37">
        <v>3300</v>
      </c>
      <c r="B5" s="37">
        <v>3650</v>
      </c>
      <c r="C5" s="37">
        <v>2300</v>
      </c>
      <c r="D5" s="37">
        <v>1300</v>
      </c>
    </row>
    <row r="6" spans="1:5">
      <c r="A6" s="37">
        <v>3400</v>
      </c>
      <c r="B6" s="37">
        <v>3700</v>
      </c>
      <c r="C6" s="37">
        <v>2400</v>
      </c>
      <c r="D6" s="37">
        <v>1400</v>
      </c>
    </row>
    <row r="7" spans="1:5">
      <c r="A7" s="37">
        <v>3500</v>
      </c>
      <c r="B7" s="37">
        <v>3750</v>
      </c>
      <c r="C7" s="37">
        <v>2500</v>
      </c>
      <c r="D7" s="37">
        <v>1500</v>
      </c>
    </row>
    <row r="8" spans="1:5">
      <c r="A8" s="37">
        <v>3600</v>
      </c>
      <c r="B8" s="65">
        <v>3750</v>
      </c>
      <c r="C8" s="37">
        <v>2500</v>
      </c>
      <c r="D8" s="37">
        <v>1500</v>
      </c>
      <c r="E8" t="s">
        <v>163</v>
      </c>
    </row>
    <row r="9" spans="1:5">
      <c r="A9" s="37">
        <v>3700</v>
      </c>
      <c r="B9" s="65">
        <v>3750</v>
      </c>
      <c r="C9" s="37">
        <v>2500</v>
      </c>
      <c r="D9" s="37">
        <v>1500</v>
      </c>
    </row>
    <row r="10" spans="1:5">
      <c r="A10" s="37">
        <v>3800</v>
      </c>
      <c r="B10" s="65">
        <v>3750</v>
      </c>
      <c r="C10" s="37">
        <v>2500</v>
      </c>
      <c r="D10" s="37">
        <v>1500</v>
      </c>
    </row>
    <row r="11" spans="1:5">
      <c r="A11" s="37">
        <v>3900</v>
      </c>
      <c r="B11" s="65">
        <v>3750</v>
      </c>
      <c r="C11" s="37">
        <v>2500</v>
      </c>
      <c r="D11" s="37">
        <v>1500</v>
      </c>
    </row>
    <row r="12" spans="1:5" ht="15.75" thickBot="1">
      <c r="A12" s="38">
        <v>4000</v>
      </c>
      <c r="B12" s="66">
        <v>3750</v>
      </c>
      <c r="C12" s="38">
        <v>2500</v>
      </c>
      <c r="D12" s="38">
        <v>1500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E9" sqref="E9"/>
    </sheetView>
  </sheetViews>
  <sheetFormatPr defaultRowHeight="15"/>
  <cols>
    <col min="1" max="1" width="8.42578125" bestFit="1" customWidth="1"/>
    <col min="2" max="2" width="6.42578125" customWidth="1"/>
    <col min="3" max="3" width="6.140625" customWidth="1"/>
    <col min="4" max="4" width="6.28515625" customWidth="1"/>
  </cols>
  <sheetData>
    <row r="1" spans="1:5" ht="15.75" thickBot="1">
      <c r="A1" s="39" t="s">
        <v>152</v>
      </c>
      <c r="B1" s="39" t="s">
        <v>148</v>
      </c>
      <c r="C1" s="39" t="s">
        <v>129</v>
      </c>
      <c r="D1" s="39" t="s">
        <v>149</v>
      </c>
    </row>
    <row r="2" spans="1:5">
      <c r="A2" s="37">
        <v>1000</v>
      </c>
      <c r="B2" s="37">
        <v>3500</v>
      </c>
      <c r="C2" s="37">
        <v>2000</v>
      </c>
      <c r="D2" s="37">
        <v>1000</v>
      </c>
    </row>
    <row r="3" spans="1:5">
      <c r="A3" s="37">
        <v>1100</v>
      </c>
      <c r="B3" s="37">
        <v>3700</v>
      </c>
      <c r="C3" s="37">
        <v>1900</v>
      </c>
      <c r="D3" s="37">
        <v>800</v>
      </c>
    </row>
    <row r="4" spans="1:5">
      <c r="A4" s="37">
        <v>1200</v>
      </c>
      <c r="B4" s="37">
        <v>3900</v>
      </c>
      <c r="C4" s="37">
        <v>1800</v>
      </c>
      <c r="D4" s="37">
        <v>600</v>
      </c>
    </row>
    <row r="5" spans="1:5">
      <c r="A5" s="37">
        <v>1300</v>
      </c>
      <c r="B5" s="37">
        <v>4100</v>
      </c>
      <c r="C5" s="37">
        <v>1700</v>
      </c>
      <c r="D5" s="37">
        <v>400</v>
      </c>
    </row>
    <row r="6" spans="1:5">
      <c r="A6" s="37">
        <v>1400</v>
      </c>
      <c r="B6" s="37">
        <v>4300</v>
      </c>
      <c r="C6" s="37">
        <v>1600</v>
      </c>
      <c r="D6" s="37">
        <v>200</v>
      </c>
    </row>
    <row r="7" spans="1:5">
      <c r="A7" s="37">
        <v>1500</v>
      </c>
      <c r="B7" s="37">
        <v>4500</v>
      </c>
      <c r="C7" s="37">
        <v>1500</v>
      </c>
      <c r="D7" s="37">
        <v>0</v>
      </c>
    </row>
    <row r="8" spans="1:5">
      <c r="A8" s="37">
        <v>1600</v>
      </c>
      <c r="B8" s="65">
        <v>4500</v>
      </c>
      <c r="C8" s="37">
        <v>1500</v>
      </c>
      <c r="D8" s="37">
        <v>0</v>
      </c>
      <c r="E8" t="s">
        <v>162</v>
      </c>
    </row>
    <row r="9" spans="1:5">
      <c r="A9" s="37">
        <v>1700</v>
      </c>
      <c r="B9" s="65">
        <v>4500</v>
      </c>
      <c r="C9" s="37">
        <v>1500</v>
      </c>
      <c r="D9" s="37">
        <v>0</v>
      </c>
    </row>
    <row r="10" spans="1:5">
      <c r="A10" s="37">
        <v>1800</v>
      </c>
      <c r="B10" s="65">
        <v>4500</v>
      </c>
      <c r="C10" s="37">
        <v>1500</v>
      </c>
      <c r="D10" s="37">
        <v>0</v>
      </c>
    </row>
    <row r="11" spans="1:5">
      <c r="A11" s="37">
        <v>1900</v>
      </c>
      <c r="B11" s="65">
        <v>4500</v>
      </c>
      <c r="C11" s="37">
        <v>1500</v>
      </c>
      <c r="D11" s="37">
        <v>0</v>
      </c>
    </row>
    <row r="12" spans="1:5" ht="15.75" thickBot="1">
      <c r="A12" s="38">
        <v>2000</v>
      </c>
      <c r="B12" s="66">
        <v>4500</v>
      </c>
      <c r="C12" s="38">
        <v>1500</v>
      </c>
      <c r="D12" s="38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G10" sqref="G10"/>
    </sheetView>
  </sheetViews>
  <sheetFormatPr defaultRowHeight="15"/>
  <cols>
    <col min="2" max="2" width="17" bestFit="1" customWidth="1"/>
    <col min="3" max="3" width="12.42578125" bestFit="1" customWidth="1"/>
    <col min="4" max="4" width="22.140625" bestFit="1" customWidth="1"/>
  </cols>
  <sheetData>
    <row r="1" spans="1:7">
      <c r="A1" s="1" t="s">
        <v>99</v>
      </c>
    </row>
    <row r="2" spans="1:7">
      <c r="A2" t="s">
        <v>151</v>
      </c>
    </row>
    <row r="5" spans="1:7">
      <c r="C5" t="s">
        <v>71</v>
      </c>
      <c r="D5" t="s">
        <v>72</v>
      </c>
    </row>
    <row r="6" spans="1:7">
      <c r="B6" t="s">
        <v>13</v>
      </c>
      <c r="C6" s="5">
        <v>3</v>
      </c>
      <c r="D6" s="5">
        <v>-2.5</v>
      </c>
    </row>
    <row r="7" spans="1:7">
      <c r="E7" t="s">
        <v>11</v>
      </c>
      <c r="G7" t="s">
        <v>10</v>
      </c>
    </row>
    <row r="8" spans="1:7">
      <c r="G8" t="s">
        <v>14</v>
      </c>
    </row>
    <row r="9" spans="1:7">
      <c r="B9" t="s">
        <v>73</v>
      </c>
      <c r="C9" s="4">
        <v>2</v>
      </c>
      <c r="D9" s="4">
        <v>-1</v>
      </c>
      <c r="E9" s="2">
        <f>SUMPRODUCT(C$13:D$13,C9:D9)</f>
        <v>3000</v>
      </c>
      <c r="F9" s="2" t="s">
        <v>8</v>
      </c>
      <c r="G9" s="24">
        <v>3000</v>
      </c>
    </row>
    <row r="10" spans="1:7">
      <c r="B10" t="s">
        <v>74</v>
      </c>
      <c r="C10" s="4">
        <v>1</v>
      </c>
      <c r="D10" s="4">
        <v>-1</v>
      </c>
      <c r="E10" s="2">
        <f t="shared" ref="E10:E11" si="0">SUMPRODUCT(C$13:D$13,C10:D10)</f>
        <v>1000</v>
      </c>
      <c r="F10" s="2" t="s">
        <v>8</v>
      </c>
      <c r="G10" s="24" t="e">
        <f ca="1">_xll.PsiOptParam(1000,2000)</f>
        <v>#NAME?</v>
      </c>
    </row>
    <row r="11" spans="1:7">
      <c r="B11" t="s">
        <v>100</v>
      </c>
      <c r="C11" s="4">
        <v>1</v>
      </c>
      <c r="D11" s="4">
        <v>0</v>
      </c>
      <c r="E11" s="2">
        <f t="shared" si="0"/>
        <v>2000</v>
      </c>
      <c r="F11" s="2" t="s">
        <v>8</v>
      </c>
      <c r="G11" s="2">
        <v>2500</v>
      </c>
    </row>
    <row r="12" spans="1:7">
      <c r="G12" t="s">
        <v>12</v>
      </c>
    </row>
    <row r="13" spans="1:7">
      <c r="B13" t="s">
        <v>101</v>
      </c>
      <c r="C13" s="3">
        <v>2000</v>
      </c>
      <c r="D13" s="3">
        <v>1000</v>
      </c>
      <c r="E13" s="2"/>
      <c r="F13" s="2"/>
      <c r="G13" s="3">
        <f>SUMPRODUCT(C13:D13,C6:D6)</f>
        <v>3500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topLeftCell="A16" workbookViewId="0">
      <selection activeCell="D6" sqref="D6"/>
    </sheetView>
  </sheetViews>
  <sheetFormatPr defaultRowHeight="15"/>
  <cols>
    <col min="3" max="9" width="22.5703125" customWidth="1"/>
  </cols>
  <sheetData>
    <row r="1" spans="1:9">
      <c r="A1" t="s">
        <v>164</v>
      </c>
    </row>
    <row r="4" spans="1:9" ht="15.75" thickBot="1">
      <c r="B4" t="s">
        <v>18</v>
      </c>
    </row>
    <row r="5" spans="1:9">
      <c r="C5" s="41"/>
      <c r="D5" s="41"/>
      <c r="E5" s="41" t="s">
        <v>21</v>
      </c>
      <c r="F5" s="41" t="s">
        <v>23</v>
      </c>
      <c r="G5" s="41" t="s">
        <v>25</v>
      </c>
      <c r="H5" s="41" t="s">
        <v>27</v>
      </c>
      <c r="I5" s="41" t="s">
        <v>27</v>
      </c>
    </row>
    <row r="6" spans="1:9" ht="15.75" thickBot="1">
      <c r="C6" s="42" t="s">
        <v>19</v>
      </c>
      <c r="D6" s="42" t="s">
        <v>20</v>
      </c>
      <c r="E6" s="42" t="s">
        <v>22</v>
      </c>
      <c r="F6" s="42" t="s">
        <v>24</v>
      </c>
      <c r="G6" s="42" t="s">
        <v>26</v>
      </c>
      <c r="H6" s="42" t="s">
        <v>28</v>
      </c>
      <c r="I6" s="42" t="s">
        <v>29</v>
      </c>
    </row>
    <row r="7" spans="1:9">
      <c r="C7" s="7" t="s">
        <v>165</v>
      </c>
      <c r="D7" s="7" t="s">
        <v>110</v>
      </c>
      <c r="E7" s="7">
        <v>48</v>
      </c>
      <c r="F7" s="7">
        <v>0</v>
      </c>
      <c r="G7" s="7">
        <v>170</v>
      </c>
      <c r="H7" s="7">
        <v>1E+30</v>
      </c>
      <c r="I7" s="7">
        <v>10</v>
      </c>
    </row>
    <row r="8" spans="1:9">
      <c r="C8" s="7" t="s">
        <v>166</v>
      </c>
      <c r="D8" s="7" t="s">
        <v>110</v>
      </c>
      <c r="E8" s="7">
        <v>31</v>
      </c>
      <c r="F8" s="7">
        <v>0</v>
      </c>
      <c r="G8" s="7">
        <v>160</v>
      </c>
      <c r="H8" s="7">
        <v>10</v>
      </c>
      <c r="I8" s="7">
        <v>160</v>
      </c>
    </row>
    <row r="9" spans="1:9">
      <c r="C9" s="7" t="s">
        <v>167</v>
      </c>
      <c r="D9" s="7" t="s">
        <v>110</v>
      </c>
      <c r="E9" s="7">
        <v>39</v>
      </c>
      <c r="F9" s="7">
        <v>0</v>
      </c>
      <c r="G9" s="7">
        <v>175</v>
      </c>
      <c r="H9" s="7">
        <v>5</v>
      </c>
      <c r="I9" s="7">
        <v>175</v>
      </c>
    </row>
    <row r="10" spans="1:9">
      <c r="C10" s="7" t="s">
        <v>168</v>
      </c>
      <c r="D10" s="7" t="s">
        <v>110</v>
      </c>
      <c r="E10" s="7">
        <v>43</v>
      </c>
      <c r="F10" s="7">
        <v>0</v>
      </c>
      <c r="G10" s="7">
        <v>180</v>
      </c>
      <c r="H10" s="7">
        <v>1E+30</v>
      </c>
      <c r="I10" s="7">
        <v>5</v>
      </c>
    </row>
    <row r="11" spans="1:9" ht="15.75" thickBot="1">
      <c r="C11" s="8" t="s">
        <v>169</v>
      </c>
      <c r="D11" s="8" t="s">
        <v>110</v>
      </c>
      <c r="E11" s="8">
        <v>15</v>
      </c>
      <c r="F11" s="8">
        <v>0</v>
      </c>
      <c r="G11" s="8">
        <v>195</v>
      </c>
      <c r="H11" s="8">
        <v>1E+30</v>
      </c>
      <c r="I11" s="8">
        <v>195</v>
      </c>
    </row>
    <row r="13" spans="1:9" ht="15.75" thickBot="1">
      <c r="B13" t="s">
        <v>30</v>
      </c>
    </row>
    <row r="14" spans="1:9">
      <c r="C14" s="41"/>
      <c r="D14" s="41"/>
      <c r="E14" s="41" t="s">
        <v>21</v>
      </c>
      <c r="F14" s="41" t="s">
        <v>31</v>
      </c>
      <c r="G14" s="41" t="s">
        <v>33</v>
      </c>
      <c r="H14" s="41" t="s">
        <v>27</v>
      </c>
      <c r="I14" s="41" t="s">
        <v>27</v>
      </c>
    </row>
    <row r="15" spans="1:9" ht="15.75" thickBot="1">
      <c r="C15" s="42" t="s">
        <v>19</v>
      </c>
      <c r="D15" s="42" t="s">
        <v>20</v>
      </c>
      <c r="E15" s="42" t="s">
        <v>22</v>
      </c>
      <c r="F15" s="42" t="s">
        <v>32</v>
      </c>
      <c r="G15" s="42" t="s">
        <v>34</v>
      </c>
      <c r="H15" s="42" t="s">
        <v>28</v>
      </c>
      <c r="I15" s="42" t="s">
        <v>29</v>
      </c>
    </row>
    <row r="16" spans="1:9">
      <c r="C16" s="7" t="s">
        <v>170</v>
      </c>
      <c r="D16" s="7" t="s">
        <v>112</v>
      </c>
      <c r="E16" s="7">
        <v>48</v>
      </c>
      <c r="F16" s="7">
        <v>10</v>
      </c>
      <c r="G16" s="7">
        <v>48</v>
      </c>
      <c r="H16" s="7">
        <v>6</v>
      </c>
      <c r="I16" s="7">
        <v>48</v>
      </c>
    </row>
    <row r="17" spans="1:9">
      <c r="C17" s="7" t="s">
        <v>171</v>
      </c>
      <c r="D17" s="7" t="s">
        <v>114</v>
      </c>
      <c r="E17" s="7">
        <v>79</v>
      </c>
      <c r="F17" s="7">
        <v>160</v>
      </c>
      <c r="G17" s="7">
        <v>79</v>
      </c>
      <c r="H17" s="7">
        <v>1E+30</v>
      </c>
      <c r="I17" s="7">
        <v>6</v>
      </c>
    </row>
    <row r="18" spans="1:9">
      <c r="C18" s="7" t="s">
        <v>111</v>
      </c>
      <c r="D18" s="7" t="s">
        <v>116</v>
      </c>
      <c r="E18" s="7">
        <v>79</v>
      </c>
      <c r="F18" s="7">
        <v>0</v>
      </c>
      <c r="G18" s="7">
        <v>65</v>
      </c>
      <c r="H18" s="7">
        <v>14</v>
      </c>
      <c r="I18" s="7">
        <v>1E+30</v>
      </c>
    </row>
    <row r="19" spans="1:9">
      <c r="C19" s="7" t="s">
        <v>113</v>
      </c>
      <c r="D19" s="7" t="s">
        <v>118</v>
      </c>
      <c r="E19" s="7">
        <v>118</v>
      </c>
      <c r="F19" s="7">
        <v>0</v>
      </c>
      <c r="G19" s="7">
        <v>87</v>
      </c>
      <c r="H19" s="7">
        <v>31</v>
      </c>
      <c r="I19" s="7">
        <v>1E+30</v>
      </c>
    </row>
    <row r="20" spans="1:9">
      <c r="C20" s="7" t="s">
        <v>115</v>
      </c>
      <c r="D20" s="7" t="s">
        <v>120</v>
      </c>
      <c r="E20" s="7">
        <v>70</v>
      </c>
      <c r="F20" s="7">
        <v>0</v>
      </c>
      <c r="G20" s="7">
        <v>64</v>
      </c>
      <c r="H20" s="7">
        <v>6</v>
      </c>
      <c r="I20" s="7">
        <v>1E+30</v>
      </c>
    </row>
    <row r="21" spans="1:9">
      <c r="C21" s="7" t="s">
        <v>117</v>
      </c>
      <c r="D21" s="7" t="s">
        <v>122</v>
      </c>
      <c r="E21" s="7">
        <v>82</v>
      </c>
      <c r="F21" s="7">
        <v>0</v>
      </c>
      <c r="G21" s="7">
        <v>73</v>
      </c>
      <c r="H21" s="7">
        <v>9</v>
      </c>
      <c r="I21" s="7">
        <v>1E+30</v>
      </c>
    </row>
    <row r="22" spans="1:9">
      <c r="C22" s="7" t="s">
        <v>119</v>
      </c>
      <c r="D22" s="7" t="s">
        <v>124</v>
      </c>
      <c r="E22" s="7">
        <v>82</v>
      </c>
      <c r="F22" s="7">
        <v>175</v>
      </c>
      <c r="G22" s="7">
        <v>82</v>
      </c>
      <c r="H22" s="7">
        <v>1E+30</v>
      </c>
      <c r="I22" s="7">
        <v>6</v>
      </c>
    </row>
    <row r="23" spans="1:9">
      <c r="C23" s="7" t="s">
        <v>121</v>
      </c>
      <c r="D23" s="7" t="s">
        <v>126</v>
      </c>
      <c r="E23" s="7">
        <v>43</v>
      </c>
      <c r="F23" s="7">
        <v>5</v>
      </c>
      <c r="G23" s="7">
        <v>43</v>
      </c>
      <c r="H23" s="7">
        <v>6</v>
      </c>
      <c r="I23" s="7">
        <v>6</v>
      </c>
    </row>
    <row r="24" spans="1:9">
      <c r="C24" s="7" t="s">
        <v>123</v>
      </c>
      <c r="D24" s="7" t="s">
        <v>127</v>
      </c>
      <c r="E24" s="7">
        <v>58</v>
      </c>
      <c r="F24" s="7">
        <v>0</v>
      </c>
      <c r="G24" s="7">
        <v>52</v>
      </c>
      <c r="H24" s="7">
        <v>6</v>
      </c>
      <c r="I24" s="7">
        <v>1E+30</v>
      </c>
    </row>
    <row r="25" spans="1:9" ht="15.75" thickBot="1">
      <c r="C25" s="8" t="s">
        <v>125</v>
      </c>
      <c r="D25" s="8" t="s">
        <v>128</v>
      </c>
      <c r="E25" s="8">
        <v>15</v>
      </c>
      <c r="F25" s="8">
        <v>195</v>
      </c>
      <c r="G25" s="8">
        <v>15</v>
      </c>
      <c r="H25" s="8">
        <v>1E+30</v>
      </c>
      <c r="I25" s="8">
        <v>6</v>
      </c>
    </row>
    <row r="27" spans="1:9">
      <c r="A27" t="s">
        <v>172</v>
      </c>
      <c r="B27" t="s">
        <v>173</v>
      </c>
    </row>
    <row r="28" spans="1:9">
      <c r="C28" s="7" t="s">
        <v>116</v>
      </c>
      <c r="D28" s="7">
        <v>14</v>
      </c>
    </row>
    <row r="29" spans="1:9">
      <c r="C29" s="7" t="s">
        <v>118</v>
      </c>
      <c r="D29" s="7">
        <v>31</v>
      </c>
    </row>
    <row r="30" spans="1:9">
      <c r="C30" s="7" t="s">
        <v>120</v>
      </c>
      <c r="D30" s="7">
        <v>6</v>
      </c>
    </row>
    <row r="31" spans="1:9">
      <c r="C31" s="7" t="s">
        <v>122</v>
      </c>
      <c r="D31" s="7">
        <v>9</v>
      </c>
    </row>
    <row r="32" spans="1:9">
      <c r="C32" s="7" t="s">
        <v>127</v>
      </c>
      <c r="D32" s="7">
        <v>6</v>
      </c>
    </row>
    <row r="34" spans="1:5">
      <c r="A34" t="s">
        <v>174</v>
      </c>
      <c r="B34" t="s">
        <v>175</v>
      </c>
    </row>
    <row r="35" spans="1:5">
      <c r="C35" t="s">
        <v>108</v>
      </c>
      <c r="D35" t="s">
        <v>176</v>
      </c>
      <c r="E35" t="s">
        <v>177</v>
      </c>
    </row>
    <row r="36" spans="1:5">
      <c r="C36" s="7" t="s">
        <v>112</v>
      </c>
      <c r="D36" s="7">
        <v>10</v>
      </c>
      <c r="E36" s="70">
        <v>6</v>
      </c>
    </row>
    <row r="37" spans="1:5">
      <c r="C37" s="7" t="s">
        <v>114</v>
      </c>
      <c r="D37" s="7">
        <v>160</v>
      </c>
      <c r="E37" s="70" t="s">
        <v>178</v>
      </c>
    </row>
    <row r="38" spans="1:5">
      <c r="C38" s="7" t="s">
        <v>124</v>
      </c>
      <c r="D38" s="7">
        <v>175</v>
      </c>
      <c r="E38" s="70" t="s">
        <v>178</v>
      </c>
    </row>
    <row r="39" spans="1:5">
      <c r="C39" s="7" t="s">
        <v>126</v>
      </c>
      <c r="D39" s="7">
        <v>5</v>
      </c>
      <c r="E39" s="70">
        <v>6</v>
      </c>
    </row>
    <row r="40" spans="1:5" ht="15.75" thickBot="1">
      <c r="C40" s="8" t="s">
        <v>128</v>
      </c>
      <c r="D40" s="8">
        <v>195</v>
      </c>
      <c r="E40" s="71" t="s">
        <v>178</v>
      </c>
    </row>
    <row r="43" spans="1:5">
      <c r="A43" t="s">
        <v>179</v>
      </c>
      <c r="B43" t="s">
        <v>180</v>
      </c>
    </row>
    <row r="45" spans="1:5">
      <c r="A45" t="s">
        <v>181</v>
      </c>
      <c r="B45" t="s">
        <v>182</v>
      </c>
    </row>
    <row r="47" spans="1:5">
      <c r="A47" t="s">
        <v>183</v>
      </c>
      <c r="B47" t="s">
        <v>184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>
      <selection activeCell="F10" sqref="F10"/>
    </sheetView>
  </sheetViews>
  <sheetFormatPr defaultRowHeight="15"/>
  <cols>
    <col min="2" max="2" width="24.7109375" customWidth="1"/>
    <col min="7" max="7" width="6.42578125" customWidth="1"/>
  </cols>
  <sheetData>
    <row r="1" spans="1:8">
      <c r="A1" s="1" t="s">
        <v>0</v>
      </c>
    </row>
    <row r="2" spans="1:8">
      <c r="A2" t="s">
        <v>7</v>
      </c>
    </row>
    <row r="5" spans="1:8">
      <c r="C5" t="s">
        <v>4</v>
      </c>
      <c r="D5" t="s">
        <v>5</v>
      </c>
      <c r="E5" t="s">
        <v>6</v>
      </c>
    </row>
    <row r="6" spans="1:8">
      <c r="B6" t="s">
        <v>13</v>
      </c>
      <c r="C6" s="5">
        <v>5</v>
      </c>
      <c r="D6" s="5">
        <v>-8</v>
      </c>
      <c r="E6" s="5">
        <v>4</v>
      </c>
    </row>
    <row r="7" spans="1:8">
      <c r="F7" t="s">
        <v>11</v>
      </c>
      <c r="H7" t="s">
        <v>10</v>
      </c>
    </row>
    <row r="8" spans="1:8">
      <c r="H8" t="s">
        <v>14</v>
      </c>
    </row>
    <row r="9" spans="1:8">
      <c r="B9" t="s">
        <v>1</v>
      </c>
      <c r="C9" s="4">
        <v>4</v>
      </c>
      <c r="D9" s="4">
        <v>-3</v>
      </c>
      <c r="E9" s="4">
        <v>2</v>
      </c>
      <c r="F9" s="2">
        <f>SUMPRODUCT(CsubiPartA,C9:E9)</f>
        <v>28.571428571428569</v>
      </c>
      <c r="G9" t="s">
        <v>8</v>
      </c>
      <c r="H9" s="5">
        <v>30</v>
      </c>
    </row>
    <row r="10" spans="1:8">
      <c r="B10" t="s">
        <v>2</v>
      </c>
      <c r="C10" s="4">
        <v>3</v>
      </c>
      <c r="D10" s="4">
        <v>-1</v>
      </c>
      <c r="E10" s="4">
        <v>1</v>
      </c>
      <c r="F10" s="2">
        <f>SUMPRODUCT(CsubiPartA,C10:E10)</f>
        <v>19.999999999999996</v>
      </c>
      <c r="G10" t="s">
        <v>8</v>
      </c>
      <c r="H10" s="5">
        <v>20</v>
      </c>
    </row>
    <row r="11" spans="1:8">
      <c r="B11" t="s">
        <v>3</v>
      </c>
      <c r="C11" s="4">
        <v>2</v>
      </c>
      <c r="D11" s="4">
        <v>-4</v>
      </c>
      <c r="E11" s="4">
        <v>3</v>
      </c>
      <c r="F11" s="2">
        <f>SUMPRODUCT(CsubiPartA,C11:E11)</f>
        <v>20</v>
      </c>
      <c r="G11" t="s">
        <v>8</v>
      </c>
      <c r="H11" s="5">
        <v>20</v>
      </c>
    </row>
    <row r="13" spans="1:8">
      <c r="C13" t="s">
        <v>4</v>
      </c>
      <c r="D13" t="s">
        <v>5</v>
      </c>
      <c r="E13" t="s">
        <v>6</v>
      </c>
      <c r="H13" t="s">
        <v>12</v>
      </c>
    </row>
    <row r="14" spans="1:8">
      <c r="B14" t="s">
        <v>101</v>
      </c>
      <c r="C14" s="3">
        <v>5.7142857142857135</v>
      </c>
      <c r="D14" s="3">
        <v>0</v>
      </c>
      <c r="E14" s="3">
        <v>2.8571428571428577</v>
      </c>
      <c r="F14" s="2"/>
      <c r="G14" s="2"/>
      <c r="H14" s="3">
        <f>SUMPRODUCT(CsubiPartA,CoefObjPartA)</f>
        <v>40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activeCell="C17" sqref="C17"/>
    </sheetView>
  </sheetViews>
  <sheetFormatPr defaultRowHeight="15"/>
  <cols>
    <col min="2" max="2" width="24.85546875" customWidth="1"/>
    <col min="7" max="7" width="6.140625" customWidth="1"/>
    <col min="8" max="8" width="10.85546875" customWidth="1"/>
  </cols>
  <sheetData>
    <row r="1" spans="1:8">
      <c r="A1" s="1" t="s">
        <v>0</v>
      </c>
    </row>
    <row r="2" spans="1:8">
      <c r="A2" t="s">
        <v>15</v>
      </c>
      <c r="B2" t="s">
        <v>16</v>
      </c>
    </row>
    <row r="5" spans="1:8">
      <c r="C5" t="s">
        <v>4</v>
      </c>
      <c r="D5" t="s">
        <v>5</v>
      </c>
      <c r="E5" t="s">
        <v>6</v>
      </c>
    </row>
    <row r="6" spans="1:8">
      <c r="B6" t="s">
        <v>13</v>
      </c>
      <c r="C6" s="5">
        <v>5</v>
      </c>
      <c r="D6" s="5">
        <v>-9</v>
      </c>
      <c r="E6" s="5">
        <v>3</v>
      </c>
    </row>
    <row r="7" spans="1:8">
      <c r="F7" t="s">
        <v>11</v>
      </c>
      <c r="H7" t="s">
        <v>10</v>
      </c>
    </row>
    <row r="8" spans="1:8">
      <c r="H8" t="s">
        <v>14</v>
      </c>
    </row>
    <row r="9" spans="1:8">
      <c r="B9" t="s">
        <v>1</v>
      </c>
      <c r="C9" s="4">
        <v>4.4000000000000004</v>
      </c>
      <c r="D9" s="4">
        <v>-3</v>
      </c>
      <c r="E9" s="4">
        <v>2</v>
      </c>
      <c r="F9" s="2">
        <f>SUMPRODUCT(CsubiPartB,C9:E9)</f>
        <v>27</v>
      </c>
      <c r="G9" t="s">
        <v>8</v>
      </c>
      <c r="H9" s="5">
        <v>27</v>
      </c>
    </row>
    <row r="10" spans="1:8">
      <c r="B10" t="s">
        <v>2</v>
      </c>
      <c r="C10" s="4">
        <v>3</v>
      </c>
      <c r="D10" s="4">
        <v>-0.6</v>
      </c>
      <c r="E10" s="4">
        <v>1</v>
      </c>
      <c r="F10" s="2">
        <f>SUMPRODUCT(CsubiPartB,C10:E10)</f>
        <v>17.32456140350877</v>
      </c>
      <c r="G10" t="s">
        <v>8</v>
      </c>
      <c r="H10" s="5">
        <v>19</v>
      </c>
    </row>
    <row r="11" spans="1:8">
      <c r="B11" t="s">
        <v>3</v>
      </c>
      <c r="C11" s="4">
        <v>2</v>
      </c>
      <c r="D11" s="4">
        <v>-4</v>
      </c>
      <c r="E11" s="4">
        <v>3.5</v>
      </c>
      <c r="F11" s="2">
        <f>SUMPRODUCT(CsubiPartB,C11:E11)</f>
        <v>20</v>
      </c>
      <c r="G11" t="s">
        <v>8</v>
      </c>
      <c r="H11" s="5">
        <v>20</v>
      </c>
    </row>
    <row r="13" spans="1:8">
      <c r="C13" t="s">
        <v>4</v>
      </c>
      <c r="D13" t="s">
        <v>5</v>
      </c>
      <c r="E13" t="s">
        <v>6</v>
      </c>
      <c r="H13" t="s">
        <v>12</v>
      </c>
    </row>
    <row r="14" spans="1:8">
      <c r="B14" t="s">
        <v>101</v>
      </c>
      <c r="C14" s="6">
        <v>4.780701754385964</v>
      </c>
      <c r="D14" s="6">
        <v>0</v>
      </c>
      <c r="E14" s="6">
        <v>2.982456140350878</v>
      </c>
      <c r="H14" s="6">
        <f>SUMPRODUCT(CsubiPartB,CoefObjPartB)</f>
        <v>32.850877192982452</v>
      </c>
    </row>
    <row r="17" spans="2:3">
      <c r="B17" t="s">
        <v>37</v>
      </c>
      <c r="C17" s="60">
        <f>((TotalZPartA-H14)/TotalZPartA)</f>
        <v>0.17872807017543871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workbookViewId="0">
      <selection activeCell="B21" sqref="B21"/>
    </sheetView>
  </sheetViews>
  <sheetFormatPr defaultRowHeight="15"/>
  <cols>
    <col min="3" max="3" width="11.28515625" customWidth="1"/>
    <col min="4" max="4" width="12" customWidth="1"/>
    <col min="5" max="5" width="16.42578125" customWidth="1"/>
    <col min="6" max="6" width="11" customWidth="1"/>
    <col min="7" max="7" width="6.140625" customWidth="1"/>
    <col min="8" max="8" width="17.5703125" customWidth="1"/>
  </cols>
  <sheetData>
    <row r="1" spans="1:8">
      <c r="A1" s="1" t="s">
        <v>63</v>
      </c>
    </row>
    <row r="2" spans="1:8">
      <c r="A2" t="s">
        <v>66</v>
      </c>
    </row>
    <row r="3" spans="1:8">
      <c r="A3" t="s">
        <v>15</v>
      </c>
    </row>
    <row r="4" spans="1:8">
      <c r="C4" s="25"/>
      <c r="D4" s="26" t="s">
        <v>47</v>
      </c>
      <c r="E4" s="26" t="s">
        <v>48</v>
      </c>
      <c r="F4" s="25"/>
      <c r="G4" s="25"/>
      <c r="H4" s="25"/>
    </row>
    <row r="5" spans="1:8">
      <c r="B5" t="s">
        <v>49</v>
      </c>
      <c r="C5" s="30"/>
      <c r="D5" s="32">
        <v>3</v>
      </c>
      <c r="E5" s="32">
        <v>5</v>
      </c>
      <c r="F5" s="27"/>
      <c r="G5" s="27"/>
      <c r="H5" s="27"/>
    </row>
    <row r="6" spans="1:8">
      <c r="C6" s="31"/>
      <c r="D6" s="27"/>
      <c r="E6" s="28"/>
      <c r="F6" s="26" t="s">
        <v>50</v>
      </c>
      <c r="G6" s="26"/>
      <c r="H6" s="26" t="s">
        <v>50</v>
      </c>
    </row>
    <row r="7" spans="1:8">
      <c r="C7" s="30"/>
      <c r="D7" s="74" t="s">
        <v>51</v>
      </c>
      <c r="E7" s="75"/>
      <c r="F7" s="26" t="s">
        <v>52</v>
      </c>
      <c r="G7" s="26"/>
      <c r="H7" s="26" t="s">
        <v>53</v>
      </c>
    </row>
    <row r="8" spans="1:8">
      <c r="C8" s="30" t="s">
        <v>54</v>
      </c>
      <c r="D8" s="33">
        <v>1</v>
      </c>
      <c r="E8" s="33">
        <v>0</v>
      </c>
      <c r="F8" s="26">
        <f>SUMPRODUCT(Csubi751,D8:E8)</f>
        <v>1.8061376771632631</v>
      </c>
      <c r="G8" s="26" t="s">
        <v>8</v>
      </c>
      <c r="H8" s="33">
        <f>_xlfn.NORM.INV(0.01,4,0.1)</f>
        <v>3.7673652125959158</v>
      </c>
    </row>
    <row r="9" spans="1:8">
      <c r="C9" s="30" t="s">
        <v>55</v>
      </c>
      <c r="D9" s="33">
        <v>0</v>
      </c>
      <c r="E9" s="33">
        <v>2</v>
      </c>
      <c r="F9" s="26">
        <f>SUMPRODUCT(Csubi751,D9:E9)</f>
        <v>11.41841303148979</v>
      </c>
      <c r="G9" s="26" t="s">
        <v>8</v>
      </c>
      <c r="H9" s="59">
        <f>_xlfn.NORM.INV(0.01,12,0.25)</f>
        <v>11.41841303148979</v>
      </c>
    </row>
    <row r="10" spans="1:8">
      <c r="C10" s="30" t="s">
        <v>56</v>
      </c>
      <c r="D10" s="33">
        <v>3</v>
      </c>
      <c r="E10" s="33">
        <v>2</v>
      </c>
      <c r="F10" s="26">
        <f>SUMPRODUCT(Csubi751,D10:E10)</f>
        <v>16.836826062979579</v>
      </c>
      <c r="G10" s="26" t="s">
        <v>8</v>
      </c>
      <c r="H10" s="59">
        <f>_xlfn.NORM.INV(0.01,18,0.5)</f>
        <v>16.836826062979579</v>
      </c>
    </row>
    <row r="11" spans="1:8">
      <c r="C11" s="25"/>
      <c r="D11" s="25"/>
      <c r="E11" s="25"/>
      <c r="F11" s="25"/>
      <c r="G11" s="29"/>
      <c r="H11" s="26"/>
    </row>
    <row r="12" spans="1:8" ht="15.75" thickBot="1">
      <c r="C12" s="25"/>
      <c r="D12" s="26" t="s">
        <v>47</v>
      </c>
      <c r="E12" s="26" t="s">
        <v>48</v>
      </c>
      <c r="F12" s="25"/>
      <c r="G12" s="26"/>
      <c r="H12" s="26" t="s">
        <v>57</v>
      </c>
    </row>
    <row r="13" spans="1:8" ht="15.75" thickBot="1">
      <c r="B13" t="s">
        <v>58</v>
      </c>
      <c r="C13" s="30"/>
      <c r="D13" s="34">
        <v>1.8061376771632631</v>
      </c>
      <c r="E13" s="35">
        <v>5.7092065157448948</v>
      </c>
      <c r="F13" s="25"/>
      <c r="G13" s="25"/>
      <c r="H13" s="36">
        <f>SUMPRODUCT(Csubi751,CoefObj751)</f>
        <v>33.964445610214263</v>
      </c>
    </row>
    <row r="17" spans="2:2">
      <c r="B17" t="s">
        <v>132</v>
      </c>
    </row>
    <row r="19" spans="2:2">
      <c r="B19" t="s">
        <v>133</v>
      </c>
    </row>
    <row r="20" spans="2:2">
      <c r="B20" s="61">
        <f>(TotalZ751-33.122)*1000</f>
        <v>842.44561021426284</v>
      </c>
    </row>
  </sheetData>
  <mergeCells count="1">
    <mergeCell ref="D7:E7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workbookViewId="0">
      <selection activeCell="A27" sqref="A27:C27"/>
    </sheetView>
  </sheetViews>
  <sheetFormatPr defaultRowHeight="15"/>
  <cols>
    <col min="1" max="1" width="4" customWidth="1"/>
    <col min="2" max="2" width="24.85546875" customWidth="1"/>
    <col min="7" max="7" width="6" customWidth="1"/>
  </cols>
  <sheetData>
    <row r="1" spans="1:12">
      <c r="A1" s="1" t="s">
        <v>64</v>
      </c>
    </row>
    <row r="2" spans="1:12">
      <c r="A2" t="s">
        <v>66</v>
      </c>
      <c r="I2" s="2" t="s">
        <v>137</v>
      </c>
      <c r="J2" s="2" t="s">
        <v>138</v>
      </c>
      <c r="K2" s="2" t="s">
        <v>139</v>
      </c>
      <c r="L2" s="2" t="s">
        <v>141</v>
      </c>
    </row>
    <row r="3" spans="1:12">
      <c r="A3" t="s">
        <v>7</v>
      </c>
      <c r="B3" t="s">
        <v>67</v>
      </c>
      <c r="C3" s="4">
        <v>3</v>
      </c>
      <c r="D3" s="4">
        <v>2</v>
      </c>
      <c r="E3" s="4">
        <v>1</v>
      </c>
      <c r="F3" s="2">
        <f>SUMPRODUCT(C$8:E$8,C3:E3)</f>
        <v>84</v>
      </c>
      <c r="G3" s="2" t="s">
        <v>8</v>
      </c>
      <c r="H3" s="2" t="s">
        <v>134</v>
      </c>
      <c r="I3" s="2" t="s">
        <v>140</v>
      </c>
      <c r="J3" s="2">
        <v>90</v>
      </c>
      <c r="K3" s="2">
        <v>3</v>
      </c>
      <c r="L3">
        <f>1-_xlfn.NORM.DIST(F3,J3,K3,TRUE)</f>
        <v>0.97724986805182079</v>
      </c>
    </row>
    <row r="4" spans="1:12">
      <c r="B4" t="s">
        <v>68</v>
      </c>
      <c r="C4" s="4">
        <v>2</v>
      </c>
      <c r="D4" s="4">
        <v>4</v>
      </c>
      <c r="E4" s="4">
        <v>2</v>
      </c>
      <c r="F4" s="2">
        <f t="shared" ref="F4:F5" si="0">SUMPRODUCT(C$8:E$8,C4:E4)</f>
        <v>140</v>
      </c>
      <c r="G4" s="2" t="s">
        <v>8</v>
      </c>
      <c r="H4" s="2" t="s">
        <v>135</v>
      </c>
      <c r="I4" s="2" t="s">
        <v>140</v>
      </c>
      <c r="J4" s="2">
        <v>150</v>
      </c>
      <c r="K4" s="2">
        <v>6</v>
      </c>
      <c r="L4">
        <f t="shared" ref="L4:L5" si="1">1-_xlfn.NORM.DIST(F4,J4,K4,TRUE)</f>
        <v>0.9522096477271853</v>
      </c>
    </row>
    <row r="5" spans="1:12">
      <c r="B5" t="s">
        <v>69</v>
      </c>
      <c r="C5" s="4">
        <v>1</v>
      </c>
      <c r="D5" s="4">
        <v>3</v>
      </c>
      <c r="E5" s="4">
        <v>5</v>
      </c>
      <c r="F5" s="2">
        <f t="shared" si="0"/>
        <v>168</v>
      </c>
      <c r="G5" s="2" t="s">
        <v>8</v>
      </c>
      <c r="H5" s="2" t="s">
        <v>136</v>
      </c>
      <c r="I5" s="2" t="s">
        <v>140</v>
      </c>
      <c r="J5" s="2">
        <v>180</v>
      </c>
      <c r="K5" s="2">
        <v>9</v>
      </c>
      <c r="L5">
        <f t="shared" si="1"/>
        <v>0.90878878027413212</v>
      </c>
    </row>
    <row r="7" spans="1:12">
      <c r="C7" t="s">
        <v>4</v>
      </c>
      <c r="D7" t="s">
        <v>5</v>
      </c>
      <c r="E7" t="s">
        <v>6</v>
      </c>
    </row>
    <row r="8" spans="1:12">
      <c r="C8" s="3">
        <v>7</v>
      </c>
      <c r="D8" s="3">
        <v>22</v>
      </c>
      <c r="E8" s="3">
        <v>19</v>
      </c>
      <c r="F8" s="2"/>
    </row>
    <row r="9" spans="1:12">
      <c r="C9" s="63"/>
      <c r="D9" s="63"/>
      <c r="E9" s="63"/>
      <c r="F9" s="2"/>
    </row>
    <row r="10" spans="1:12">
      <c r="A10" t="s">
        <v>15</v>
      </c>
      <c r="B10" t="s">
        <v>142</v>
      </c>
      <c r="C10" s="63"/>
      <c r="D10" s="63" t="s">
        <v>144</v>
      </c>
      <c r="E10" s="63"/>
      <c r="F10" s="2"/>
    </row>
    <row r="11" spans="1:12">
      <c r="C11" s="63"/>
      <c r="D11" s="63">
        <f>_xlfn.NORM.INV(1-0.975,J3,K3)</f>
        <v>84.120108046379841</v>
      </c>
      <c r="E11" s="63"/>
      <c r="F11" s="2"/>
    </row>
    <row r="12" spans="1:12">
      <c r="C12" s="63"/>
      <c r="D12" s="63">
        <f>_xlfn.NORM.INV(1-0.95,J4,K4)</f>
        <v>140.13087823829116</v>
      </c>
      <c r="E12" s="63"/>
      <c r="F12" s="2"/>
    </row>
    <row r="13" spans="1:12">
      <c r="C13" s="63"/>
      <c r="D13" s="63">
        <f>_xlfn.NORM.INV(1-0.9,J5,K5)</f>
        <v>168.46603591009858</v>
      </c>
      <c r="E13" s="63"/>
      <c r="F13" s="2"/>
    </row>
    <row r="14" spans="1:12">
      <c r="C14" s="63"/>
      <c r="D14" s="63"/>
      <c r="E14" s="63"/>
      <c r="F14" s="2"/>
    </row>
    <row r="15" spans="1:12">
      <c r="C15" t="s">
        <v>4</v>
      </c>
      <c r="D15" t="s">
        <v>5</v>
      </c>
      <c r="E15" t="s">
        <v>6</v>
      </c>
    </row>
    <row r="16" spans="1:12">
      <c r="B16" t="s">
        <v>13</v>
      </c>
      <c r="C16" s="5">
        <v>20</v>
      </c>
      <c r="D16" s="5">
        <v>30</v>
      </c>
      <c r="E16" s="5">
        <v>25</v>
      </c>
    </row>
    <row r="17" spans="1:8">
      <c r="F17" t="s">
        <v>11</v>
      </c>
      <c r="H17" t="s">
        <v>10</v>
      </c>
    </row>
    <row r="18" spans="1:8">
      <c r="H18" t="s">
        <v>14</v>
      </c>
    </row>
    <row r="19" spans="1:8">
      <c r="B19" t="s">
        <v>67</v>
      </c>
      <c r="C19" s="4">
        <v>3</v>
      </c>
      <c r="D19" s="4">
        <v>2</v>
      </c>
      <c r="E19" s="4">
        <v>1</v>
      </c>
      <c r="F19" s="2">
        <f>SUMPRODUCT(Csubi754,C19:E19)</f>
        <v>84.120108046379841</v>
      </c>
      <c r="G19" s="2" t="s">
        <v>8</v>
      </c>
      <c r="H19" s="5">
        <f>D11</f>
        <v>84.120108046379841</v>
      </c>
    </row>
    <row r="20" spans="1:8">
      <c r="B20" t="s">
        <v>68</v>
      </c>
      <c r="C20" s="4">
        <v>2</v>
      </c>
      <c r="D20" s="4">
        <v>4</v>
      </c>
      <c r="E20" s="4">
        <v>2</v>
      </c>
      <c r="F20" s="2">
        <f>SUMPRODUCT(Csubi754,C20:E20)</f>
        <v>140.13087823829116</v>
      </c>
      <c r="G20" s="2" t="s">
        <v>8</v>
      </c>
      <c r="H20" s="5">
        <f t="shared" ref="H20:H21" si="2">D12</f>
        <v>140.13087823829116</v>
      </c>
    </row>
    <row r="21" spans="1:8">
      <c r="B21" t="s">
        <v>69</v>
      </c>
      <c r="C21" s="4">
        <v>1</v>
      </c>
      <c r="D21" s="4">
        <v>3</v>
      </c>
      <c r="E21" s="4">
        <v>5</v>
      </c>
      <c r="F21" s="2">
        <f>SUMPRODUCT(Csubi754,C21:E21)</f>
        <v>168.46603591009858</v>
      </c>
      <c r="G21" s="2" t="s">
        <v>8</v>
      </c>
      <c r="H21" s="5">
        <f t="shared" si="2"/>
        <v>168.46603591009858</v>
      </c>
    </row>
    <row r="23" spans="1:8">
      <c r="C23" t="s">
        <v>4</v>
      </c>
      <c r="D23" t="s">
        <v>5</v>
      </c>
      <c r="E23" t="s">
        <v>6</v>
      </c>
      <c r="H23" t="s">
        <v>12</v>
      </c>
    </row>
    <row r="24" spans="1:8">
      <c r="B24" t="s">
        <v>101</v>
      </c>
      <c r="C24" s="3">
        <v>7.0273344636171302</v>
      </c>
      <c r="D24" s="3">
        <v>21.964545975880114</v>
      </c>
      <c r="E24" s="3">
        <v>19.109012703768226</v>
      </c>
      <c r="F24" s="2"/>
      <c r="G24" s="2"/>
      <c r="H24" s="3">
        <f>SUMPRODUCT(Csubi754,CoefObj754)</f>
        <v>1277.2083861429517</v>
      </c>
    </row>
    <row r="27" spans="1:8">
      <c r="A27" t="s">
        <v>109</v>
      </c>
      <c r="B27" s="23" t="s">
        <v>143</v>
      </c>
      <c r="C27">
        <f>0.975*0.95*0.9</f>
        <v>0.83362499999999995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I15" sqref="I15"/>
    </sheetView>
  </sheetViews>
  <sheetFormatPr defaultRowHeight="15"/>
  <cols>
    <col min="3" max="3" width="11.42578125" customWidth="1"/>
    <col min="4" max="5" width="12.85546875" customWidth="1"/>
    <col min="6" max="6" width="11.5703125" customWidth="1"/>
  </cols>
  <sheetData>
    <row r="1" spans="1:9">
      <c r="A1" s="1" t="s">
        <v>46</v>
      </c>
      <c r="C1" t="s">
        <v>61</v>
      </c>
    </row>
    <row r="2" spans="1:9">
      <c r="A2" t="s">
        <v>65</v>
      </c>
    </row>
    <row r="3" spans="1:9">
      <c r="D3" s="2" t="s">
        <v>62</v>
      </c>
      <c r="E3" s="2" t="s">
        <v>60</v>
      </c>
      <c r="F3" s="2" t="s">
        <v>59</v>
      </c>
    </row>
    <row r="4" spans="1:9">
      <c r="C4" s="10"/>
      <c r="D4" s="11" t="s">
        <v>47</v>
      </c>
      <c r="E4" s="11" t="s">
        <v>48</v>
      </c>
      <c r="F4" s="11" t="s">
        <v>48</v>
      </c>
      <c r="G4" s="10"/>
      <c r="H4" s="10"/>
      <c r="I4" s="10"/>
    </row>
    <row r="5" spans="1:9">
      <c r="B5" t="s">
        <v>49</v>
      </c>
      <c r="C5" s="22"/>
      <c r="D5" s="17">
        <v>3</v>
      </c>
      <c r="E5" s="17">
        <v>2.5</v>
      </c>
      <c r="F5" s="17">
        <v>0.5</v>
      </c>
      <c r="G5" s="12"/>
      <c r="H5" s="12"/>
      <c r="I5" s="12"/>
    </row>
    <row r="6" spans="1:9">
      <c r="C6" s="16"/>
      <c r="D6" s="12"/>
      <c r="E6" s="13"/>
      <c r="F6" s="13"/>
      <c r="G6" s="11" t="s">
        <v>50</v>
      </c>
      <c r="H6" s="11"/>
      <c r="I6" s="11" t="s">
        <v>50</v>
      </c>
    </row>
    <row r="7" spans="1:9">
      <c r="C7" s="15"/>
      <c r="D7" s="76" t="s">
        <v>51</v>
      </c>
      <c r="E7" s="77"/>
      <c r="F7" s="12"/>
      <c r="G7" s="11" t="s">
        <v>52</v>
      </c>
      <c r="H7" s="11"/>
      <c r="I7" s="11" t="s">
        <v>53</v>
      </c>
    </row>
    <row r="8" spans="1:9">
      <c r="C8" s="15"/>
      <c r="D8" s="18">
        <v>1</v>
      </c>
      <c r="E8" s="18">
        <v>0</v>
      </c>
      <c r="F8" s="18">
        <v>0</v>
      </c>
      <c r="G8" s="11">
        <f>SUMPRODUCT(Csubi761,D8:F8)</f>
        <v>2</v>
      </c>
      <c r="H8" s="11" t="s">
        <v>8</v>
      </c>
      <c r="I8" s="18">
        <v>4</v>
      </c>
    </row>
    <row r="9" spans="1:9">
      <c r="C9" s="15"/>
      <c r="D9" s="18">
        <v>0</v>
      </c>
      <c r="E9" s="18">
        <v>2</v>
      </c>
      <c r="F9" s="18">
        <v>0</v>
      </c>
      <c r="G9" s="11">
        <f>SUMPRODUCT(Csubi761,D9:F9)</f>
        <v>12</v>
      </c>
      <c r="H9" s="11" t="s">
        <v>8</v>
      </c>
      <c r="I9" s="18">
        <v>12</v>
      </c>
    </row>
    <row r="10" spans="1:9">
      <c r="C10" s="15"/>
      <c r="D10" s="18">
        <v>3</v>
      </c>
      <c r="E10" s="18">
        <v>2</v>
      </c>
      <c r="F10" s="18">
        <v>0</v>
      </c>
      <c r="G10" s="11">
        <f>SUMPRODUCT(Csubi761,D10:F10)</f>
        <v>18</v>
      </c>
      <c r="H10" s="11" t="s">
        <v>8</v>
      </c>
      <c r="I10" s="18">
        <v>18</v>
      </c>
    </row>
    <row r="11" spans="1:9">
      <c r="C11" s="15"/>
      <c r="D11" s="18">
        <v>0</v>
      </c>
      <c r="E11" s="18">
        <v>0</v>
      </c>
      <c r="F11" s="18">
        <v>2</v>
      </c>
      <c r="G11" s="11">
        <f>SUMPRODUCT(Csubi761,D11:F11)</f>
        <v>4</v>
      </c>
      <c r="H11" s="11" t="s">
        <v>8</v>
      </c>
      <c r="I11" s="18">
        <v>12</v>
      </c>
    </row>
    <row r="12" spans="1:9">
      <c r="C12" s="15"/>
      <c r="D12" s="18">
        <v>3</v>
      </c>
      <c r="E12" s="18">
        <v>0</v>
      </c>
      <c r="F12" s="18">
        <v>6</v>
      </c>
      <c r="G12" s="11">
        <f>SUMPRODUCT(Csubi761,D12:F12)</f>
        <v>18</v>
      </c>
      <c r="H12" s="11" t="s">
        <v>8</v>
      </c>
      <c r="I12" s="18">
        <v>18</v>
      </c>
    </row>
    <row r="13" spans="1:9">
      <c r="C13" s="10"/>
      <c r="D13" s="10"/>
      <c r="E13" s="10"/>
      <c r="F13" s="10"/>
      <c r="G13" s="10"/>
      <c r="H13" s="14"/>
      <c r="I13" s="11"/>
    </row>
    <row r="14" spans="1:9" ht="15.75" thickBot="1">
      <c r="C14" s="10"/>
      <c r="D14" s="11"/>
      <c r="E14" s="11"/>
      <c r="F14" s="11"/>
      <c r="G14" s="10"/>
      <c r="H14" s="11"/>
      <c r="I14" s="11" t="s">
        <v>57</v>
      </c>
    </row>
    <row r="15" spans="1:9" ht="15.75" thickBot="1">
      <c r="C15" s="15" t="s">
        <v>58</v>
      </c>
      <c r="D15" s="19">
        <v>2</v>
      </c>
      <c r="E15" s="20">
        <v>6</v>
      </c>
      <c r="F15" s="9">
        <v>2</v>
      </c>
      <c r="G15" s="10"/>
      <c r="H15" s="10"/>
      <c r="I15" s="21">
        <f>SUMPRODUCT(Csubi761,CoefObj761)</f>
        <v>22</v>
      </c>
    </row>
  </sheetData>
  <mergeCells count="1">
    <mergeCell ref="D7:E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showGridLines="0" workbookViewId="0"/>
  </sheetViews>
  <sheetFormatPr defaultRowHeight="15"/>
  <cols>
    <col min="1" max="1" width="2.28515625" customWidth="1"/>
    <col min="2" max="2" width="6.28515625" bestFit="1" customWidth="1"/>
    <col min="3" max="3" width="19.5703125" bestFit="1" customWidth="1"/>
    <col min="4" max="4" width="6.140625" customWidth="1"/>
    <col min="5" max="5" width="12.7109375" bestFit="1" customWidth="1"/>
    <col min="6" max="6" width="10.85546875" bestFit="1" customWidth="1"/>
    <col min="7" max="8" width="12" bestFit="1" customWidth="1"/>
  </cols>
  <sheetData>
    <row r="1" spans="1:8">
      <c r="A1" s="1" t="s">
        <v>17</v>
      </c>
    </row>
    <row r="2" spans="1:8">
      <c r="A2" s="1" t="s">
        <v>102</v>
      </c>
    </row>
    <row r="3" spans="1:8">
      <c r="A3" s="1" t="s">
        <v>103</v>
      </c>
    </row>
    <row r="6" spans="1:8" ht="15.75" thickBot="1">
      <c r="A6" t="s">
        <v>18</v>
      </c>
    </row>
    <row r="7" spans="1:8">
      <c r="B7" s="41"/>
      <c r="C7" s="41"/>
      <c r="D7" s="41" t="s">
        <v>21</v>
      </c>
      <c r="E7" s="41" t="s">
        <v>23</v>
      </c>
      <c r="F7" s="41" t="s">
        <v>25</v>
      </c>
      <c r="G7" s="41" t="s">
        <v>27</v>
      </c>
      <c r="H7" s="41" t="s">
        <v>27</v>
      </c>
    </row>
    <row r="8" spans="1:8" ht="15.75" thickBot="1">
      <c r="B8" s="42" t="s">
        <v>19</v>
      </c>
      <c r="C8" s="42" t="s">
        <v>20</v>
      </c>
      <c r="D8" s="42" t="s">
        <v>22</v>
      </c>
      <c r="E8" s="42" t="s">
        <v>24</v>
      </c>
      <c r="F8" s="42" t="s">
        <v>26</v>
      </c>
      <c r="G8" s="42" t="s">
        <v>28</v>
      </c>
      <c r="H8" s="42" t="s">
        <v>29</v>
      </c>
    </row>
    <row r="9" spans="1:8">
      <c r="B9" s="7" t="s">
        <v>40</v>
      </c>
      <c r="C9" s="7" t="s">
        <v>104</v>
      </c>
      <c r="D9" s="7">
        <v>11</v>
      </c>
      <c r="E9" s="7">
        <v>0</v>
      </c>
      <c r="F9" s="7">
        <v>5</v>
      </c>
      <c r="G9" s="7">
        <v>1E+30</v>
      </c>
      <c r="H9" s="7">
        <v>0.36363636363636331</v>
      </c>
    </row>
    <row r="10" spans="1:8">
      <c r="B10" s="7" t="s">
        <v>41</v>
      </c>
      <c r="C10" s="7" t="s">
        <v>105</v>
      </c>
      <c r="D10" s="7">
        <v>0</v>
      </c>
      <c r="E10" s="7">
        <v>-0.33333333333333304</v>
      </c>
      <c r="F10" s="7">
        <v>4</v>
      </c>
      <c r="G10" s="7">
        <v>0.33333333333333304</v>
      </c>
      <c r="H10" s="7">
        <v>1E+30</v>
      </c>
    </row>
    <row r="11" spans="1:8">
      <c r="B11" s="7" t="s">
        <v>42</v>
      </c>
      <c r="C11" s="7" t="s">
        <v>106</v>
      </c>
      <c r="D11" s="7">
        <v>3</v>
      </c>
      <c r="E11" s="7">
        <v>0</v>
      </c>
      <c r="F11" s="7">
        <v>-1</v>
      </c>
      <c r="G11" s="7">
        <v>2.6666666666666661</v>
      </c>
      <c r="H11" s="7">
        <v>1.3333333333333321</v>
      </c>
    </row>
    <row r="12" spans="1:8" ht="15.75" thickBot="1">
      <c r="B12" s="8" t="s">
        <v>43</v>
      </c>
      <c r="C12" s="8" t="s">
        <v>107</v>
      </c>
      <c r="D12" s="8">
        <v>0</v>
      </c>
      <c r="E12" s="8">
        <v>-0.66666666666666652</v>
      </c>
      <c r="F12" s="8">
        <v>3</v>
      </c>
      <c r="G12" s="8">
        <v>0.66666666666666652</v>
      </c>
      <c r="H12" s="8">
        <v>1E+30</v>
      </c>
    </row>
    <row r="14" spans="1:8" ht="15.75" thickBot="1">
      <c r="A14" t="s">
        <v>30</v>
      </c>
    </row>
    <row r="15" spans="1:8">
      <c r="B15" s="41"/>
      <c r="C15" s="41"/>
      <c r="D15" s="41" t="s">
        <v>21</v>
      </c>
      <c r="E15" s="41" t="s">
        <v>31</v>
      </c>
      <c r="F15" s="41" t="s">
        <v>33</v>
      </c>
      <c r="G15" s="41" t="s">
        <v>27</v>
      </c>
      <c r="H15" s="41" t="s">
        <v>27</v>
      </c>
    </row>
    <row r="16" spans="1:8" ht="15.75" thickBot="1">
      <c r="B16" s="42" t="s">
        <v>19</v>
      </c>
      <c r="C16" s="42" t="s">
        <v>20</v>
      </c>
      <c r="D16" s="42" t="s">
        <v>22</v>
      </c>
      <c r="E16" s="42" t="s">
        <v>32</v>
      </c>
      <c r="F16" s="42" t="s">
        <v>34</v>
      </c>
      <c r="G16" s="42" t="s">
        <v>28</v>
      </c>
      <c r="H16" s="42" t="s">
        <v>29</v>
      </c>
    </row>
    <row r="17" spans="2:8">
      <c r="B17" s="7" t="s">
        <v>44</v>
      </c>
      <c r="C17" s="7" t="s">
        <v>35</v>
      </c>
      <c r="D17" s="7">
        <v>36</v>
      </c>
      <c r="E17" s="7">
        <v>1</v>
      </c>
      <c r="F17" s="7">
        <v>36</v>
      </c>
      <c r="G17" s="7">
        <v>1E+30</v>
      </c>
      <c r="H17" s="7">
        <v>12</v>
      </c>
    </row>
    <row r="18" spans="2:8" ht="15.75" thickBot="1">
      <c r="B18" s="8" t="s">
        <v>45</v>
      </c>
      <c r="C18" s="8" t="s">
        <v>36</v>
      </c>
      <c r="D18" s="8">
        <v>24</v>
      </c>
      <c r="E18" s="8">
        <v>0.66666666666666652</v>
      </c>
      <c r="F18" s="8">
        <v>24</v>
      </c>
      <c r="G18" s="8">
        <v>12</v>
      </c>
      <c r="H18" s="8">
        <v>132.00000000000003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tabSelected="1" topLeftCell="B1" workbookViewId="0">
      <selection activeCell="F19" sqref="F19"/>
    </sheetView>
  </sheetViews>
  <sheetFormatPr defaultRowHeight="15"/>
  <cols>
    <col min="1" max="1" width="15" customWidth="1"/>
    <col min="2" max="3" width="23.7109375" bestFit="1" customWidth="1"/>
    <col min="4" max="4" width="19.85546875" bestFit="1" customWidth="1"/>
    <col min="5" max="6" width="19.42578125" bestFit="1" customWidth="1"/>
  </cols>
  <sheetData>
    <row r="1" spans="1:9">
      <c r="A1" s="1" t="s">
        <v>185</v>
      </c>
      <c r="B1" s="2"/>
      <c r="C1" s="2"/>
      <c r="D1" s="2"/>
      <c r="E1" s="2"/>
      <c r="F1" s="2"/>
      <c r="G1" s="2"/>
      <c r="H1" s="2"/>
      <c r="I1" s="2"/>
    </row>
    <row r="2" spans="1:9">
      <c r="B2" s="2" t="s">
        <v>186</v>
      </c>
      <c r="C2" s="2"/>
      <c r="D2" s="2" t="s">
        <v>187</v>
      </c>
      <c r="E2" s="2" t="s">
        <v>188</v>
      </c>
      <c r="F2" s="2" t="s">
        <v>189</v>
      </c>
      <c r="G2" s="2"/>
      <c r="H2" s="2"/>
      <c r="I2" s="2"/>
    </row>
    <row r="3" spans="1:9">
      <c r="B3" s="2"/>
      <c r="C3" s="2" t="s">
        <v>190</v>
      </c>
      <c r="D3" s="2" t="s">
        <v>191</v>
      </c>
      <c r="E3" s="2" t="s">
        <v>192</v>
      </c>
      <c r="F3" s="2" t="s">
        <v>192</v>
      </c>
      <c r="G3" s="2"/>
      <c r="H3" s="2"/>
      <c r="I3" s="2"/>
    </row>
    <row r="4" spans="1:9">
      <c r="G4" s="2"/>
      <c r="H4" s="2"/>
      <c r="I4" s="2"/>
    </row>
    <row r="5" spans="1:9">
      <c r="C5" s="2" t="s">
        <v>4</v>
      </c>
      <c r="D5" s="2" t="s">
        <v>196</v>
      </c>
      <c r="E5" s="2" t="s">
        <v>197</v>
      </c>
      <c r="F5" s="2" t="s">
        <v>198</v>
      </c>
      <c r="G5" s="2" t="s">
        <v>199</v>
      </c>
      <c r="H5" s="2"/>
      <c r="I5" s="2"/>
    </row>
    <row r="6" spans="1:9">
      <c r="B6" s="2" t="s">
        <v>200</v>
      </c>
      <c r="C6" s="5">
        <v>0.5</v>
      </c>
      <c r="D6" s="5">
        <v>0.5</v>
      </c>
      <c r="E6" s="5">
        <v>0.05</v>
      </c>
      <c r="F6" s="5">
        <v>0</v>
      </c>
      <c r="G6" s="5">
        <v>40</v>
      </c>
      <c r="H6" s="2"/>
      <c r="I6" s="2"/>
    </row>
    <row r="7" spans="1:9">
      <c r="B7" s="2"/>
      <c r="C7" s="2"/>
      <c r="D7" s="2"/>
      <c r="E7" s="2"/>
      <c r="F7" s="2"/>
      <c r="G7" s="2"/>
      <c r="H7" s="2"/>
      <c r="I7" s="2"/>
    </row>
    <row r="8" spans="1:9">
      <c r="B8" s="2"/>
      <c r="C8" s="2"/>
      <c r="D8" s="2"/>
      <c r="E8" s="2"/>
      <c r="F8" s="2"/>
      <c r="G8" s="2" t="s">
        <v>193</v>
      </c>
      <c r="H8" s="2"/>
      <c r="I8" s="2" t="s">
        <v>193</v>
      </c>
    </row>
    <row r="9" spans="1:9">
      <c r="B9" s="2"/>
      <c r="C9" s="2" t="s">
        <v>194</v>
      </c>
      <c r="D9" s="2"/>
      <c r="E9" s="2"/>
      <c r="F9" s="2"/>
      <c r="G9" s="2" t="s">
        <v>195</v>
      </c>
      <c r="H9" s="2"/>
      <c r="I9" s="2" t="s">
        <v>53</v>
      </c>
    </row>
    <row r="10" spans="1:9">
      <c r="B10" s="2" t="s">
        <v>190</v>
      </c>
      <c r="C10" s="62">
        <v>1</v>
      </c>
      <c r="D10" s="62">
        <v>0</v>
      </c>
      <c r="E10" s="62">
        <v>0</v>
      </c>
      <c r="F10" s="62">
        <v>0</v>
      </c>
      <c r="G10" s="5">
        <f>SUMPRODUCT($C$17:$F$17,C10:F10)</f>
        <v>5</v>
      </c>
      <c r="H10" s="2" t="s">
        <v>9</v>
      </c>
      <c r="I10" s="5">
        <v>5</v>
      </c>
    </row>
    <row r="11" spans="1:9">
      <c r="B11" s="2" t="s">
        <v>190</v>
      </c>
      <c r="C11" s="62">
        <v>1</v>
      </c>
      <c r="D11" s="62">
        <v>0</v>
      </c>
      <c r="E11" s="62">
        <v>0</v>
      </c>
      <c r="F11" s="62">
        <v>0</v>
      </c>
      <c r="G11" s="5">
        <f t="shared" ref="G11:G14" si="0">SUMPRODUCT($C$17:$F$17,C11:F11)</f>
        <v>5</v>
      </c>
      <c r="H11" s="2" t="s">
        <v>8</v>
      </c>
      <c r="I11" s="5">
        <v>10</v>
      </c>
    </row>
    <row r="12" spans="1:9">
      <c r="B12" s="2" t="s">
        <v>187</v>
      </c>
      <c r="C12" s="62">
        <v>1</v>
      </c>
      <c r="D12" s="62">
        <v>1</v>
      </c>
      <c r="E12" s="62">
        <v>0</v>
      </c>
      <c r="F12" s="62">
        <v>0</v>
      </c>
      <c r="G12" s="5">
        <f t="shared" si="0"/>
        <v>100</v>
      </c>
      <c r="H12" s="2" t="s">
        <v>8</v>
      </c>
      <c r="I12" s="5">
        <v>100</v>
      </c>
    </row>
    <row r="13" spans="1:9">
      <c r="B13" s="2" t="s">
        <v>188</v>
      </c>
      <c r="C13" s="62">
        <v>1</v>
      </c>
      <c r="D13" s="62">
        <v>0</v>
      </c>
      <c r="E13" s="62">
        <v>1</v>
      </c>
      <c r="F13" s="62">
        <v>0</v>
      </c>
      <c r="G13" s="5">
        <f t="shared" si="0"/>
        <v>100</v>
      </c>
      <c r="H13" s="2" t="s">
        <v>8</v>
      </c>
      <c r="I13" s="5">
        <v>100</v>
      </c>
    </row>
    <row r="14" spans="1:9">
      <c r="B14" s="2" t="s">
        <v>189</v>
      </c>
      <c r="C14" s="62">
        <v>1</v>
      </c>
      <c r="D14" s="62">
        <v>0</v>
      </c>
      <c r="E14" s="62">
        <v>0</v>
      </c>
      <c r="F14" s="62">
        <v>1</v>
      </c>
      <c r="G14" s="5">
        <f t="shared" si="0"/>
        <v>5</v>
      </c>
      <c r="H14" s="2" t="s">
        <v>8</v>
      </c>
      <c r="I14" s="5">
        <v>100</v>
      </c>
    </row>
    <row r="15" spans="1:9">
      <c r="B15" s="2"/>
      <c r="C15" s="2"/>
      <c r="D15" s="2"/>
      <c r="E15" s="2"/>
      <c r="F15" s="2"/>
      <c r="G15" s="2"/>
      <c r="H15" s="2"/>
      <c r="I15" s="2"/>
    </row>
    <row r="16" spans="1:9">
      <c r="B16" s="2"/>
      <c r="C16" s="2" t="s">
        <v>4</v>
      </c>
      <c r="D16" s="2" t="s">
        <v>196</v>
      </c>
      <c r="E16" s="2" t="s">
        <v>197</v>
      </c>
      <c r="F16" s="2" t="s">
        <v>198</v>
      </c>
      <c r="G16" s="2"/>
      <c r="H16" s="2"/>
      <c r="I16" s="2" t="s">
        <v>57</v>
      </c>
    </row>
    <row r="17" spans="2:9">
      <c r="B17" s="2" t="s">
        <v>194</v>
      </c>
      <c r="C17" s="72">
        <v>5</v>
      </c>
      <c r="D17" s="72">
        <v>95</v>
      </c>
      <c r="E17" s="72">
        <v>95</v>
      </c>
      <c r="F17" s="72">
        <v>0</v>
      </c>
      <c r="G17" s="2"/>
      <c r="H17" s="2"/>
      <c r="I17" s="73">
        <f>SUMPRODUCT(C6:F6,C17:F17) - G6</f>
        <v>14.75</v>
      </c>
    </row>
    <row r="18" spans="2:9">
      <c r="B18" s="2"/>
      <c r="C18" s="2"/>
      <c r="D18" s="2"/>
      <c r="E18" s="2"/>
      <c r="F18" s="2"/>
      <c r="G18" s="2"/>
      <c r="H18" s="2"/>
      <c r="I18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D16" sqref="D16"/>
    </sheetView>
  </sheetViews>
  <sheetFormatPr defaultRowHeight="15"/>
  <cols>
    <col min="2" max="2" width="24.7109375" customWidth="1"/>
    <col min="3" max="3" width="19.28515625" customWidth="1"/>
    <col min="4" max="4" width="22" customWidth="1"/>
  </cols>
  <sheetData>
    <row r="1" spans="1:7">
      <c r="A1" s="1" t="s">
        <v>70</v>
      </c>
    </row>
    <row r="2" spans="1:7">
      <c r="A2" t="s">
        <v>7</v>
      </c>
    </row>
    <row r="5" spans="1:7">
      <c r="C5" t="s">
        <v>71</v>
      </c>
      <c r="D5" t="s">
        <v>72</v>
      </c>
    </row>
    <row r="6" spans="1:7">
      <c r="B6" t="s">
        <v>13</v>
      </c>
      <c r="C6" s="5">
        <v>3</v>
      </c>
      <c r="D6" s="5">
        <v>-2.5</v>
      </c>
    </row>
    <row r="7" spans="1:7">
      <c r="E7" t="s">
        <v>11</v>
      </c>
      <c r="G7" t="s">
        <v>10</v>
      </c>
    </row>
    <row r="8" spans="1:7">
      <c r="G8" t="s">
        <v>14</v>
      </c>
    </row>
    <row r="9" spans="1:7">
      <c r="B9" t="s">
        <v>73</v>
      </c>
      <c r="C9" s="4">
        <v>2</v>
      </c>
      <c r="D9" s="4">
        <v>-1</v>
      </c>
      <c r="E9" s="2">
        <f>SUMPRODUCT(Csubi734a,C9:D9)</f>
        <v>3000</v>
      </c>
      <c r="F9" s="2" t="s">
        <v>8</v>
      </c>
      <c r="G9" s="24">
        <v>3000</v>
      </c>
    </row>
    <row r="10" spans="1:7">
      <c r="B10" t="s">
        <v>74</v>
      </c>
      <c r="C10" s="4">
        <v>1</v>
      </c>
      <c r="D10" s="4">
        <v>-1</v>
      </c>
      <c r="E10" s="2">
        <f>SUMPRODUCT(Csubi734a,C10:D10)</f>
        <v>1000</v>
      </c>
      <c r="F10" s="2" t="s">
        <v>8</v>
      </c>
      <c r="G10" s="24">
        <v>1000</v>
      </c>
    </row>
    <row r="12" spans="1:7">
      <c r="G12" t="s">
        <v>12</v>
      </c>
    </row>
    <row r="13" spans="1:7">
      <c r="B13" t="s">
        <v>101</v>
      </c>
      <c r="C13" s="3">
        <v>2000</v>
      </c>
      <c r="D13" s="3">
        <v>1000</v>
      </c>
      <c r="E13" s="2"/>
      <c r="F13" s="2"/>
      <c r="G13" s="3">
        <f>SUMPRODUCT(Csubi734a,CoefObj734a)</f>
        <v>3500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showGridLines="0" workbookViewId="0">
      <selection activeCell="B4" sqref="B4"/>
    </sheetView>
  </sheetViews>
  <sheetFormatPr defaultRowHeight="15"/>
  <cols>
    <col min="1" max="1" width="2.28515625" customWidth="1"/>
    <col min="2" max="2" width="6.28515625" bestFit="1" customWidth="1"/>
    <col min="3" max="3" width="21.7109375" bestFit="1" customWidth="1"/>
    <col min="4" max="4" width="6.140625" customWidth="1"/>
    <col min="5" max="5" width="8.7109375" bestFit="1" customWidth="1"/>
    <col min="6" max="6" width="10.85546875" bestFit="1" customWidth="1"/>
    <col min="7" max="8" width="10" bestFit="1" customWidth="1"/>
  </cols>
  <sheetData>
    <row r="1" spans="1:8">
      <c r="A1" s="1" t="s">
        <v>17</v>
      </c>
    </row>
    <row r="2" spans="1:8">
      <c r="A2" s="1" t="s">
        <v>78</v>
      </c>
    </row>
    <row r="3" spans="1:8">
      <c r="A3" s="1" t="s">
        <v>84</v>
      </c>
    </row>
    <row r="4" spans="1:8">
      <c r="B4" s="1" t="s">
        <v>86</v>
      </c>
    </row>
    <row r="6" spans="1:8" ht="15.75" thickBot="1">
      <c r="A6" t="s">
        <v>18</v>
      </c>
    </row>
    <row r="7" spans="1:8">
      <c r="B7" s="41"/>
      <c r="C7" s="41"/>
      <c r="D7" s="41" t="s">
        <v>21</v>
      </c>
      <c r="E7" s="41" t="s">
        <v>23</v>
      </c>
      <c r="F7" s="41" t="s">
        <v>25</v>
      </c>
      <c r="G7" s="41" t="s">
        <v>27</v>
      </c>
      <c r="H7" s="41" t="s">
        <v>27</v>
      </c>
    </row>
    <row r="8" spans="1:8" ht="15.75" thickBot="1">
      <c r="B8" s="42" t="s">
        <v>19</v>
      </c>
      <c r="C8" s="42" t="s">
        <v>20</v>
      </c>
      <c r="D8" s="42" t="s">
        <v>22</v>
      </c>
      <c r="E8" s="42" t="s">
        <v>24</v>
      </c>
      <c r="F8" s="42" t="s">
        <v>26</v>
      </c>
      <c r="G8" s="42" t="s">
        <v>28</v>
      </c>
      <c r="H8" s="42" t="s">
        <v>29</v>
      </c>
    </row>
    <row r="9" spans="1:8">
      <c r="B9" s="7" t="s">
        <v>40</v>
      </c>
      <c r="C9" s="7" t="s">
        <v>76</v>
      </c>
      <c r="D9" s="7">
        <v>2000</v>
      </c>
      <c r="E9" s="7">
        <v>0</v>
      </c>
      <c r="F9" s="7">
        <v>3</v>
      </c>
      <c r="G9" s="7">
        <v>2</v>
      </c>
      <c r="H9" s="7">
        <v>0.5</v>
      </c>
    </row>
    <row r="10" spans="1:8" ht="15.75" thickBot="1">
      <c r="B10" s="8" t="s">
        <v>41</v>
      </c>
      <c r="C10" s="8" t="s">
        <v>77</v>
      </c>
      <c r="D10" s="8">
        <v>1000</v>
      </c>
      <c r="E10" s="8">
        <v>0</v>
      </c>
      <c r="F10" s="8">
        <v>-2.5</v>
      </c>
      <c r="G10" s="8">
        <v>1</v>
      </c>
      <c r="H10" s="8">
        <v>0.5</v>
      </c>
    </row>
    <row r="12" spans="1:8" ht="15.75" thickBot="1">
      <c r="A12" t="s">
        <v>30</v>
      </c>
    </row>
    <row r="13" spans="1:8">
      <c r="B13" s="41"/>
      <c r="C13" s="41"/>
      <c r="D13" s="41" t="s">
        <v>21</v>
      </c>
      <c r="E13" s="41" t="s">
        <v>31</v>
      </c>
      <c r="F13" s="41" t="s">
        <v>33</v>
      </c>
      <c r="G13" s="41" t="s">
        <v>27</v>
      </c>
      <c r="H13" s="41" t="s">
        <v>27</v>
      </c>
    </row>
    <row r="14" spans="1:8" ht="15.75" thickBot="1">
      <c r="B14" s="42" t="s">
        <v>19</v>
      </c>
      <c r="C14" s="42" t="s">
        <v>20</v>
      </c>
      <c r="D14" s="42" t="s">
        <v>22</v>
      </c>
      <c r="E14" s="42" t="s">
        <v>32</v>
      </c>
      <c r="F14" s="42" t="s">
        <v>34</v>
      </c>
      <c r="G14" s="42" t="s">
        <v>28</v>
      </c>
      <c r="H14" s="42" t="s">
        <v>29</v>
      </c>
    </row>
    <row r="15" spans="1:8">
      <c r="B15" s="7" t="s">
        <v>79</v>
      </c>
      <c r="C15" s="7" t="s">
        <v>80</v>
      </c>
      <c r="D15" s="7">
        <v>3000</v>
      </c>
      <c r="E15" s="7">
        <v>0.5</v>
      </c>
      <c r="F15" s="7">
        <v>3000</v>
      </c>
      <c r="G15" s="7">
        <v>1E+30</v>
      </c>
      <c r="H15" s="7">
        <v>1000</v>
      </c>
    </row>
    <row r="16" spans="1:8" ht="15.75" thickBot="1">
      <c r="B16" s="8" t="s">
        <v>81</v>
      </c>
      <c r="C16" s="8" t="s">
        <v>82</v>
      </c>
      <c r="D16" s="8">
        <v>1000</v>
      </c>
      <c r="E16" s="8">
        <v>2</v>
      </c>
      <c r="F16" s="8">
        <v>1000</v>
      </c>
      <c r="G16" s="8">
        <v>500</v>
      </c>
      <c r="H16" s="8">
        <v>1E+30</v>
      </c>
    </row>
    <row r="19" spans="2:2">
      <c r="B19" t="s">
        <v>85</v>
      </c>
    </row>
    <row r="20" spans="2:2">
      <c r="B20" t="s">
        <v>87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selection activeCell="F7" sqref="F7"/>
    </sheetView>
  </sheetViews>
  <sheetFormatPr defaultRowHeight="15"/>
  <cols>
    <col min="1" max="1" width="21.42578125" bestFit="1" customWidth="1"/>
    <col min="2" max="2" width="26.42578125" bestFit="1" customWidth="1"/>
    <col min="3" max="6" width="5" customWidth="1"/>
    <col min="7" max="7" width="11.140625" bestFit="1" customWidth="1"/>
  </cols>
  <sheetData>
    <row r="1" spans="1:7">
      <c r="A1" s="44" t="s">
        <v>88</v>
      </c>
      <c r="B1" s="44" t="s">
        <v>83</v>
      </c>
      <c r="C1" s="45"/>
      <c r="D1" s="45"/>
      <c r="E1" s="45"/>
      <c r="F1" s="46"/>
    </row>
    <row r="2" spans="1:7">
      <c r="A2" s="44" t="s">
        <v>75</v>
      </c>
      <c r="B2" s="43">
        <v>-3.5</v>
      </c>
      <c r="C2" s="47">
        <v>-3</v>
      </c>
      <c r="D2" s="47">
        <v>-2.5</v>
      </c>
      <c r="E2" s="47">
        <v>-2</v>
      </c>
      <c r="F2" s="55">
        <v>-1.5</v>
      </c>
    </row>
    <row r="3" spans="1:7">
      <c r="A3" s="43">
        <v>2</v>
      </c>
      <c r="B3" s="48">
        <v>2000</v>
      </c>
      <c r="C3" s="49">
        <v>2000</v>
      </c>
      <c r="D3" s="49">
        <v>2000</v>
      </c>
      <c r="E3" s="49">
        <v>2000</v>
      </c>
      <c r="F3" s="56">
        <v>2500</v>
      </c>
      <c r="G3" s="40"/>
    </row>
    <row r="4" spans="1:7">
      <c r="A4" s="50">
        <v>2.5</v>
      </c>
      <c r="B4" s="51">
        <v>2500</v>
      </c>
      <c r="C4" s="40">
        <v>2500</v>
      </c>
      <c r="D4" s="40">
        <v>2500</v>
      </c>
      <c r="E4" s="40">
        <v>3000</v>
      </c>
      <c r="F4" s="57">
        <v>3500</v>
      </c>
      <c r="G4" s="40"/>
    </row>
    <row r="5" spans="1:7">
      <c r="A5" s="50">
        <v>3</v>
      </c>
      <c r="B5" s="51">
        <v>3000</v>
      </c>
      <c r="C5" s="40">
        <v>3000</v>
      </c>
      <c r="D5" s="40">
        <v>3500</v>
      </c>
      <c r="E5" s="40">
        <v>4000</v>
      </c>
      <c r="F5" s="57">
        <v>4500</v>
      </c>
      <c r="G5" s="40"/>
    </row>
    <row r="6" spans="1:7">
      <c r="A6" s="50">
        <v>3.5</v>
      </c>
      <c r="B6" s="51">
        <v>3500</v>
      </c>
      <c r="C6" s="40">
        <v>4000</v>
      </c>
      <c r="D6" s="40">
        <v>4500</v>
      </c>
      <c r="E6" s="40">
        <v>5000</v>
      </c>
      <c r="F6" s="57">
        <v>5500</v>
      </c>
      <c r="G6" s="40"/>
    </row>
    <row r="7" spans="1:7">
      <c r="A7" s="52">
        <v>4</v>
      </c>
      <c r="B7" s="53">
        <v>4500</v>
      </c>
      <c r="C7" s="54">
        <v>5000</v>
      </c>
      <c r="D7" s="54">
        <v>5500</v>
      </c>
      <c r="E7" s="54">
        <v>6000</v>
      </c>
      <c r="F7" s="58">
        <v>6500</v>
      </c>
      <c r="G7" s="40"/>
    </row>
    <row r="8" spans="1:7">
      <c r="B8" s="40"/>
      <c r="C8" s="40"/>
      <c r="D8" s="40"/>
      <c r="E8" s="40"/>
      <c r="F8" s="40"/>
      <c r="G8" s="40"/>
    </row>
    <row r="9" spans="1:7">
      <c r="A9" s="1" t="s">
        <v>89</v>
      </c>
      <c r="B9" s="40"/>
      <c r="C9" s="40"/>
    </row>
    <row r="10" spans="1:7">
      <c r="B10" s="40"/>
      <c r="C10" s="40"/>
    </row>
    <row r="11" spans="1:7">
      <c r="B11" s="40"/>
      <c r="C11" s="40"/>
    </row>
    <row r="12" spans="1:7">
      <c r="B12" s="40"/>
      <c r="C12" s="40"/>
    </row>
    <row r="13" spans="1:7">
      <c r="B13" s="40"/>
      <c r="C13" s="40"/>
    </row>
    <row r="14" spans="1:7">
      <c r="B14" s="40"/>
      <c r="C14" s="40"/>
    </row>
    <row r="15" spans="1:7">
      <c r="B15" s="40"/>
      <c r="C15" s="40"/>
    </row>
    <row r="16" spans="1:7">
      <c r="B16" s="40"/>
      <c r="C16" s="40"/>
    </row>
    <row r="17" spans="2:3">
      <c r="B17" s="40"/>
      <c r="C17" s="40"/>
    </row>
    <row r="18" spans="2:3">
      <c r="B18" s="40"/>
      <c r="C18" s="40"/>
    </row>
    <row r="19" spans="2:3">
      <c r="B19" s="40"/>
      <c r="C19" s="40"/>
    </row>
    <row r="20" spans="2:3">
      <c r="B20" s="40"/>
      <c r="C20" s="40"/>
    </row>
    <row r="21" spans="2:3">
      <c r="B21" s="40"/>
      <c r="C21" s="40"/>
    </row>
    <row r="22" spans="2:3">
      <c r="B22" s="40"/>
      <c r="C22" s="40"/>
    </row>
    <row r="23" spans="2:3">
      <c r="B23" s="40"/>
      <c r="C23" s="40"/>
    </row>
    <row r="24" spans="2:3">
      <c r="B24" s="40"/>
      <c r="C24" s="40"/>
    </row>
    <row r="25" spans="2:3">
      <c r="B25" s="40"/>
      <c r="C25" s="40"/>
    </row>
    <row r="26" spans="2:3">
      <c r="B26" s="40"/>
      <c r="C26" s="40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activeCell="F11" sqref="F11:F14"/>
    </sheetView>
  </sheetViews>
  <sheetFormatPr defaultRowHeight="15"/>
  <cols>
    <col min="3" max="3" width="11.7109375" customWidth="1"/>
    <col min="4" max="4" width="10.28515625" customWidth="1"/>
    <col min="5" max="5" width="11.7109375" customWidth="1"/>
    <col min="6" max="6" width="11.28515625" customWidth="1"/>
    <col min="8" max="8" width="12.140625" customWidth="1"/>
    <col min="9" max="9" width="14" customWidth="1"/>
  </cols>
  <sheetData>
    <row r="1" spans="1:8">
      <c r="A1" s="1" t="s">
        <v>90</v>
      </c>
    </row>
    <row r="2" spans="1:8">
      <c r="C2" t="s">
        <v>129</v>
      </c>
      <c r="F2" t="s">
        <v>130</v>
      </c>
    </row>
    <row r="3" spans="1:8">
      <c r="C3" t="s">
        <v>91</v>
      </c>
      <c r="D3" t="s">
        <v>93</v>
      </c>
      <c r="E3" t="s">
        <v>95</v>
      </c>
      <c r="F3" t="s">
        <v>92</v>
      </c>
      <c r="G3" t="s">
        <v>94</v>
      </c>
      <c r="H3" t="s">
        <v>96</v>
      </c>
    </row>
    <row r="4" spans="1:8">
      <c r="C4">
        <v>3</v>
      </c>
      <c r="D4">
        <v>2.5</v>
      </c>
      <c r="E4" s="60">
        <f>ROUND(ABS($D4-$C4)/0.5,2)</f>
        <v>1</v>
      </c>
      <c r="F4">
        <v>-2.5</v>
      </c>
      <c r="G4">
        <v>-3</v>
      </c>
      <c r="H4" s="60">
        <f>ABS(ROUND(ABS($F4-$G4)/0.5,2))</f>
        <v>1</v>
      </c>
    </row>
    <row r="5" spans="1:8">
      <c r="C5">
        <v>3</v>
      </c>
      <c r="D5">
        <v>2.75</v>
      </c>
      <c r="E5" s="60">
        <f>ROUND(ABS($D5-$C5)/0.5,2)</f>
        <v>0.5</v>
      </c>
      <c r="F5">
        <v>-2.5</v>
      </c>
      <c r="G5">
        <v>-2.75</v>
      </c>
      <c r="H5" s="60">
        <f>ABS(ROUND(ABS($F5-$G5)/0.5,2))</f>
        <v>0.5</v>
      </c>
    </row>
    <row r="6" spans="1:8">
      <c r="C6">
        <v>3</v>
      </c>
      <c r="D6">
        <v>3</v>
      </c>
      <c r="E6" s="60">
        <f t="shared" ref="E6" si="0">ROUND(ABS($D6-$C6)/$C6,2)</f>
        <v>0</v>
      </c>
      <c r="F6">
        <v>-2.5</v>
      </c>
      <c r="G6">
        <v>-2.5</v>
      </c>
      <c r="H6" s="60">
        <f t="shared" ref="H6" si="1">ABS(ROUND(ABS($F6-$G6)/$F6,2))</f>
        <v>0</v>
      </c>
    </row>
    <row r="7" spans="1:8">
      <c r="C7">
        <v>3</v>
      </c>
      <c r="D7">
        <v>3.25</v>
      </c>
      <c r="E7" s="60">
        <f>ROUND(ABS($D7-$C7)/2,2)</f>
        <v>0.13</v>
      </c>
      <c r="F7">
        <v>-2.5</v>
      </c>
      <c r="G7">
        <v>-2.25</v>
      </c>
      <c r="H7" s="60">
        <f>ABS(ROUND(ABS($F7-$G7)/1,2))</f>
        <v>0.25</v>
      </c>
    </row>
    <row r="8" spans="1:8">
      <c r="C8">
        <v>3</v>
      </c>
      <c r="D8">
        <v>3.5</v>
      </c>
      <c r="E8" s="60">
        <f>ROUND(ABS($D8-$C8)/2,2)</f>
        <v>0.25</v>
      </c>
      <c r="F8">
        <v>-2.5</v>
      </c>
      <c r="G8">
        <v>-2</v>
      </c>
      <c r="H8" s="60">
        <f>ABS(ROUND(ABS($F8-$G8)/1,2))</f>
        <v>0.5</v>
      </c>
    </row>
    <row r="9" spans="1:8">
      <c r="C9">
        <v>3</v>
      </c>
      <c r="D9">
        <v>3.75</v>
      </c>
      <c r="E9" s="60">
        <f>ROUND(ABS($D9-$C9)/2,2)</f>
        <v>0.38</v>
      </c>
      <c r="F9">
        <v>-2.5</v>
      </c>
      <c r="G9">
        <v>-1.75</v>
      </c>
      <c r="H9" s="60">
        <f>ABS(ROUND(ABS($F9-$G9)/1,2))</f>
        <v>0.75</v>
      </c>
    </row>
    <row r="10" spans="1:8">
      <c r="C10">
        <v>3</v>
      </c>
      <c r="D10">
        <v>4</v>
      </c>
      <c r="E10" s="60">
        <f>ROUND(ABS($D10-$C10)/2,2)</f>
        <v>0.5</v>
      </c>
      <c r="F10">
        <v>-2.5</v>
      </c>
      <c r="G10">
        <v>-1.5</v>
      </c>
      <c r="H10" s="60">
        <f>ABS(ROUND(ABS($F10-$G10)/1,2))</f>
        <v>1</v>
      </c>
    </row>
    <row r="11" spans="1:8">
      <c r="C11">
        <v>3</v>
      </c>
      <c r="D11">
        <v>4.25</v>
      </c>
      <c r="E11" s="60">
        <f>ROUND(ABS($D11-$C11)/2, 2)</f>
        <v>0.63</v>
      </c>
    </row>
    <row r="12" spans="1:8">
      <c r="C12">
        <v>3</v>
      </c>
      <c r="D12">
        <v>4.5</v>
      </c>
      <c r="E12" s="60">
        <f>ABS($D12-$C12)/2</f>
        <v>0.75</v>
      </c>
    </row>
    <row r="13" spans="1:8">
      <c r="C13">
        <v>3</v>
      </c>
      <c r="D13">
        <v>4.75</v>
      </c>
      <c r="E13" s="60">
        <f>ROUND(ABS($D13-$C13)/2,2)</f>
        <v>0.88</v>
      </c>
    </row>
    <row r="14" spans="1:8">
      <c r="C14">
        <v>3</v>
      </c>
      <c r="D14">
        <v>5</v>
      </c>
      <c r="E14" s="60">
        <f>ROUND(ABS($D14-$C14)/2,2)</f>
        <v>1</v>
      </c>
    </row>
    <row r="15" spans="1:8">
      <c r="A15" t="s">
        <v>98</v>
      </c>
    </row>
    <row r="16" spans="1:8">
      <c r="A16" t="s">
        <v>131</v>
      </c>
    </row>
    <row r="17" spans="1:1">
      <c r="A17" t="s">
        <v>97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showGridLines="0" workbookViewId="0">
      <selection activeCell="I17" sqref="I17"/>
    </sheetView>
  </sheetViews>
  <sheetFormatPr defaultRowHeight="15"/>
  <cols>
    <col min="1" max="1" width="2.28515625" customWidth="1"/>
    <col min="2" max="2" width="6.28515625" bestFit="1" customWidth="1"/>
    <col min="3" max="3" width="39" bestFit="1" customWidth="1"/>
    <col min="4" max="4" width="6.140625" customWidth="1"/>
    <col min="5" max="5" width="8.7109375" bestFit="1" customWidth="1"/>
    <col min="6" max="6" width="10.85546875" bestFit="1" customWidth="1"/>
    <col min="7" max="8" width="10" bestFit="1" customWidth="1"/>
  </cols>
  <sheetData>
    <row r="1" spans="1:9">
      <c r="A1" s="1" t="s">
        <v>17</v>
      </c>
    </row>
    <row r="2" spans="1:9">
      <c r="A2" s="1" t="s">
        <v>154</v>
      </c>
    </row>
    <row r="3" spans="1:9">
      <c r="A3" s="1" t="s">
        <v>155</v>
      </c>
    </row>
    <row r="6" spans="1:9" ht="15.75" thickBot="1">
      <c r="A6" t="s">
        <v>18</v>
      </c>
    </row>
    <row r="7" spans="1:9">
      <c r="B7" s="67"/>
      <c r="C7" s="67"/>
      <c r="D7" s="67" t="s">
        <v>21</v>
      </c>
      <c r="E7" s="67" t="s">
        <v>23</v>
      </c>
      <c r="F7" s="67" t="s">
        <v>25</v>
      </c>
      <c r="G7" s="67" t="s">
        <v>27</v>
      </c>
      <c r="H7" s="67" t="s">
        <v>27</v>
      </c>
    </row>
    <row r="8" spans="1:9" ht="15.75" thickBot="1">
      <c r="B8" s="68" t="s">
        <v>19</v>
      </c>
      <c r="C8" s="68" t="s">
        <v>20</v>
      </c>
      <c r="D8" s="68" t="s">
        <v>22</v>
      </c>
      <c r="E8" s="68" t="s">
        <v>24</v>
      </c>
      <c r="F8" s="68" t="s">
        <v>26</v>
      </c>
      <c r="G8" s="68" t="s">
        <v>28</v>
      </c>
      <c r="H8" s="68" t="s">
        <v>29</v>
      </c>
    </row>
    <row r="9" spans="1:9">
      <c r="B9" s="7" t="s">
        <v>40</v>
      </c>
      <c r="C9" s="7" t="s">
        <v>156</v>
      </c>
      <c r="D9" s="7">
        <v>2000</v>
      </c>
      <c r="E9" s="7">
        <v>0</v>
      </c>
      <c r="F9" s="7">
        <v>3</v>
      </c>
      <c r="G9" s="7">
        <v>2</v>
      </c>
      <c r="H9" s="7">
        <v>0.5</v>
      </c>
    </row>
    <row r="10" spans="1:9" ht="15.75" thickBot="1">
      <c r="B10" s="8" t="s">
        <v>41</v>
      </c>
      <c r="C10" s="8" t="s">
        <v>157</v>
      </c>
      <c r="D10" s="8">
        <v>1000</v>
      </c>
      <c r="E10" s="8">
        <v>0</v>
      </c>
      <c r="F10" s="8">
        <v>-2.5</v>
      </c>
      <c r="G10" s="8">
        <v>1</v>
      </c>
      <c r="H10" s="8">
        <v>0.5</v>
      </c>
    </row>
    <row r="12" spans="1:9" ht="15.75" thickBot="1">
      <c r="A12" t="s">
        <v>30</v>
      </c>
    </row>
    <row r="13" spans="1:9">
      <c r="B13" s="67"/>
      <c r="C13" s="67"/>
      <c r="D13" s="67" t="s">
        <v>21</v>
      </c>
      <c r="E13" s="67" t="s">
        <v>31</v>
      </c>
      <c r="F13" s="67" t="s">
        <v>33</v>
      </c>
      <c r="G13" s="67" t="s">
        <v>27</v>
      </c>
      <c r="H13" s="67" t="s">
        <v>27</v>
      </c>
    </row>
    <row r="14" spans="1:9" ht="15.75" thickBot="1">
      <c r="B14" s="68" t="s">
        <v>19</v>
      </c>
      <c r="C14" s="68" t="s">
        <v>20</v>
      </c>
      <c r="D14" s="68" t="s">
        <v>22</v>
      </c>
      <c r="E14" s="68" t="s">
        <v>32</v>
      </c>
      <c r="F14" s="68" t="s">
        <v>34</v>
      </c>
      <c r="G14" s="68" t="s">
        <v>28</v>
      </c>
      <c r="H14" s="68" t="s">
        <v>29</v>
      </c>
    </row>
    <row r="15" spans="1:9">
      <c r="B15" s="7" t="s">
        <v>79</v>
      </c>
      <c r="C15" s="7" t="s">
        <v>80</v>
      </c>
      <c r="D15" s="7">
        <v>3000</v>
      </c>
      <c r="E15" s="69">
        <v>0.5</v>
      </c>
      <c r="F15" s="7">
        <v>3000</v>
      </c>
      <c r="G15" s="69">
        <v>500</v>
      </c>
      <c r="H15" s="69">
        <v>1000</v>
      </c>
      <c r="I15" t="s">
        <v>160</v>
      </c>
    </row>
    <row r="16" spans="1:9">
      <c r="B16" s="7" t="s">
        <v>81</v>
      </c>
      <c r="C16" s="7" t="s">
        <v>82</v>
      </c>
      <c r="D16" s="7">
        <v>1000</v>
      </c>
      <c r="E16" s="69">
        <v>2</v>
      </c>
      <c r="F16" s="7">
        <v>1000</v>
      </c>
      <c r="G16" s="69">
        <v>500</v>
      </c>
      <c r="H16" s="69">
        <v>500</v>
      </c>
      <c r="I16" t="s">
        <v>161</v>
      </c>
    </row>
    <row r="17" spans="2:8" ht="15.75" thickBot="1">
      <c r="B17" s="8" t="s">
        <v>158</v>
      </c>
      <c r="C17" s="8" t="s">
        <v>159</v>
      </c>
      <c r="D17" s="8">
        <v>2000</v>
      </c>
      <c r="E17" s="8">
        <v>0</v>
      </c>
      <c r="F17" s="8">
        <v>2500</v>
      </c>
      <c r="G17" s="8">
        <v>1E+30</v>
      </c>
      <c r="H17" s="8">
        <v>500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G9" sqref="G9"/>
    </sheetView>
  </sheetViews>
  <sheetFormatPr defaultRowHeight="15"/>
  <cols>
    <col min="2" max="2" width="23.7109375" customWidth="1"/>
    <col min="3" max="3" width="13.85546875" customWidth="1"/>
    <col min="4" max="4" width="21.5703125" customWidth="1"/>
  </cols>
  <sheetData>
    <row r="1" spans="1:7">
      <c r="A1" s="1" t="s">
        <v>99</v>
      </c>
    </row>
    <row r="2" spans="1:7">
      <c r="A2" t="s">
        <v>7</v>
      </c>
    </row>
    <row r="5" spans="1:7">
      <c r="C5" t="s">
        <v>71</v>
      </c>
      <c r="D5" t="s">
        <v>72</v>
      </c>
    </row>
    <row r="6" spans="1:7">
      <c r="B6" t="s">
        <v>13</v>
      </c>
      <c r="C6" s="5">
        <v>3</v>
      </c>
      <c r="D6" s="5">
        <v>-2.5</v>
      </c>
    </row>
    <row r="7" spans="1:7">
      <c r="E7" t="s">
        <v>11</v>
      </c>
      <c r="G7" t="s">
        <v>10</v>
      </c>
    </row>
    <row r="8" spans="1:7">
      <c r="G8" t="s">
        <v>14</v>
      </c>
    </row>
    <row r="9" spans="1:7">
      <c r="B9" t="s">
        <v>73</v>
      </c>
      <c r="C9" s="4">
        <v>2</v>
      </c>
      <c r="D9" s="4">
        <v>-1</v>
      </c>
      <c r="E9" s="2">
        <f>SUMPRODUCT(Xsubi735a,C9:D9)</f>
        <v>3000</v>
      </c>
      <c r="F9" s="2" t="s">
        <v>8</v>
      </c>
      <c r="G9" s="24">
        <v>3000</v>
      </c>
    </row>
    <row r="10" spans="1:7">
      <c r="B10" t="s">
        <v>74</v>
      </c>
      <c r="C10" s="4">
        <v>1</v>
      </c>
      <c r="D10" s="4">
        <v>-1</v>
      </c>
      <c r="E10" s="2">
        <f>SUMPRODUCT(Xsubi735a,C10:D10)</f>
        <v>1000</v>
      </c>
      <c r="F10" s="2" t="s">
        <v>8</v>
      </c>
      <c r="G10" s="24">
        <v>1000</v>
      </c>
    </row>
    <row r="11" spans="1:7">
      <c r="B11" t="s">
        <v>100</v>
      </c>
      <c r="C11" s="4">
        <v>1</v>
      </c>
      <c r="D11" s="4">
        <v>0</v>
      </c>
      <c r="E11" s="2">
        <f>SUMPRODUCT(Xsubi735a,C11:D11)</f>
        <v>2000</v>
      </c>
      <c r="F11" s="2" t="s">
        <v>8</v>
      </c>
      <c r="G11" s="2">
        <v>2500</v>
      </c>
    </row>
    <row r="12" spans="1:7">
      <c r="G12" t="s">
        <v>12</v>
      </c>
    </row>
    <row r="13" spans="1:7">
      <c r="B13" t="s">
        <v>101</v>
      </c>
      <c r="C13" s="3">
        <v>2000</v>
      </c>
      <c r="D13" s="3">
        <v>1000</v>
      </c>
      <c r="E13" s="2"/>
      <c r="F13" s="2"/>
      <c r="G13" s="3">
        <f>SUMPRODUCT(Xsubi735a,CoefObj735a)</f>
        <v>3500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C3" sqref="C3"/>
    </sheetView>
  </sheetViews>
  <sheetFormatPr defaultRowHeight="15"/>
  <cols>
    <col min="2" max="2" width="17" bestFit="1" customWidth="1"/>
    <col min="3" max="3" width="12.42578125" bestFit="1" customWidth="1"/>
    <col min="4" max="4" width="22.140625" bestFit="1" customWidth="1"/>
  </cols>
  <sheetData>
    <row r="1" spans="1:8">
      <c r="A1" s="1" t="s">
        <v>99</v>
      </c>
    </row>
    <row r="2" spans="1:8">
      <c r="A2" t="s">
        <v>15</v>
      </c>
    </row>
    <row r="5" spans="1:8">
      <c r="C5" t="s">
        <v>71</v>
      </c>
      <c r="D5" t="s">
        <v>72</v>
      </c>
    </row>
    <row r="6" spans="1:8">
      <c r="B6" t="s">
        <v>13</v>
      </c>
      <c r="C6" s="5">
        <v>3</v>
      </c>
      <c r="D6" s="5">
        <v>-2.5</v>
      </c>
    </row>
    <row r="7" spans="1:8">
      <c r="E7" t="s">
        <v>11</v>
      </c>
      <c r="G7" t="s">
        <v>10</v>
      </c>
    </row>
    <row r="8" spans="1:8">
      <c r="G8" t="s">
        <v>14</v>
      </c>
    </row>
    <row r="9" spans="1:8">
      <c r="B9" t="s">
        <v>73</v>
      </c>
      <c r="C9" s="4">
        <v>2</v>
      </c>
      <c r="D9" s="4">
        <v>-1</v>
      </c>
      <c r="E9" s="2">
        <f>SUMPRODUCT(C$13:D$13,C9:D9)</f>
        <v>3001</v>
      </c>
      <c r="F9" s="2" t="s">
        <v>8</v>
      </c>
      <c r="G9" s="24">
        <v>3001</v>
      </c>
    </row>
    <row r="10" spans="1:8">
      <c r="B10" t="s">
        <v>74</v>
      </c>
      <c r="C10" s="4">
        <v>1</v>
      </c>
      <c r="D10" s="4">
        <v>-1</v>
      </c>
      <c r="E10" s="2">
        <f t="shared" ref="E10:E11" si="0">SUMPRODUCT(C$13:D$13,C10:D10)</f>
        <v>1000</v>
      </c>
      <c r="F10" s="2" t="s">
        <v>8</v>
      </c>
      <c r="G10" s="24">
        <v>1000</v>
      </c>
    </row>
    <row r="11" spans="1:8">
      <c r="B11" t="s">
        <v>100</v>
      </c>
      <c r="C11" s="4">
        <v>1</v>
      </c>
      <c r="D11" s="4">
        <v>0</v>
      </c>
      <c r="E11" s="2">
        <f t="shared" si="0"/>
        <v>2001</v>
      </c>
      <c r="F11" s="2" t="s">
        <v>8</v>
      </c>
      <c r="G11" s="2">
        <v>2500</v>
      </c>
    </row>
    <row r="12" spans="1:8">
      <c r="G12" t="s">
        <v>12</v>
      </c>
    </row>
    <row r="13" spans="1:8">
      <c r="B13" t="s">
        <v>101</v>
      </c>
      <c r="C13" s="3">
        <v>2001</v>
      </c>
      <c r="D13" s="3">
        <v>1001</v>
      </c>
      <c r="E13" s="2"/>
      <c r="F13" s="2"/>
      <c r="G13" s="3">
        <f>SUMPRODUCT(C13:D13,C6:D6)</f>
        <v>3500.5</v>
      </c>
      <c r="H13" t="s">
        <v>147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29</vt:i4>
      </vt:variant>
    </vt:vector>
  </HeadingPairs>
  <TitlesOfParts>
    <vt:vector size="49" baseType="lpstr">
      <vt:lpstr>4.7-6</vt:lpstr>
      <vt:lpstr>SensitivityReport476</vt:lpstr>
      <vt:lpstr>7.3-4a</vt:lpstr>
      <vt:lpstr>7.3-4f</vt:lpstr>
      <vt:lpstr>7.3-4g</vt:lpstr>
      <vt:lpstr>7.3-4h</vt:lpstr>
      <vt:lpstr>7.3-5f -Sensitivity Report 1</vt:lpstr>
      <vt:lpstr>7.3-5a</vt:lpstr>
      <vt:lpstr>7.3-5b</vt:lpstr>
      <vt:lpstr>7.3-5c</vt:lpstr>
      <vt:lpstr>7.3-5d Analysis Report</vt:lpstr>
      <vt:lpstr>7.3-5e Analysis Report</vt:lpstr>
      <vt:lpstr>7.3-5d</vt:lpstr>
      <vt:lpstr>7.3-7</vt:lpstr>
      <vt:lpstr>7.4-4a</vt:lpstr>
      <vt:lpstr>7.4-4b</vt:lpstr>
      <vt:lpstr>7.5-1</vt:lpstr>
      <vt:lpstr>7.5-4</vt:lpstr>
      <vt:lpstr>7.6-1</vt:lpstr>
      <vt:lpstr>7.6-3</vt:lpstr>
      <vt:lpstr>CoefObj476</vt:lpstr>
      <vt:lpstr>CoefObj734a</vt:lpstr>
      <vt:lpstr>CoefObj735a</vt:lpstr>
      <vt:lpstr>CoefObj751</vt:lpstr>
      <vt:lpstr>CoefObj754</vt:lpstr>
      <vt:lpstr>CoefObj761</vt:lpstr>
      <vt:lpstr>CoefObjPartA</vt:lpstr>
      <vt:lpstr>CoefObjPartB</vt:lpstr>
      <vt:lpstr>Csubi476</vt:lpstr>
      <vt:lpstr>Csubi734a</vt:lpstr>
      <vt:lpstr>Csubi751</vt:lpstr>
      <vt:lpstr>Csubi754</vt:lpstr>
      <vt:lpstr>Csubi761</vt:lpstr>
      <vt:lpstr>CsubiPartA</vt:lpstr>
      <vt:lpstr>CsubiPartB</vt:lpstr>
      <vt:lpstr>Csubj751</vt:lpstr>
      <vt:lpstr>ProfitPerUnitOfSubassem</vt:lpstr>
      <vt:lpstr>ProfitPerUnitOfToys</vt:lpstr>
      <vt:lpstr>SubassemProduced734</vt:lpstr>
      <vt:lpstr>TotalZ476</vt:lpstr>
      <vt:lpstr>TotalZ734a</vt:lpstr>
      <vt:lpstr>TotalZ735a</vt:lpstr>
      <vt:lpstr>TotalZ751</vt:lpstr>
      <vt:lpstr>TotalZ754</vt:lpstr>
      <vt:lpstr>TotalZ761</vt:lpstr>
      <vt:lpstr>TotalZPartA</vt:lpstr>
      <vt:lpstr>TotalZPartB</vt:lpstr>
      <vt:lpstr>ToysProduced734</vt:lpstr>
      <vt:lpstr>Xsubi735a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connie</dc:creator>
  <cp:lastModifiedBy>Rick Lentz</cp:lastModifiedBy>
  <dcterms:created xsi:type="dcterms:W3CDTF">2016-10-08T23:32:52Z</dcterms:created>
  <dcterms:modified xsi:type="dcterms:W3CDTF">2017-10-22T20:23:05Z</dcterms:modified>
</cp:coreProperties>
</file>