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360" yWindow="40" windowWidth="21840" windowHeight="13740"/>
  </bookViews>
  <sheets>
    <sheet name="Goferbroke with Survey" sheetId="1" r:id="rId1"/>
  </sheets>
  <definedNames>
    <definedName name="CostOfDrilling">'Goferbroke with Survey'!$V$5</definedName>
    <definedName name="CostOfSurvey">'Goferbroke with Survey'!$V$4</definedName>
    <definedName name="ExpectedPayoff">'Goferbroke with Survey'!$V$26</definedName>
    <definedName name="PriorProbabilityOfOil">'Goferbroke with Survey'!$V$9</definedName>
    <definedName name="ProbFSS">'Goferbroke with Survey'!$V$42</definedName>
    <definedName name="ProbFSSGivenOil">'Goferbroke with Survey'!$V$10</definedName>
    <definedName name="ProbOilGivenFSS">'Goferbroke with Survey'!$W$42</definedName>
    <definedName name="ProbOilGivenUSS">'Goferbroke with Survey'!$W$43</definedName>
    <definedName name="ProbUSS">'Goferbroke with Survey'!$V$43</definedName>
    <definedName name="ProbUSSGivenDry">'Goferbroke with Survey'!$V$11</definedName>
    <definedName name="RevenueIfDry">'Goferbroke with Survey'!$V$8</definedName>
    <definedName name="RevenueIfOil">'Goferbroke with Survey'!$V$6</definedName>
    <definedName name="RevenueIfSell">'Goferbroke with Survey'!$V$7</definedName>
    <definedName name="RiskTolerance">'Goferbroke with Survey'!$E$48</definedName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dia" localSheetId="0" hidden="1">1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de1" localSheetId="0" hidden="1">"1;$B$29;;;;$A$3;New Node;1;"</definedName>
    <definedName name="solver_node10" localSheetId="0" hidden="1">"0;$N$7;$J$11;=-CostOfDrilling;;Drill;Terminal;1;"</definedName>
    <definedName name="solver_node11" localSheetId="0" hidden="1">"2;$R$5;$N$7;=RevenueIfOil;=ProbOilGivenUSS;Oil;Terminal;1;"</definedName>
    <definedName name="solver_node12" localSheetId="0" hidden="1">"2;$R$10;$N$7;=RevenueIfDry;=1-P3;Dry;Terminal;1;"</definedName>
    <definedName name="solver_node13" localSheetId="0" hidden="1">"2;$N$15;$J$11;=RevenueIfSell;;Sell;Terminal;1;"</definedName>
    <definedName name="solver_node14" localSheetId="0" hidden="1">"0;$N$22;$J$26;=-CostOfDrilling;;Drill;Terminal;1;"</definedName>
    <definedName name="solver_node15" localSheetId="0" hidden="1">"2;$R$20;$N$22;=RevenueIfOil;=ProbOilGivenFSS;Oil;Terminal;1;"</definedName>
    <definedName name="solver_node16" localSheetId="0" hidden="1">"2;$R$25;$N$22;=RevenueIfDry;=1-P18;Dry;Terminal;1;"</definedName>
    <definedName name="solver_node17" localSheetId="0" hidden="1">"2;$N$30;$J$26;=RevenueIfSell;;Sell;Terminal;1;"</definedName>
    <definedName name="solver_node2" localSheetId="0" hidden="1">"0;$F$18;$B$29;=-CostOfSurvey;;Do Survey;Terminal;1;"</definedName>
    <definedName name="solver_node3" localSheetId="0" hidden="1">"1;$J$11;$F$18;0;=ProbUSS;Unfavorable;Terminal;1;"</definedName>
    <definedName name="solver_node4" localSheetId="0" hidden="1">"1;$J$26;$F$18;0;=ProbFSS;Favorable;Terminal;1;"</definedName>
    <definedName name="solver_node5" localSheetId="0" hidden="1">"1;$F$41;$B$29;0;;No Survey;Terminal;1;"</definedName>
    <definedName name="solver_node6" localSheetId="0" hidden="1">"0;$J$37;$F$41;=-CostOfDrilling;;Drill;Terminal;1;"</definedName>
    <definedName name="solver_node7" localSheetId="0" hidden="1">"2;$N$35;$J$37;=RevenueIfOil;=PriorProbabilityOfOil;Oil;Terminal;1;"</definedName>
    <definedName name="solver_node8" localSheetId="0" hidden="1">"2;$N$40;$J$37;=RevenueIfDry;=1-PriorProbabilityOfOil;Dry;Terminal;1;"</definedName>
    <definedName name="solver_node9" localSheetId="0" hidden="1">"2;$J$45;$F$41;=RevenueIfSell;;Sell;Terminal;1;"</definedName>
    <definedName name="solver_nodes" localSheetId="0" hidden="1">17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</definedName>
    <definedName name="solver_psi" localSheetId="0" hidden="1">0</definedName>
    <definedName name="solver_rgen" hidden="1">1</definedName>
    <definedName name="solver_rsmp" hidden="1">2</definedName>
    <definedName name="solver_seed" hidden="1">0</definedName>
    <definedName name="solver_slv" localSheetId="0" hidden="1">0</definedName>
    <definedName name="solver_slvu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</definedName>
    <definedName name="solver_treeroot" localSheetId="0" hidden="1">'Goferbroke with Survey'!$A$3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ver" localSheetId="0" hidden="1">12</definedName>
    <definedName name="solver_vol" localSheetId="0" hidden="1">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6" i="1" l="1"/>
  <c r="S45" i="1"/>
  <c r="I46" i="1"/>
  <c r="L38" i="1"/>
  <c r="L41" i="1"/>
  <c r="L33" i="1"/>
  <c r="L36" i="1"/>
  <c r="H38" i="1"/>
  <c r="S40" i="1"/>
  <c r="M41" i="1"/>
  <c r="L31" i="1"/>
  <c r="P26" i="1"/>
  <c r="P21" i="1"/>
  <c r="L23" i="1"/>
  <c r="L16" i="1"/>
  <c r="P11" i="1"/>
  <c r="P6" i="1"/>
  <c r="L8" i="1"/>
  <c r="D19" i="1"/>
  <c r="S30" i="1"/>
  <c r="M31" i="1"/>
  <c r="S10" i="1"/>
  <c r="Q11" i="1"/>
  <c r="S25" i="1"/>
  <c r="Q26" i="1"/>
  <c r="S5" i="1"/>
  <c r="Q6" i="1"/>
  <c r="S15" i="1"/>
  <c r="M16" i="1"/>
  <c r="S20" i="1"/>
  <c r="Q21" i="1"/>
  <c r="S35" i="1"/>
  <c r="M36" i="1"/>
  <c r="I38" i="1"/>
  <c r="E42" i="1"/>
  <c r="F41" i="1"/>
  <c r="W34" i="1"/>
  <c r="X34" i="1"/>
  <c r="X33" i="1"/>
  <c r="W33" i="1"/>
  <c r="V34" i="1"/>
  <c r="V33" i="1"/>
  <c r="W43" i="1"/>
  <c r="P3" i="1"/>
  <c r="P8" i="1"/>
  <c r="AA46" i="1"/>
  <c r="Z46" i="1"/>
  <c r="Y46" i="1"/>
  <c r="X46" i="1"/>
  <c r="W46" i="1"/>
  <c r="V46" i="1"/>
  <c r="U46" i="1"/>
  <c r="AA45" i="1"/>
  <c r="Z45" i="1"/>
  <c r="Y45" i="1"/>
  <c r="X45" i="1"/>
  <c r="W45" i="1"/>
  <c r="V45" i="1"/>
  <c r="U45" i="1"/>
  <c r="AA44" i="1"/>
  <c r="Z44" i="1"/>
  <c r="Y44" i="1"/>
  <c r="X44" i="1"/>
  <c r="W44" i="1"/>
  <c r="V44" i="1"/>
  <c r="U44" i="1"/>
  <c r="AA43" i="1"/>
  <c r="Z43" i="1"/>
  <c r="Y43" i="1"/>
  <c r="X43" i="1"/>
  <c r="V43" i="1"/>
  <c r="H9" i="1"/>
  <c r="U43" i="1"/>
  <c r="AA42" i="1"/>
  <c r="Z42" i="1"/>
  <c r="Y42" i="1"/>
  <c r="X42" i="1"/>
  <c r="W42" i="1"/>
  <c r="P18" i="1"/>
  <c r="P23" i="1"/>
  <c r="V42" i="1"/>
  <c r="H24" i="1"/>
  <c r="U42" i="1"/>
  <c r="AA41" i="1"/>
  <c r="Z41" i="1"/>
  <c r="Y41" i="1"/>
  <c r="X41" i="1"/>
  <c r="W41" i="1"/>
  <c r="M23" i="1"/>
  <c r="I27" i="1"/>
  <c r="J26" i="1"/>
  <c r="M8" i="1"/>
  <c r="I12" i="1"/>
  <c r="J11" i="1"/>
  <c r="E19" i="1"/>
  <c r="A30" i="1"/>
  <c r="U19" i="1"/>
  <c r="AC4" i="1"/>
  <c r="W19" i="1"/>
  <c r="AA4" i="1"/>
  <c r="W20" i="1"/>
  <c r="AB4" i="1"/>
  <c r="B29" i="1"/>
  <c r="V26" i="1"/>
  <c r="AD4" i="1"/>
  <c r="V15" i="1"/>
  <c r="Z4" i="1"/>
</calcChain>
</file>

<file path=xl/sharedStrings.xml><?xml version="1.0" encoding="utf-8"?>
<sst xmlns="http://schemas.openxmlformats.org/spreadsheetml/2006/main" count="66" uniqueCount="48">
  <si>
    <t>Do Survey</t>
  </si>
  <si>
    <t>No Survey</t>
  </si>
  <si>
    <t>Drill</t>
  </si>
  <si>
    <t>Sell</t>
  </si>
  <si>
    <t>Oil</t>
  </si>
  <si>
    <t>Dry</t>
  </si>
  <si>
    <t>Unfavorable</t>
  </si>
  <si>
    <t>Favorable</t>
  </si>
  <si>
    <t>Decision Tree for Goferbroke (with Survey)</t>
  </si>
  <si>
    <t>Data</t>
  </si>
  <si>
    <t>Cost of Survey</t>
  </si>
  <si>
    <t>Cost of Drilling</t>
  </si>
  <si>
    <t>Revenue if Oil</t>
  </si>
  <si>
    <t>Revenue if Sell</t>
  </si>
  <si>
    <t>Revenue if Dry</t>
  </si>
  <si>
    <t>Probability of Oil</t>
  </si>
  <si>
    <t>P(FSS | Oil)</t>
  </si>
  <si>
    <t>P(USS | Dry)</t>
  </si>
  <si>
    <t>Action</t>
  </si>
  <si>
    <t>Do Survey?</t>
  </si>
  <si>
    <t>Data:</t>
  </si>
  <si>
    <t>P(Finding | State)</t>
  </si>
  <si>
    <t>State of</t>
  </si>
  <si>
    <t>Prior</t>
  </si>
  <si>
    <t>Finding</t>
  </si>
  <si>
    <t>Nature</t>
  </si>
  <si>
    <t>Probability</t>
  </si>
  <si>
    <t>FSS</t>
  </si>
  <si>
    <t>USS</t>
  </si>
  <si>
    <t>Posterior</t>
  </si>
  <si>
    <t>P(State | Finding)</t>
  </si>
  <si>
    <t>Probabilities:</t>
  </si>
  <si>
    <t>State of Nature</t>
  </si>
  <si>
    <t>P(Finding)</t>
  </si>
  <si>
    <t>($thousands)</t>
  </si>
  <si>
    <t>Expected Payoff</t>
  </si>
  <si>
    <t>If No</t>
  </si>
  <si>
    <t>If Yes</t>
  </si>
  <si>
    <t>of Oil</t>
  </si>
  <si>
    <t>Expected</t>
  </si>
  <si>
    <t>Payoff</t>
  </si>
  <si>
    <t>Do</t>
  </si>
  <si>
    <t>Survey?</t>
  </si>
  <si>
    <t>Survey</t>
  </si>
  <si>
    <t>If Survey</t>
  </si>
  <si>
    <t>If Favorable</t>
  </si>
  <si>
    <t>if Unfavorable</t>
  </si>
  <si>
    <t>Risk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</si>
</sst>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Geneva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9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0" borderId="4" xfId="1" applyFont="1" applyFill="1" applyBorder="1" applyAlignment="1">
      <alignment horizontal="left"/>
    </xf>
    <xf numFmtId="0" fontId="5" fillId="0" borderId="5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4" fillId="0" borderId="21" xfId="1" applyFont="1" applyFill="1" applyBorder="1" applyAlignment="1">
      <alignment horizontal="left"/>
    </xf>
    <xf numFmtId="0" fontId="5" fillId="0" borderId="22" xfId="1" applyFont="1" applyFill="1" applyBorder="1" applyAlignment="1">
      <alignment horizontal="center"/>
    </xf>
    <xf numFmtId="0" fontId="4" fillId="0" borderId="23" xfId="1" applyFont="1" applyFill="1" applyBorder="1" applyAlignment="1">
      <alignment horizontal="left"/>
    </xf>
    <xf numFmtId="0" fontId="5" fillId="0" borderId="24" xfId="1" applyFont="1" applyFill="1" applyBorder="1" applyAlignment="1">
      <alignment horizontal="center"/>
    </xf>
    <xf numFmtId="0" fontId="5" fillId="0" borderId="25" xfId="1" applyFont="1" applyFill="1" applyBorder="1" applyAlignment="1">
      <alignment horizontal="center"/>
    </xf>
    <xf numFmtId="0" fontId="5" fillId="2" borderId="15" xfId="1" applyFont="1" applyFill="1" applyBorder="1" applyAlignment="1">
      <alignment horizontal="center"/>
    </xf>
    <xf numFmtId="0" fontId="5" fillId="2" borderId="16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12" xfId="1" applyFont="1" applyFill="1" applyBorder="1" applyAlignment="1">
      <alignment horizontal="center"/>
    </xf>
    <xf numFmtId="0" fontId="5" fillId="2" borderId="19" xfId="1" applyFont="1" applyFill="1" applyBorder="1" applyAlignment="1">
      <alignment horizontal="center"/>
    </xf>
    <xf numFmtId="0" fontId="5" fillId="2" borderId="20" xfId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0" fontId="5" fillId="2" borderId="10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5" fillId="2" borderId="18" xfId="1" applyFont="1" applyFill="1" applyBorder="1" applyAlignment="1">
      <alignment horizontal="center"/>
    </xf>
    <xf numFmtId="0" fontId="5" fillId="4" borderId="26" xfId="1" applyNumberFormat="1" applyFont="1" applyFill="1" applyBorder="1" applyAlignment="1">
      <alignment horizontal="center"/>
    </xf>
    <xf numFmtId="0" fontId="5" fillId="4" borderId="15" xfId="1" applyNumberFormat="1" applyFont="1" applyFill="1" applyBorder="1" applyAlignment="1">
      <alignment horizontal="center"/>
    </xf>
    <xf numFmtId="0" fontId="5" fillId="4" borderId="16" xfId="1" applyNumberFormat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4" borderId="12" xfId="1" applyFont="1" applyFill="1" applyBorder="1" applyAlignment="1">
      <alignment horizontal="center"/>
    </xf>
    <xf numFmtId="0" fontId="5" fillId="4" borderId="19" xfId="1" applyFont="1" applyFill="1" applyBorder="1" applyAlignment="1">
      <alignment horizontal="center"/>
    </xf>
    <xf numFmtId="0" fontId="5" fillId="4" borderId="20" xfId="1" applyFont="1" applyFill="1" applyBorder="1" applyAlignment="1">
      <alignment horizontal="center"/>
    </xf>
    <xf numFmtId="0" fontId="5" fillId="4" borderId="27" xfId="1" applyFont="1" applyFill="1" applyBorder="1" applyAlignment="1">
      <alignment horizontal="center"/>
    </xf>
    <xf numFmtId="0" fontId="5" fillId="4" borderId="28" xfId="1" applyFont="1" applyFill="1" applyBorder="1" applyAlignment="1">
      <alignment horizontal="center"/>
    </xf>
    <xf numFmtId="0" fontId="5" fillId="4" borderId="10" xfId="1" applyFont="1" applyFill="1" applyBorder="1" applyAlignment="1">
      <alignment horizontal="center"/>
    </xf>
    <xf numFmtId="0" fontId="5" fillId="4" borderId="29" xfId="1" applyFont="1" applyFill="1" applyBorder="1" applyAlignment="1">
      <alignment horizontal="center"/>
    </xf>
    <xf numFmtId="0" fontId="5" fillId="4" borderId="18" xfId="1" applyFont="1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5" fillId="0" borderId="11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12" xfId="1" applyFont="1" applyFill="1" applyBorder="1" applyAlignment="1">
      <alignment horizontal="center"/>
    </xf>
  </cellXfs>
  <cellStyles count="2">
    <cellStyle name="Normal" xfId="0" builtinId="0"/>
    <cellStyle name="Normal_Ch.10 - Decision Analysis.x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</xdr:colOff>
      <xdr:row>15</xdr:row>
      <xdr:rowOff>19050</xdr:rowOff>
    </xdr:from>
    <xdr:to>
      <xdr:col>21</xdr:col>
      <xdr:colOff>285752</xdr:colOff>
      <xdr:row>17</xdr:row>
      <xdr:rowOff>161925</xdr:rowOff>
    </xdr:to>
    <xdr:cxnSp macro="">
      <xdr:nvCxnSpPr>
        <xdr:cNvPr id="494" name="Straight Arrow Connector 493"/>
        <xdr:cNvCxnSpPr/>
      </xdr:nvCxnSpPr>
      <xdr:spPr>
        <a:xfrm flipH="1">
          <a:off x="8248650" y="2924175"/>
          <a:ext cx="276227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295275</xdr:colOff>
      <xdr:row>15</xdr:row>
      <xdr:rowOff>19050</xdr:rowOff>
    </xdr:from>
    <xdr:to>
      <xdr:col>22</xdr:col>
      <xdr:colOff>0</xdr:colOff>
      <xdr:row>17</xdr:row>
      <xdr:rowOff>171450</xdr:rowOff>
    </xdr:to>
    <xdr:cxnSp macro="">
      <xdr:nvCxnSpPr>
        <xdr:cNvPr id="495" name="Straight Arrow Connector 494"/>
        <xdr:cNvCxnSpPr/>
      </xdr:nvCxnSpPr>
      <xdr:spPr>
        <a:xfrm>
          <a:off x="8534400" y="2924175"/>
          <a:ext cx="31432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19050</xdr:colOff>
      <xdr:row>28</xdr:row>
      <xdr:rowOff>152400</xdr:rowOff>
    </xdr:to>
    <xdr:sp macro="" textlink="">
      <xdr:nvSpPr>
        <xdr:cNvPr id="4074" name="Solver_shape$B$29"/>
        <xdr:cNvSpPr/>
      </xdr:nvSpPr>
      <xdr:spPr>
        <a:xfrm>
          <a:off x="609600" y="540067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28</xdr:row>
      <xdr:rowOff>76200</xdr:rowOff>
    </xdr:from>
    <xdr:to>
      <xdr:col>1</xdr:col>
      <xdr:colOff>0</xdr:colOff>
      <xdr:row>28</xdr:row>
      <xdr:rowOff>76200</xdr:rowOff>
    </xdr:to>
    <xdr:cxnSp macro="">
      <xdr:nvCxnSpPr>
        <xdr:cNvPr id="4075" name="Solver_line$B$29"/>
        <xdr:cNvCxnSpPr/>
      </xdr:nvCxnSpPr>
      <xdr:spPr>
        <a:xfrm>
          <a:off x="0" y="5476875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76200</xdr:rowOff>
    </xdr:from>
    <xdr:to>
      <xdr:col>3</xdr:col>
      <xdr:colOff>0</xdr:colOff>
      <xdr:row>28</xdr:row>
      <xdr:rowOff>76200</xdr:rowOff>
    </xdr:to>
    <xdr:cxnSp macro="">
      <xdr:nvCxnSpPr>
        <xdr:cNvPr id="4076" name="Solver_shapecon$F$18"/>
        <xdr:cNvCxnSpPr/>
      </xdr:nvCxnSpPr>
      <xdr:spPr>
        <a:xfrm flipV="1">
          <a:off x="762000" y="3362325"/>
          <a:ext cx="247650" cy="21145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19050</xdr:colOff>
      <xdr:row>17</xdr:row>
      <xdr:rowOff>152400</xdr:rowOff>
    </xdr:to>
    <xdr:sp macro="" textlink="">
      <xdr:nvSpPr>
        <xdr:cNvPr id="4077" name="Solver_shape$F$18"/>
        <xdr:cNvSpPr/>
      </xdr:nvSpPr>
      <xdr:spPr>
        <a:xfrm>
          <a:off x="2733675" y="328612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17</xdr:row>
      <xdr:rowOff>76200</xdr:rowOff>
    </xdr:from>
    <xdr:to>
      <xdr:col>5</xdr:col>
      <xdr:colOff>0</xdr:colOff>
      <xdr:row>17</xdr:row>
      <xdr:rowOff>76200</xdr:rowOff>
    </xdr:to>
    <xdr:cxnSp macro="">
      <xdr:nvCxnSpPr>
        <xdr:cNvPr id="4078" name="Solver_line$F$18"/>
        <xdr:cNvCxnSpPr/>
      </xdr:nvCxnSpPr>
      <xdr:spPr>
        <a:xfrm>
          <a:off x="1009650" y="3362325"/>
          <a:ext cx="1724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76200</xdr:rowOff>
    </xdr:from>
    <xdr:to>
      <xdr:col>7</xdr:col>
      <xdr:colOff>0</xdr:colOff>
      <xdr:row>17</xdr:row>
      <xdr:rowOff>76200</xdr:rowOff>
    </xdr:to>
    <xdr:cxnSp macro="">
      <xdr:nvCxnSpPr>
        <xdr:cNvPr id="4079" name="Solver_shapecon$J$11"/>
        <xdr:cNvCxnSpPr/>
      </xdr:nvCxnSpPr>
      <xdr:spPr>
        <a:xfrm flipV="1">
          <a:off x="2886075" y="2028825"/>
          <a:ext cx="247650" cy="1333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19050</xdr:colOff>
      <xdr:row>10</xdr:row>
      <xdr:rowOff>152400</xdr:rowOff>
    </xdr:to>
    <xdr:sp macro="" textlink="">
      <xdr:nvSpPr>
        <xdr:cNvPr id="4080" name="Solver_shape$J$11"/>
        <xdr:cNvSpPr/>
      </xdr:nvSpPr>
      <xdr:spPr>
        <a:xfrm>
          <a:off x="4724400" y="195262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10</xdr:row>
      <xdr:rowOff>76200</xdr:rowOff>
    </xdr:from>
    <xdr:to>
      <xdr:col>9</xdr:col>
      <xdr:colOff>0</xdr:colOff>
      <xdr:row>10</xdr:row>
      <xdr:rowOff>76200</xdr:rowOff>
    </xdr:to>
    <xdr:cxnSp macro="">
      <xdr:nvCxnSpPr>
        <xdr:cNvPr id="4081" name="Solver_line$J$11"/>
        <xdr:cNvCxnSpPr/>
      </xdr:nvCxnSpPr>
      <xdr:spPr>
        <a:xfrm>
          <a:off x="3133725" y="2028825"/>
          <a:ext cx="15906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76200</xdr:rowOff>
    </xdr:from>
    <xdr:to>
      <xdr:col>11</xdr:col>
      <xdr:colOff>0</xdr:colOff>
      <xdr:row>10</xdr:row>
      <xdr:rowOff>76200</xdr:rowOff>
    </xdr:to>
    <xdr:cxnSp macro="">
      <xdr:nvCxnSpPr>
        <xdr:cNvPr id="4082" name="Solver_shapecon$N$7"/>
        <xdr:cNvCxnSpPr/>
      </xdr:nvCxnSpPr>
      <xdr:spPr>
        <a:xfrm flipV="1">
          <a:off x="4876800" y="1266825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6</xdr:row>
      <xdr:rowOff>152400</xdr:rowOff>
    </xdr:to>
    <xdr:sp macro="" textlink="">
      <xdr:nvSpPr>
        <xdr:cNvPr id="4083" name="Solver_shape$N$7"/>
        <xdr:cNvSpPr/>
      </xdr:nvSpPr>
      <xdr:spPr>
        <a:xfrm>
          <a:off x="6286500" y="119062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6</xdr:row>
      <xdr:rowOff>76200</xdr:rowOff>
    </xdr:from>
    <xdr:to>
      <xdr:col>13</xdr:col>
      <xdr:colOff>0</xdr:colOff>
      <xdr:row>6</xdr:row>
      <xdr:rowOff>76200</xdr:rowOff>
    </xdr:to>
    <xdr:cxnSp macro="">
      <xdr:nvCxnSpPr>
        <xdr:cNvPr id="4084" name="Solver_line$N$7"/>
        <xdr:cNvCxnSpPr/>
      </xdr:nvCxnSpPr>
      <xdr:spPr>
        <a:xfrm>
          <a:off x="5124450" y="1266825"/>
          <a:ext cx="11620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76200</xdr:rowOff>
    </xdr:from>
    <xdr:to>
      <xdr:col>15</xdr:col>
      <xdr:colOff>0</xdr:colOff>
      <xdr:row>6</xdr:row>
      <xdr:rowOff>76200</xdr:rowOff>
    </xdr:to>
    <xdr:cxnSp macro="">
      <xdr:nvCxnSpPr>
        <xdr:cNvPr id="4085" name="Solver_shapecon$R$5"/>
        <xdr:cNvCxnSpPr/>
      </xdr:nvCxnSpPr>
      <xdr:spPr>
        <a:xfrm flipV="1">
          <a:off x="6438900" y="885825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0</xdr:colOff>
      <xdr:row>4</xdr:row>
      <xdr:rowOff>152400</xdr:rowOff>
    </xdr:to>
    <xdr:sp macro="" textlink="">
      <xdr:nvSpPr>
        <xdr:cNvPr id="4086" name="Solver_shape$R$5"/>
        <xdr:cNvSpPr/>
      </xdr:nvSpPr>
      <xdr:spPr>
        <a:xfrm rot="16200000">
          <a:off x="7839075" y="8096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</xdr:row>
      <xdr:rowOff>76200</xdr:rowOff>
    </xdr:from>
    <xdr:to>
      <xdr:col>17</xdr:col>
      <xdr:colOff>0</xdr:colOff>
      <xdr:row>4</xdr:row>
      <xdr:rowOff>76200</xdr:rowOff>
    </xdr:to>
    <xdr:cxnSp macro="">
      <xdr:nvCxnSpPr>
        <xdr:cNvPr id="4087" name="Solver_line$R$5"/>
        <xdr:cNvCxnSpPr/>
      </xdr:nvCxnSpPr>
      <xdr:spPr>
        <a:xfrm>
          <a:off x="6686550" y="885825"/>
          <a:ext cx="11525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76200</xdr:rowOff>
    </xdr:from>
    <xdr:to>
      <xdr:col>15</xdr:col>
      <xdr:colOff>0</xdr:colOff>
      <xdr:row>9</xdr:row>
      <xdr:rowOff>76200</xdr:rowOff>
    </xdr:to>
    <xdr:cxnSp macro="">
      <xdr:nvCxnSpPr>
        <xdr:cNvPr id="4088" name="Solver_shapecon$R$10"/>
        <xdr:cNvCxnSpPr/>
      </xdr:nvCxnSpPr>
      <xdr:spPr>
        <a:xfrm>
          <a:off x="6438900" y="1228725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0</xdr:colOff>
      <xdr:row>9</xdr:row>
      <xdr:rowOff>152400</xdr:rowOff>
    </xdr:to>
    <xdr:sp macro="" textlink="">
      <xdr:nvSpPr>
        <xdr:cNvPr id="4089" name="Solver_shape$R$10"/>
        <xdr:cNvSpPr/>
      </xdr:nvSpPr>
      <xdr:spPr>
        <a:xfrm rot="16200000">
          <a:off x="7839075" y="16859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</xdr:row>
      <xdr:rowOff>76200</xdr:rowOff>
    </xdr:from>
    <xdr:to>
      <xdr:col>17</xdr:col>
      <xdr:colOff>0</xdr:colOff>
      <xdr:row>9</xdr:row>
      <xdr:rowOff>76200</xdr:rowOff>
    </xdr:to>
    <xdr:cxnSp macro="">
      <xdr:nvCxnSpPr>
        <xdr:cNvPr id="4090" name="Solver_line$R$10"/>
        <xdr:cNvCxnSpPr/>
      </xdr:nvCxnSpPr>
      <xdr:spPr>
        <a:xfrm>
          <a:off x="6686550" y="1762125"/>
          <a:ext cx="11525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76200</xdr:rowOff>
    </xdr:from>
    <xdr:to>
      <xdr:col>11</xdr:col>
      <xdr:colOff>0</xdr:colOff>
      <xdr:row>14</xdr:row>
      <xdr:rowOff>76200</xdr:rowOff>
    </xdr:to>
    <xdr:cxnSp macro="">
      <xdr:nvCxnSpPr>
        <xdr:cNvPr id="4091" name="Solver_shapecon$N$15"/>
        <xdr:cNvCxnSpPr/>
      </xdr:nvCxnSpPr>
      <xdr:spPr>
        <a:xfrm>
          <a:off x="4876800" y="1914525"/>
          <a:ext cx="247650" cy="723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14</xdr:row>
      <xdr:rowOff>0</xdr:rowOff>
    </xdr:from>
    <xdr:to>
      <xdr:col>14</xdr:col>
      <xdr:colOff>0</xdr:colOff>
      <xdr:row>14</xdr:row>
      <xdr:rowOff>152400</xdr:rowOff>
    </xdr:to>
    <xdr:sp macro="" textlink="">
      <xdr:nvSpPr>
        <xdr:cNvPr id="4092" name="Solver_shape$N$15"/>
        <xdr:cNvSpPr/>
      </xdr:nvSpPr>
      <xdr:spPr>
        <a:xfrm rot="16200000">
          <a:off x="6286500" y="25622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14</xdr:row>
      <xdr:rowOff>76200</xdr:rowOff>
    </xdr:from>
    <xdr:to>
      <xdr:col>17</xdr:col>
      <xdr:colOff>0</xdr:colOff>
      <xdr:row>14</xdr:row>
      <xdr:rowOff>76200</xdr:rowOff>
    </xdr:to>
    <xdr:cxnSp macro="">
      <xdr:nvCxnSpPr>
        <xdr:cNvPr id="4093" name="Solver_dash$N$15"/>
        <xdr:cNvCxnSpPr/>
      </xdr:nvCxnSpPr>
      <xdr:spPr>
        <a:xfrm>
          <a:off x="6438900" y="2638425"/>
          <a:ext cx="14001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76200</xdr:rowOff>
    </xdr:from>
    <xdr:to>
      <xdr:col>13</xdr:col>
      <xdr:colOff>0</xdr:colOff>
      <xdr:row>14</xdr:row>
      <xdr:rowOff>76200</xdr:rowOff>
    </xdr:to>
    <xdr:cxnSp macro="">
      <xdr:nvCxnSpPr>
        <xdr:cNvPr id="4094" name="Solver_line$N$15"/>
        <xdr:cNvCxnSpPr/>
      </xdr:nvCxnSpPr>
      <xdr:spPr>
        <a:xfrm>
          <a:off x="5124450" y="2638425"/>
          <a:ext cx="11620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76200</xdr:rowOff>
    </xdr:from>
    <xdr:to>
      <xdr:col>7</xdr:col>
      <xdr:colOff>0</xdr:colOff>
      <xdr:row>25</xdr:row>
      <xdr:rowOff>76200</xdr:rowOff>
    </xdr:to>
    <xdr:cxnSp macro="">
      <xdr:nvCxnSpPr>
        <xdr:cNvPr id="4095" name="Solver_shapecon$J$26"/>
        <xdr:cNvCxnSpPr/>
      </xdr:nvCxnSpPr>
      <xdr:spPr>
        <a:xfrm>
          <a:off x="2886075" y="3171825"/>
          <a:ext cx="247650" cy="14954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25</xdr:row>
      <xdr:rowOff>0</xdr:rowOff>
    </xdr:from>
    <xdr:to>
      <xdr:col>10</xdr:col>
      <xdr:colOff>19050</xdr:colOff>
      <xdr:row>25</xdr:row>
      <xdr:rowOff>152400</xdr:rowOff>
    </xdr:to>
    <xdr:sp macro="" textlink="">
      <xdr:nvSpPr>
        <xdr:cNvPr id="4096" name="Solver_shape$J$26"/>
        <xdr:cNvSpPr/>
      </xdr:nvSpPr>
      <xdr:spPr>
        <a:xfrm>
          <a:off x="4724400" y="459105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25</xdr:row>
      <xdr:rowOff>76200</xdr:rowOff>
    </xdr:from>
    <xdr:to>
      <xdr:col>9</xdr:col>
      <xdr:colOff>0</xdr:colOff>
      <xdr:row>25</xdr:row>
      <xdr:rowOff>76200</xdr:rowOff>
    </xdr:to>
    <xdr:cxnSp macro="">
      <xdr:nvCxnSpPr>
        <xdr:cNvPr id="4097" name="Solver_line$J$26"/>
        <xdr:cNvCxnSpPr/>
      </xdr:nvCxnSpPr>
      <xdr:spPr>
        <a:xfrm>
          <a:off x="3133725" y="4667250"/>
          <a:ext cx="15906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76200</xdr:rowOff>
    </xdr:from>
    <xdr:to>
      <xdr:col>11</xdr:col>
      <xdr:colOff>0</xdr:colOff>
      <xdr:row>25</xdr:row>
      <xdr:rowOff>76200</xdr:rowOff>
    </xdr:to>
    <xdr:cxnSp macro="">
      <xdr:nvCxnSpPr>
        <xdr:cNvPr id="4098" name="Solver_shapecon$N$22"/>
        <xdr:cNvCxnSpPr/>
      </xdr:nvCxnSpPr>
      <xdr:spPr>
        <a:xfrm flipV="1">
          <a:off x="4876800" y="3895725"/>
          <a:ext cx="247650" cy="771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21</xdr:row>
      <xdr:rowOff>0</xdr:rowOff>
    </xdr:from>
    <xdr:to>
      <xdr:col>14</xdr:col>
      <xdr:colOff>0</xdr:colOff>
      <xdr:row>21</xdr:row>
      <xdr:rowOff>152400</xdr:rowOff>
    </xdr:to>
    <xdr:sp macro="" textlink="">
      <xdr:nvSpPr>
        <xdr:cNvPr id="4099" name="Solver_shape$N$22"/>
        <xdr:cNvSpPr/>
      </xdr:nvSpPr>
      <xdr:spPr>
        <a:xfrm>
          <a:off x="6286500" y="381952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21</xdr:row>
      <xdr:rowOff>76200</xdr:rowOff>
    </xdr:from>
    <xdr:to>
      <xdr:col>13</xdr:col>
      <xdr:colOff>0</xdr:colOff>
      <xdr:row>21</xdr:row>
      <xdr:rowOff>76200</xdr:rowOff>
    </xdr:to>
    <xdr:cxnSp macro="">
      <xdr:nvCxnSpPr>
        <xdr:cNvPr id="4100" name="Solver_line$N$22"/>
        <xdr:cNvCxnSpPr/>
      </xdr:nvCxnSpPr>
      <xdr:spPr>
        <a:xfrm>
          <a:off x="5124450" y="3895725"/>
          <a:ext cx="11620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76200</xdr:rowOff>
    </xdr:from>
    <xdr:to>
      <xdr:col>15</xdr:col>
      <xdr:colOff>0</xdr:colOff>
      <xdr:row>21</xdr:row>
      <xdr:rowOff>76200</xdr:rowOff>
    </xdr:to>
    <xdr:cxnSp macro="">
      <xdr:nvCxnSpPr>
        <xdr:cNvPr id="4101" name="Solver_shapecon$R$20"/>
        <xdr:cNvCxnSpPr/>
      </xdr:nvCxnSpPr>
      <xdr:spPr>
        <a:xfrm flipV="1">
          <a:off x="6438900" y="3514725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19</xdr:row>
      <xdr:rowOff>0</xdr:rowOff>
    </xdr:from>
    <xdr:to>
      <xdr:col>18</xdr:col>
      <xdr:colOff>0</xdr:colOff>
      <xdr:row>19</xdr:row>
      <xdr:rowOff>152400</xdr:rowOff>
    </xdr:to>
    <xdr:sp macro="" textlink="">
      <xdr:nvSpPr>
        <xdr:cNvPr id="4102" name="Solver_shape$R$20"/>
        <xdr:cNvSpPr/>
      </xdr:nvSpPr>
      <xdr:spPr>
        <a:xfrm rot="16200000">
          <a:off x="7839075" y="34385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19</xdr:row>
      <xdr:rowOff>76200</xdr:rowOff>
    </xdr:from>
    <xdr:to>
      <xdr:col>17</xdr:col>
      <xdr:colOff>0</xdr:colOff>
      <xdr:row>19</xdr:row>
      <xdr:rowOff>76200</xdr:rowOff>
    </xdr:to>
    <xdr:cxnSp macro="">
      <xdr:nvCxnSpPr>
        <xdr:cNvPr id="4103" name="Solver_line$R$20"/>
        <xdr:cNvCxnSpPr/>
      </xdr:nvCxnSpPr>
      <xdr:spPr>
        <a:xfrm>
          <a:off x="6686550" y="3514725"/>
          <a:ext cx="11525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76200</xdr:rowOff>
    </xdr:from>
    <xdr:to>
      <xdr:col>15</xdr:col>
      <xdr:colOff>0</xdr:colOff>
      <xdr:row>24</xdr:row>
      <xdr:rowOff>76200</xdr:rowOff>
    </xdr:to>
    <xdr:cxnSp macro="">
      <xdr:nvCxnSpPr>
        <xdr:cNvPr id="4104" name="Solver_shapecon$R$25"/>
        <xdr:cNvCxnSpPr/>
      </xdr:nvCxnSpPr>
      <xdr:spPr>
        <a:xfrm>
          <a:off x="6438900" y="3857625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24</xdr:row>
      <xdr:rowOff>0</xdr:rowOff>
    </xdr:from>
    <xdr:to>
      <xdr:col>18</xdr:col>
      <xdr:colOff>0</xdr:colOff>
      <xdr:row>24</xdr:row>
      <xdr:rowOff>152400</xdr:rowOff>
    </xdr:to>
    <xdr:sp macro="" textlink="">
      <xdr:nvSpPr>
        <xdr:cNvPr id="4105" name="Solver_shape$R$25"/>
        <xdr:cNvSpPr/>
      </xdr:nvSpPr>
      <xdr:spPr>
        <a:xfrm rot="16200000">
          <a:off x="7839075" y="43148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24</xdr:row>
      <xdr:rowOff>76200</xdr:rowOff>
    </xdr:from>
    <xdr:to>
      <xdr:col>17</xdr:col>
      <xdr:colOff>0</xdr:colOff>
      <xdr:row>24</xdr:row>
      <xdr:rowOff>76200</xdr:rowOff>
    </xdr:to>
    <xdr:cxnSp macro="">
      <xdr:nvCxnSpPr>
        <xdr:cNvPr id="4106" name="Solver_line$R$25"/>
        <xdr:cNvCxnSpPr/>
      </xdr:nvCxnSpPr>
      <xdr:spPr>
        <a:xfrm>
          <a:off x="6686550" y="4391025"/>
          <a:ext cx="11525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25</xdr:row>
      <xdr:rowOff>76200</xdr:rowOff>
    </xdr:from>
    <xdr:to>
      <xdr:col>11</xdr:col>
      <xdr:colOff>0</xdr:colOff>
      <xdr:row>29</xdr:row>
      <xdr:rowOff>76200</xdr:rowOff>
    </xdr:to>
    <xdr:cxnSp macro="">
      <xdr:nvCxnSpPr>
        <xdr:cNvPr id="4107" name="Solver_shapecon$N$30"/>
        <xdr:cNvCxnSpPr/>
      </xdr:nvCxnSpPr>
      <xdr:spPr>
        <a:xfrm>
          <a:off x="4876800" y="4543425"/>
          <a:ext cx="247650" cy="6858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29</xdr:row>
      <xdr:rowOff>0</xdr:rowOff>
    </xdr:from>
    <xdr:to>
      <xdr:col>14</xdr:col>
      <xdr:colOff>0</xdr:colOff>
      <xdr:row>29</xdr:row>
      <xdr:rowOff>152400</xdr:rowOff>
    </xdr:to>
    <xdr:sp macro="" textlink="">
      <xdr:nvSpPr>
        <xdr:cNvPr id="4108" name="Solver_shape$N$30"/>
        <xdr:cNvSpPr/>
      </xdr:nvSpPr>
      <xdr:spPr>
        <a:xfrm rot="16200000">
          <a:off x="6286500" y="51530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29</xdr:row>
      <xdr:rowOff>76200</xdr:rowOff>
    </xdr:from>
    <xdr:to>
      <xdr:col>17</xdr:col>
      <xdr:colOff>0</xdr:colOff>
      <xdr:row>29</xdr:row>
      <xdr:rowOff>76200</xdr:rowOff>
    </xdr:to>
    <xdr:cxnSp macro="">
      <xdr:nvCxnSpPr>
        <xdr:cNvPr id="4109" name="Solver_dash$N$30"/>
        <xdr:cNvCxnSpPr/>
      </xdr:nvCxnSpPr>
      <xdr:spPr>
        <a:xfrm>
          <a:off x="6438900" y="5229225"/>
          <a:ext cx="14001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76200</xdr:rowOff>
    </xdr:from>
    <xdr:to>
      <xdr:col>13</xdr:col>
      <xdr:colOff>0</xdr:colOff>
      <xdr:row>29</xdr:row>
      <xdr:rowOff>76200</xdr:rowOff>
    </xdr:to>
    <xdr:cxnSp macro="">
      <xdr:nvCxnSpPr>
        <xdr:cNvPr id="4110" name="Solver_line$N$30"/>
        <xdr:cNvCxnSpPr/>
      </xdr:nvCxnSpPr>
      <xdr:spPr>
        <a:xfrm>
          <a:off x="5124450" y="5229225"/>
          <a:ext cx="11620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76200</xdr:rowOff>
    </xdr:from>
    <xdr:to>
      <xdr:col>3</xdr:col>
      <xdr:colOff>0</xdr:colOff>
      <xdr:row>40</xdr:row>
      <xdr:rowOff>76200</xdr:rowOff>
    </xdr:to>
    <xdr:cxnSp macro="">
      <xdr:nvCxnSpPr>
        <xdr:cNvPr id="4111" name="Solver_shapecon$F$41"/>
        <xdr:cNvCxnSpPr/>
      </xdr:nvCxnSpPr>
      <xdr:spPr>
        <a:xfrm>
          <a:off x="762000" y="5076825"/>
          <a:ext cx="247650" cy="22288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19050</xdr:colOff>
      <xdr:row>40</xdr:row>
      <xdr:rowOff>152400</xdr:rowOff>
    </xdr:to>
    <xdr:sp macro="" textlink="">
      <xdr:nvSpPr>
        <xdr:cNvPr id="4112" name="Solver_shape$F$41"/>
        <xdr:cNvSpPr/>
      </xdr:nvSpPr>
      <xdr:spPr>
        <a:xfrm>
          <a:off x="2733675" y="722947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40</xdr:row>
      <xdr:rowOff>76200</xdr:rowOff>
    </xdr:from>
    <xdr:to>
      <xdr:col>5</xdr:col>
      <xdr:colOff>0</xdr:colOff>
      <xdr:row>40</xdr:row>
      <xdr:rowOff>76200</xdr:rowOff>
    </xdr:to>
    <xdr:cxnSp macro="">
      <xdr:nvCxnSpPr>
        <xdr:cNvPr id="4113" name="Solver_line$F$41"/>
        <xdr:cNvCxnSpPr/>
      </xdr:nvCxnSpPr>
      <xdr:spPr>
        <a:xfrm>
          <a:off x="1009650" y="7305675"/>
          <a:ext cx="1724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36</xdr:row>
      <xdr:rowOff>76200</xdr:rowOff>
    </xdr:from>
    <xdr:to>
      <xdr:col>7</xdr:col>
      <xdr:colOff>0</xdr:colOff>
      <xdr:row>40</xdr:row>
      <xdr:rowOff>76200</xdr:rowOff>
    </xdr:to>
    <xdr:cxnSp macro="">
      <xdr:nvCxnSpPr>
        <xdr:cNvPr id="4114" name="Solver_shapecon$J$37"/>
        <xdr:cNvCxnSpPr/>
      </xdr:nvCxnSpPr>
      <xdr:spPr>
        <a:xfrm flipV="1">
          <a:off x="2886075" y="6524625"/>
          <a:ext cx="247650" cy="7810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36</xdr:row>
      <xdr:rowOff>0</xdr:rowOff>
    </xdr:from>
    <xdr:to>
      <xdr:col>10</xdr:col>
      <xdr:colOff>19050</xdr:colOff>
      <xdr:row>36</xdr:row>
      <xdr:rowOff>152400</xdr:rowOff>
    </xdr:to>
    <xdr:sp macro="" textlink="">
      <xdr:nvSpPr>
        <xdr:cNvPr id="4115" name="Solver_shape$J$37"/>
        <xdr:cNvSpPr/>
      </xdr:nvSpPr>
      <xdr:spPr>
        <a:xfrm>
          <a:off x="4724400" y="644842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36</xdr:row>
      <xdr:rowOff>76200</xdr:rowOff>
    </xdr:from>
    <xdr:to>
      <xdr:col>9</xdr:col>
      <xdr:colOff>0</xdr:colOff>
      <xdr:row>36</xdr:row>
      <xdr:rowOff>76200</xdr:rowOff>
    </xdr:to>
    <xdr:cxnSp macro="">
      <xdr:nvCxnSpPr>
        <xdr:cNvPr id="4116" name="Solver_line$J$37"/>
        <xdr:cNvCxnSpPr/>
      </xdr:nvCxnSpPr>
      <xdr:spPr>
        <a:xfrm>
          <a:off x="3133725" y="6524625"/>
          <a:ext cx="15906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34</xdr:row>
      <xdr:rowOff>76200</xdr:rowOff>
    </xdr:from>
    <xdr:to>
      <xdr:col>11</xdr:col>
      <xdr:colOff>0</xdr:colOff>
      <xdr:row>36</xdr:row>
      <xdr:rowOff>76200</xdr:rowOff>
    </xdr:to>
    <xdr:cxnSp macro="">
      <xdr:nvCxnSpPr>
        <xdr:cNvPr id="4117" name="Solver_shapecon$N$35"/>
        <xdr:cNvCxnSpPr/>
      </xdr:nvCxnSpPr>
      <xdr:spPr>
        <a:xfrm flipV="1">
          <a:off x="4876800" y="6143625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34</xdr:row>
      <xdr:rowOff>0</xdr:rowOff>
    </xdr:from>
    <xdr:to>
      <xdr:col>14</xdr:col>
      <xdr:colOff>0</xdr:colOff>
      <xdr:row>34</xdr:row>
      <xdr:rowOff>152400</xdr:rowOff>
    </xdr:to>
    <xdr:sp macro="" textlink="">
      <xdr:nvSpPr>
        <xdr:cNvPr id="4118" name="Solver_shape$N$35"/>
        <xdr:cNvSpPr/>
      </xdr:nvSpPr>
      <xdr:spPr>
        <a:xfrm rot="16200000">
          <a:off x="6286500" y="60674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34</xdr:row>
      <xdr:rowOff>76200</xdr:rowOff>
    </xdr:from>
    <xdr:to>
      <xdr:col>17</xdr:col>
      <xdr:colOff>0</xdr:colOff>
      <xdr:row>34</xdr:row>
      <xdr:rowOff>76200</xdr:rowOff>
    </xdr:to>
    <xdr:cxnSp macro="">
      <xdr:nvCxnSpPr>
        <xdr:cNvPr id="4119" name="Solver_dash$N$35"/>
        <xdr:cNvCxnSpPr/>
      </xdr:nvCxnSpPr>
      <xdr:spPr>
        <a:xfrm>
          <a:off x="6438900" y="6143625"/>
          <a:ext cx="14001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34</xdr:row>
      <xdr:rowOff>76200</xdr:rowOff>
    </xdr:from>
    <xdr:to>
      <xdr:col>13</xdr:col>
      <xdr:colOff>0</xdr:colOff>
      <xdr:row>34</xdr:row>
      <xdr:rowOff>76200</xdr:rowOff>
    </xdr:to>
    <xdr:cxnSp macro="">
      <xdr:nvCxnSpPr>
        <xdr:cNvPr id="4120" name="Solver_line$N$35"/>
        <xdr:cNvCxnSpPr/>
      </xdr:nvCxnSpPr>
      <xdr:spPr>
        <a:xfrm>
          <a:off x="5124450" y="6143625"/>
          <a:ext cx="11620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36</xdr:row>
      <xdr:rowOff>76200</xdr:rowOff>
    </xdr:from>
    <xdr:to>
      <xdr:col>11</xdr:col>
      <xdr:colOff>0</xdr:colOff>
      <xdr:row>39</xdr:row>
      <xdr:rowOff>76200</xdr:rowOff>
    </xdr:to>
    <xdr:cxnSp macro="">
      <xdr:nvCxnSpPr>
        <xdr:cNvPr id="4121" name="Solver_shapecon$N$40"/>
        <xdr:cNvCxnSpPr/>
      </xdr:nvCxnSpPr>
      <xdr:spPr>
        <a:xfrm>
          <a:off x="4876800" y="6486525"/>
          <a:ext cx="247650" cy="5429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39</xdr:row>
      <xdr:rowOff>0</xdr:rowOff>
    </xdr:from>
    <xdr:to>
      <xdr:col>14</xdr:col>
      <xdr:colOff>0</xdr:colOff>
      <xdr:row>39</xdr:row>
      <xdr:rowOff>152400</xdr:rowOff>
    </xdr:to>
    <xdr:sp macro="" textlink="">
      <xdr:nvSpPr>
        <xdr:cNvPr id="4122" name="Solver_shape$N$40"/>
        <xdr:cNvSpPr/>
      </xdr:nvSpPr>
      <xdr:spPr>
        <a:xfrm rot="16200000">
          <a:off x="6286500" y="695325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39</xdr:row>
      <xdr:rowOff>76200</xdr:rowOff>
    </xdr:from>
    <xdr:to>
      <xdr:col>17</xdr:col>
      <xdr:colOff>0</xdr:colOff>
      <xdr:row>39</xdr:row>
      <xdr:rowOff>76200</xdr:rowOff>
    </xdr:to>
    <xdr:cxnSp macro="">
      <xdr:nvCxnSpPr>
        <xdr:cNvPr id="4123" name="Solver_dash$N$40"/>
        <xdr:cNvCxnSpPr/>
      </xdr:nvCxnSpPr>
      <xdr:spPr>
        <a:xfrm>
          <a:off x="6438900" y="7029450"/>
          <a:ext cx="14001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76200</xdr:rowOff>
    </xdr:from>
    <xdr:to>
      <xdr:col>13</xdr:col>
      <xdr:colOff>0</xdr:colOff>
      <xdr:row>39</xdr:row>
      <xdr:rowOff>76200</xdr:rowOff>
    </xdr:to>
    <xdr:cxnSp macro="">
      <xdr:nvCxnSpPr>
        <xdr:cNvPr id="4124" name="Solver_line$N$40"/>
        <xdr:cNvCxnSpPr/>
      </xdr:nvCxnSpPr>
      <xdr:spPr>
        <a:xfrm>
          <a:off x="5124450" y="7029450"/>
          <a:ext cx="11620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40</xdr:row>
      <xdr:rowOff>76200</xdr:rowOff>
    </xdr:from>
    <xdr:to>
      <xdr:col>7</xdr:col>
      <xdr:colOff>0</xdr:colOff>
      <xdr:row>44</xdr:row>
      <xdr:rowOff>76200</xdr:rowOff>
    </xdr:to>
    <xdr:cxnSp macro="">
      <xdr:nvCxnSpPr>
        <xdr:cNvPr id="4125" name="Solver_shapecon$J$45"/>
        <xdr:cNvCxnSpPr/>
      </xdr:nvCxnSpPr>
      <xdr:spPr>
        <a:xfrm>
          <a:off x="2886075" y="7181850"/>
          <a:ext cx="247650" cy="723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44</xdr:row>
      <xdr:rowOff>0</xdr:rowOff>
    </xdr:from>
    <xdr:to>
      <xdr:col>10</xdr:col>
      <xdr:colOff>19050</xdr:colOff>
      <xdr:row>44</xdr:row>
      <xdr:rowOff>152400</xdr:rowOff>
    </xdr:to>
    <xdr:sp macro="" textlink="">
      <xdr:nvSpPr>
        <xdr:cNvPr id="4126" name="Solver_shape$J$45"/>
        <xdr:cNvSpPr/>
      </xdr:nvSpPr>
      <xdr:spPr>
        <a:xfrm rot="16200000">
          <a:off x="4724400" y="782955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44</xdr:row>
      <xdr:rowOff>76200</xdr:rowOff>
    </xdr:from>
    <xdr:to>
      <xdr:col>17</xdr:col>
      <xdr:colOff>0</xdr:colOff>
      <xdr:row>44</xdr:row>
      <xdr:rowOff>76200</xdr:rowOff>
    </xdr:to>
    <xdr:cxnSp macro="">
      <xdr:nvCxnSpPr>
        <xdr:cNvPr id="4127" name="Solver_dash$J$45"/>
        <xdr:cNvCxnSpPr/>
      </xdr:nvCxnSpPr>
      <xdr:spPr>
        <a:xfrm>
          <a:off x="4876800" y="7905750"/>
          <a:ext cx="29622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44</xdr:row>
      <xdr:rowOff>76200</xdr:rowOff>
    </xdr:from>
    <xdr:to>
      <xdr:col>9</xdr:col>
      <xdr:colOff>0</xdr:colOff>
      <xdr:row>44</xdr:row>
      <xdr:rowOff>76200</xdr:rowOff>
    </xdr:to>
    <xdr:cxnSp macro="">
      <xdr:nvCxnSpPr>
        <xdr:cNvPr id="4128" name="Solver_line$J$45"/>
        <xdr:cNvCxnSpPr/>
      </xdr:nvCxnSpPr>
      <xdr:spPr>
        <a:xfrm>
          <a:off x="3133725" y="7905750"/>
          <a:ext cx="15906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5534"/>
  <sheetViews>
    <sheetView tabSelected="1" topLeftCell="K1" zoomScale="150" zoomScaleNormal="150" zoomScalePageLayoutView="150" workbookViewId="0">
      <selection activeCell="L31" sqref="L31"/>
    </sheetView>
  </sheetViews>
  <sheetFormatPr baseColWidth="10" defaultColWidth="8.83203125" defaultRowHeight="14" x14ac:dyDescent="0"/>
  <cols>
    <col min="2" max="2" width="2" bestFit="1" customWidth="1"/>
    <col min="3" max="3" width="3.6640625" customWidth="1"/>
    <col min="4" max="4" width="13.83203125" bestFit="1" customWidth="1"/>
    <col min="5" max="5" width="5" bestFit="1" customWidth="1"/>
    <col min="6" max="6" width="2" bestFit="1" customWidth="1"/>
    <col min="7" max="7" width="3.6640625" customWidth="1"/>
    <col min="8" max="8" width="11.83203125" bestFit="1" customWidth="1"/>
    <col min="9" max="9" width="4" bestFit="1" customWidth="1"/>
    <col min="10" max="10" width="2" bestFit="1" customWidth="1"/>
    <col min="11" max="11" width="3.6640625" customWidth="1"/>
    <col min="12" max="12" width="4.6640625" bestFit="1" customWidth="1"/>
    <col min="13" max="13" width="12.6640625" bestFit="1" customWidth="1"/>
    <col min="14" max="14" width="2.33203125" customWidth="1"/>
    <col min="15" max="15" width="3.6640625" customWidth="1"/>
    <col min="16" max="16" width="4.5" bestFit="1" customWidth="1"/>
    <col min="17" max="17" width="4.6640625" bestFit="1" customWidth="1"/>
    <col min="18" max="18" width="2.33203125" customWidth="1"/>
    <col min="19" max="19" width="4.6640625" bestFit="1" customWidth="1"/>
    <col min="21" max="21" width="16.1640625" bestFit="1" customWidth="1"/>
    <col min="22" max="22" width="8.83203125" style="5"/>
    <col min="25" max="26" width="11.5" customWidth="1"/>
    <col min="27" max="27" width="10.6640625" customWidth="1"/>
    <col min="28" max="28" width="13.1640625" customWidth="1"/>
    <col min="29" max="29" width="11.83203125" bestFit="1" customWidth="1"/>
    <col min="30" max="30" width="12.5" bestFit="1" customWidth="1"/>
  </cols>
  <sheetData>
    <row r="1" spans="1:30" ht="18">
      <c r="A1" s="3" t="s">
        <v>8</v>
      </c>
      <c r="Y1" s="6" t="s">
        <v>23</v>
      </c>
      <c r="Z1" s="6"/>
      <c r="AA1" s="6"/>
      <c r="AB1" s="6"/>
      <c r="AC1" s="6"/>
      <c r="AD1" s="2" t="s">
        <v>39</v>
      </c>
    </row>
    <row r="2" spans="1:30">
      <c r="Y2" s="6" t="s">
        <v>26</v>
      </c>
      <c r="Z2" s="6" t="s">
        <v>41</v>
      </c>
      <c r="AA2" s="6" t="s">
        <v>44</v>
      </c>
      <c r="AB2" s="6" t="s">
        <v>44</v>
      </c>
      <c r="AC2" s="6" t="s">
        <v>36</v>
      </c>
      <c r="AD2" s="6" t="s">
        <v>40</v>
      </c>
    </row>
    <row r="3" spans="1:30">
      <c r="H3" s="1"/>
      <c r="P3" s="1">
        <f>ProbOilGivenUSS</f>
        <v>0.14285714285714285</v>
      </c>
      <c r="V3" s="6" t="s">
        <v>9</v>
      </c>
      <c r="W3" s="5"/>
      <c r="X3" s="5"/>
      <c r="Y3" s="6" t="s">
        <v>38</v>
      </c>
      <c r="Z3" s="6" t="s">
        <v>42</v>
      </c>
      <c r="AA3" s="6" t="s">
        <v>7</v>
      </c>
      <c r="AB3" s="6" t="s">
        <v>6</v>
      </c>
      <c r="AC3" s="6" t="s">
        <v>43</v>
      </c>
      <c r="AD3" s="6" t="s">
        <v>34</v>
      </c>
    </row>
    <row r="4" spans="1:30">
      <c r="P4" t="s">
        <v>4</v>
      </c>
      <c r="U4" s="4" t="s">
        <v>10</v>
      </c>
      <c r="V4" s="7">
        <v>30</v>
      </c>
      <c r="W4" s="48"/>
      <c r="X4" s="48"/>
      <c r="Y4" s="48"/>
      <c r="Z4" s="49" t="str">
        <f>V15</f>
        <v>Yes</v>
      </c>
      <c r="AA4" s="49" t="str">
        <f>W19</f>
        <v>Drill</v>
      </c>
      <c r="AB4" s="49" t="str">
        <f>W20</f>
        <v>Sell</v>
      </c>
      <c r="AC4" s="49" t="str">
        <f>U19</f>
        <v>Drill</v>
      </c>
      <c r="AD4" s="49">
        <f>ExpectedPayoff</f>
        <v>123</v>
      </c>
    </row>
    <row r="5" spans="1:30">
      <c r="S5" s="9">
        <f>SUM($P$6,$L$8,$H$12,$D$19)</f>
        <v>670</v>
      </c>
      <c r="U5" s="4" t="s">
        <v>11</v>
      </c>
      <c r="V5" s="7">
        <v>100</v>
      </c>
      <c r="W5" s="48"/>
      <c r="X5" s="48"/>
      <c r="Y5" s="52">
        <v>0</v>
      </c>
      <c r="Z5" s="51" t="str">
        <f t="dataTable" ref="Z5:AD15" dt2D="0" dtr="0" r1="V9"/>
        <v>No</v>
      </c>
      <c r="AA5" s="50" t="str">
        <v>Sell</v>
      </c>
      <c r="AB5" s="50" t="str">
        <v>Sell</v>
      </c>
      <c r="AC5" s="51" t="str">
        <v>Sell</v>
      </c>
      <c r="AD5" s="51">
        <v>90</v>
      </c>
    </row>
    <row r="6" spans="1:30">
      <c r="L6" t="s">
        <v>2</v>
      </c>
      <c r="P6">
        <f>RevenueIfOil</f>
        <v>800</v>
      </c>
      <c r="Q6" s="9">
        <f>$S$5</f>
        <v>670</v>
      </c>
      <c r="S6" s="9"/>
      <c r="U6" s="4" t="s">
        <v>12</v>
      </c>
      <c r="V6" s="7">
        <v>800</v>
      </c>
      <c r="W6" s="48"/>
      <c r="X6" s="48"/>
      <c r="Y6" s="52">
        <v>0.1</v>
      </c>
      <c r="Z6" s="51" t="str">
        <v>No</v>
      </c>
      <c r="AA6" s="50" t="str">
        <v>Drill</v>
      </c>
      <c r="AB6" s="50" t="str">
        <v>Sell</v>
      </c>
      <c r="AC6" s="51" t="str">
        <v>Sell</v>
      </c>
      <c r="AD6" s="51">
        <v>90</v>
      </c>
    </row>
    <row r="7" spans="1:30">
      <c r="S7" s="9"/>
      <c r="U7" s="4" t="s">
        <v>13</v>
      </c>
      <c r="V7" s="7">
        <v>90</v>
      </c>
      <c r="W7" s="48"/>
      <c r="X7" s="48"/>
      <c r="Y7" s="52">
        <v>0.2</v>
      </c>
      <c r="Z7" s="51" t="str">
        <v>Yes</v>
      </c>
      <c r="AA7" s="51" t="str">
        <v>Drill</v>
      </c>
      <c r="AB7" s="51" t="str">
        <v>Sell</v>
      </c>
      <c r="AC7" s="50" t="str">
        <v>Sell</v>
      </c>
      <c r="AD7" s="51">
        <v>102.80000000000001</v>
      </c>
    </row>
    <row r="8" spans="1:30">
      <c r="H8" s="1"/>
      <c r="L8" s="10">
        <f>-CostOfDrilling</f>
        <v>-100</v>
      </c>
      <c r="M8">
        <f>IF(ABS(1-SUM($P$3,$P$8))&lt;=0.00001,SUM($P$3*$Q$6,$P$8*$Q$11),NA())</f>
        <v>-15.714285714285722</v>
      </c>
      <c r="P8" s="1">
        <f>1-P3</f>
        <v>0.85714285714285721</v>
      </c>
      <c r="S8" s="9"/>
      <c r="U8" s="4" t="s">
        <v>14</v>
      </c>
      <c r="V8" s="7">
        <v>0</v>
      </c>
      <c r="Y8" s="52">
        <v>0.3</v>
      </c>
      <c r="Z8" s="51" t="str">
        <v>Yes</v>
      </c>
      <c r="AA8" s="51" t="str">
        <v>Drill</v>
      </c>
      <c r="AB8" s="51" t="str">
        <v>Sell</v>
      </c>
      <c r="AC8" s="50" t="str">
        <v>Drill</v>
      </c>
      <c r="AD8" s="51">
        <v>143.19999999999999</v>
      </c>
    </row>
    <row r="9" spans="1:30">
      <c r="H9" s="1">
        <f>ProbUSS</f>
        <v>0.70000000000000007</v>
      </c>
      <c r="P9" t="s">
        <v>5</v>
      </c>
      <c r="S9" s="9"/>
      <c r="U9" s="4" t="s">
        <v>15</v>
      </c>
      <c r="V9" s="7">
        <v>0.25</v>
      </c>
      <c r="Y9" s="52">
        <v>0.4</v>
      </c>
      <c r="Z9" s="51" t="str">
        <v>No</v>
      </c>
      <c r="AA9" s="50" t="str">
        <v>Drill</v>
      </c>
      <c r="AB9" s="50" t="str">
        <v>Drill</v>
      </c>
      <c r="AC9" s="51" t="str">
        <v>Drill</v>
      </c>
      <c r="AD9" s="51">
        <v>220</v>
      </c>
    </row>
    <row r="10" spans="1:30">
      <c r="H10" t="s">
        <v>6</v>
      </c>
      <c r="S10" s="9">
        <f>SUM($P$11,$L$8,$H$12,$D$19)</f>
        <v>-130</v>
      </c>
      <c r="U10" s="4" t="s">
        <v>16</v>
      </c>
      <c r="V10" s="7">
        <v>0.6</v>
      </c>
      <c r="Y10" s="52">
        <v>0.5</v>
      </c>
      <c r="Z10" s="51" t="str">
        <v>No</v>
      </c>
      <c r="AA10" s="50" t="str">
        <v>Drill</v>
      </c>
      <c r="AB10" s="50" t="str">
        <v>Drill</v>
      </c>
      <c r="AC10" s="51" t="str">
        <v>Drill</v>
      </c>
      <c r="AD10" s="51">
        <v>300</v>
      </c>
    </row>
    <row r="11" spans="1:30">
      <c r="J11">
        <f>IF($I$12=$M$8,1,IF($I$12=$M$16,2))</f>
        <v>2</v>
      </c>
      <c r="P11">
        <f>RevenueIfDry</f>
        <v>0</v>
      </c>
      <c r="Q11" s="9">
        <f>$S$10</f>
        <v>-130</v>
      </c>
      <c r="S11" s="9"/>
      <c r="U11" s="4" t="s">
        <v>17</v>
      </c>
      <c r="V11" s="7">
        <v>0.8</v>
      </c>
      <c r="Y11" s="52">
        <v>0.6</v>
      </c>
      <c r="Z11" s="51" t="str">
        <v>No</v>
      </c>
      <c r="AA11" s="50" t="str">
        <v>Drill</v>
      </c>
      <c r="AB11" s="50" t="str">
        <v>Drill</v>
      </c>
      <c r="AC11" s="51" t="str">
        <v>Drill</v>
      </c>
      <c r="AD11" s="51">
        <v>380</v>
      </c>
    </row>
    <row r="12" spans="1:30">
      <c r="H12">
        <v>0</v>
      </c>
      <c r="I12">
        <f>MAX($M$8,$M$16)</f>
        <v>60</v>
      </c>
      <c r="S12" s="9"/>
      <c r="Y12" s="52">
        <v>0.7</v>
      </c>
      <c r="Z12" s="51" t="str">
        <v>No</v>
      </c>
      <c r="AA12" s="50" t="str">
        <v>Drill</v>
      </c>
      <c r="AB12" s="50" t="str">
        <v>Drill</v>
      </c>
      <c r="AC12" s="51" t="str">
        <v>Drill</v>
      </c>
      <c r="AD12" s="51">
        <v>459.99999999999994</v>
      </c>
    </row>
    <row r="13" spans="1:30">
      <c r="L13" s="1"/>
      <c r="S13" s="9"/>
      <c r="Y13" s="52">
        <v>0.8</v>
      </c>
      <c r="Z13" s="51" t="str">
        <v>No</v>
      </c>
      <c r="AA13" s="50" t="str">
        <v>Drill</v>
      </c>
      <c r="AB13" s="50" t="str">
        <v>Drill</v>
      </c>
      <c r="AC13" s="51" t="str">
        <v>Drill</v>
      </c>
      <c r="AD13" s="51">
        <v>540</v>
      </c>
    </row>
    <row r="14" spans="1:30">
      <c r="L14" t="s">
        <v>3</v>
      </c>
      <c r="S14" s="9"/>
      <c r="V14" s="6" t="s">
        <v>18</v>
      </c>
      <c r="Y14" s="52">
        <v>0.9</v>
      </c>
      <c r="Z14" s="51" t="str">
        <v>No</v>
      </c>
      <c r="AA14" s="50" t="str">
        <v>Drill</v>
      </c>
      <c r="AB14" s="50" t="str">
        <v>Drill</v>
      </c>
      <c r="AC14" s="51" t="str">
        <v>Drill</v>
      </c>
      <c r="AD14" s="51">
        <v>620</v>
      </c>
    </row>
    <row r="15" spans="1:30">
      <c r="S15" s="9">
        <f>SUM($L$16,$H$12,$D$19)</f>
        <v>60</v>
      </c>
      <c r="U15" s="4" t="s">
        <v>19</v>
      </c>
      <c r="V15" s="8" t="str">
        <f>IF(B29=1,"Yes","No")</f>
        <v>Yes</v>
      </c>
      <c r="Y15" s="52">
        <v>1</v>
      </c>
      <c r="Z15" s="51" t="str">
        <v>No</v>
      </c>
      <c r="AA15" s="50" t="str">
        <v>Drill</v>
      </c>
      <c r="AB15" s="50" t="str">
        <v>Drill</v>
      </c>
      <c r="AC15" s="51" t="str">
        <v>Drill</v>
      </c>
      <c r="AD15" s="51">
        <v>700</v>
      </c>
    </row>
    <row r="16" spans="1:30">
      <c r="L16">
        <f>RevenueIfSell</f>
        <v>90</v>
      </c>
      <c r="M16">
        <f>$S$15</f>
        <v>60</v>
      </c>
      <c r="S16" s="9"/>
    </row>
    <row r="17" spans="1:27">
      <c r="D17" t="s">
        <v>0</v>
      </c>
      <c r="S17" s="9"/>
      <c r="U17" s="4" t="s">
        <v>36</v>
      </c>
      <c r="W17" t="s">
        <v>37</v>
      </c>
    </row>
    <row r="18" spans="1:27">
      <c r="H18" s="1"/>
      <c r="L18" s="1"/>
      <c r="P18" s="1">
        <f>ProbOilGivenFSS</f>
        <v>0.50000000000000011</v>
      </c>
      <c r="S18" s="9"/>
    </row>
    <row r="19" spans="1:27">
      <c r="D19">
        <f>-CostOfSurvey</f>
        <v>-30</v>
      </c>
      <c r="E19">
        <f>IF(ABS(1-SUM($H$9,$H$24))&lt;=0.00001,SUM($H$9*$I$12,$H$24*$I$27),NA())</f>
        <v>123</v>
      </c>
      <c r="P19" t="s">
        <v>4</v>
      </c>
      <c r="S19" s="9"/>
      <c r="U19" s="8" t="str">
        <f>IF(F41=1,"Drill","Sell")</f>
        <v>Drill</v>
      </c>
      <c r="W19" s="11" t="str">
        <f>IF(J26=1,"Drill","Sell")</f>
        <v>Drill</v>
      </c>
      <c r="X19" t="s">
        <v>45</v>
      </c>
    </row>
    <row r="20" spans="1:27">
      <c r="S20" s="9">
        <f>SUM($P$21,$L$23,$H$27,$D$19)</f>
        <v>670</v>
      </c>
      <c r="W20" s="12" t="str">
        <f>IF(J11=1,"Drill","Sell")</f>
        <v>Sell</v>
      </c>
      <c r="X20" t="s">
        <v>46</v>
      </c>
    </row>
    <row r="21" spans="1:27">
      <c r="L21" t="s">
        <v>2</v>
      </c>
      <c r="P21">
        <f>RevenueIfOil</f>
        <v>800</v>
      </c>
      <c r="Q21" s="9">
        <f>$S$20</f>
        <v>670</v>
      </c>
      <c r="S21" s="9"/>
    </row>
    <row r="22" spans="1:27">
      <c r="S22" s="9"/>
    </row>
    <row r="23" spans="1:27">
      <c r="L23" s="10">
        <f>-CostOfDrilling</f>
        <v>-100</v>
      </c>
      <c r="M23">
        <f>IF(ABS(1-SUM($P$18,$P$23))&lt;=0.00001,SUM($P$18*$Q$21,$P$23*$Q$26),NA())</f>
        <v>270.00000000000006</v>
      </c>
      <c r="P23" s="1">
        <f>1-P18</f>
        <v>0.49999999999999989</v>
      </c>
      <c r="S23" s="9"/>
    </row>
    <row r="24" spans="1:27">
      <c r="H24" s="1">
        <f>ProbFSS</f>
        <v>0.29999999999999993</v>
      </c>
      <c r="P24" t="s">
        <v>5</v>
      </c>
      <c r="S24" s="9"/>
      <c r="V24" s="6" t="s">
        <v>35</v>
      </c>
    </row>
    <row r="25" spans="1:27" ht="15" thickBot="1">
      <c r="H25" t="s">
        <v>7</v>
      </c>
      <c r="S25" s="9">
        <f>SUM($P$26,$L$23,$H$27,$D$19)</f>
        <v>-130</v>
      </c>
      <c r="V25" s="5" t="s">
        <v>34</v>
      </c>
    </row>
    <row r="26" spans="1:27" ht="15" thickBot="1">
      <c r="J26">
        <f>IF($I$27=$M$23,1,IF($I$27=$M$31,2))</f>
        <v>1</v>
      </c>
      <c r="P26">
        <f>RevenueIfDry</f>
        <v>0</v>
      </c>
      <c r="Q26" s="9">
        <f>$S$25</f>
        <v>-130</v>
      </c>
      <c r="V26" s="47">
        <f>A30</f>
        <v>123</v>
      </c>
    </row>
    <row r="27" spans="1:27">
      <c r="H27">
        <v>0</v>
      </c>
      <c r="I27">
        <f>MAX($M$23,$M$31)</f>
        <v>270.00000000000006</v>
      </c>
    </row>
    <row r="28" spans="1:27">
      <c r="L28" s="1"/>
    </row>
    <row r="29" spans="1:27" ht="15" thickBot="1">
      <c r="B29">
        <f>IF($A$30=$E$19,1,IF($A$30=$E$42,2))</f>
        <v>1</v>
      </c>
      <c r="L29" t="s">
        <v>3</v>
      </c>
    </row>
    <row r="30" spans="1:27">
      <c r="A30">
        <f>MAX($E$19,$E$42)</f>
        <v>123</v>
      </c>
      <c r="S30">
        <f>SUM($L$31,$H$27,$D$19)</f>
        <v>60</v>
      </c>
      <c r="U30" s="13" t="s">
        <v>20</v>
      </c>
      <c r="V30" s="14"/>
      <c r="W30" s="53" t="s">
        <v>21</v>
      </c>
      <c r="X30" s="54"/>
      <c r="Y30" s="54"/>
      <c r="Z30" s="54"/>
      <c r="AA30" s="55"/>
    </row>
    <row r="31" spans="1:27">
      <c r="L31">
        <f>RevenueIfSell</f>
        <v>90</v>
      </c>
      <c r="M31">
        <f>$S$30</f>
        <v>60</v>
      </c>
      <c r="U31" s="15" t="s">
        <v>22</v>
      </c>
      <c r="V31" s="16" t="s">
        <v>23</v>
      </c>
      <c r="W31" s="56" t="s">
        <v>24</v>
      </c>
      <c r="X31" s="57"/>
      <c r="Y31" s="57"/>
      <c r="Z31" s="57"/>
      <c r="AA31" s="58"/>
    </row>
    <row r="32" spans="1:27">
      <c r="U32" s="17" t="s">
        <v>25</v>
      </c>
      <c r="V32" s="18" t="s">
        <v>26</v>
      </c>
      <c r="W32" s="25" t="s">
        <v>27</v>
      </c>
      <c r="X32" s="25" t="s">
        <v>28</v>
      </c>
      <c r="Y32" s="25"/>
      <c r="Z32" s="25"/>
      <c r="AA32" s="26"/>
    </row>
    <row r="33" spans="4:27">
      <c r="L33" s="1">
        <f>PriorProbabilityOfOil</f>
        <v>0.25</v>
      </c>
      <c r="U33" s="31" t="s">
        <v>4</v>
      </c>
      <c r="V33" s="32">
        <f>PriorProbabilityOfOil</f>
        <v>0.25</v>
      </c>
      <c r="W33" s="27">
        <f>ProbFSSGivenOil</f>
        <v>0.6</v>
      </c>
      <c r="X33" s="27">
        <f>1-ProbFSSGivenOil</f>
        <v>0.4</v>
      </c>
      <c r="Y33" s="27"/>
      <c r="Z33" s="27"/>
      <c r="AA33" s="28"/>
    </row>
    <row r="34" spans="4:27">
      <c r="L34" t="s">
        <v>4</v>
      </c>
      <c r="U34" s="31" t="s">
        <v>5</v>
      </c>
      <c r="V34" s="32">
        <f>1-PriorProbabilityOfOil</f>
        <v>0.75</v>
      </c>
      <c r="W34" s="27">
        <f>1-ProbUSSGivenDry</f>
        <v>0.19999999999999996</v>
      </c>
      <c r="X34" s="27">
        <f>ProbUSSGivenDry</f>
        <v>0.8</v>
      </c>
      <c r="Y34" s="27"/>
      <c r="Z34" s="27"/>
      <c r="AA34" s="28"/>
    </row>
    <row r="35" spans="4:27">
      <c r="S35">
        <f>SUM($L$36,$H$38,$D$42)</f>
        <v>700</v>
      </c>
      <c r="U35" s="31"/>
      <c r="V35" s="32"/>
      <c r="W35" s="27"/>
      <c r="X35" s="27"/>
      <c r="Y35" s="27"/>
      <c r="Z35" s="27"/>
      <c r="AA35" s="28"/>
    </row>
    <row r="36" spans="4:27">
      <c r="H36" t="s">
        <v>2</v>
      </c>
      <c r="L36">
        <f>RevenueIfOil</f>
        <v>800</v>
      </c>
      <c r="M36">
        <f>$S$35</f>
        <v>700</v>
      </c>
      <c r="U36" s="31"/>
      <c r="V36" s="32"/>
      <c r="W36" s="27"/>
      <c r="X36" s="27"/>
      <c r="Y36" s="27"/>
      <c r="Z36" s="27"/>
      <c r="AA36" s="28"/>
    </row>
    <row r="37" spans="4:27" ht="15" thickBot="1">
      <c r="U37" s="33"/>
      <c r="V37" s="34"/>
      <c r="W37" s="29"/>
      <c r="X37" s="29"/>
      <c r="Y37" s="29"/>
      <c r="Z37" s="29"/>
      <c r="AA37" s="30"/>
    </row>
    <row r="38" spans="4:27" ht="15" thickBot="1">
      <c r="H38">
        <f>-CostOfDrilling</f>
        <v>-100</v>
      </c>
      <c r="I38">
        <f>IF(ABS(1-SUM($L$33,$L$38))&lt;=0.00001,SUM($L$33*$M$36,$L$38*$M$41),NA())</f>
        <v>100</v>
      </c>
      <c r="L38" s="1">
        <f>1-PriorProbabilityOfOil</f>
        <v>0.75</v>
      </c>
      <c r="U38" s="19"/>
      <c r="V38" s="19"/>
      <c r="W38" s="19"/>
      <c r="X38" s="19"/>
      <c r="Y38" s="19"/>
      <c r="Z38" s="19"/>
      <c r="AA38" s="19"/>
    </row>
    <row r="39" spans="4:27">
      <c r="L39" t="s">
        <v>5</v>
      </c>
      <c r="U39" s="20" t="s">
        <v>29</v>
      </c>
      <c r="V39" s="21"/>
      <c r="W39" s="53" t="s">
        <v>30</v>
      </c>
      <c r="X39" s="54"/>
      <c r="Y39" s="54"/>
      <c r="Z39" s="54"/>
      <c r="AA39" s="55"/>
    </row>
    <row r="40" spans="4:27">
      <c r="D40" t="s">
        <v>1</v>
      </c>
      <c r="S40">
        <f>SUM($L$41,$H$38,$D$42)</f>
        <v>-100</v>
      </c>
      <c r="U40" s="22" t="s">
        <v>31</v>
      </c>
      <c r="V40" s="18"/>
      <c r="W40" s="56" t="s">
        <v>32</v>
      </c>
      <c r="X40" s="57"/>
      <c r="Y40" s="57"/>
      <c r="Z40" s="57"/>
      <c r="AA40" s="58"/>
    </row>
    <row r="41" spans="4:27">
      <c r="F41">
        <f>IF($E$42=$I$38,1,IF($E$42=$I$46,2))</f>
        <v>1</v>
      </c>
      <c r="L41">
        <f>RevenueIfDry</f>
        <v>0</v>
      </c>
      <c r="M41">
        <f>$S$40</f>
        <v>-100</v>
      </c>
      <c r="U41" s="23" t="s">
        <v>24</v>
      </c>
      <c r="V41" s="24" t="s">
        <v>33</v>
      </c>
      <c r="W41" s="35" t="str">
        <f>IF(U33="","",U33)</f>
        <v>Oil</v>
      </c>
      <c r="X41" s="36" t="str">
        <f>IF(U34="","",U34)</f>
        <v>Dry</v>
      </c>
      <c r="Y41" s="36" t="str">
        <f>IF(U35="","",U35)</f>
        <v/>
      </c>
      <c r="Z41" s="36" t="str">
        <f>IF(U36="","",U36)</f>
        <v/>
      </c>
      <c r="AA41" s="37" t="str">
        <f>IF(U37="","",U37)</f>
        <v/>
      </c>
    </row>
    <row r="42" spans="4:27">
      <c r="D42">
        <v>0</v>
      </c>
      <c r="E42">
        <f>MAX($I$38,$I$46)</f>
        <v>100</v>
      </c>
      <c r="U42" s="42" t="str">
        <f>IF(W32="","",W32)</f>
        <v>FSS</v>
      </c>
      <c r="V42" s="43">
        <f>IF(W33="","",SUMPRODUCT(V33:V37,W33:W37))</f>
        <v>0.29999999999999993</v>
      </c>
      <c r="W42" s="38">
        <f>IF(W33="","",V33*W33/SUMPRODUCT(V33:V37,W33:W37))</f>
        <v>0.50000000000000011</v>
      </c>
      <c r="X42" s="38">
        <f>IF(W34="","",V34*W34/SUMPRODUCT(V33:V37,W33:W37))</f>
        <v>0.5</v>
      </c>
      <c r="Y42" s="38" t="str">
        <f>IF(W35="","",V35*W35/SUMPRODUCT(V33:V37,W33:W37))</f>
        <v/>
      </c>
      <c r="Z42" s="38" t="str">
        <f>IF(W36="","",V36*W36/SUMPRODUCT(V33:V37,W33:W37))</f>
        <v/>
      </c>
      <c r="AA42" s="39" t="str">
        <f>IF(W37="","",V37*W37/SUMPRODUCT(V33:V37,W33:W37))</f>
        <v/>
      </c>
    </row>
    <row r="43" spans="4:27">
      <c r="U43" s="42" t="str">
        <f>IF(X32="","",X32)</f>
        <v>USS</v>
      </c>
      <c r="V43" s="44">
        <f>IF(X33="","",SUMPRODUCT(V33:V37,X33:X37))</f>
        <v>0.70000000000000007</v>
      </c>
      <c r="W43" s="38">
        <f>IF(X33="","",V33*X33/SUMPRODUCT(V33:V37,X33:X37))</f>
        <v>0.14285714285714285</v>
      </c>
      <c r="X43" s="38">
        <f>IF(X34="","",V34*X34/SUMPRODUCT(V33:V37,X33:X37))</f>
        <v>0.85714285714285721</v>
      </c>
      <c r="Y43" s="38" t="str">
        <f>IF(X35="","",V35*X35/SUMPRODUCT(V33:V37,X33:X37))</f>
        <v/>
      </c>
      <c r="Z43" s="38" t="str">
        <f>IF(X36="","",V36*X36/SUMPRODUCT(V33:V37,X33:X37))</f>
        <v/>
      </c>
      <c r="AA43" s="39" t="str">
        <f>IF(X37="","",V37*X37/SUMPRODUCT(V33:V37,X33:X37))</f>
        <v/>
      </c>
    </row>
    <row r="44" spans="4:27">
      <c r="H44" t="s">
        <v>3</v>
      </c>
      <c r="U44" s="42" t="str">
        <f>IF(Y32="","",Y32)</f>
        <v/>
      </c>
      <c r="V44" s="44" t="str">
        <f>IF(Y33="","",SUMPRODUCT(V33:V37,Y33:Y37))</f>
        <v/>
      </c>
      <c r="W44" s="38" t="str">
        <f>IF(Y33="","",V33*Y33/SUMPRODUCT(V33:V37,Y33:Y37))</f>
        <v/>
      </c>
      <c r="X44" s="38" t="str">
        <f>IF(Y34="","",V34*Y34/SUMPRODUCT(V33:V37,Y33:Y37))</f>
        <v/>
      </c>
      <c r="Y44" s="38" t="str">
        <f>IF(Y35="","",V35*Y35/SUMPRODUCT(V33:V37,Y33:Y37))</f>
        <v/>
      </c>
      <c r="Z44" s="38" t="str">
        <f>IF(Y36="","",V36*Y36/SUMPRODUCT(V33:V37,Y33:Y37))</f>
        <v/>
      </c>
      <c r="AA44" s="39" t="str">
        <f>IF(Y37="","",V37*Y37/SUMPRODUCT(V33:V37,Y33:Y37))</f>
        <v/>
      </c>
    </row>
    <row r="45" spans="4:27">
      <c r="S45">
        <f>SUM($H$46,$D$42)</f>
        <v>90</v>
      </c>
      <c r="U45" s="42" t="str">
        <f>IF(Z32="","",Z32)</f>
        <v/>
      </c>
      <c r="V45" s="44" t="str">
        <f>IF(Z33="","",SUMPRODUCT(V33:V37,Z33:Z37))</f>
        <v/>
      </c>
      <c r="W45" s="38" t="str">
        <f>IF(Z33="","",V33*Z33/SUMPRODUCT(V33:V37,Z33:Z37))</f>
        <v/>
      </c>
      <c r="X45" s="38" t="str">
        <f>IF(Z34="","",V34*Z34/SUMPRODUCT(V33:V37,Z33:Z37))</f>
        <v/>
      </c>
      <c r="Y45" s="38" t="str">
        <f>IF(Z35="","",V35*Z35/SUMPRODUCT(V33:V37,Z33:Z37))</f>
        <v/>
      </c>
      <c r="Z45" s="38" t="str">
        <f>IF(Z36="","",V36*Z36/SUMPRODUCT(V33:V37,Z33:Z37))</f>
        <v/>
      </c>
      <c r="AA45" s="39" t="str">
        <f>IF(Z37="","",V37*Z37/SUMPRODUCT(V33:V37,Z33:Z37))</f>
        <v/>
      </c>
    </row>
    <row r="46" spans="4:27" ht="15" thickBot="1">
      <c r="H46">
        <f>RevenueIfSell</f>
        <v>90</v>
      </c>
      <c r="I46">
        <f>$S$45</f>
        <v>90</v>
      </c>
      <c r="U46" s="45" t="str">
        <f>IF(AA32="","",AA32)</f>
        <v/>
      </c>
      <c r="V46" s="46" t="str">
        <f>IF(AA33="","",SUMPRODUCT(V33:V37,AA33:AA37))</f>
        <v/>
      </c>
      <c r="W46" s="40" t="str">
        <f>IF(AA33="","",V33*AA33/SUMPRODUCT(V33:V37,AA33:AA37))</f>
        <v/>
      </c>
      <c r="X46" s="40" t="str">
        <f>IF(AA34="","",V34*AA34/SUMPRODUCT(V33:V37,AA33:AA37))</f>
        <v/>
      </c>
      <c r="Y46" s="40" t="str">
        <f>IF(AA35="","",V35*AA35/SUMPRODUCT(V33:V37,AA33:AA37))</f>
        <v/>
      </c>
      <c r="Z46" s="40" t="str">
        <f>IF(AA36="","",V36*AA36/SUMPRODUCT(V33:V37,AA33:AA37))</f>
        <v/>
      </c>
      <c r="AA46" s="41" t="str">
        <f>IF(AA37="","",V37*AA37/SUMPRODUCT(V33:V37,AA33:AA37))</f>
        <v/>
      </c>
    </row>
    <row r="48" spans="4:27">
      <c r="D48" s="4" t="s">
        <v>47</v>
      </c>
      <c r="E48" s="7">
        <v>1000</v>
      </c>
    </row>
    <row r="65534" spans="255:255">
      <c r="IU65534">
        <v>0</v>
      </c>
    </row>
  </sheetData>
  <mergeCells count="4">
    <mergeCell ref="W30:AA30"/>
    <mergeCell ref="W31:AA31"/>
    <mergeCell ref="W39:AA39"/>
    <mergeCell ref="W40:AA40"/>
  </mergeCells>
  <printOptions headings="1" gridLines="1"/>
  <pageMargins left="0.7" right="0.7" top="0.75" bottom="0.75" header="0.3" footer="0.3"/>
  <pageSetup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Goferbroke with Survey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 School of Business</dc:creator>
  <cp:lastModifiedBy>Dave  Reineke</cp:lastModifiedBy>
  <dcterms:created xsi:type="dcterms:W3CDTF">2012-05-17T21:52:04Z</dcterms:created>
  <dcterms:modified xsi:type="dcterms:W3CDTF">2016-07-08T14:25:27Z</dcterms:modified>
</cp:coreProperties>
</file>