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.xml" ContentType="application/vnd.openxmlformats-officedocument.spreadsheetml.queryTable+xml"/>
  <Override PartName="/xl/tables/table22.xml" ContentType="application/vnd.openxmlformats-officedocument.spreadsheetml.table+xml"/>
  <Override PartName="/xl/queryTables/queryTable2.xml" ContentType="application/vnd.openxmlformats-officedocument.spreadsheetml.queryTable+xml"/>
  <Override PartName="/xl/tables/table23.xml" ContentType="application/vnd.openxmlformats-officedocument.spreadsheetml.table+xml"/>
  <Override PartName="/xl/queryTables/queryTable3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projetos-portfolio\webscrapping\vlr-gg\valorant-gg\datasets\"/>
    </mc:Choice>
  </mc:AlternateContent>
  <xr:revisionPtr revIDLastSave="0" documentId="13_ncr:1_{61CFE351-6B63-447F-8C60-055C089A2003}" xr6:coauthVersionLast="47" xr6:coauthVersionMax="47" xr10:uidLastSave="{00000000-0000-0000-0000-000000000000}"/>
  <bookViews>
    <workbookView xWindow="-120" yWindow="-120" windowWidth="21840" windowHeight="13740" activeTab="2" xr2:uid="{00000000-000D-0000-FFFF-FFFF00000000}"/>
  </bookViews>
  <sheets>
    <sheet name="teams-americas" sheetId="2" r:id="rId1"/>
    <sheet name="team_stats-americas" sheetId="7" r:id="rId2"/>
    <sheet name="player_stats" sheetId="4" r:id="rId3"/>
    <sheet name="teams_americas" sheetId="8" r:id="rId4"/>
    <sheet name="get-players" sheetId="5" r:id="rId5"/>
  </sheets>
  <definedNames>
    <definedName name="DadosExternos_1" localSheetId="2" hidden="1">player_stats!$A$1:$V$53</definedName>
    <definedName name="DadosExternos_1" localSheetId="1" hidden="1">'team_stats-americas'!$A$1:$G$11</definedName>
    <definedName name="DadosExternos_1" localSheetId="3" hidden="1">teams_americas!$A$1:$G$11</definedName>
  </definedNames>
  <calcPr calcId="191029"/>
</workbook>
</file>

<file path=xl/calcChain.xml><?xml version="1.0" encoding="utf-8"?>
<calcChain xmlns="http://schemas.openxmlformats.org/spreadsheetml/2006/main">
  <c r="I83" i="2" l="1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11" i="2"/>
  <c r="I12" i="2"/>
  <c r="I13" i="2"/>
  <c r="I14" i="2"/>
  <c r="I15" i="2"/>
  <c r="H11" i="2"/>
  <c r="H12" i="2"/>
  <c r="H13" i="2"/>
  <c r="H14" i="2"/>
  <c r="H15" i="2"/>
  <c r="G11" i="2"/>
  <c r="G12" i="2"/>
  <c r="G13" i="2"/>
  <c r="G14" i="2"/>
  <c r="G15" i="2"/>
  <c r="F11" i="2"/>
  <c r="F12" i="2"/>
  <c r="F13" i="2"/>
  <c r="F14" i="2"/>
  <c r="F15" i="2"/>
  <c r="E11" i="2"/>
  <c r="E12" i="2"/>
  <c r="E13" i="2"/>
  <c r="E14" i="2"/>
  <c r="E15" i="2"/>
  <c r="Q11" i="2"/>
  <c r="Q15" i="2"/>
  <c r="N14" i="2"/>
  <c r="O13" i="2"/>
  <c r="P12" i="2"/>
  <c r="P32" i="2"/>
  <c r="Q31" i="2"/>
  <c r="N30" i="2"/>
  <c r="O29" i="2"/>
  <c r="P28" i="2"/>
  <c r="O49" i="2"/>
  <c r="P48" i="2"/>
  <c r="Q47" i="2"/>
  <c r="N46" i="2"/>
  <c r="O45" i="2"/>
  <c r="N66" i="2"/>
  <c r="O65" i="2"/>
  <c r="P64" i="2"/>
  <c r="Q63" i="2"/>
  <c r="N62" i="2"/>
  <c r="Q83" i="2"/>
  <c r="N82" i="2"/>
  <c r="O81" i="2"/>
  <c r="P80" i="2"/>
  <c r="Q79" i="2"/>
  <c r="G63" i="2"/>
  <c r="H64" i="2"/>
  <c r="I62" i="2"/>
  <c r="F65" i="2"/>
  <c r="G66" i="2"/>
  <c r="H49" i="2"/>
  <c r="I48" i="2"/>
  <c r="F47" i="2"/>
  <c r="G46" i="2"/>
  <c r="H45" i="2"/>
  <c r="I32" i="2"/>
  <c r="F31" i="2"/>
  <c r="G30" i="2"/>
  <c r="H29" i="2"/>
  <c r="I28" i="2"/>
  <c r="Q76" i="2"/>
  <c r="P76" i="2"/>
  <c r="O76" i="2"/>
  <c r="N76" i="2"/>
  <c r="M76" i="2"/>
  <c r="L76" i="2"/>
  <c r="F82" i="5"/>
  <c r="E82" i="5"/>
  <c r="D82" i="5"/>
  <c r="C82" i="5"/>
  <c r="B82" i="5"/>
  <c r="G81" i="5"/>
  <c r="A81" i="5"/>
  <c r="G80" i="5"/>
  <c r="A80" i="5"/>
  <c r="G79" i="5"/>
  <c r="A79" i="5"/>
  <c r="G78" i="5"/>
  <c r="A78" i="5"/>
  <c r="G77" i="5"/>
  <c r="A77" i="5"/>
  <c r="G74" i="5"/>
  <c r="F74" i="5"/>
  <c r="E74" i="5"/>
  <c r="D74" i="5"/>
  <c r="C74" i="5"/>
  <c r="B74" i="5"/>
  <c r="A74" i="5"/>
  <c r="N65" i="5"/>
  <c r="M65" i="5"/>
  <c r="L65" i="5"/>
  <c r="K65" i="5"/>
  <c r="J65" i="5"/>
  <c r="F65" i="5"/>
  <c r="E65" i="5"/>
  <c r="D65" i="5"/>
  <c r="C65" i="5"/>
  <c r="B65" i="5"/>
  <c r="O64" i="5"/>
  <c r="I64" i="5"/>
  <c r="G64" i="5"/>
  <c r="A64" i="5"/>
  <c r="O63" i="5"/>
  <c r="I63" i="5"/>
  <c r="G63" i="5"/>
  <c r="A63" i="5"/>
  <c r="O62" i="5"/>
  <c r="I62" i="5"/>
  <c r="G62" i="5"/>
  <c r="A62" i="5"/>
  <c r="O61" i="5"/>
  <c r="I61" i="5"/>
  <c r="G61" i="5"/>
  <c r="A61" i="5"/>
  <c r="O60" i="5"/>
  <c r="I60" i="5"/>
  <c r="G60" i="5"/>
  <c r="A60" i="5"/>
  <c r="O57" i="5"/>
  <c r="N57" i="5"/>
  <c r="M57" i="5"/>
  <c r="L57" i="5"/>
  <c r="K57" i="5"/>
  <c r="J57" i="5"/>
  <c r="I57" i="5"/>
  <c r="G57" i="5"/>
  <c r="F57" i="5"/>
  <c r="E57" i="5"/>
  <c r="D57" i="5"/>
  <c r="C57" i="5"/>
  <c r="B57" i="5"/>
  <c r="A57" i="5"/>
  <c r="N48" i="5"/>
  <c r="M48" i="5"/>
  <c r="L48" i="5"/>
  <c r="K48" i="5"/>
  <c r="J48" i="5"/>
  <c r="F48" i="5"/>
  <c r="E48" i="5"/>
  <c r="D48" i="5"/>
  <c r="C48" i="5"/>
  <c r="B48" i="5"/>
  <c r="O47" i="5"/>
  <c r="I47" i="5"/>
  <c r="G47" i="5"/>
  <c r="A47" i="5"/>
  <c r="O46" i="5"/>
  <c r="I46" i="5"/>
  <c r="G46" i="5"/>
  <c r="A46" i="5"/>
  <c r="O45" i="5"/>
  <c r="I45" i="5"/>
  <c r="G45" i="5"/>
  <c r="A45" i="5"/>
  <c r="O44" i="5"/>
  <c r="I44" i="5"/>
  <c r="G44" i="5"/>
  <c r="A44" i="5"/>
  <c r="O43" i="5"/>
  <c r="I43" i="5"/>
  <c r="G43" i="5"/>
  <c r="A43" i="5"/>
  <c r="O40" i="5"/>
  <c r="N40" i="5"/>
  <c r="M40" i="5"/>
  <c r="L40" i="5"/>
  <c r="K40" i="5"/>
  <c r="J40" i="5"/>
  <c r="I40" i="5"/>
  <c r="G40" i="5"/>
  <c r="F40" i="5"/>
  <c r="E40" i="5"/>
  <c r="D40" i="5"/>
  <c r="C40" i="5"/>
  <c r="B40" i="5"/>
  <c r="A40" i="5"/>
  <c r="N31" i="5"/>
  <c r="M31" i="5"/>
  <c r="L31" i="5"/>
  <c r="K31" i="5"/>
  <c r="J31" i="5"/>
  <c r="F31" i="5"/>
  <c r="E31" i="5"/>
  <c r="D31" i="5"/>
  <c r="C31" i="5"/>
  <c r="B31" i="5"/>
  <c r="O30" i="5"/>
  <c r="I30" i="5"/>
  <c r="G30" i="5"/>
  <c r="A30" i="5"/>
  <c r="O29" i="5"/>
  <c r="I29" i="5"/>
  <c r="G29" i="5"/>
  <c r="A29" i="5"/>
  <c r="O28" i="5"/>
  <c r="I28" i="5"/>
  <c r="G28" i="5"/>
  <c r="A28" i="5"/>
  <c r="O27" i="5"/>
  <c r="I27" i="5"/>
  <c r="G27" i="5"/>
  <c r="A27" i="5"/>
  <c r="O26" i="5"/>
  <c r="I26" i="5"/>
  <c r="G26" i="5"/>
  <c r="A26" i="5"/>
  <c r="O23" i="5"/>
  <c r="N23" i="5"/>
  <c r="M23" i="5"/>
  <c r="L23" i="5"/>
  <c r="K23" i="5"/>
  <c r="J23" i="5"/>
  <c r="I23" i="5"/>
  <c r="G23" i="5"/>
  <c r="F23" i="5"/>
  <c r="E23" i="5"/>
  <c r="D23" i="5"/>
  <c r="C23" i="5"/>
  <c r="B23" i="5"/>
  <c r="A23" i="5"/>
  <c r="N14" i="5"/>
  <c r="M14" i="5"/>
  <c r="L14" i="5"/>
  <c r="K14" i="5"/>
  <c r="J14" i="5"/>
  <c r="F14" i="5"/>
  <c r="E14" i="5"/>
  <c r="D14" i="5"/>
  <c r="C14" i="5"/>
  <c r="B14" i="5"/>
  <c r="O13" i="5"/>
  <c r="I13" i="5"/>
  <c r="G13" i="5"/>
  <c r="A13" i="5"/>
  <c r="O12" i="5"/>
  <c r="I12" i="5"/>
  <c r="G12" i="5"/>
  <c r="A12" i="5"/>
  <c r="O11" i="5"/>
  <c r="I11" i="5"/>
  <c r="G11" i="5"/>
  <c r="A11" i="5"/>
  <c r="O10" i="5"/>
  <c r="I10" i="5"/>
  <c r="G10" i="5"/>
  <c r="A10" i="5"/>
  <c r="O9" i="5"/>
  <c r="I9" i="5"/>
  <c r="G9" i="5"/>
  <c r="A9" i="5"/>
  <c r="O6" i="5"/>
  <c r="N6" i="5"/>
  <c r="M6" i="5"/>
  <c r="L6" i="5"/>
  <c r="K6" i="5"/>
  <c r="J6" i="5"/>
  <c r="I6" i="5"/>
  <c r="G6" i="5"/>
  <c r="F6" i="5"/>
  <c r="E6" i="5"/>
  <c r="D6" i="5"/>
  <c r="C6" i="5"/>
  <c r="B6" i="5"/>
  <c r="A6" i="5"/>
  <c r="Q59" i="2"/>
  <c r="P59" i="2"/>
  <c r="O59" i="2"/>
  <c r="N59" i="2"/>
  <c r="M59" i="2"/>
  <c r="L59" i="2"/>
  <c r="Q42" i="2"/>
  <c r="P42" i="2"/>
  <c r="O42" i="2"/>
  <c r="N42" i="2"/>
  <c r="M42" i="2"/>
  <c r="L42" i="2"/>
  <c r="Q25" i="2"/>
  <c r="P25" i="2"/>
  <c r="O25" i="2"/>
  <c r="N25" i="2"/>
  <c r="M25" i="2"/>
  <c r="L25" i="2"/>
  <c r="Q8" i="2"/>
  <c r="P8" i="2"/>
  <c r="O8" i="2"/>
  <c r="N8" i="2"/>
  <c r="M8" i="2"/>
  <c r="L8" i="2"/>
  <c r="I76" i="2"/>
  <c r="H76" i="2"/>
  <c r="G76" i="2"/>
  <c r="F76" i="2"/>
  <c r="E76" i="2"/>
  <c r="D76" i="2"/>
  <c r="I59" i="2"/>
  <c r="H59" i="2"/>
  <c r="G59" i="2"/>
  <c r="F59" i="2"/>
  <c r="E59" i="2"/>
  <c r="D59" i="2"/>
  <c r="I42" i="2"/>
  <c r="H42" i="2"/>
  <c r="G42" i="2"/>
  <c r="F42" i="2"/>
  <c r="E42" i="2"/>
  <c r="D42" i="2"/>
  <c r="I25" i="2"/>
  <c r="H25" i="2"/>
  <c r="G25" i="2"/>
  <c r="F25" i="2"/>
  <c r="E25" i="2"/>
  <c r="D25" i="2"/>
  <c r="I8" i="2"/>
  <c r="H8" i="2"/>
  <c r="G8" i="2"/>
  <c r="F8" i="2"/>
  <c r="E8" i="2"/>
  <c r="D8" i="2"/>
  <c r="G84" i="2" l="1"/>
  <c r="J81" i="2"/>
  <c r="J80" i="2"/>
  <c r="H84" i="2"/>
  <c r="F84" i="2"/>
  <c r="J82" i="2"/>
  <c r="J83" i="2"/>
  <c r="J79" i="2"/>
  <c r="E84" i="2"/>
  <c r="J76" i="2" s="1"/>
  <c r="I84" i="2"/>
  <c r="P11" i="2"/>
  <c r="P15" i="2"/>
  <c r="O32" i="2"/>
  <c r="F30" i="2"/>
  <c r="F46" i="2"/>
  <c r="F66" i="2"/>
  <c r="F63" i="2"/>
  <c r="M14" i="2"/>
  <c r="N29" i="2"/>
  <c r="M46" i="2"/>
  <c r="P63" i="2"/>
  <c r="N81" i="2"/>
  <c r="E31" i="2"/>
  <c r="E47" i="2"/>
  <c r="E65" i="2"/>
  <c r="Q14" i="2"/>
  <c r="P31" i="2"/>
  <c r="Q46" i="2"/>
  <c r="O64" i="2"/>
  <c r="M82" i="2"/>
  <c r="I31" i="2"/>
  <c r="I47" i="2"/>
  <c r="I65" i="2"/>
  <c r="P47" i="2"/>
  <c r="N65" i="2"/>
  <c r="Q82" i="2"/>
  <c r="G29" i="2"/>
  <c r="G45" i="2"/>
  <c r="G49" i="2"/>
  <c r="G64" i="2"/>
  <c r="O12" i="2"/>
  <c r="O28" i="2"/>
  <c r="N45" i="2"/>
  <c r="N49" i="2"/>
  <c r="P79" i="2"/>
  <c r="P83" i="2"/>
  <c r="H32" i="2"/>
  <c r="H48" i="2"/>
  <c r="H62" i="2"/>
  <c r="N13" i="2"/>
  <c r="M30" i="2"/>
  <c r="Q30" i="2"/>
  <c r="O48" i="2"/>
  <c r="Q66" i="2"/>
  <c r="F28" i="2"/>
  <c r="E29" i="2"/>
  <c r="I29" i="2"/>
  <c r="H30" i="2"/>
  <c r="G31" i="2"/>
  <c r="F32" i="2"/>
  <c r="E45" i="2"/>
  <c r="I45" i="2"/>
  <c r="H46" i="2"/>
  <c r="G47" i="2"/>
  <c r="F48" i="2"/>
  <c r="E49" i="2"/>
  <c r="I49" i="2"/>
  <c r="H66" i="2"/>
  <c r="G65" i="2"/>
  <c r="F62" i="2"/>
  <c r="E64" i="2"/>
  <c r="I64" i="2"/>
  <c r="H63" i="2"/>
  <c r="N11" i="2"/>
  <c r="M12" i="2"/>
  <c r="Q12" i="2"/>
  <c r="P13" i="2"/>
  <c r="O14" i="2"/>
  <c r="N15" i="2"/>
  <c r="M28" i="2"/>
  <c r="Q28" i="2"/>
  <c r="P29" i="2"/>
  <c r="O30" i="2"/>
  <c r="N31" i="2"/>
  <c r="M32" i="2"/>
  <c r="Q32" i="2"/>
  <c r="P45" i="2"/>
  <c r="O46" i="2"/>
  <c r="N47" i="2"/>
  <c r="M48" i="2"/>
  <c r="Q48" i="2"/>
  <c r="P49" i="2"/>
  <c r="O62" i="2"/>
  <c r="N63" i="2"/>
  <c r="M64" i="2"/>
  <c r="Q64" i="2"/>
  <c r="P65" i="2"/>
  <c r="O66" i="2"/>
  <c r="N79" i="2"/>
  <c r="M80" i="2"/>
  <c r="Q80" i="2"/>
  <c r="P81" i="2"/>
  <c r="O82" i="2"/>
  <c r="N83" i="2"/>
  <c r="H28" i="2"/>
  <c r="G28" i="2"/>
  <c r="F29" i="2"/>
  <c r="E30" i="2"/>
  <c r="I30" i="2"/>
  <c r="H31" i="2"/>
  <c r="G32" i="2"/>
  <c r="F45" i="2"/>
  <c r="E46" i="2"/>
  <c r="I46" i="2"/>
  <c r="H47" i="2"/>
  <c r="G48" i="2"/>
  <c r="F49" i="2"/>
  <c r="E66" i="2"/>
  <c r="I66" i="2"/>
  <c r="H65" i="2"/>
  <c r="G62" i="2"/>
  <c r="F64" i="2"/>
  <c r="E63" i="2"/>
  <c r="I63" i="2"/>
  <c r="O11" i="2"/>
  <c r="N12" i="2"/>
  <c r="M13" i="2"/>
  <c r="Q13" i="2"/>
  <c r="P14" i="2"/>
  <c r="O15" i="2"/>
  <c r="N28" i="2"/>
  <c r="M29" i="2"/>
  <c r="Q29" i="2"/>
  <c r="P30" i="2"/>
  <c r="O31" i="2"/>
  <c r="N32" i="2"/>
  <c r="M45" i="2"/>
  <c r="Q45" i="2"/>
  <c r="P46" i="2"/>
  <c r="O47" i="2"/>
  <c r="N48" i="2"/>
  <c r="M49" i="2"/>
  <c r="Q49" i="2"/>
  <c r="P62" i="2"/>
  <c r="O63" i="2"/>
  <c r="N64" i="2"/>
  <c r="M65" i="2"/>
  <c r="Q65" i="2"/>
  <c r="P66" i="2"/>
  <c r="O79" i="2"/>
  <c r="N80" i="2"/>
  <c r="M81" i="2"/>
  <c r="Q81" i="2"/>
  <c r="P82" i="2"/>
  <c r="O83" i="2"/>
  <c r="M62" i="2"/>
  <c r="Q62" i="2"/>
  <c r="M66" i="2"/>
  <c r="O80" i="2"/>
  <c r="E28" i="2"/>
  <c r="E32" i="2"/>
  <c r="E48" i="2"/>
  <c r="E62" i="2"/>
  <c r="M11" i="2"/>
  <c r="M15" i="2"/>
  <c r="M31" i="2"/>
  <c r="M47" i="2"/>
  <c r="M63" i="2"/>
  <c r="M79" i="2"/>
  <c r="M83" i="2"/>
  <c r="J13" i="2"/>
  <c r="J12" i="2"/>
  <c r="J14" i="2"/>
  <c r="G16" i="2"/>
  <c r="F16" i="2"/>
  <c r="E16" i="2"/>
  <c r="J8" i="2" s="1"/>
  <c r="J65" i="2" l="1"/>
  <c r="R46" i="2"/>
  <c r="Q67" i="2"/>
  <c r="P33" i="2"/>
  <c r="R47" i="2"/>
  <c r="P67" i="2"/>
  <c r="O16" i="2"/>
  <c r="R66" i="2"/>
  <c r="R80" i="2"/>
  <c r="R65" i="2"/>
  <c r="N33" i="2"/>
  <c r="R13" i="2"/>
  <c r="F33" i="2"/>
  <c r="J62" i="2"/>
  <c r="J63" i="2"/>
  <c r="I67" i="2"/>
  <c r="J47" i="2"/>
  <c r="I50" i="2"/>
  <c r="G50" i="2"/>
  <c r="E50" i="2"/>
  <c r="J42" i="2" s="1"/>
  <c r="H50" i="2"/>
  <c r="F50" i="2"/>
  <c r="J30" i="2"/>
  <c r="J31" i="2"/>
  <c r="R48" i="2"/>
  <c r="I33" i="2"/>
  <c r="R32" i="2"/>
  <c r="R29" i="2"/>
  <c r="R45" i="2"/>
  <c r="R12" i="2"/>
  <c r="J64" i="2"/>
  <c r="N84" i="2"/>
  <c r="J46" i="2"/>
  <c r="R63" i="2"/>
  <c r="E33" i="2"/>
  <c r="J25" i="2" s="1"/>
  <c r="R62" i="2"/>
  <c r="R49" i="2"/>
  <c r="Q50" i="2"/>
  <c r="J66" i="2"/>
  <c r="N67" i="2"/>
  <c r="F67" i="2"/>
  <c r="E67" i="2"/>
  <c r="J59" i="2" s="1"/>
  <c r="P50" i="2"/>
  <c r="N50" i="2"/>
  <c r="G67" i="2"/>
  <c r="R83" i="2"/>
  <c r="R31" i="2"/>
  <c r="O84" i="2"/>
  <c r="R64" i="2"/>
  <c r="R15" i="2"/>
  <c r="G33" i="2"/>
  <c r="J28" i="2"/>
  <c r="R79" i="2"/>
  <c r="M50" i="2"/>
  <c r="R42" i="2" s="1"/>
  <c r="R81" i="2"/>
  <c r="R14" i="2"/>
  <c r="R11" i="2"/>
  <c r="N16" i="2"/>
  <c r="J49" i="2"/>
  <c r="H33" i="2"/>
  <c r="P84" i="2"/>
  <c r="R82" i="2"/>
  <c r="M67" i="2"/>
  <c r="R59" i="2" s="1"/>
  <c r="M16" i="2"/>
  <c r="R8" i="2" s="1"/>
  <c r="J48" i="2"/>
  <c r="Q84" i="2"/>
  <c r="O67" i="2"/>
  <c r="Q33" i="2"/>
  <c r="P16" i="2"/>
  <c r="J45" i="2"/>
  <c r="O50" i="2"/>
  <c r="R30" i="2"/>
  <c r="O33" i="2"/>
  <c r="M84" i="2"/>
  <c r="R76" i="2" s="1"/>
  <c r="R28" i="2"/>
  <c r="M33" i="2"/>
  <c r="R25" i="2" s="1"/>
  <c r="Q16" i="2"/>
  <c r="H67" i="2"/>
  <c r="J32" i="2"/>
  <c r="J29" i="2"/>
  <c r="J15" i="2"/>
  <c r="H16" i="2"/>
  <c r="I16" i="2" l="1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9478F-2259-4409-8D7D-BC2FD643AD54}" keepAlive="1" name="Consulta - player_stats" description="Conexão com a consulta 'player_stats' na pasta de trabalho." type="5" refreshedVersion="8" background="1" saveData="1">
    <dbPr connection="Provider=Microsoft.Mashup.OleDb.1;Data Source=$Workbook$;Location=player_stats;Extended Properties=&quot;&quot;" command="SELECT * FROM [player_stats]"/>
  </connection>
  <connection id="2" xr16:uid="{B99CD371-B629-40EA-86E6-C2D2452BC2DD}" keepAlive="1" name="Consulta - team_stats-americas" description="Conexão com a consulta 'team_stats-americas' na pasta de trabalho." type="5" refreshedVersion="8" background="1" saveData="1">
    <dbPr connection="Provider=Microsoft.Mashup.OleDb.1;Data Source=$Workbook$;Location=team_stats-americas;Extended Properties=&quot;&quot;" command="SELECT * FROM [team_stats-americas]"/>
  </connection>
  <connection id="3" xr16:uid="{0A4BCC35-9E8D-4BF0-8E48-DC9E645C7136}" keepAlive="1" name="Consulta - teams_americas" description="Conexão com a consulta 'teams_americas' na pasta de trabalho." type="5" refreshedVersion="8" background="1" saveData="1">
    <dbPr connection="Provider=Microsoft.Mashup.OleDb.1;Data Source=$Workbook$;Location=teams_americas;Extended Properties=&quot;&quot;" command="SELECT * FROM [teams_americas]"/>
  </connection>
</connections>
</file>

<file path=xl/sharedStrings.xml><?xml version="1.0" encoding="utf-8"?>
<sst xmlns="http://schemas.openxmlformats.org/spreadsheetml/2006/main" count="688" uniqueCount="185">
  <si>
    <t>ACS</t>
  </si>
  <si>
    <t>KAST</t>
  </si>
  <si>
    <t>RND</t>
  </si>
  <si>
    <t>Players</t>
  </si>
  <si>
    <t>Rating</t>
  </si>
  <si>
    <t>MAP</t>
  </si>
  <si>
    <t>WINS</t>
  </si>
  <si>
    <t>LOSS</t>
  </si>
  <si>
    <t>TIES</t>
  </si>
  <si>
    <t>M.Total</t>
  </si>
  <si>
    <t>S.MAPS</t>
  </si>
  <si>
    <t>Players RATING</t>
  </si>
  <si>
    <t>ADR</t>
  </si>
  <si>
    <t>FKPR</t>
  </si>
  <si>
    <t>FDPR</t>
  </si>
  <si>
    <t>CL%</t>
  </si>
  <si>
    <t>HS%</t>
  </si>
  <si>
    <t>médias</t>
  </si>
  <si>
    <t>LOUD</t>
  </si>
  <si>
    <t>FURIA</t>
  </si>
  <si>
    <t>saadhak</t>
  </si>
  <si>
    <t>tuyz</t>
  </si>
  <si>
    <t>cauanzin</t>
  </si>
  <si>
    <t>Less</t>
  </si>
  <si>
    <t>aspas</t>
  </si>
  <si>
    <t>Player</t>
  </si>
  <si>
    <t>Agents</t>
  </si>
  <si>
    <t>Rnd</t>
  </si>
  <si>
    <t>R</t>
  </si>
  <si>
    <t>K:D</t>
  </si>
  <si>
    <t>KPR</t>
  </si>
  <si>
    <t>APR</t>
  </si>
  <si>
    <t>CL</t>
  </si>
  <si>
    <t>KMax</t>
  </si>
  <si>
    <t>K</t>
  </si>
  <si>
    <t>D</t>
  </si>
  <si>
    <t>A</t>
  </si>
  <si>
    <t>FK</t>
  </si>
  <si>
    <t>FD</t>
  </si>
  <si>
    <t>(+2)</t>
  </si>
  <si>
    <t>(+1)</t>
  </si>
  <si>
    <t>(+3)</t>
  </si>
  <si>
    <t>(+4)</t>
  </si>
  <si>
    <t>0/21</t>
  </si>
  <si>
    <t>0/19</t>
  </si>
  <si>
    <t/>
  </si>
  <si>
    <t>2/26</t>
  </si>
  <si>
    <t>7/32</t>
  </si>
  <si>
    <t>6/26</t>
  </si>
  <si>
    <t>6/28</t>
  </si>
  <si>
    <t>5/29</t>
  </si>
  <si>
    <t>7/28</t>
  </si>
  <si>
    <t>7/24</t>
  </si>
  <si>
    <t>4/30</t>
  </si>
  <si>
    <t>7/44</t>
  </si>
  <si>
    <t>8/34</t>
  </si>
  <si>
    <t>6/30</t>
  </si>
  <si>
    <t>4/21</t>
  </si>
  <si>
    <t>3/23</t>
  </si>
  <si>
    <t>5/20</t>
  </si>
  <si>
    <t>6/31</t>
  </si>
  <si>
    <t>Team</t>
  </si>
  <si>
    <t>Wins</t>
  </si>
  <si>
    <t>Loss</t>
  </si>
  <si>
    <t>Ties</t>
  </si>
  <si>
    <t>Δ</t>
  </si>
  <si>
    <t>LOUD Brazil</t>
  </si>
  <si>
    <t>128/102</t>
  </si>
  <si>
    <t>Leviatán Chile</t>
  </si>
  <si>
    <t>118/88</t>
  </si>
  <si>
    <t>Cloud9 United States</t>
  </si>
  <si>
    <t>115/101</t>
  </si>
  <si>
    <t>FURIA Brazil</t>
  </si>
  <si>
    <t>111/106</t>
  </si>
  <si>
    <t>100 Thieves United States</t>
  </si>
  <si>
    <t>112/109</t>
  </si>
  <si>
    <t>Sentinels United States</t>
  </si>
  <si>
    <t>138/144</t>
  </si>
  <si>
    <t>MIBR Brazil</t>
  </si>
  <si>
    <t>126/165</t>
  </si>
  <si>
    <t>NRG Esports United States</t>
  </si>
  <si>
    <t>110/115</t>
  </si>
  <si>
    <t>Evil Geniuses United States</t>
  </si>
  <si>
    <t>107/118</t>
  </si>
  <si>
    <t>KRÜ Esports Chile</t>
  </si>
  <si>
    <t>112/129</t>
  </si>
  <si>
    <t>Asuna</t>
  </si>
  <si>
    <t>stellar</t>
  </si>
  <si>
    <t>Derrek</t>
  </si>
  <si>
    <t>bang</t>
  </si>
  <si>
    <t>Cryocells</t>
  </si>
  <si>
    <t>Partner</t>
  </si>
  <si>
    <t>Cloud9</t>
  </si>
  <si>
    <t>Zellsis</t>
  </si>
  <si>
    <t>qpert</t>
  </si>
  <si>
    <t>Xeppaa</t>
  </si>
  <si>
    <t>leaf</t>
  </si>
  <si>
    <t>jakee</t>
  </si>
  <si>
    <t>runi</t>
  </si>
  <si>
    <t>Boostio</t>
  </si>
  <si>
    <t>C0M</t>
  </si>
  <si>
    <t>BcJ</t>
  </si>
  <si>
    <t>jawgemo</t>
  </si>
  <si>
    <t>Ethan</t>
  </si>
  <si>
    <t>Demon1</t>
  </si>
  <si>
    <t>mwzera</t>
  </si>
  <si>
    <t>Quick</t>
  </si>
  <si>
    <t>Khalil</t>
  </si>
  <si>
    <t>Mazin</t>
  </si>
  <si>
    <t>dgzin</t>
  </si>
  <si>
    <t>KRÜ</t>
  </si>
  <si>
    <t>NagZ</t>
  </si>
  <si>
    <t>Melser</t>
  </si>
  <si>
    <t>keznit</t>
  </si>
  <si>
    <t>Klaus</t>
  </si>
  <si>
    <t>DaveeyS</t>
  </si>
  <si>
    <t>Leviatán</t>
  </si>
  <si>
    <t>nzr</t>
  </si>
  <si>
    <t>Tacolilla</t>
  </si>
  <si>
    <t>Mazino</t>
  </si>
  <si>
    <t>kiNgg</t>
  </si>
  <si>
    <t>Shyy</t>
  </si>
  <si>
    <t>MIBR</t>
  </si>
  <si>
    <t>frz</t>
  </si>
  <si>
    <t>murizzz</t>
  </si>
  <si>
    <t>RgLMeister</t>
  </si>
  <si>
    <t>heat</t>
  </si>
  <si>
    <t>jzz</t>
  </si>
  <si>
    <t>NRG</t>
  </si>
  <si>
    <t>crashies</t>
  </si>
  <si>
    <t>ardiis</t>
  </si>
  <si>
    <t>Victor</t>
  </si>
  <si>
    <t>FNS</t>
  </si>
  <si>
    <t>s0m</t>
  </si>
  <si>
    <t>100Thieves</t>
  </si>
  <si>
    <t>NRGEsports</t>
  </si>
  <si>
    <t>EvilGeniuses</t>
  </si>
  <si>
    <t>KRÜEsports</t>
  </si>
  <si>
    <t>Player1</t>
  </si>
  <si>
    <t>Player2</t>
  </si>
  <si>
    <t>Player3</t>
  </si>
  <si>
    <t>Player4</t>
  </si>
  <si>
    <t>Player5</t>
  </si>
  <si>
    <t>Player6</t>
  </si>
  <si>
    <t>Sentinels</t>
  </si>
  <si>
    <t>TenZ</t>
  </si>
  <si>
    <t>Marved</t>
  </si>
  <si>
    <t>Sacy</t>
  </si>
  <si>
    <t>pANcada</t>
  </si>
  <si>
    <t>dephh</t>
  </si>
  <si>
    <t>zekken</t>
  </si>
  <si>
    <t>2/10</t>
  </si>
  <si>
    <t>6/20</t>
  </si>
  <si>
    <t>4/25</t>
  </si>
  <si>
    <t>4/14</t>
  </si>
  <si>
    <t>0/10</t>
  </si>
  <si>
    <t>4/18</t>
  </si>
  <si>
    <t>3/28</t>
  </si>
  <si>
    <t>4/17</t>
  </si>
  <si>
    <t>0/15</t>
  </si>
  <si>
    <t>3/13</t>
  </si>
  <si>
    <t>2/12</t>
  </si>
  <si>
    <t>2/14</t>
  </si>
  <si>
    <t>6/15</t>
  </si>
  <si>
    <t>1/22</t>
  </si>
  <si>
    <t>6/34</t>
  </si>
  <si>
    <t>3/16</t>
  </si>
  <si>
    <t>3/21</t>
  </si>
  <si>
    <t>3/22</t>
  </si>
  <si>
    <t>3/32</t>
  </si>
  <si>
    <t>4/40</t>
  </si>
  <si>
    <t>7/29</t>
  </si>
  <si>
    <t>1/17</t>
  </si>
  <si>
    <t>7/48</t>
  </si>
  <si>
    <t>5/44</t>
  </si>
  <si>
    <t>4/46</t>
  </si>
  <si>
    <t>3/17</t>
  </si>
  <si>
    <t>2/16</t>
  </si>
  <si>
    <t>3/29</t>
  </si>
  <si>
    <t>SEN</t>
  </si>
  <si>
    <t>LEV</t>
  </si>
  <si>
    <t>FUR</t>
  </si>
  <si>
    <t>C9</t>
  </si>
  <si>
    <t>100T</t>
  </si>
  <si>
    <t>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</si>
</sst>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33" borderId="0" xfId="0" applyFill="1"/>
    <xf numFmtId="0" fontId="0" fillId="0" borderId="17" xfId="0" applyBorder="1"/>
    <xf numFmtId="0" fontId="0" fillId="0" borderId="16" xfId="0" applyBorder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33" borderId="0" xfId="0" applyFill="1" applyBorder="1"/>
    <xf numFmtId="0" fontId="0" fillId="34" borderId="0" xfId="0" applyFill="1" applyBorder="1"/>
    <xf numFmtId="0" fontId="0" fillId="34" borderId="0" xfId="0" applyFill="1"/>
    <xf numFmtId="0" fontId="0" fillId="34" borderId="21" xfId="0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0" fillId="34" borderId="11" xfId="0" applyFill="1" applyBorder="1" applyAlignment="1"/>
    <xf numFmtId="0" fontId="0" fillId="0" borderId="0" xfId="0" applyNumberFormat="1"/>
    <xf numFmtId="170" fontId="0" fillId="0" borderId="0" xfId="0" applyNumberFormat="1"/>
    <xf numFmtId="0" fontId="0" fillId="34" borderId="22" xfId="0" applyFill="1" applyBorder="1" applyAlignment="1">
      <alignment horizontal="center" vertical="center"/>
    </xf>
    <xf numFmtId="170" fontId="0" fillId="34" borderId="22" xfId="0" applyNumberForma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34" borderId="11" xfId="0" applyNumberFormat="1" applyFill="1" applyBorder="1" applyAlignment="1"/>
    <xf numFmtId="2" fontId="0" fillId="34" borderId="23" xfId="0" applyNumberFormat="1" applyFill="1" applyBorder="1" applyAlignment="1">
      <alignment horizontal="center" vertical="center"/>
    </xf>
    <xf numFmtId="1" fontId="0" fillId="34" borderId="11" xfId="0" applyNumberFormat="1" applyFill="1" applyBorder="1" applyAlignment="1"/>
    <xf numFmtId="9" fontId="0" fillId="0" borderId="0" xfId="42" applyFont="1"/>
    <xf numFmtId="9" fontId="0" fillId="34" borderId="11" xfId="42" applyFont="1" applyFill="1" applyBorder="1" applyAlignment="1"/>
    <xf numFmtId="9" fontId="0" fillId="0" borderId="0" xfId="42" applyNumberFormat="1" applyFont="1"/>
    <xf numFmtId="9" fontId="0" fillId="34" borderId="0" xfId="0" applyNumberFormat="1" applyFill="1"/>
    <xf numFmtId="1" fontId="0" fillId="34" borderId="23" xfId="0" applyNumberFormat="1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9"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d/m;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0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87F5CDA-6EF6-46F0-86E8-E2F8FD23684E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Wins" tableColumnId="2"/>
      <queryTableField id="3" name="Loss" tableColumnId="3"/>
      <queryTableField id="4" name="Ties" tableColumnId="4"/>
      <queryTableField id="5" name="MAP" tableColumnId="5"/>
      <queryTableField id="6" name="RND" tableColumnId="6"/>
      <queryTableField id="7" name="Δ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44E627E-C0AD-441D-AE19-06D3DDF5CF86}" autoFormatId="16" applyNumberFormats="0" applyBorderFormats="0" applyFontFormats="0" applyPatternFormats="0" applyAlignmentFormats="0" applyWidthHeightFormats="0">
  <queryTableRefresh nextId="30">
    <queryTableFields count="22">
      <queryTableField id="26" name="Player" tableColumnId="24"/>
      <queryTableField id="27" name="Team" tableColumnId="25"/>
      <queryTableField id="2" name="Agents" tableColumnId="2"/>
      <queryTableField id="3" name="Rnd" tableColumnId="3"/>
      <queryTableField id="4" name="R" tableColumnId="4"/>
      <queryTableField id="5" name="ACS" tableColumnId="5"/>
      <queryTableField id="6" name="K:D" tableColumnId="6"/>
      <queryTableField id="7" name="KAST" tableColumnId="7"/>
      <queryTableField id="8" name="ADR" tableColumnId="8"/>
      <queryTableField id="9" name="KPR" tableColumnId="9"/>
      <queryTableField id="10" name="APR" tableColumnId="10"/>
      <queryTableField id="11" name="FKPR" tableColumnId="11"/>
      <queryTableField id="12" name="FDPR" tableColumnId="12"/>
      <queryTableField id="13" name="HS%" tableColumnId="13"/>
      <queryTableField id="14" name="CL%" tableColumnId="14"/>
      <queryTableField id="15" name="CL" tableColumnId="15"/>
      <queryTableField id="16" name="KMax" tableColumnId="16"/>
      <queryTableField id="17" name="K" tableColumnId="17"/>
      <queryTableField id="18" name="D" tableColumnId="18"/>
      <queryTableField id="19" name="A" tableColumnId="19"/>
      <queryTableField id="20" name="FK" tableColumnId="20"/>
      <queryTableField id="21" name="FD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DB151D6-CB00-4C8E-9955-8F45F7F5D860}" autoFormatId="16" applyNumberFormats="0" applyBorderFormats="0" applyFontFormats="0" applyPatternFormats="0" applyAlignmentFormats="0" applyWidthHeightFormats="0">
  <queryTableRefresh nextId="17">
    <queryTableFields count="7">
      <queryTableField id="10" name="Team" tableColumnId="10"/>
      <queryTableField id="11" name="Player1" tableColumnId="11"/>
      <queryTableField id="12" name="Player2" tableColumnId="12"/>
      <queryTableField id="13" name="Player3" tableColumnId="13"/>
      <queryTableField id="14" name="Player4" tableColumnId="14"/>
      <queryTableField id="15" name="Player5" tableColumnId="15"/>
      <queryTableField id="16" name="Player6" tableColumnId="16"/>
    </queryTableFields>
    <queryTableDeletedFields count="1">
      <deletedField name="Column2.8"/>
    </queryTableDeletedFields>
  </queryTableRefresh>
</queryTable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ayers" displayName="players" ref="D10:J15" totalsRowShown="0">
  <autoFilter ref="D10:J15" xr:uid="{00000000-0009-0000-0100-000003000000}"/>
  <tableColumns count="7">
    <tableColumn id="1" xr3:uid="{00000000-0010-0000-0100-000001000000}" name="Players" dataDxfId="75"/>
    <tableColumn id="2" xr3:uid="{00000000-0010-0000-0100-000002000000}" name="Rating" dataDxfId="74">
      <calculatedColumnFormula>VLOOKUP(D11,player_stats[#All],5,FALSE)</calculatedColumnFormula>
    </tableColumn>
    <tableColumn id="3" xr3:uid="{00000000-0010-0000-0100-000003000000}" name="ACS" dataDxfId="73">
      <calculatedColumnFormula>VLOOKUP(D11,player_stats[#All],6,FALSE)</calculatedColumnFormula>
    </tableColumn>
    <tableColumn id="5" xr3:uid="{2363F034-9346-4B93-93BB-7533B6D34A61}" name="KAST" dataCellStyle="Porcentagem">
      <calculatedColumnFormula>VLOOKUP(D11,player_stats[#All],8,FALSE)</calculatedColumnFormula>
    </tableColumn>
    <tableColumn id="6" xr3:uid="{AD793F01-EAD9-46ED-9594-896B23CEF011}" name="HS%" dataCellStyle="Porcentagem">
      <calculatedColumnFormula>VLOOKUP(D11,player_stats[#All],14,FALSE)</calculatedColumnFormula>
    </tableColumn>
    <tableColumn id="7" xr3:uid="{E36FFFD6-CF59-49D0-9F63-D270EB4D159D}" name="CL%" dataCellStyle="Porcentagem">
      <calculatedColumnFormula>VLOOKUP(D11,player_stats[#All],15,FALSE)</calculatedColumnFormula>
    </tableColumn>
    <tableColumn id="4" xr3:uid="{00000000-0010-0000-0100-000004000000}" name="M.Total" dataDxfId="2">
      <calculatedColumnFormula>AVERAGE(players[[#This Row],[Rating]],players[[#This Row],[ACS]],players[[#This Row],[KAST]],players[[#This Row],[HS%]],players[[#This Row],[CL%]])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7045D1A-1FAD-4CE2-A811-E31CE0B3A237}" name="team2755" displayName="team2755" ref="D75:J76" totalsRowShown="0" headerRowDxfId="233" tableBorderDxfId="232">
  <autoFilter ref="D75:J76" xr:uid="{77045D1A-1FAD-4CE2-A811-E31CE0B3A237}"/>
  <tableColumns count="7">
    <tableColumn id="1" xr3:uid="{66856128-54FE-4050-BC8A-DA315F09D512}" name="WINS" dataDxfId="231">
      <calculatedColumnFormula>VLOOKUP(D71,team_stats_americas[#All],2,FALSE)</calculatedColumnFormula>
    </tableColumn>
    <tableColumn id="2" xr3:uid="{DAE92573-6A76-417F-900D-30DFDA27EAA2}" name="LOSS" dataDxfId="230">
      <calculatedColumnFormula>VLOOKUP(D71,team_stats_americas[#All],3,FALSE)</calculatedColumnFormula>
    </tableColumn>
    <tableColumn id="3" xr3:uid="{142EDD29-BDFC-44F3-ACC3-58317CF4B785}" name="TIES" dataDxfId="229">
      <calculatedColumnFormula>VLOOKUP(D71,team_stats_americas[#All],4,FALSE)</calculatedColumnFormula>
    </tableColumn>
    <tableColumn id="4" xr3:uid="{CCE275E5-5BEC-4278-A498-404F49506C05}" name="MAP" dataDxfId="228">
      <calculatedColumnFormula>VLOOKUP(D71,team_stats_americas[#All],5,FALSE)</calculatedColumnFormula>
    </tableColumn>
    <tableColumn id="5" xr3:uid="{120EBBC6-1FBD-46C8-8FE9-96C58E755356}" name="RND" dataDxfId="227">
      <calculatedColumnFormula>VLOOKUP(D71,team_stats_americas[#All],6,FALSE)</calculatedColumnFormula>
    </tableColumn>
    <tableColumn id="7" xr3:uid="{813A0DE5-9A76-4862-9B1D-282797C82E8E}" name="S.MAPS" dataDxfId="226">
      <calculatedColumnFormula>VLOOKUP(D71,team_stats_americas[#All],7,FALSE)</calculatedColumnFormula>
    </tableColumn>
    <tableColumn id="6" xr3:uid="{0B586ED3-7C05-46BB-AFA5-05E53E39D302}" name="Players RATING" dataDxfId="225">
      <calculatedColumnFormula>E84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955D2BA-E884-48A5-83EA-DADC9FBAC80C}" name="players56" displayName="players56" ref="L10:R15" totalsRowShown="0">
  <autoFilter ref="L10:R15" xr:uid="{C955D2BA-E884-48A5-83EA-DADC9FBAC80C}"/>
  <tableColumns count="7">
    <tableColumn id="1" xr3:uid="{E40AC739-A0BC-4BDB-A10C-F882549CC40A}" name="Players" dataDxfId="37"/>
    <tableColumn id="2" xr3:uid="{785F4273-8050-4589-BBC7-28B33A07526B}" name="Rating" dataDxfId="60">
      <calculatedColumnFormula>VLOOKUP(L11,player_stats[#All],5,FALSE)</calculatedColumnFormula>
    </tableColumn>
    <tableColumn id="3" xr3:uid="{FF33D511-9510-4ED6-95B2-184208C2A2F3}" name="ACS" dataDxfId="59">
      <calculatedColumnFormula>VLOOKUP(L11,player_stats[#All],6,FALSE)</calculatedColumnFormula>
    </tableColumn>
    <tableColumn id="5" xr3:uid="{F351E745-A582-4598-8754-3D8F80EE1763}" name="KAST" dataDxfId="58" dataCellStyle="Porcentagem">
      <calculatedColumnFormula>VLOOKUP(L11,player_stats[#All],8,FALSE)</calculatedColumnFormula>
    </tableColumn>
    <tableColumn id="6" xr3:uid="{5714F816-130D-431A-86CE-7AD25B18DB2F}" name="HS%" dataDxfId="36" dataCellStyle="Porcentagem">
      <calculatedColumnFormula>VLOOKUP(L11,player_stats[#All],14,FALSE)</calculatedColumnFormula>
    </tableColumn>
    <tableColumn id="7" xr3:uid="{3F677204-2B96-404B-8765-954369F77D84}" name="CL%" dataCellStyle="Porcentagem">
      <calculatedColumnFormula>VLOOKUP(L11,player_stats[#All],15,FALSE)</calculatedColumnFormula>
    </tableColumn>
    <tableColumn id="4" xr3:uid="{9B7673D9-E8A1-4D08-A1D2-FB5F9A324324}" name="M.Total" dataDxfId="35">
      <calculatedColumnFormula>AVERAGE(players56[[#This Row],[Rating]],players56[[#This Row],[ACS]],players56[[#This Row],[KAST]],players56[[#This Row],[HS%]],players56[[#This Row],[CL%]])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F904FEC-2287-4F32-937C-2B45FBC7AA5E}" name="team57" displayName="team57" ref="L7:R8" totalsRowShown="0" headerRowDxfId="224" dataDxfId="223" tableBorderDxfId="222">
  <autoFilter ref="L7:R8" xr:uid="{9F904FEC-2287-4F32-937C-2B45FBC7AA5E}"/>
  <tableColumns count="7">
    <tableColumn id="1" xr3:uid="{061C6E98-D6E0-45DC-9603-DCF2169C0F21}" name="WINS" dataDxfId="221">
      <calculatedColumnFormula>VLOOKUP(L3,team_stats_americas[#All],2,FALSE)</calculatedColumnFormula>
    </tableColumn>
    <tableColumn id="2" xr3:uid="{1C0DBF4B-89B2-4B6D-A79A-7C6771C2BEAD}" name="LOSS" dataDxfId="220">
      <calculatedColumnFormula>VLOOKUP(L3,team_stats_americas[#All],3,FALSE)</calculatedColumnFormula>
    </tableColumn>
    <tableColumn id="3" xr3:uid="{B0D11501-128B-46B1-8EFA-49F0791C5927}" name="TIES" dataDxfId="219">
      <calculatedColumnFormula>VLOOKUP(L3,team_stats_americas[#All],4,FALSE)</calculatedColumnFormula>
    </tableColumn>
    <tableColumn id="4" xr3:uid="{FFAA6EBB-220C-4A20-B7B9-2F8B8AC3554C}" name="MAP" dataDxfId="218">
      <calculatedColumnFormula>VLOOKUP(L3,team_stats_americas[#All],5,FALSE)</calculatedColumnFormula>
    </tableColumn>
    <tableColumn id="5" xr3:uid="{B0C1238A-3CF2-4DF2-950E-A34DF433B016}" name="RND" dataDxfId="217">
      <calculatedColumnFormula>VLOOKUP(L3,team_stats_americas[#All],6,FALSE)</calculatedColumnFormula>
    </tableColumn>
    <tableColumn id="7" xr3:uid="{8A79E425-1AC8-426D-B1CD-4C77EDA1C315}" name="S.MAPS" dataDxfId="216">
      <calculatedColumnFormula>VLOOKUP(L3,team_stats_americas[#All],7,FALSE)</calculatedColumnFormula>
    </tableColumn>
    <tableColumn id="6" xr3:uid="{D79DB217-D70C-4B77-86A3-03B99CA90559}" name="Players RATING" dataDxfId="215">
      <calculatedColumnFormula>M16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0B0F539-F6FC-4751-A1EF-F07035D8558F}" name="players2658" displayName="players2658" ref="L27:R32" totalsRowShown="0">
  <autoFilter ref="L27:R32" xr:uid="{C0B0F539-F6FC-4751-A1EF-F07035D8558F}"/>
  <tableColumns count="7">
    <tableColumn id="1" xr3:uid="{A0435F85-D338-4C75-85BF-E9EF85679A83}" name="Players" dataDxfId="34"/>
    <tableColumn id="2" xr3:uid="{98B28923-7D20-4489-90F6-40DBDE15B295}" name="Rating" dataDxfId="57">
      <calculatedColumnFormula>VLOOKUP(L28,player_stats[#All],5,FALSE)</calculatedColumnFormula>
    </tableColumn>
    <tableColumn id="3" xr3:uid="{B2885C91-91D3-4F45-849B-9E107FAE3E36}" name="ACS" dataDxfId="56">
      <calculatedColumnFormula>VLOOKUP(L28,player_stats[#All],6,FALSE)</calculatedColumnFormula>
    </tableColumn>
    <tableColumn id="5" xr3:uid="{5D134A35-EBE4-47D8-936B-8C854F37BA6F}" name="KAST" dataDxfId="55" dataCellStyle="Porcentagem">
      <calculatedColumnFormula>VLOOKUP(L28,player_stats[#All],8,FALSE)</calculatedColumnFormula>
    </tableColumn>
    <tableColumn id="6" xr3:uid="{E6ED0958-997F-4C59-BD09-C8FA6F6D3268}" name="HS%" dataDxfId="33" dataCellStyle="Porcentagem">
      <calculatedColumnFormula>VLOOKUP(L28,player_stats[#All],14,FALSE)</calculatedColumnFormula>
    </tableColumn>
    <tableColumn id="7" xr3:uid="{D11EF0CC-7AE0-4E76-88E2-2F2511985BC1}" name="CL%" dataCellStyle="Porcentagem">
      <calculatedColumnFormula>VLOOKUP(L28,player_stats[#All],15,FALSE)</calculatedColumnFormula>
    </tableColumn>
    <tableColumn id="4" xr3:uid="{5A1B77B0-4EC9-4BF4-AFB7-9FE0BF2FC6D5}" name="M.Total" dataDxfId="32">
      <calculatedColumnFormula>AVERAGE(players2658[[#This Row],[Rating]],players2658[[#This Row],[ACS]],players2658[[#This Row],[KAST]],players2658[[#This Row],[HS%]],players2658[[#This Row],[CL%]])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68309DB-6830-479D-BC2F-DB7C05E00989}" name="team2759" displayName="team2759" ref="L24:R25" totalsRowShown="0" headerRowDxfId="214" tableBorderDxfId="213">
  <autoFilter ref="L24:R25" xr:uid="{568309DB-6830-479D-BC2F-DB7C05E00989}"/>
  <tableColumns count="7">
    <tableColumn id="1" xr3:uid="{ADD7FE35-EFC4-4DC2-8949-D48BC45747A6}" name="WINS" dataDxfId="212">
      <calculatedColumnFormula>VLOOKUP(L20,team_stats_americas[#All],2,FALSE)</calculatedColumnFormula>
    </tableColumn>
    <tableColumn id="2" xr3:uid="{FF5F40F7-FC62-4D68-BB28-91D0E8631515}" name="LOSS" dataDxfId="211">
      <calculatedColumnFormula>VLOOKUP(L20,team_stats_americas[#All],3,FALSE)</calculatedColumnFormula>
    </tableColumn>
    <tableColumn id="3" xr3:uid="{12225825-1DED-4545-92D4-64F70548C86F}" name="TIES" dataDxfId="210">
      <calculatedColumnFormula>VLOOKUP(L20,team_stats_americas[#All],4,FALSE)</calculatedColumnFormula>
    </tableColumn>
    <tableColumn id="4" xr3:uid="{335F8C6A-6EB6-4953-A0BE-6760651400A2}" name="MAP" dataDxfId="209">
      <calculatedColumnFormula>VLOOKUP(L20,team_stats_americas[#All],5,FALSE)</calculatedColumnFormula>
    </tableColumn>
    <tableColumn id="5" xr3:uid="{F1A5225A-4313-44AB-8A6D-74FBCA6CDB87}" name="RND" dataDxfId="208">
      <calculatedColumnFormula>VLOOKUP(L20,team_stats_americas[#All],6,FALSE)</calculatedColumnFormula>
    </tableColumn>
    <tableColumn id="7" xr3:uid="{54205421-93EF-44D2-8074-8F12B703F48C}" name="S.MAPS" dataDxfId="207">
      <calculatedColumnFormula>VLOOKUP(L20,team_stats_americas[#All],7,FALSE)</calculatedColumnFormula>
    </tableColumn>
    <tableColumn id="6" xr3:uid="{15D348CB-97E3-4B71-989F-265BD479278C}" name="Players RATING" dataDxfId="206">
      <calculatedColumnFormula>M33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4C032BE-D57A-4101-94B8-B9CD7C0021A9}" name="players265060" displayName="players265060" ref="L44:R49" totalsRowShown="0">
  <autoFilter ref="L44:R49" xr:uid="{D4C032BE-D57A-4101-94B8-B9CD7C0021A9}"/>
  <tableColumns count="7">
    <tableColumn id="1" xr3:uid="{CCCC92E5-46C7-486A-9987-5F6CF7182652}" name="Players" dataDxfId="29"/>
    <tableColumn id="2" xr3:uid="{302A72AE-756F-412B-8816-0F017D9A161F}" name="Rating" dataDxfId="54">
      <calculatedColumnFormula>VLOOKUP(L45,player_stats[#All],5,FALSE)</calculatedColumnFormula>
    </tableColumn>
    <tableColumn id="3" xr3:uid="{877A69D4-CFC7-48F5-BE3A-7B85BD0ED911}" name="ACS" dataDxfId="53">
      <calculatedColumnFormula>VLOOKUP(L45,player_stats[#All],6,FALSE)</calculatedColumnFormula>
    </tableColumn>
    <tableColumn id="5" xr3:uid="{8605C711-5A28-4441-A297-E405C6AD4F1B}" name="KAST" dataDxfId="52" dataCellStyle="Porcentagem">
      <calculatedColumnFormula>VLOOKUP(L45,player_stats[#All],8,FALSE)</calculatedColumnFormula>
    </tableColumn>
    <tableColumn id="6" xr3:uid="{FD6CF125-3B6F-4C61-9E64-A7A504FE1AF1}" name="HS%" dataDxfId="31" dataCellStyle="Porcentagem">
      <calculatedColumnFormula>VLOOKUP(L45,player_stats[#All],14,FALSE)</calculatedColumnFormula>
    </tableColumn>
    <tableColumn id="7" xr3:uid="{A1DAA4F9-1657-4FB5-A159-E1F9DB436BC4}" name="CL%" dataCellStyle="Porcentagem">
      <calculatedColumnFormula>VLOOKUP(L45,player_stats[#All],15,FALSE)</calculatedColumnFormula>
    </tableColumn>
    <tableColumn id="4" xr3:uid="{6BCEF16A-E2E6-462D-8147-1E595AFC2AFB}" name="M.Total" dataDxfId="30">
      <calculatedColumnFormula>AVERAGE(players265060[[#This Row],[Rating]],players265060[[#This Row],[ACS]],players265060[[#This Row],[KAST]],players265060[[#This Row],[HS%]],players265060[[#This Row],[CL%]])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86161E9-8300-447C-9CBA-013EE726B670}" name="team275161" displayName="team275161" ref="L41:R42" totalsRowShown="0" headerRowDxfId="205" tableBorderDxfId="204">
  <autoFilter ref="L41:R42" xr:uid="{586161E9-8300-447C-9CBA-013EE726B670}"/>
  <tableColumns count="7">
    <tableColumn id="1" xr3:uid="{5883C48C-B563-4088-9450-0562C2BF7472}" name="WINS" dataDxfId="203">
      <calculatedColumnFormula>VLOOKUP(L37,team_stats_americas[#All],2,FALSE)</calculatedColumnFormula>
    </tableColumn>
    <tableColumn id="2" xr3:uid="{2AE7AEF7-E2B9-480C-92B5-45A51A5ACFC2}" name="LOSS" dataDxfId="202">
      <calculatedColumnFormula>VLOOKUP(L37,team_stats_americas[#All],3,FALSE)</calculatedColumnFormula>
    </tableColumn>
    <tableColumn id="3" xr3:uid="{02B4DD35-1AF1-46A8-BF4E-9FB30A68144F}" name="TIES" dataDxfId="201">
      <calculatedColumnFormula>VLOOKUP(L37,team_stats_americas[#All],4,FALSE)</calculatedColumnFormula>
    </tableColumn>
    <tableColumn id="4" xr3:uid="{FF503A22-09F8-4122-A19C-BF2D21B70CA6}" name="MAP" dataDxfId="200">
      <calculatedColumnFormula>VLOOKUP(L37,team_stats_americas[#All],5,FALSE)</calculatedColumnFormula>
    </tableColumn>
    <tableColumn id="5" xr3:uid="{D1FD56F2-699E-4300-91FC-83FD99754D46}" name="RND" dataDxfId="199">
      <calculatedColumnFormula>VLOOKUP(L37,team_stats_americas[#All],6,FALSE)</calculatedColumnFormula>
    </tableColumn>
    <tableColumn id="7" xr3:uid="{6735FA74-555E-4E51-B336-E3092C6A67FD}" name="S.MAPS" dataDxfId="198">
      <calculatedColumnFormula>VLOOKUP(L37,team_stats_americas[#All],7,FALSE)</calculatedColumnFormula>
    </tableColumn>
    <tableColumn id="6" xr3:uid="{E60BBDAE-5008-46B6-B38F-2001A8469890}" name="Players RATING" dataDxfId="197">
      <calculatedColumnFormula>M50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926F998-E3A1-41E9-8BB9-3F81792F5CF9}" name="players265262" displayName="players265262" ref="L61:R66" totalsRowShown="0">
  <autoFilter ref="L61:R66" xr:uid="{7926F998-E3A1-41E9-8BB9-3F81792F5CF9}"/>
  <tableColumns count="7">
    <tableColumn id="1" xr3:uid="{90349C81-A3E8-41B0-8D06-2776804F758F}" name="Players" dataDxfId="28"/>
    <tableColumn id="2" xr3:uid="{1594D76B-E6B9-4CB0-B48A-2709D4513E8B}" name="Rating" dataDxfId="51">
      <calculatedColumnFormula>VLOOKUP(L62,player_stats[#All],5,FALSE)</calculatedColumnFormula>
    </tableColumn>
    <tableColumn id="3" xr3:uid="{93894A60-454C-4D94-BE7E-D85576DD3602}" name="ACS" dataDxfId="50">
      <calculatedColumnFormula>VLOOKUP(L62,player_stats[#All],6,FALSE)</calculatedColumnFormula>
    </tableColumn>
    <tableColumn id="5" xr3:uid="{1D0E6EBC-8035-4F2A-9366-4150CDE9FAE7}" name="KAST" dataDxfId="49" dataCellStyle="Porcentagem">
      <calculatedColumnFormula>VLOOKUP(L62,player_stats[#All],8,FALSE)</calculatedColumnFormula>
    </tableColumn>
    <tableColumn id="6" xr3:uid="{B7896F50-A5E4-4E96-9E17-115F531FD8A4}" name="HS%" dataDxfId="27" dataCellStyle="Porcentagem">
      <calculatedColumnFormula>VLOOKUP(L62,player_stats[#All],14,FALSE)</calculatedColumnFormula>
    </tableColumn>
    <tableColumn id="7" xr3:uid="{B46A646D-2196-459D-BD84-AA0CDEF6B00E}" name="CL%" dataCellStyle="Porcentagem">
      <calculatedColumnFormula>VLOOKUP(L62,player_stats[#All],15,FALSE)</calculatedColumnFormula>
    </tableColumn>
    <tableColumn id="4" xr3:uid="{762619F3-7056-45EF-9122-666800DE9496}" name="M.Total" dataDxfId="26">
      <calculatedColumnFormula>AVERAGE(players265262[[#This Row],[Rating]],players265262[[#This Row],[ACS]],players265262[[#This Row],[KAST]],players265262[[#This Row],[HS%]],players265262[[#This Row],[CL%]])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743F413-C029-4572-9D1A-46C181F94B4B}" name="team275363" displayName="team275363" ref="L58:R59" totalsRowShown="0" headerRowDxfId="196" tableBorderDxfId="195">
  <autoFilter ref="L58:R59" xr:uid="{0743F413-C029-4572-9D1A-46C181F94B4B}"/>
  <tableColumns count="7">
    <tableColumn id="1" xr3:uid="{DFD7165E-E741-4068-BE6C-F981A6AB3C0A}" name="WINS" dataDxfId="194">
      <calculatedColumnFormula>VLOOKUP(L54,team_stats_americas[#All],2,FALSE)</calculatedColumnFormula>
    </tableColumn>
    <tableColumn id="2" xr3:uid="{3A13EA93-0076-4BEF-9E09-F145118C368C}" name="LOSS" dataDxfId="193">
      <calculatedColumnFormula>VLOOKUP(L54,team_stats_americas[#All],3,FALSE)</calculatedColumnFormula>
    </tableColumn>
    <tableColumn id="3" xr3:uid="{EC86FD83-2576-4A89-B769-2FAF859EF4E0}" name="TIES" dataDxfId="192">
      <calculatedColumnFormula>VLOOKUP(L54,team_stats_americas[#All],4,FALSE)</calculatedColumnFormula>
    </tableColumn>
    <tableColumn id="4" xr3:uid="{B2E58936-AAF0-45A4-BF35-16DA21C13CD4}" name="MAP" dataDxfId="191">
      <calculatedColumnFormula>VLOOKUP(L54,team_stats_americas[#All],5,FALSE)</calculatedColumnFormula>
    </tableColumn>
    <tableColumn id="5" xr3:uid="{157EFDB6-7491-4AD6-8649-4639DDBC472D}" name="RND" dataDxfId="190">
      <calculatedColumnFormula>VLOOKUP(L54,team_stats_americas[#All],6,FALSE)</calculatedColumnFormula>
    </tableColumn>
    <tableColumn id="7" xr3:uid="{2F9A7834-8CF6-464C-A46D-85A51E8F098D}" name="S.MAPS" dataDxfId="189">
      <calculatedColumnFormula>VLOOKUP(L54,team_stats_americas[#All],7,FALSE)</calculatedColumnFormula>
    </tableColumn>
    <tableColumn id="6" xr3:uid="{FC399303-9B9D-48B2-A7BF-FB9234D799A9}" name="Players RATING" dataDxfId="188">
      <calculatedColumnFormula>M67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4B93DA9-B256-46FE-952F-8B443FA66D74}" name="players26526284" displayName="players26526284" ref="L78:R83" totalsRowShown="0">
  <autoFilter ref="L78:R83" xr:uid="{24B93DA9-B256-46FE-952F-8B443FA66D74}"/>
  <tableColumns count="7">
    <tableColumn id="1" xr3:uid="{AF806203-C6CE-466F-A828-4BCBC0E2AE31}" name="Players" dataDxfId="25"/>
    <tableColumn id="2" xr3:uid="{05628E46-E2A4-46A9-9872-C03B8EAB89FA}" name="Rating" dataDxfId="48">
      <calculatedColumnFormula>VLOOKUP(L79,player_stats[#All],5,FALSE)</calculatedColumnFormula>
    </tableColumn>
    <tableColumn id="3" xr3:uid="{E6D85051-6257-4BE6-8B47-9E3BF3594B02}" name="ACS" dataDxfId="47">
      <calculatedColumnFormula>VLOOKUP(L79,player_stats[#All],6,FALSE)</calculatedColumnFormula>
    </tableColumn>
    <tableColumn id="5" xr3:uid="{2DC9EC23-CE87-4946-A1A1-B1CB8BFF4833}" name="KAST" dataDxfId="46" dataCellStyle="Porcentagem">
      <calculatedColumnFormula>VLOOKUP(L79,player_stats[#All],8,FALSE)</calculatedColumnFormula>
    </tableColumn>
    <tableColumn id="6" xr3:uid="{63805AE0-CCF9-4DDD-A42F-EB6F02797290}" name="HS%" dataDxfId="24" dataCellStyle="Porcentagem">
      <calculatedColumnFormula>VLOOKUP(L79,player_stats[#All],14,FALSE)</calculatedColumnFormula>
    </tableColumn>
    <tableColumn id="7" xr3:uid="{429025AF-CB94-40FF-A9C7-6BB2B229D875}" name="CL%" dataDxfId="22" dataCellStyle="Porcentagem">
      <calculatedColumnFormula>VLOOKUP(L79,player_stats[#All],15,FALSE)</calculatedColumnFormula>
    </tableColumn>
    <tableColumn id="4" xr3:uid="{D34254B5-A72D-48A2-87E7-079C42C5F1C0}" name="M.Total" dataDxfId="23">
      <calculatedColumnFormula>AVERAGE(players26526284[[#This Row],[Rating]],players26526284[[#This Row],[ACS]],players26526284[[#This Row],[KAST]],players26526284[[#This Row],[HS%]],players26526284[[#This Row],[CL%]])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4322B-5FD0-49D5-A9DD-585BE2DF7FEB}" name="team" displayName="team" ref="D7:J8" totalsRowShown="0" headerRowDxfId="259" dataDxfId="260" tableBorderDxfId="268">
  <autoFilter ref="D7:J8" xr:uid="{1CD4322B-5FD0-49D5-A9DD-585BE2DF7FEB}"/>
  <tableColumns count="7">
    <tableColumn id="1" xr3:uid="{CBD7799E-F4A9-424E-9FE5-57B0C670D837}" name="WINS" dataDxfId="265">
      <calculatedColumnFormula>VLOOKUP(D3,team_stats_americas[#All],2,FALSE)</calculatedColumnFormula>
    </tableColumn>
    <tableColumn id="2" xr3:uid="{49BC8C44-3F80-4EAD-8F8A-66B7BC18AF18}" name="LOSS" dataDxfId="264">
      <calculatedColumnFormula>VLOOKUP(D3,team_stats_americas[#All],3,FALSE)</calculatedColumnFormula>
    </tableColumn>
    <tableColumn id="3" xr3:uid="{8DEFCA51-187B-406A-A3E6-4E03DD671DCA}" name="TIES" dataDxfId="263">
      <calculatedColumnFormula>VLOOKUP(D3,team_stats_americas[#All],4,FALSE)</calculatedColumnFormula>
    </tableColumn>
    <tableColumn id="4" xr3:uid="{C63C2E28-AEA7-4E87-8491-B155DE84E7FB}" name="MAP" dataDxfId="262">
      <calculatedColumnFormula>VLOOKUP(D3,team_stats_americas[#All],5,FALSE)</calculatedColumnFormula>
    </tableColumn>
    <tableColumn id="5" xr3:uid="{E8A53E10-635A-4EF1-8355-DB146D7A015E}" name="RND" dataDxfId="261">
      <calculatedColumnFormula>VLOOKUP(D3,team_stats_americas[#All],6,FALSE)</calculatedColumnFormula>
    </tableColumn>
    <tableColumn id="7" xr3:uid="{380F2124-3C66-42F6-B53F-47CF7EEA7D3C}" name="S.MAPS" dataDxfId="1">
      <calculatedColumnFormula>VLOOKUP(D3,team_stats_americas[#All],7,FALSE)</calculatedColumnFormula>
    </tableColumn>
    <tableColumn id="6" xr3:uid="{A211710B-8DA5-4180-BA19-D6EC1277DC7C}" name="Players RATING" dataDxfId="0">
      <calculatedColumnFormula>E16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CA9C5E7-91B5-4D8B-9901-13FF8C3F331F}" name="team27536385" displayName="team27536385" ref="L75:R76" totalsRowShown="0" headerRowDxfId="84" tableBorderDxfId="83">
  <autoFilter ref="L75:R76" xr:uid="{7CA9C5E7-91B5-4D8B-9901-13FF8C3F331F}"/>
  <tableColumns count="7">
    <tableColumn id="1" xr3:uid="{65343CB4-6F38-4279-B3D4-6F634B2BC7FB}" name="WINS" dataDxfId="82">
      <calculatedColumnFormula>VLOOKUP(L71,team_stats_americas[#All],2,FALSE)</calculatedColumnFormula>
    </tableColumn>
    <tableColumn id="2" xr3:uid="{DB81171F-0387-43D0-A4A8-548119A7AD07}" name="LOSS" dataDxfId="81">
      <calculatedColumnFormula>VLOOKUP(L71,team_stats_americas[#All],3,FALSE)</calculatedColumnFormula>
    </tableColumn>
    <tableColumn id="3" xr3:uid="{A59BFF2A-D891-4D9A-A087-634D1E0BAC20}" name="TIES" dataDxfId="80">
      <calculatedColumnFormula>VLOOKUP(L71,team_stats_americas[#All],4,FALSE)</calculatedColumnFormula>
    </tableColumn>
    <tableColumn id="4" xr3:uid="{5E5E25ED-49D1-4212-BEEA-62B47DDED4C5}" name="MAP" dataDxfId="79">
      <calculatedColumnFormula>VLOOKUP(L71,team_stats_americas[#All],5,FALSE)</calculatedColumnFormula>
    </tableColumn>
    <tableColumn id="5" xr3:uid="{FE9E8704-3A58-42A7-90A1-14C7B7C5A7A3}" name="RND" dataDxfId="78">
      <calculatedColumnFormula>VLOOKUP(L71,team_stats_americas[#All],6,FALSE)</calculatedColumnFormula>
    </tableColumn>
    <tableColumn id="7" xr3:uid="{1BD67171-0B1A-491F-81BE-810256191669}" name="S.MAPS" dataDxfId="77">
      <calculatedColumnFormula>VLOOKUP(L71,team_stats_americas[#All],7,FALSE)</calculatedColumnFormula>
    </tableColumn>
    <tableColumn id="6" xr3:uid="{434D9323-983F-413F-9911-A5B9FA1013A5}" name="Players RATING" dataDxfId="76">
      <calculatedColumnFormula>M84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FB56D42-5ACD-4D8E-A0DB-642A911414D3}" name="team_stats_americas" displayName="team_stats_americas" ref="A1:G11" tableType="queryTable" totalsRowShown="0">
  <autoFilter ref="A1:G11" xr:uid="{AFB56D42-5ACD-4D8E-A0DB-642A911414D3}"/>
  <tableColumns count="7">
    <tableColumn id="1" xr3:uid="{CDCF19CB-5022-4021-9E68-8FE3C51EBB2F}" uniqueName="1" name="Team" queryTableFieldId="1" dataDxfId="17"/>
    <tableColumn id="2" xr3:uid="{E56DB83C-7125-4C3E-85C8-0E9DEB4D5356}" uniqueName="2" name="Wins" queryTableFieldId="2"/>
    <tableColumn id="3" xr3:uid="{EE3FD778-B7A3-4EB4-B0AC-9E89EA3EFC8C}" uniqueName="3" name="Loss" queryTableFieldId="3"/>
    <tableColumn id="4" xr3:uid="{F58B5EDD-99C8-4614-9AE4-9F2C22D15E99}" uniqueName="4" name="Ties" queryTableFieldId="4"/>
    <tableColumn id="5" xr3:uid="{D08C2204-0E6B-47AA-8EC7-062A39040350}" uniqueName="5" name="MAP" queryTableFieldId="5" dataDxfId="16"/>
    <tableColumn id="6" xr3:uid="{7ED9B4A8-4368-4885-8DB4-AD8BC6507C3E}" uniqueName="6" name="RND" queryTableFieldId="6" dataDxfId="15"/>
    <tableColumn id="7" xr3:uid="{D6521669-2341-4717-B028-718B12BFEE8B}" uniqueName="7" name="Δ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260BD4A-509E-4B42-974E-8DD2499B22D4}" name="player_stats" displayName="player_stats" ref="A1:V53" tableType="queryTable" totalsRowShown="0">
  <autoFilter ref="A1:V53" xr:uid="{A260BD4A-509E-4B42-974E-8DD2499B22D4}"/>
  <tableColumns count="22">
    <tableColumn id="24" xr3:uid="{62E8B017-6665-45BF-AD7D-E5DDFD7A107C}" uniqueName="24" name="Player" queryTableFieldId="26" dataDxfId="14"/>
    <tableColumn id="25" xr3:uid="{3EFCD797-F9E8-440A-8AC4-000D40BFCC39}" uniqueName="25" name="Team" queryTableFieldId="27" dataDxfId="13"/>
    <tableColumn id="2" xr3:uid="{AB516C51-77EA-4DC2-BF65-2340A1E25E60}" uniqueName="2" name="Agents" queryTableFieldId="2" dataDxfId="12"/>
    <tableColumn id="3" xr3:uid="{7F15E2CB-8D9D-46A5-AA95-C20BD4FC6D3B}" uniqueName="3" name="Rnd" queryTableFieldId="3"/>
    <tableColumn id="4" xr3:uid="{B9FCDA6F-F5AA-423D-A9C6-F6BDDB928E31}" uniqueName="4" name="R" queryTableFieldId="4" dataDxfId="11"/>
    <tableColumn id="5" xr3:uid="{B86B72B9-A1E0-4E66-9B89-ECBE100C52BE}" uniqueName="5" name="ACS" queryTableFieldId="5"/>
    <tableColumn id="6" xr3:uid="{871D140E-5EA0-45FD-ABFD-2EE83E96A53B}" uniqueName="6" name="K:D" queryTableFieldId="6"/>
    <tableColumn id="7" xr3:uid="{B7310F67-6AB3-4E66-9B1E-4654FB36B17F}" uniqueName="7" name="KAST" queryTableFieldId="7"/>
    <tableColumn id="8" xr3:uid="{3B1AB713-682D-46DA-B0B8-BF033E942100}" uniqueName="8" name="ADR" queryTableFieldId="8"/>
    <tableColumn id="9" xr3:uid="{5F86E21E-2603-4DF2-8534-A0D0303E45EA}" uniqueName="9" name="KPR" queryTableFieldId="9"/>
    <tableColumn id="10" xr3:uid="{FBF8E46A-6AD8-4E83-98D9-234734BB9723}" uniqueName="10" name="APR" queryTableFieldId="10"/>
    <tableColumn id="11" xr3:uid="{44B0B737-973E-4248-AA33-1AB16004F2EA}" uniqueName="11" name="FKPR" queryTableFieldId="11"/>
    <tableColumn id="12" xr3:uid="{2ED2B25F-2C7D-46FF-A940-D5DD0F28CA7F}" uniqueName="12" name="FDPR" queryTableFieldId="12"/>
    <tableColumn id="13" xr3:uid="{24B8C0D1-20D7-42BA-A148-56D35E6A09FA}" uniqueName="13" name="HS%" queryTableFieldId="13"/>
    <tableColumn id="14" xr3:uid="{2D43FFDB-D3B8-480E-863F-106942D3F056}" uniqueName="14" name="CL%" queryTableFieldId="14"/>
    <tableColumn id="15" xr3:uid="{86580520-716F-4FF7-A7A2-7538D9604730}" uniqueName="15" name="CL" queryTableFieldId="15" dataDxfId="10"/>
    <tableColumn id="16" xr3:uid="{A74C9341-5AB8-4DF3-92DE-C38B32619B07}" uniqueName="16" name="KMax" queryTableFieldId="16"/>
    <tableColumn id="17" xr3:uid="{132B0C41-DC96-4D67-B918-8FF4ACE829AF}" uniqueName="17" name="K" queryTableFieldId="17"/>
    <tableColumn id="18" xr3:uid="{CA3DFDC7-3CEA-4891-89F3-57197D5D935F}" uniqueName="18" name="D" queryTableFieldId="18"/>
    <tableColumn id="19" xr3:uid="{AC796560-60A2-4F14-B2C6-10B2AD47C331}" uniqueName="19" name="A" queryTableFieldId="19"/>
    <tableColumn id="20" xr3:uid="{560290F9-2D8B-4CC0-AC60-3B2564ACA363}" uniqueName="20" name="FK" queryTableFieldId="20"/>
    <tableColumn id="21" xr3:uid="{867D1951-44AE-4A13-9274-AD23010693E3}" uniqueName="21" name="FD" queryTableFieldId="2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855BE1-80FC-449E-98D9-63390590D9F5}" name="teams_americas" displayName="teams_americas" ref="A1:G11" tableType="queryTable" totalsRowShown="0">
  <autoFilter ref="A1:G11" xr:uid="{A6855BE1-80FC-449E-98D9-63390590D9F5}"/>
  <tableColumns count="7">
    <tableColumn id="10" xr3:uid="{8F2BBA78-3A3C-4907-BBA6-A1E46263F8D9}" uniqueName="10" name="Team" queryTableFieldId="10" dataDxfId="9"/>
    <tableColumn id="11" xr3:uid="{A784FDA5-4814-4BF4-8D70-954A94651A41}" uniqueName="11" name="Player1" queryTableFieldId="11" dataDxfId="8"/>
    <tableColumn id="12" xr3:uid="{A75DE5D2-FFA7-421D-BDD7-15661CEA4774}" uniqueName="12" name="Player2" queryTableFieldId="12" dataDxfId="7"/>
    <tableColumn id="13" xr3:uid="{2809E970-F499-452A-AAA9-8FC541D11E58}" uniqueName="13" name="Player3" queryTableFieldId="13" dataDxfId="6"/>
    <tableColumn id="14" xr3:uid="{401B4BB4-9393-4CFF-AFCB-359712BB0C6A}" uniqueName="14" name="Player4" queryTableFieldId="14" dataDxfId="5"/>
    <tableColumn id="15" xr3:uid="{E7CBD11F-4359-4085-828E-316B719A4BF3}" uniqueName="15" name="Player5" queryTableFieldId="15" dataDxfId="4"/>
    <tableColumn id="16" xr3:uid="{2AB0F6CE-8227-4B1F-B7D2-DB56B80768C7}" uniqueName="16" name="Player6" queryTableFieldId="16" dataDxf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48E2431-FB11-4C37-A85E-9EF1FA764D15}" name="players66" displayName="players66" ref="A8:G13" totalsRowShown="0">
  <autoFilter ref="A8:G13" xr:uid="{648E2431-FB11-4C37-A85E-9EF1FA764D15}"/>
  <tableColumns count="7">
    <tableColumn id="1" xr3:uid="{490134A3-C6C9-41A7-8A98-BC87B920C968}" name="Players" dataDxfId="187"/>
    <tableColumn id="2" xr3:uid="{9B5852E0-009D-4856-886C-C5FE16037FF9}" name="Rating" dataDxfId="186"/>
    <tableColumn id="3" xr3:uid="{53B32C41-B542-43A4-9F75-22EC9BD26A4F}" name="ACS"/>
    <tableColumn id="5" xr3:uid="{411A0D71-A9B1-486E-9B26-EBB42BBC3CD1}" name="KAST"/>
    <tableColumn id="6" xr3:uid="{4DEE69BD-1D2E-4E30-BD21-18B83922B62B}" name="HS%"/>
    <tableColumn id="7" xr3:uid="{B249FEDE-B8F9-41BB-9D9C-A080C350A507}" name="CL%"/>
    <tableColumn id="4" xr3:uid="{50E24A78-CF66-4C3D-98CD-10547D9A9EE9}" name="M.Total" dataDxfId="185">
      <calculatedColumnFormula>AVERAGE(players66[[#This Row],[Rating]],players66[[#This Row],[ACS]],players66[[#This Row],[KAST]],players66[[#This Row],[HS%]],players66[[#This Row],[CL%]])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34D88DC-CF86-435C-AB14-0C7EDA6A0F1B}" name="team67" displayName="team67" ref="A5:G6" totalsRowShown="0" headerRowDxfId="184" dataDxfId="183" tableBorderDxfId="182">
  <autoFilter ref="A5:G6" xr:uid="{034D88DC-CF86-435C-AB14-0C7EDA6A0F1B}"/>
  <tableColumns count="7">
    <tableColumn id="1" xr3:uid="{B2E14237-B317-400D-8CE1-B2BAF4854249}" name="WINS" dataDxfId="181">
      <calculatedColumnFormula>VLOOKUP(A1,team_stats_americas[#All],2,FALSE)</calculatedColumnFormula>
    </tableColumn>
    <tableColumn id="2" xr3:uid="{096B5FB2-6F02-4BB6-A0D1-92F50D0BD005}" name="LOSS" dataDxfId="180">
      <calculatedColumnFormula>VLOOKUP(A1,team_stats_americas[#All],3,FALSE)</calculatedColumnFormula>
    </tableColumn>
    <tableColumn id="3" xr3:uid="{4260C3DF-7438-4302-97C5-1833F28AD5D9}" name="TIES" dataDxfId="179">
      <calculatedColumnFormula>VLOOKUP(A1,team_stats_americas[#All],4,FALSE)</calculatedColumnFormula>
    </tableColumn>
    <tableColumn id="4" xr3:uid="{5FEF1A88-C9BC-4769-B8AB-8F8E6ABC0BDF}" name="MAP" dataDxfId="178">
      <calculatedColumnFormula>VLOOKUP(A1,team_stats_americas[#All],5,FALSE)</calculatedColumnFormula>
    </tableColumn>
    <tableColumn id="5" xr3:uid="{F27D08F2-767E-4039-9127-561BE0DB99F1}" name="RND" dataDxfId="177">
      <calculatedColumnFormula>VLOOKUP(A1,team_stats_americas[#All],6,FALSE)</calculatedColumnFormula>
    </tableColumn>
    <tableColumn id="7" xr3:uid="{91A031C0-E58B-4441-B0F7-4C5E80175833}" name="S.MAPS" dataDxfId="176">
      <calculatedColumnFormula>VLOOKUP(A1,team_stats_americas[#All],7,FALSE)</calculatedColumnFormula>
    </tableColumn>
    <tableColumn id="6" xr3:uid="{576FE8C6-61F0-4839-AE9B-3AD578B9BFAE}" name="Players RATING" dataDxfId="175">
      <calculatedColumnFormula>B14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9A4E14D-0A0A-42A2-AC48-4C26DA8585DD}" name="players2668" displayName="players2668" ref="A25:G30" totalsRowShown="0">
  <autoFilter ref="A25:G30" xr:uid="{C9A4E14D-0A0A-42A2-AC48-4C26DA8585DD}"/>
  <tableColumns count="7">
    <tableColumn id="1" xr3:uid="{C37B66DA-4E95-47DE-82A6-CB97523EE74D}" name="Players" dataDxfId="174">
      <calculatedColumnFormula>VLOOKUP(A18,teams_americas[#All],2,TRUE)</calculatedColumnFormula>
    </tableColumn>
    <tableColumn id="2" xr3:uid="{BB829187-594A-4A6A-9848-7F069F8BF7D4}" name="Rating"/>
    <tableColumn id="3" xr3:uid="{44E5F0A7-F95C-49E4-897E-DA0767043DAD}" name="ACS"/>
    <tableColumn id="5" xr3:uid="{3CE7CC9D-FF4A-4F42-B42A-55C4BF45645B}" name="KAST"/>
    <tableColumn id="6" xr3:uid="{7C27CB59-BEFA-4062-9170-DFD7DCB1C310}" name="HS%"/>
    <tableColumn id="7" xr3:uid="{547F9ACF-A133-4EBE-85FC-C6C13E5E2C59}" name="CL%"/>
    <tableColumn id="4" xr3:uid="{DDCE9A23-9E5D-4180-9FDE-0CA89E4980CF}" name="M.Total" dataDxfId="173">
      <calculatedColumnFormula>AVERAGE(players2668[[#This Row],[Rating]],players2668[[#This Row],[ACS]],players2668[[#This Row],[KAST]],players2668[[#This Row],[HS%]],players2668[[#This Row],[CL%]])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57F3041-03E9-48D5-9488-933679C62B87}" name="team2769" displayName="team2769" ref="A22:G23" totalsRowShown="0" headerRowDxfId="172" tableBorderDxfId="171">
  <autoFilter ref="A22:G23" xr:uid="{B57F3041-03E9-48D5-9488-933679C62B87}"/>
  <tableColumns count="7">
    <tableColumn id="1" xr3:uid="{A80BC4D4-9ECD-4880-A737-9BEB19BE15CC}" name="WINS" dataDxfId="170">
      <calculatedColumnFormula>VLOOKUP(A18,team_stats_americas[#All],2,FALSE)</calculatedColumnFormula>
    </tableColumn>
    <tableColumn id="2" xr3:uid="{A62CD08D-D117-416A-AD31-51B199603868}" name="LOSS" dataDxfId="169">
      <calculatedColumnFormula>VLOOKUP(A18,team_stats_americas[#All],3,FALSE)</calculatedColumnFormula>
    </tableColumn>
    <tableColumn id="3" xr3:uid="{30B049D5-6926-451D-A44B-819EDF13717F}" name="TIES" dataDxfId="168">
      <calculatedColumnFormula>VLOOKUP(A18,team_stats_americas[#All],4,FALSE)</calculatedColumnFormula>
    </tableColumn>
    <tableColumn id="4" xr3:uid="{B4C40F79-5B33-460A-93F4-629F4696328A}" name="MAP" dataDxfId="167">
      <calculatedColumnFormula>VLOOKUP(A18,team_stats_americas[#All],5,FALSE)</calculatedColumnFormula>
    </tableColumn>
    <tableColumn id="5" xr3:uid="{012B7806-BA17-4146-8904-14EF13227522}" name="RND" dataDxfId="166">
      <calculatedColumnFormula>VLOOKUP(A18,team_stats_americas[#All],6,FALSE)</calculatedColumnFormula>
    </tableColumn>
    <tableColumn id="7" xr3:uid="{B7140315-8A4C-4954-B158-02D39582F02F}" name="S.MAPS" dataDxfId="165">
      <calculatedColumnFormula>VLOOKUP(A18,team_stats_americas[#All],7,FALSE)</calculatedColumnFormula>
    </tableColumn>
    <tableColumn id="6" xr3:uid="{747A1CDE-0D79-4759-A7E7-F567FC165A74}" name="Players RATING" dataDxfId="164">
      <calculatedColumnFormula>#REF!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0C47860-1865-486D-9A91-7CA6E4EB2201}" name="players265070" displayName="players265070" ref="A42:G47" totalsRowShown="0">
  <autoFilter ref="A42:G47" xr:uid="{70C47860-1865-486D-9A91-7CA6E4EB2201}"/>
  <tableColumns count="7">
    <tableColumn id="1" xr3:uid="{D779274D-C422-43AD-9143-868F0E5F4824}" name="Players" dataDxfId="163">
      <calculatedColumnFormula>VLOOKUP(A35,teams_americas[#All],2,TRUE)</calculatedColumnFormula>
    </tableColumn>
    <tableColumn id="2" xr3:uid="{36E5A8D8-0AA8-4D43-B1D9-8D086849F23B}" name="Rating"/>
    <tableColumn id="3" xr3:uid="{D9C2DB97-ECD0-45FB-95B2-F521163F1D89}" name="ACS"/>
    <tableColumn id="5" xr3:uid="{14CDF80F-BF23-4D42-933F-846AF9F1B72B}" name="KAST"/>
    <tableColumn id="6" xr3:uid="{EC76921C-C3B1-48EB-A84F-885BF2BB0680}" name="HS%"/>
    <tableColumn id="7" xr3:uid="{633EFACA-9CDC-40C0-BA2D-71E55C031B9F}" name="CL%"/>
    <tableColumn id="4" xr3:uid="{2BC2B37D-6F34-41AF-A2D3-F618CF5E2F57}" name="M.Total" dataDxfId="162">
      <calculatedColumnFormula>AVERAGE(players265070[[#This Row],[Rating]],players265070[[#This Row],[ACS]],players265070[[#This Row],[KAST]],players265070[[#This Row],[HS%]],players265070[[#This Row],[CL%]])</calculatedColumnFormula>
    </tableColumn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024877D-9A30-4896-A1EB-7E3E6B8CDB6C}" name="team275171" displayName="team275171" ref="A39:G40" totalsRowShown="0" headerRowDxfId="161" tableBorderDxfId="160">
  <autoFilter ref="A39:G40" xr:uid="{E024877D-9A30-4896-A1EB-7E3E6B8CDB6C}"/>
  <tableColumns count="7">
    <tableColumn id="1" xr3:uid="{DE5EC486-307D-47E4-9DA1-024E92BA556A}" name="WINS" dataDxfId="159">
      <calculatedColumnFormula>VLOOKUP(A35,team_stats_americas[#All],2,FALSE)</calculatedColumnFormula>
    </tableColumn>
    <tableColumn id="2" xr3:uid="{050554A5-5D5F-4F1A-AA55-E0735BAA9615}" name="LOSS" dataDxfId="158">
      <calculatedColumnFormula>VLOOKUP(A35,team_stats_americas[#All],3,FALSE)</calculatedColumnFormula>
    </tableColumn>
    <tableColumn id="3" xr3:uid="{8DC77028-1BBD-48DB-B701-1B9883EBB04E}" name="TIES" dataDxfId="157">
      <calculatedColumnFormula>VLOOKUP(A35,team_stats_americas[#All],4,FALSE)</calculatedColumnFormula>
    </tableColumn>
    <tableColumn id="4" xr3:uid="{9E2B10D6-7DA8-449A-987F-1A6CFEB343C4}" name="MAP" dataDxfId="156">
      <calculatedColumnFormula>VLOOKUP(A35,team_stats_americas[#All],5,FALSE)</calculatedColumnFormula>
    </tableColumn>
    <tableColumn id="5" xr3:uid="{858C0782-3037-44C4-814D-E5C8038EEE1A}" name="RND" dataDxfId="155">
      <calculatedColumnFormula>VLOOKUP(A35,team_stats_americas[#All],6,FALSE)</calculatedColumnFormula>
    </tableColumn>
    <tableColumn id="7" xr3:uid="{05FA3DE4-5BB2-4923-ABFE-A6A7A50B38D2}" name="S.MAPS" dataDxfId="154">
      <calculatedColumnFormula>VLOOKUP(A35,team_stats_americas[#All],7,FALSE)</calculatedColumnFormula>
    </tableColumn>
    <tableColumn id="6" xr3:uid="{A3B3E796-0AD4-45AB-8699-206D8B815909}" name="Players RATING" dataDxfId="153">
      <calculatedColumnFormula>#REF!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5710AA5-E24A-404C-8586-F88647CD9666}" name="players26" displayName="players26" ref="D27:J32" totalsRowShown="0">
  <autoFilter ref="D27:J32" xr:uid="{35710AA5-E24A-404C-8586-F88647CD9666}"/>
  <tableColumns count="7">
    <tableColumn id="1" xr3:uid="{D514FE12-5F78-42A8-BF47-902F483B1918}" name="Players" dataDxfId="45"/>
    <tableColumn id="2" xr3:uid="{66AD8D96-C7FD-43F7-9084-2F1B48A094D7}" name="Rating" dataDxfId="72">
      <calculatedColumnFormula>VLOOKUP(D28,player_stats[#All],5,FALSE)</calculatedColumnFormula>
    </tableColumn>
    <tableColumn id="3" xr3:uid="{E5ED0A8E-3F08-42A7-A086-5A16B776614A}" name="ACS" dataDxfId="71">
      <calculatedColumnFormula>VLOOKUP(D28,player_stats[#All],6,FALSE)</calculatedColumnFormula>
    </tableColumn>
    <tableColumn id="5" xr3:uid="{5F4EA10C-209A-4EC1-BE6A-496F905BC768}" name="KAST" dataDxfId="70" dataCellStyle="Porcentagem">
      <calculatedColumnFormula>VLOOKUP(D28,player_stats[#All],8,FALSE)</calculatedColumnFormula>
    </tableColumn>
    <tableColumn id="6" xr3:uid="{D26A8489-7DC1-42D6-AF9E-B9C0D577C975}" name="HS%" dataDxfId="19" dataCellStyle="Porcentagem">
      <calculatedColumnFormula>VLOOKUP(D28,player_stats[#All],14,FALSE)</calculatedColumnFormula>
    </tableColumn>
    <tableColumn id="7" xr3:uid="{688A156B-A02A-42EC-8229-BE1D41B4AFF0}" name="CL%" dataCellStyle="Porcentagem">
      <calculatedColumnFormula>VLOOKUP(D28,player_stats[#All],15,FALSE)</calculatedColumnFormula>
    </tableColumn>
    <tableColumn id="4" xr3:uid="{30559526-D6D0-4055-930D-2BDCFD9E0037}" name="M.Total" dataDxfId="18">
      <calculatedColumnFormula>AVERAGE(players26[[#This Row],[Rating]],players26[[#This Row],[ACS]],players26[[#This Row],[KAST]],players26[[#This Row],[HS%]],players26[[#This Row],[CL%]])</calculatedColumnFormula>
    </tableColumn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18C3636-2097-4C1C-B198-431CDC06472D}" name="players265272" displayName="players265272" ref="A59:G64" totalsRowShown="0">
  <autoFilter ref="A59:G64" xr:uid="{618C3636-2097-4C1C-B198-431CDC06472D}"/>
  <tableColumns count="7">
    <tableColumn id="1" xr3:uid="{CDF8086D-A9F7-4631-9956-806101FF7304}" name="Players" dataDxfId="152">
      <calculatedColumnFormula>VLOOKUP(A52,teams_americas[#All],2,TRUE)</calculatedColumnFormula>
    </tableColumn>
    <tableColumn id="2" xr3:uid="{C2F73CC4-ED8C-43A7-A855-2EA90BDDC5E9}" name="Rating"/>
    <tableColumn id="3" xr3:uid="{7C261D8D-05CE-4341-8DCC-998D3BD8A9AA}" name="ACS"/>
    <tableColumn id="5" xr3:uid="{311AEB1A-3C5B-4F89-884D-51C8FF1B8824}" name="KAST"/>
    <tableColumn id="6" xr3:uid="{D6C53A79-01C5-4150-ADEE-35D5ADD8887F}" name="HS%"/>
    <tableColumn id="7" xr3:uid="{FB010BAE-82B2-4585-9303-B18BAC41111F}" name="CL%"/>
    <tableColumn id="4" xr3:uid="{EA47F302-C023-450E-878B-E282D0D5EB33}" name="M.Total" dataDxfId="151">
      <calculatedColumnFormula>AVERAGE(players265272[[#This Row],[Rating]],players265272[[#This Row],[ACS]],players265272[[#This Row],[KAST]],players265272[[#This Row],[HS%]],players265272[[#This Row],[CL%]])</calculatedColumnFormula>
    </tableColumn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41EB630-5EA5-4001-9689-5ACE379FB8C6}" name="team275373" displayName="team275373" ref="A56:G57" totalsRowShown="0" headerRowDxfId="150" tableBorderDxfId="149">
  <autoFilter ref="A56:G57" xr:uid="{C41EB630-5EA5-4001-9689-5ACE379FB8C6}"/>
  <tableColumns count="7">
    <tableColumn id="1" xr3:uid="{F3EDD88A-D492-4A2D-A487-91D188ACFDC3}" name="WINS" dataDxfId="148">
      <calculatedColumnFormula>VLOOKUP(A52,team_stats_americas[#All],2,FALSE)</calculatedColumnFormula>
    </tableColumn>
    <tableColumn id="2" xr3:uid="{F63400AF-70C0-4A44-B0F3-188694D67539}" name="LOSS" dataDxfId="147">
      <calculatedColumnFormula>VLOOKUP(A52,team_stats_americas[#All],3,FALSE)</calculatedColumnFormula>
    </tableColumn>
    <tableColumn id="3" xr3:uid="{A79BC124-9B39-4B80-95EE-EF4ACCE9BAE9}" name="TIES" dataDxfId="146">
      <calculatedColumnFormula>VLOOKUP(A52,team_stats_americas[#All],4,FALSE)</calculatedColumnFormula>
    </tableColumn>
    <tableColumn id="4" xr3:uid="{E039D064-61A1-423B-8506-5461F5D5B6FA}" name="MAP" dataDxfId="145">
      <calculatedColumnFormula>VLOOKUP(A52,team_stats_americas[#All],5,FALSE)</calculatedColumnFormula>
    </tableColumn>
    <tableColumn id="5" xr3:uid="{9D794D5E-2363-47E2-89CB-3B78F3068E9A}" name="RND" dataDxfId="144">
      <calculatedColumnFormula>VLOOKUP(A52,team_stats_americas[#All],6,FALSE)</calculatedColumnFormula>
    </tableColumn>
    <tableColumn id="7" xr3:uid="{95997B5F-985C-49EF-BEE0-4DA751049625}" name="S.MAPS" dataDxfId="143">
      <calculatedColumnFormula>VLOOKUP(A52,team_stats_americas[#All],7,FALSE)</calculatedColumnFormula>
    </tableColumn>
    <tableColumn id="6" xr3:uid="{AEDE8974-0812-48AE-BBA6-44464D2474A1}" name="Players RATING" dataDxfId="142">
      <calculatedColumnFormula>#REF!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BDD1A69-C435-4349-B1AB-01A6822D8EF1}" name="players265474" displayName="players265474" ref="A76:G81" totalsRowShown="0">
  <autoFilter ref="A76:G81" xr:uid="{5BDD1A69-C435-4349-B1AB-01A6822D8EF1}"/>
  <tableColumns count="7">
    <tableColumn id="1" xr3:uid="{4D72DE2B-EF1F-4205-AFE2-2BDE2FAD5A38}" name="Players" dataDxfId="141">
      <calculatedColumnFormula>VLOOKUP(A69,teams_americas[#All],2,TRUE)</calculatedColumnFormula>
    </tableColumn>
    <tableColumn id="2" xr3:uid="{CE411FB6-92F3-4EAD-A27F-B660EE12CDE6}" name="Rating"/>
    <tableColumn id="3" xr3:uid="{EAB4A37D-0131-4303-91C6-963CA76412DA}" name="ACS"/>
    <tableColumn id="5" xr3:uid="{EF976FFA-F3F7-4299-B3E0-7AA128ED2CB4}" name="KAST"/>
    <tableColumn id="6" xr3:uid="{F44F4849-B8CD-49C9-B4DE-C0EC5DCE76F6}" name="HS%"/>
    <tableColumn id="7" xr3:uid="{82BD4CA4-2907-4F5A-AFD7-CF7AD78D4E6A}" name="CL%"/>
    <tableColumn id="4" xr3:uid="{92BB4FBE-6357-4C7F-A728-6C574DD8D64F}" name="M.Total" dataDxfId="140">
      <calculatedColumnFormula>AVERAGE(players265474[[#This Row],[Rating]],players265474[[#This Row],[ACS]],players265474[[#This Row],[KAST]],players265474[[#This Row],[HS%]],players265474[[#This Row],[CL%]])</calculatedColumnFormula>
    </tableColumn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5DB2AAA-4C5C-474D-BE1F-CD8FEBE2436D}" name="team275575" displayName="team275575" ref="A73:G74" totalsRowShown="0" headerRowDxfId="139" tableBorderDxfId="138">
  <autoFilter ref="A73:G74" xr:uid="{B5DB2AAA-4C5C-474D-BE1F-CD8FEBE2436D}"/>
  <tableColumns count="7">
    <tableColumn id="1" xr3:uid="{5E1B3AF9-AC75-4D37-B708-3E1B1A09FDD2}" name="WINS" dataDxfId="137">
      <calculatedColumnFormula>VLOOKUP(A69,team_stats_americas[#All],2,FALSE)</calculatedColumnFormula>
    </tableColumn>
    <tableColumn id="2" xr3:uid="{F833910B-5928-480C-B146-3CA2D443510A}" name="LOSS" dataDxfId="136">
      <calculatedColumnFormula>VLOOKUP(A69,team_stats_americas[#All],3,FALSE)</calculatedColumnFormula>
    </tableColumn>
    <tableColumn id="3" xr3:uid="{C8C20E53-DBA2-442C-92BD-75676A0172A8}" name="TIES" dataDxfId="135">
      <calculatedColumnFormula>VLOOKUP(A69,team_stats_americas[#All],4,FALSE)</calculatedColumnFormula>
    </tableColumn>
    <tableColumn id="4" xr3:uid="{C2F863AB-16F2-4EEF-B3DA-32BB4529B72D}" name="MAP" dataDxfId="134">
      <calculatedColumnFormula>VLOOKUP(A69,team_stats_americas[#All],5,FALSE)</calculatedColumnFormula>
    </tableColumn>
    <tableColumn id="5" xr3:uid="{04575EEA-4E99-46E7-B3A8-DF6A09528372}" name="RND" dataDxfId="133">
      <calculatedColumnFormula>VLOOKUP(A69,team_stats_americas[#All],6,FALSE)</calculatedColumnFormula>
    </tableColumn>
    <tableColumn id="7" xr3:uid="{0056ED66-8DD4-4A03-BB2D-DDAAE909FFA1}" name="S.MAPS" dataDxfId="132">
      <calculatedColumnFormula>VLOOKUP(A69,team_stats_americas[#All],7,FALSE)</calculatedColumnFormula>
    </tableColumn>
    <tableColumn id="6" xr3:uid="{34000993-AFC2-4A99-A116-390CAE354AAD}" name="Players RATING" dataDxfId="131">
      <calculatedColumnFormula>#REF!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181288-6D97-4497-AAF8-D3B77A1F3302}" name="players5676" displayName="players5676" ref="I8:O13" totalsRowShown="0">
  <autoFilter ref="I8:O13" xr:uid="{38181288-6D97-4497-AAF8-D3B77A1F3302}"/>
  <tableColumns count="7">
    <tableColumn id="1" xr3:uid="{5779151B-CCCB-4760-B558-CE36DF89152E}" name="Players" dataDxfId="130"/>
    <tableColumn id="2" xr3:uid="{3CDF8158-989C-46FA-9B4E-0B3D3AB38532}" name="Rating" dataDxfId="129"/>
    <tableColumn id="3" xr3:uid="{53A01222-CA6F-419C-BFDD-031E3758F172}" name="ACS"/>
    <tableColumn id="5" xr3:uid="{A4F7E6B1-8D0A-4B2E-A06A-5CB0A1DFE48E}" name="KAST"/>
    <tableColumn id="6" xr3:uid="{A3E86E2E-CC83-4149-998A-421FBDC7BC10}" name="HS%"/>
    <tableColumn id="7" xr3:uid="{C8289E9E-58A8-4D66-87E1-1ACCDDBEBC32}" name="CL%"/>
    <tableColumn id="4" xr3:uid="{596B9986-3E97-44A6-AA24-F006E30971EF}" name="M.Total" dataDxfId="128">
      <calculatedColumnFormula>AVERAGE(players5676[[#This Row],[Rating]],players5676[[#This Row],[ACS]],players5676[[#This Row],[KAST]],players5676[[#This Row],[HS%]],players5676[[#This Row],[CL%]])</calculatedColumnFormula>
    </tableColumn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A21926E-6E47-4572-98AD-4B80CD57D85A}" name="team5777" displayName="team5777" ref="I5:O6" totalsRowShown="0" headerRowDxfId="127" dataDxfId="126" tableBorderDxfId="125">
  <autoFilter ref="I5:O6" xr:uid="{EA21926E-6E47-4572-98AD-4B80CD57D85A}"/>
  <tableColumns count="7">
    <tableColumn id="1" xr3:uid="{780158EE-460B-47A9-84CF-553B63070828}" name="WINS" dataDxfId="124">
      <calculatedColumnFormula>VLOOKUP(I1,team_stats_americas[#All],2,FALSE)</calculatedColumnFormula>
    </tableColumn>
    <tableColumn id="2" xr3:uid="{B8A2AF07-85E6-487F-BF9E-AE9FFCD79D1D}" name="LOSS" dataDxfId="123">
      <calculatedColumnFormula>VLOOKUP(I1,team_stats_americas[#All],3,FALSE)</calculatedColumnFormula>
    </tableColumn>
    <tableColumn id="3" xr3:uid="{AAFF3C7C-99CC-40BC-BB2B-4ECC21E768FA}" name="TIES" dataDxfId="122">
      <calculatedColumnFormula>VLOOKUP(I1,team_stats_americas[#All],4,FALSE)</calculatedColumnFormula>
    </tableColumn>
    <tableColumn id="4" xr3:uid="{51D8F18A-98CC-4D3C-96E9-0EAE467907D2}" name="MAP" dataDxfId="121">
      <calculatedColumnFormula>VLOOKUP(I1,team_stats_americas[#All],5,FALSE)</calculatedColumnFormula>
    </tableColumn>
    <tableColumn id="5" xr3:uid="{CA440AB7-F3B0-4C93-BACA-7DDD234AB98F}" name="RND" dataDxfId="120">
      <calculatedColumnFormula>VLOOKUP(I1,team_stats_americas[#All],6,FALSE)</calculatedColumnFormula>
    </tableColumn>
    <tableColumn id="7" xr3:uid="{1643E016-B68C-46D7-83A4-6BADEC938412}" name="S.MAPS" dataDxfId="119">
      <calculatedColumnFormula>VLOOKUP(I1,team_stats_americas[#All],7,FALSE)</calculatedColumnFormula>
    </tableColumn>
    <tableColumn id="6" xr3:uid="{F0245CBF-8EA5-4685-A367-170B47B80767}" name="Players RATING" dataDxfId="118">
      <calculatedColumnFormula>J14</calculatedColumn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4B8429D-6943-4BB6-B463-5C29CBDCA7ED}" name="players265878" displayName="players265878" ref="I25:O30" totalsRowShown="0">
  <autoFilter ref="I25:O30" xr:uid="{74B8429D-6943-4BB6-B463-5C29CBDCA7ED}"/>
  <tableColumns count="7">
    <tableColumn id="1" xr3:uid="{3C7DCE73-E29A-4862-8AD5-04CA66FD4133}" name="Players" dataDxfId="117">
      <calculatedColumnFormula>VLOOKUP(I18,teams_americas[#All],2,TRUE)</calculatedColumnFormula>
    </tableColumn>
    <tableColumn id="2" xr3:uid="{0E4C4EDE-6BF3-4567-8F52-AC95D9035BDA}" name="Rating"/>
    <tableColumn id="3" xr3:uid="{E7E7E2E9-952D-4B1E-9F3A-8B66CC6F4065}" name="ACS"/>
    <tableColumn id="5" xr3:uid="{BE773349-F255-4B8A-BD25-676DADED438C}" name="KAST"/>
    <tableColumn id="6" xr3:uid="{A265E545-8974-4219-AC9F-CE648735DF07}" name="HS%"/>
    <tableColumn id="7" xr3:uid="{1575B6EB-98C3-4A99-ACB7-B5EB8DEC4C00}" name="CL%"/>
    <tableColumn id="4" xr3:uid="{11174221-1028-4E84-8861-FB1AD504EE4B}" name="M.Total" dataDxfId="116">
      <calculatedColumnFormula>AVERAGE(players265878[[#This Row],[Rating]],players265878[[#This Row],[ACS]],players265878[[#This Row],[KAST]],players265878[[#This Row],[HS%]],players265878[[#This Row],[CL%]])</calculatedColumnFormula>
    </tableColumn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1936D89D-7A4A-482C-8CB3-55459F2257F5}" name="team275979" displayName="team275979" ref="I22:O23" totalsRowShown="0" headerRowDxfId="115" tableBorderDxfId="114">
  <autoFilter ref="I22:O23" xr:uid="{1936D89D-7A4A-482C-8CB3-55459F2257F5}"/>
  <tableColumns count="7">
    <tableColumn id="1" xr3:uid="{9DE1BC69-397E-4A9A-B93D-4E2B006BAA1C}" name="WINS" dataDxfId="113">
      <calculatedColumnFormula>VLOOKUP(I18,team_stats_americas[#All],2,FALSE)</calculatedColumnFormula>
    </tableColumn>
    <tableColumn id="2" xr3:uid="{F44D90B4-22FF-41A2-ADED-510C7B3BF5D8}" name="LOSS" dataDxfId="112">
      <calculatedColumnFormula>VLOOKUP(I18,team_stats_americas[#All],3,FALSE)</calculatedColumnFormula>
    </tableColumn>
    <tableColumn id="3" xr3:uid="{CB790ADA-D40A-4728-9859-80259455B033}" name="TIES" dataDxfId="111">
      <calculatedColumnFormula>VLOOKUP(I18,team_stats_americas[#All],4,FALSE)</calculatedColumnFormula>
    </tableColumn>
    <tableColumn id="4" xr3:uid="{198B59B8-2B32-41B9-BB1F-C79EEC1EABF5}" name="MAP" dataDxfId="110">
      <calculatedColumnFormula>VLOOKUP(I18,team_stats_americas[#All],5,FALSE)</calculatedColumnFormula>
    </tableColumn>
    <tableColumn id="5" xr3:uid="{F0F18057-97FB-415B-9A66-F5F2FA346825}" name="RND" dataDxfId="109">
      <calculatedColumnFormula>VLOOKUP(I18,team_stats_americas[#All],6,FALSE)</calculatedColumnFormula>
    </tableColumn>
    <tableColumn id="7" xr3:uid="{74A9490A-44DC-41D1-9350-4EC8382183B5}" name="S.MAPS" dataDxfId="108">
      <calculatedColumnFormula>VLOOKUP(I18,team_stats_americas[#All],7,FALSE)</calculatedColumnFormula>
    </tableColumn>
    <tableColumn id="6" xr3:uid="{635A3C84-733F-482A-AE66-C829C4098B23}" name="Players RATING" dataDxfId="107">
      <calculatedColumnFormula>#REF!</calculatedColumnFormula>
    </tableColumn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C4A4274-E3B3-4155-A79E-C075E5FF175A}" name="players26506080" displayName="players26506080" ref="I42:O47" totalsRowShown="0">
  <autoFilter ref="I42:O47" xr:uid="{EC4A4274-E3B3-4155-A79E-C075E5FF175A}"/>
  <tableColumns count="7">
    <tableColumn id="1" xr3:uid="{D7446554-4E0F-432E-870B-B49E8ACFDA3B}" name="Players" dataDxfId="106">
      <calculatedColumnFormula>VLOOKUP(I35,teams_americas[#All],2,TRUE)</calculatedColumnFormula>
    </tableColumn>
    <tableColumn id="2" xr3:uid="{4F5BF47D-7307-4C23-8A1A-8B9BCAF6E89E}" name="Rating"/>
    <tableColumn id="3" xr3:uid="{36811B73-7482-4909-A490-8402EF8B2BBB}" name="ACS"/>
    <tableColumn id="5" xr3:uid="{208B9BC4-AEF4-4AD7-BB53-76137FF6898C}" name="KAST"/>
    <tableColumn id="6" xr3:uid="{C86F2E4F-B073-498F-A68D-83F822F66781}" name="HS%"/>
    <tableColumn id="7" xr3:uid="{CFA177A6-8378-438F-AEFE-2F15145EFB22}" name="CL%"/>
    <tableColumn id="4" xr3:uid="{A8A38B9C-8ED3-4E1A-80FB-37665FF3030D}" name="M.Total" dataDxfId="105">
      <calculatedColumnFormula>AVERAGE(players26506080[[#This Row],[Rating]],players26506080[[#This Row],[ACS]],players26506080[[#This Row],[KAST]],players26506080[[#This Row],[HS%]],players26506080[[#This Row],[CL%]])</calculatedColumnFormula>
    </tableColumn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5CD9D816-34E5-4C14-B2ED-33CAD450E57B}" name="team27516181" displayName="team27516181" ref="I39:O40" totalsRowShown="0" headerRowDxfId="104" tableBorderDxfId="103">
  <autoFilter ref="I39:O40" xr:uid="{5CD9D816-34E5-4C14-B2ED-33CAD450E57B}"/>
  <tableColumns count="7">
    <tableColumn id="1" xr3:uid="{83320724-2A09-4840-A636-AC20B81F351F}" name="WINS" dataDxfId="102">
      <calculatedColumnFormula>VLOOKUP(I35,team_stats_americas[#All],2,FALSE)</calculatedColumnFormula>
    </tableColumn>
    <tableColumn id="2" xr3:uid="{A77D04B0-91B8-4CD9-9971-BEEDA91C04F0}" name="LOSS" dataDxfId="101">
      <calculatedColumnFormula>VLOOKUP(I35,team_stats_americas[#All],3,FALSE)</calculatedColumnFormula>
    </tableColumn>
    <tableColumn id="3" xr3:uid="{0458AF1F-A4AB-466B-AE85-6DEAC0FFDAA4}" name="TIES" dataDxfId="100">
      <calculatedColumnFormula>VLOOKUP(I35,team_stats_americas[#All],4,FALSE)</calculatedColumnFormula>
    </tableColumn>
    <tableColumn id="4" xr3:uid="{2D01309A-8552-4D11-9B57-2382C33D07B0}" name="MAP" dataDxfId="99">
      <calculatedColumnFormula>VLOOKUP(I35,team_stats_americas[#All],5,FALSE)</calculatedColumnFormula>
    </tableColumn>
    <tableColumn id="5" xr3:uid="{056DA330-49E5-4C1B-BF8E-E5315D9C55FA}" name="RND" dataDxfId="98">
      <calculatedColumnFormula>VLOOKUP(I35,team_stats_americas[#All],6,FALSE)</calculatedColumnFormula>
    </tableColumn>
    <tableColumn id="7" xr3:uid="{09AA1925-93FD-4348-BB99-BF0D5C2C0634}" name="S.MAPS" dataDxfId="97">
      <calculatedColumnFormula>VLOOKUP(I35,team_stats_americas[#All],7,FALSE)</calculatedColumnFormula>
    </tableColumn>
    <tableColumn id="6" xr3:uid="{CD572AF9-3F4A-4C22-B756-C1BF7D19E856}" name="Players RATING" dataDxfId="96">
      <calculatedColumnFormula>#REF!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C10A66B-3098-4007-8EAC-1F046F79C638}" name="team27" displayName="team27" ref="D24:J25" totalsRowShown="0" headerRowDxfId="267" tableBorderDxfId="266">
  <autoFilter ref="D24:J25" xr:uid="{4C10A66B-3098-4007-8EAC-1F046F79C638}"/>
  <tableColumns count="7">
    <tableColumn id="1" xr3:uid="{5A36C784-255D-42EE-8AD7-21CCE71D7667}" name="WINS" dataDxfId="258">
      <calculatedColumnFormula>VLOOKUP(D20,team_stats_americas[#All],2,FALSE)</calculatedColumnFormula>
    </tableColumn>
    <tableColumn id="2" xr3:uid="{1C315C33-93F2-447F-A0C6-CAB42E007E38}" name="LOSS" dataDxfId="257">
      <calculatedColumnFormula>VLOOKUP(D20,team_stats_americas[#All],3,FALSE)</calculatedColumnFormula>
    </tableColumn>
    <tableColumn id="3" xr3:uid="{023BCFAA-5543-40FF-B696-65699DDFCF61}" name="TIES" dataDxfId="256">
      <calculatedColumnFormula>VLOOKUP(D20,team_stats_americas[#All],4,FALSE)</calculatedColumnFormula>
    </tableColumn>
    <tableColumn id="4" xr3:uid="{8AB72B41-66BC-4296-A9F1-95EDF66A5801}" name="MAP" dataDxfId="255">
      <calculatedColumnFormula>VLOOKUP(D20,team_stats_americas[#All],5,FALSE)</calculatedColumnFormula>
    </tableColumn>
    <tableColumn id="5" xr3:uid="{2B3C0B26-0271-43BA-B62C-0DDB2974BD0C}" name="RND" dataDxfId="254">
      <calculatedColumnFormula>VLOOKUP(D20,team_stats_americas[#All],6,FALSE)</calculatedColumnFormula>
    </tableColumn>
    <tableColumn id="7" xr3:uid="{A87C5929-2810-4CB9-A170-87D90163BB61}" name="S.MAPS" dataDxfId="253">
      <calculatedColumnFormula>VLOOKUP(D20,team_stats_americas[#All],7,FALSE)</calculatedColumnFormula>
    </tableColumn>
    <tableColumn id="6" xr3:uid="{E2ED77EA-A731-4A3D-AA41-00830A210124}" name="Players RATING" dataDxfId="252">
      <calculatedColumnFormula>E33</calculatedColumnFormula>
    </tableColumn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686C96A-5B83-4E18-BEE5-7E635B5C2C9D}" name="players26526282" displayName="players26526282" ref="I59:O64" totalsRowShown="0">
  <autoFilter ref="I59:O64" xr:uid="{B686C96A-5B83-4E18-BEE5-7E635B5C2C9D}"/>
  <tableColumns count="7">
    <tableColumn id="1" xr3:uid="{FE58CFD5-7709-4063-A860-FF26EA5B3A45}" name="Players" dataDxfId="95">
      <calculatedColumnFormula>VLOOKUP(I52,teams_americas[#All],2,TRUE)</calculatedColumnFormula>
    </tableColumn>
    <tableColumn id="2" xr3:uid="{32A1E1A7-193C-4842-B0C5-38FFD6749823}" name="Rating"/>
    <tableColumn id="3" xr3:uid="{0AB59B8E-6D7C-43DE-A35E-54A360AF9F98}" name="ACS"/>
    <tableColumn id="5" xr3:uid="{A75DCDCD-1FB6-4CEC-A7EF-7AAA9A756540}" name="KAST"/>
    <tableColumn id="6" xr3:uid="{22D2EF70-8729-4FA4-B95D-EC561A620BD2}" name="HS%"/>
    <tableColumn id="7" xr3:uid="{DE3345C6-AEF7-4338-849D-B5AF6AF49C2D}" name="CL%"/>
    <tableColumn id="4" xr3:uid="{0B3EBD6B-2A3C-4E0C-8D8B-4157AD1C8C70}" name="M.Total" dataDxfId="94">
      <calculatedColumnFormula>AVERAGE(players26526282[[#This Row],[Rating]],players26526282[[#This Row],[ACS]],players26526282[[#This Row],[KAST]],players26526282[[#This Row],[HS%]],players26526282[[#This Row],[CL%]])</calculatedColumnFormula>
    </tableColumn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F7626ED-1F6D-4D59-885B-F5173673BEFF}" name="team27536383" displayName="team27536383" ref="I56:O57" totalsRowShown="0" headerRowDxfId="93" tableBorderDxfId="92">
  <autoFilter ref="I56:O57" xr:uid="{0F7626ED-1F6D-4D59-885B-F5173673BEFF}"/>
  <tableColumns count="7">
    <tableColumn id="1" xr3:uid="{0CE33C1E-F9AE-43D3-9349-D83C3F4480C2}" name="WINS" dataDxfId="91">
      <calculatedColumnFormula>VLOOKUP(I52,team_stats_americas[#All],2,FALSE)</calculatedColumnFormula>
    </tableColumn>
    <tableColumn id="2" xr3:uid="{A9332DE3-0CBC-462E-8BD8-0C4167F5AF98}" name="LOSS" dataDxfId="90">
      <calculatedColumnFormula>VLOOKUP(I52,team_stats_americas[#All],3,FALSE)</calculatedColumnFormula>
    </tableColumn>
    <tableColumn id="3" xr3:uid="{41B1FE34-E234-4C2D-AC31-18F46B7A6644}" name="TIES" dataDxfId="89">
      <calculatedColumnFormula>VLOOKUP(I52,team_stats_americas[#All],4,FALSE)</calculatedColumnFormula>
    </tableColumn>
    <tableColumn id="4" xr3:uid="{1CE7272E-8A68-412D-BB98-AD4BB72F997F}" name="MAP" dataDxfId="88">
      <calculatedColumnFormula>VLOOKUP(I52,team_stats_americas[#All],5,FALSE)</calculatedColumnFormula>
    </tableColumn>
    <tableColumn id="5" xr3:uid="{AE4BE5F2-DFA5-4D44-998C-F11888907C5A}" name="RND" dataDxfId="87">
      <calculatedColumnFormula>VLOOKUP(I52,team_stats_americas[#All],6,FALSE)</calculatedColumnFormula>
    </tableColumn>
    <tableColumn id="7" xr3:uid="{4C5A4DA8-BB79-47C7-9516-6586FB3EACA1}" name="S.MAPS" dataDxfId="86">
      <calculatedColumnFormula>VLOOKUP(I52,team_stats_americas[#All],7,FALSE)</calculatedColumnFormula>
    </tableColumn>
    <tableColumn id="6" xr3:uid="{989C338A-16BE-4853-8F3A-C676F9424E18}" name="Players RATING" dataDxfId="85">
      <calculatedColumnFormula>#REF!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BF49E63-5455-46C2-807D-DDD9A3A811F0}" name="players2650" displayName="players2650" ref="D44:J49" totalsRowShown="0">
  <autoFilter ref="D44:J49" xr:uid="{7BF49E63-5455-46C2-807D-DDD9A3A811F0}"/>
  <tableColumns count="7">
    <tableColumn id="1" xr3:uid="{1A14978B-DE48-48F3-97C6-41618E6BC404}" name="Players" dataDxfId="44"/>
    <tableColumn id="2" xr3:uid="{1D7A931A-4C10-456E-A0C6-CBABE502D9D5}" name="Rating" dataDxfId="69">
      <calculatedColumnFormula>VLOOKUP(D45,player_stats[#All],5,FALSE)</calculatedColumnFormula>
    </tableColumn>
    <tableColumn id="3" xr3:uid="{B6B7185E-32DA-416F-92AF-A964459A027D}" name="ACS" dataDxfId="68">
      <calculatedColumnFormula>VLOOKUP(D45,player_stats[#All],6,FALSE)</calculatedColumnFormula>
    </tableColumn>
    <tableColumn id="5" xr3:uid="{7DD5B8B3-678E-4FC5-AC69-2179563113D4}" name="KAST" dataDxfId="67" dataCellStyle="Porcentagem">
      <calculatedColumnFormula>VLOOKUP(D45,player_stats[#All],8,FALSE)</calculatedColumnFormula>
    </tableColumn>
    <tableColumn id="6" xr3:uid="{B5953503-BB5A-404A-BB0C-A8EA33FE6C59}" name="HS%" dataDxfId="21" dataCellStyle="Porcentagem">
      <calculatedColumnFormula>VLOOKUP(D45,player_stats[#All],14,FALSE)</calculatedColumnFormula>
    </tableColumn>
    <tableColumn id="7" xr3:uid="{AEAB9F4F-F455-431E-816F-844BF9789A8E}" name="CL%" dataCellStyle="Porcentagem">
      <calculatedColumnFormula>VLOOKUP(D45,player_stats[#All],15,FALSE)</calculatedColumnFormula>
    </tableColumn>
    <tableColumn id="4" xr3:uid="{269B923B-D4ED-4296-A277-5B492B3A8386}" name="M.Total" dataDxfId="20">
      <calculatedColumnFormula>AVERAGE(players2650[[#This Row],[Rating]],players2650[[#This Row],[ACS]],players2650[[#This Row],[KAST]],players2650[[#This Row],[HS%]],players2650[[#This Row],[CL%]])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30FECA6-D265-4B38-A510-741478DF6094}" name="team2751" displayName="team2751" ref="D41:J42" totalsRowShown="0" headerRowDxfId="251" tableBorderDxfId="250">
  <autoFilter ref="D41:J42" xr:uid="{330FECA6-D265-4B38-A510-741478DF6094}"/>
  <tableColumns count="7">
    <tableColumn id="1" xr3:uid="{39783B94-E594-41A6-8ED8-2A60B95DBEF9}" name="WINS" dataDxfId="249">
      <calculatedColumnFormula>VLOOKUP(D37,team_stats_americas[#All],2,FALSE)</calculatedColumnFormula>
    </tableColumn>
    <tableColumn id="2" xr3:uid="{3D2538C0-C950-47D0-883A-5937E4A76D1D}" name="LOSS" dataDxfId="248">
      <calculatedColumnFormula>VLOOKUP(D37,team_stats_americas[#All],3,FALSE)</calculatedColumnFormula>
    </tableColumn>
    <tableColumn id="3" xr3:uid="{E15FF677-6AD1-40DF-A075-5A66272F1E18}" name="TIES" dataDxfId="247">
      <calculatedColumnFormula>VLOOKUP(D37,team_stats_americas[#All],4,FALSE)</calculatedColumnFormula>
    </tableColumn>
    <tableColumn id="4" xr3:uid="{4C178ABA-C54F-41E6-A737-58A5666D0AEA}" name="MAP" dataDxfId="246">
      <calculatedColumnFormula>VLOOKUP(D37,team_stats_americas[#All],5,FALSE)</calculatedColumnFormula>
    </tableColumn>
    <tableColumn id="5" xr3:uid="{C3A4D6DC-DE7D-4DC4-8053-214020276E62}" name="RND" dataDxfId="245">
      <calculatedColumnFormula>VLOOKUP(D37,team_stats_americas[#All],6,FALSE)</calculatedColumnFormula>
    </tableColumn>
    <tableColumn id="7" xr3:uid="{B0E42EB9-CBFA-4DD4-9FBC-BFF70D601CC8}" name="S.MAPS" dataDxfId="244">
      <calculatedColumnFormula>VLOOKUP(D37,team_stats_americas[#All],7,FALSE)</calculatedColumnFormula>
    </tableColumn>
    <tableColumn id="6" xr3:uid="{3AF35886-6C8A-4B81-BD7B-857063B44A71}" name="Players RATING" dataDxfId="243">
      <calculatedColumnFormula>E50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E0C6197-6D2B-49EB-B2FC-AA50085C774E}" name="players2652" displayName="players2652" ref="D61:J66" totalsRowShown="0">
  <autoFilter ref="D61:J66" xr:uid="{9E0C6197-6D2B-49EB-B2FC-AA50085C774E}"/>
  <sortState xmlns:xlrd2="http://schemas.microsoft.com/office/spreadsheetml/2017/richdata2" ref="D62:J66">
    <sortCondition descending="1" ref="E61:E66"/>
  </sortState>
  <tableColumns count="7">
    <tableColumn id="1" xr3:uid="{6D41507F-8CA4-4C68-9E46-156E642AF31B}" name="Players" dataDxfId="43"/>
    <tableColumn id="2" xr3:uid="{0E207048-54F7-4629-AACF-11C7FD4C222F}" name="Rating" dataDxfId="66">
      <calculatedColumnFormula>VLOOKUP(D62,player_stats[#All],5,FALSE)</calculatedColumnFormula>
    </tableColumn>
    <tableColumn id="3" xr3:uid="{F9A2C6FA-9281-49CD-BBF7-72F22AC55AAF}" name="ACS" dataDxfId="65">
      <calculatedColumnFormula>VLOOKUP(D62,player_stats[#All],6,FALSE)</calculatedColumnFormula>
    </tableColumn>
    <tableColumn id="5" xr3:uid="{1F089457-6CFE-409E-B1EC-CAF79F43B5B5}" name="KAST" dataDxfId="64" dataCellStyle="Porcentagem">
      <calculatedColumnFormula>VLOOKUP(D62,player_stats[#All],8,FALSE)</calculatedColumnFormula>
    </tableColumn>
    <tableColumn id="6" xr3:uid="{F6160C51-DDB2-4CC4-8131-22ED97B1CB36}" name="HS%" dataDxfId="42" dataCellStyle="Porcentagem">
      <calculatedColumnFormula>VLOOKUP(D62,player_stats[#All],14,FALSE)</calculatedColumnFormula>
    </tableColumn>
    <tableColumn id="7" xr3:uid="{C72969E9-7804-49A2-B06D-E23D8AA97370}" name="CL%" dataCellStyle="Porcentagem">
      <calculatedColumnFormula>VLOOKUP(D62,player_stats[#All],15,FALSE)</calculatedColumnFormula>
    </tableColumn>
    <tableColumn id="4" xr3:uid="{A26B5918-2CB8-42B5-A028-B6039E00A817}" name="M.Total" dataDxfId="41">
      <calculatedColumnFormula>AVERAGE(players2652[[#This Row],[Rating]],players2652[[#This Row],[ACS]],players2652[[#This Row],[KAST]],players2652[[#This Row],[HS%]],players2652[[#This Row],[CL%]])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DBBE07-060D-449E-A85A-18CB170AB972}" name="team2753" displayName="team2753" ref="D58:J59" totalsRowShown="0" headerRowDxfId="242" tableBorderDxfId="241">
  <autoFilter ref="D58:J59" xr:uid="{F2DBBE07-060D-449E-A85A-18CB170AB972}"/>
  <tableColumns count="7">
    <tableColumn id="1" xr3:uid="{746E40C8-3555-4735-93F3-CA6DE6142946}" name="WINS" dataDxfId="240">
      <calculatedColumnFormula>VLOOKUP(D54,team_stats_americas[#All],2,FALSE)</calculatedColumnFormula>
    </tableColumn>
    <tableColumn id="2" xr3:uid="{55902019-35C4-4AD5-930B-3DC668C3C1C9}" name="LOSS" dataDxfId="239">
      <calculatedColumnFormula>VLOOKUP(D54,team_stats_americas[#All],3,FALSE)</calculatedColumnFormula>
    </tableColumn>
    <tableColumn id="3" xr3:uid="{F884A63C-9C6D-4055-865D-D65AC71090B4}" name="TIES" dataDxfId="238">
      <calculatedColumnFormula>VLOOKUP(D54,team_stats_americas[#All],4,FALSE)</calculatedColumnFormula>
    </tableColumn>
    <tableColumn id="4" xr3:uid="{C503A291-728E-44F0-B381-630DF70FFEB8}" name="MAP" dataDxfId="237">
      <calculatedColumnFormula>VLOOKUP(D54,team_stats_americas[#All],5,FALSE)</calculatedColumnFormula>
    </tableColumn>
    <tableColumn id="5" xr3:uid="{A11F3BA3-4C4E-4621-8EAF-906311FFE173}" name="RND" dataDxfId="236">
      <calculatedColumnFormula>VLOOKUP(D54,team_stats_americas[#All],6,FALSE)</calculatedColumnFormula>
    </tableColumn>
    <tableColumn id="7" xr3:uid="{4707E870-6C37-48EB-8C8D-9ED3187AF3E6}" name="S.MAPS" dataDxfId="235">
      <calculatedColumnFormula>VLOOKUP(D54,team_stats_americas[#All],7,FALSE)</calculatedColumnFormula>
    </tableColumn>
    <tableColumn id="6" xr3:uid="{DD56FDCC-F1B0-4786-BBA2-416D8AB85D95}" name="Players RATING" dataDxfId="234">
      <calculatedColumnFormula>E67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04B7C37-9303-409C-B726-5CFB7C894846}" name="players2654" displayName="players2654" ref="D78:J83" totalsRowShown="0">
  <autoFilter ref="D78:J83" xr:uid="{E04B7C37-9303-409C-B726-5CFB7C894846}"/>
  <tableColumns count="7">
    <tableColumn id="1" xr3:uid="{0B360217-25F3-4BD5-AF2E-7BB1BBC3AB11}" name="Players" dataDxfId="40"/>
    <tableColumn id="2" xr3:uid="{32A9DF0D-4D08-4492-8E8D-EB04D17F1770}" name="Rating" dataDxfId="63">
      <calculatedColumnFormula>VLOOKUP(D79,player_stats[#All],5,FALSE)</calculatedColumnFormula>
    </tableColumn>
    <tableColumn id="3" xr3:uid="{B911673A-E8F9-44A7-9E1B-88EBF7BFD994}" name="ACS" dataDxfId="62">
      <calculatedColumnFormula>VLOOKUP(D79,player_stats[#All],6,FALSE)</calculatedColumnFormula>
    </tableColumn>
    <tableColumn id="5" xr3:uid="{CF29A537-2DDF-47EF-8BE8-919DFB0FF5F5}" name="KAST" dataDxfId="61" dataCellStyle="Porcentagem">
      <calculatedColumnFormula>VLOOKUP(D79,player_stats[#All],8,FALSE)</calculatedColumnFormula>
    </tableColumn>
    <tableColumn id="6" xr3:uid="{E64359A1-8C86-4F5B-B2F7-8DE5C50E846B}" name="HS%" dataDxfId="39" dataCellStyle="Porcentagem">
      <calculatedColumnFormula>VLOOKUP(D79,player_stats[#All],14,FALSE)</calculatedColumnFormula>
    </tableColumn>
    <tableColumn id="7" xr3:uid="{4BC85C33-ECC7-4414-970C-A1AD8EAC16BB}" name="CL%" dataCellStyle="Porcentagem">
      <calculatedColumnFormula>VLOOKUP(D79,player_stats[#All],15,FALSE)</calculatedColumnFormula>
    </tableColumn>
    <tableColumn id="4" xr3:uid="{C39BAE21-4C4D-49DB-8A65-92843EB17F67}" name="M.Total" dataDxfId="38">
      <calculatedColumnFormula>AVERAGE(players2654[[#This Row],[Rating]],players2654[[#This Row],[ACS]],players2654[[#This Row],[KAST]],players2654[[#This Row],[HS%]],players2654[[#This Row],[CL%]])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18" Type="http://schemas.openxmlformats.org/officeDocument/2006/relationships/table" Target="../tables/table4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17" Type="http://schemas.openxmlformats.org/officeDocument/2006/relationships/table" Target="../tables/table40.xml"/><Relationship Id="rId2" Type="http://schemas.openxmlformats.org/officeDocument/2006/relationships/table" Target="../tables/table25.xml"/><Relationship Id="rId16" Type="http://schemas.openxmlformats.org/officeDocument/2006/relationships/table" Target="../tables/table39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5" Type="http://schemas.openxmlformats.org/officeDocument/2006/relationships/table" Target="../tables/table3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Relationship Id="rId1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0"/>
  <sheetViews>
    <sheetView zoomScale="85" zoomScaleNormal="85" workbookViewId="0">
      <selection activeCell="Q25" sqref="Q25"/>
    </sheetView>
  </sheetViews>
  <sheetFormatPr defaultRowHeight="15" x14ac:dyDescent="0.25"/>
  <cols>
    <col min="1" max="3" width="9.140625" style="1"/>
    <col min="4" max="9" width="15.7109375" customWidth="1"/>
    <col min="10" max="18" width="15.7109375" style="1" customWidth="1"/>
    <col min="19" max="19" width="9.140625" style="1"/>
  </cols>
  <sheetData>
    <row r="1" spans="1:19" s="1" customFormat="1" x14ac:dyDescent="0.25"/>
    <row r="2" spans="1:19" s="1" customFormat="1" ht="15.75" thickBot="1" x14ac:dyDescent="0.3"/>
    <row r="3" spans="1:19" ht="15" customHeight="1" x14ac:dyDescent="0.25">
      <c r="D3" s="6" t="s">
        <v>66</v>
      </c>
      <c r="E3" s="7"/>
      <c r="F3" s="7"/>
      <c r="G3" s="7"/>
      <c r="H3" s="7"/>
      <c r="I3" s="7"/>
      <c r="J3" s="8"/>
      <c r="L3" s="6" t="s">
        <v>76</v>
      </c>
      <c r="M3" s="7"/>
      <c r="N3" s="7"/>
      <c r="O3" s="7"/>
      <c r="P3" s="7"/>
      <c r="Q3" s="7"/>
      <c r="R3" s="8"/>
    </row>
    <row r="4" spans="1:19" ht="15" customHeight="1" x14ac:dyDescent="0.25">
      <c r="D4" s="9"/>
      <c r="E4" s="18"/>
      <c r="F4" s="18"/>
      <c r="G4" s="18"/>
      <c r="H4" s="18"/>
      <c r="I4" s="18"/>
      <c r="J4" s="10"/>
      <c r="L4" s="9"/>
      <c r="M4" s="18"/>
      <c r="N4" s="18"/>
      <c r="O4" s="18"/>
      <c r="P4" s="18"/>
      <c r="Q4" s="18"/>
      <c r="R4" s="10"/>
    </row>
    <row r="5" spans="1:19" ht="15" customHeight="1" thickBot="1" x14ac:dyDescent="0.3">
      <c r="D5" s="11"/>
      <c r="E5" s="12"/>
      <c r="F5" s="12"/>
      <c r="G5" s="12"/>
      <c r="H5" s="12"/>
      <c r="I5" s="12"/>
      <c r="J5" s="13"/>
      <c r="L5" s="11"/>
      <c r="M5" s="12"/>
      <c r="N5" s="12"/>
      <c r="O5" s="12"/>
      <c r="P5" s="12"/>
      <c r="Q5" s="12"/>
      <c r="R5" s="13"/>
    </row>
    <row r="6" spans="1:19" s="19" customFormat="1" ht="7.5" customHeight="1" x14ac:dyDescent="0.25">
      <c r="D6" s="23"/>
      <c r="E6" s="23"/>
      <c r="F6" s="23"/>
      <c r="G6" s="23"/>
      <c r="H6" s="23"/>
      <c r="I6" s="23"/>
      <c r="L6" s="23"/>
      <c r="M6" s="23"/>
      <c r="N6" s="23"/>
      <c r="O6" s="23"/>
      <c r="P6" s="23"/>
      <c r="Q6" s="23"/>
    </row>
    <row r="7" spans="1:19" s="33" customFormat="1" ht="15" customHeight="1" x14ac:dyDescent="0.25">
      <c r="A7" s="14"/>
      <c r="B7" s="14"/>
      <c r="C7" s="14"/>
      <c r="D7" s="15" t="s">
        <v>6</v>
      </c>
      <c r="E7" s="31" t="s">
        <v>7</v>
      </c>
      <c r="F7" s="31" t="s">
        <v>8</v>
      </c>
      <c r="G7" s="31" t="s">
        <v>5</v>
      </c>
      <c r="H7" s="31" t="s">
        <v>2</v>
      </c>
      <c r="I7" s="32" t="s">
        <v>10</v>
      </c>
      <c r="J7" s="32" t="s">
        <v>11</v>
      </c>
      <c r="K7" s="14"/>
      <c r="L7" s="15" t="s">
        <v>6</v>
      </c>
      <c r="M7" s="31" t="s">
        <v>7</v>
      </c>
      <c r="N7" s="31" t="s">
        <v>8</v>
      </c>
      <c r="O7" s="31" t="s">
        <v>5</v>
      </c>
      <c r="P7" s="31" t="s">
        <v>2</v>
      </c>
      <c r="Q7" s="32" t="s">
        <v>10</v>
      </c>
      <c r="R7" s="32" t="s">
        <v>11</v>
      </c>
      <c r="S7" s="14"/>
    </row>
    <row r="8" spans="1:19" s="30" customFormat="1" ht="15" customHeight="1" x14ac:dyDescent="0.25">
      <c r="A8" s="5"/>
      <c r="B8" s="5"/>
      <c r="C8" s="5"/>
      <c r="D8" s="22">
        <f>VLOOKUP(D3,team_stats_americas[#All],2,FALSE)</f>
        <v>4</v>
      </c>
      <c r="E8" s="27">
        <f>VLOOKUP(D3,team_stats_americas[#All],3,FALSE)</f>
        <v>0</v>
      </c>
      <c r="F8" s="27">
        <f>VLOOKUP(D3,team_stats_americas[#All],4,FALSE)</f>
        <v>0</v>
      </c>
      <c r="G8" s="28">
        <f>VLOOKUP(D3,team_stats_americas[#All],5,FALSE)</f>
        <v>44993</v>
      </c>
      <c r="H8" s="27" t="str">
        <f>VLOOKUP(D3,team_stats_americas[#All],6,FALSE)</f>
        <v>128/102</v>
      </c>
      <c r="I8" s="29">
        <f>VLOOKUP(D3,team_stats_americas[#All],7,FALSE)</f>
        <v>26</v>
      </c>
      <c r="J8" s="43">
        <f>E16</f>
        <v>109.4</v>
      </c>
      <c r="K8" s="5"/>
      <c r="L8" s="22">
        <f>VLOOKUP(L3,team_stats_americas[#All],2,FALSE)</f>
        <v>2</v>
      </c>
      <c r="M8" s="27">
        <f>VLOOKUP(L3,team_stats_americas[#All],3,FALSE)</f>
        <v>3</v>
      </c>
      <c r="N8" s="27">
        <f>VLOOKUP(L3,team_stats_americas[#All],4,FALSE)</f>
        <v>0</v>
      </c>
      <c r="O8" s="28">
        <f>VLOOKUP(L3,team_stats_americas[#All],5,FALSE)</f>
        <v>45113</v>
      </c>
      <c r="P8" s="27" t="str">
        <f>VLOOKUP(L3,team_stats_americas[#All],6,FALSE)</f>
        <v>138/144</v>
      </c>
      <c r="Q8" s="29">
        <f>VLOOKUP(L3,team_stats_americas[#All],7,FALSE)</f>
        <v>-6</v>
      </c>
      <c r="R8" s="37">
        <f>M16</f>
        <v>88.4</v>
      </c>
      <c r="S8" s="5"/>
    </row>
    <row r="9" spans="1:19" ht="15" customHeight="1" x14ac:dyDescent="0.25">
      <c r="D9" s="5"/>
      <c r="E9" s="4"/>
      <c r="F9" s="4"/>
      <c r="G9" s="4"/>
      <c r="H9" s="4"/>
      <c r="I9" s="4"/>
      <c r="L9" s="5"/>
      <c r="M9" s="4"/>
      <c r="N9" s="4"/>
      <c r="O9" s="4"/>
      <c r="P9" s="4"/>
      <c r="Q9" s="4"/>
    </row>
    <row r="10" spans="1:19" x14ac:dyDescent="0.25">
      <c r="D10" s="3" t="s">
        <v>3</v>
      </c>
      <c r="E10" t="s">
        <v>4</v>
      </c>
      <c r="F10" t="s">
        <v>0</v>
      </c>
      <c r="G10" t="s">
        <v>1</v>
      </c>
      <c r="H10" t="s">
        <v>16</v>
      </c>
      <c r="I10" t="s">
        <v>15</v>
      </c>
      <c r="J10" s="2" t="s">
        <v>9</v>
      </c>
      <c r="L10" s="3" t="s">
        <v>3</v>
      </c>
      <c r="M10" t="s">
        <v>4</v>
      </c>
      <c r="N10" t="s">
        <v>0</v>
      </c>
      <c r="O10" t="s">
        <v>1</v>
      </c>
      <c r="P10" t="s">
        <v>16</v>
      </c>
      <c r="Q10" t="s">
        <v>15</v>
      </c>
      <c r="R10" s="2" t="s">
        <v>9</v>
      </c>
    </row>
    <row r="11" spans="1:19" x14ac:dyDescent="0.25">
      <c r="D11" s="3" t="s">
        <v>20</v>
      </c>
      <c r="E11" s="35">
        <f>VLOOKUP(D11,player_stats[#All],5,FALSE)</f>
        <v>93</v>
      </c>
      <c r="F11" s="35">
        <f>VLOOKUP(D11,player_stats[#All],6,FALSE)</f>
        <v>1835</v>
      </c>
      <c r="G11" s="39">
        <f>VLOOKUP(D11,player_stats[#All],8,FALSE)</f>
        <v>0.72</v>
      </c>
      <c r="H11" s="39">
        <f>VLOOKUP(D11,player_stats[#All],14,FALSE)</f>
        <v>0.21</v>
      </c>
      <c r="I11" s="39">
        <f>VLOOKUP(D11,player_stats[#All],15,FALSE)</f>
        <v>0.18</v>
      </c>
      <c r="J11" s="2">
        <f>AVERAGE(players[[#This Row],[Rating]],players[[#This Row],[ACS]],players[[#This Row],[KAST]],players[[#This Row],[HS%]],players[[#This Row],[CL%]])</f>
        <v>385.822</v>
      </c>
      <c r="L11" s="3" t="s">
        <v>150</v>
      </c>
      <c r="M11" s="35">
        <f>VLOOKUP(L11,player_stats[#All],5,FALSE)</f>
        <v>112</v>
      </c>
      <c r="N11" s="35">
        <f>VLOOKUP(L11,player_stats[#All],6,FALSE)</f>
        <v>2496</v>
      </c>
      <c r="O11" s="39">
        <f>VLOOKUP(L11,player_stats[#All],8,FALSE)</f>
        <v>0.73</v>
      </c>
      <c r="P11" s="39">
        <f>VLOOKUP(L11,player_stats[#All],14,FALSE)</f>
        <v>0.23</v>
      </c>
      <c r="Q11" s="39">
        <f>VLOOKUP(L11,player_stats[#All],15,FALSE)</f>
        <v>0.25</v>
      </c>
      <c r="R11" s="2">
        <f>AVERAGE(players56[[#This Row],[Rating]],players56[[#This Row],[ACS]],players56[[#This Row],[KAST]],players56[[#This Row],[HS%]],players56[[#This Row],[CL%]])</f>
        <v>521.84199999999998</v>
      </c>
    </row>
    <row r="12" spans="1:19" x14ac:dyDescent="0.25">
      <c r="D12" s="3" t="s">
        <v>21</v>
      </c>
      <c r="E12" s="35">
        <f>VLOOKUP(D12,player_stats[#All],5,FALSE)</f>
        <v>103</v>
      </c>
      <c r="F12" s="35">
        <f>VLOOKUP(D12,player_stats[#All],6,FALSE)</f>
        <v>1663</v>
      </c>
      <c r="G12" s="39">
        <f>VLOOKUP(D12,player_stats[#All],8,FALSE)</f>
        <v>0.82</v>
      </c>
      <c r="H12" s="39">
        <f>VLOOKUP(D12,player_stats[#All],14,FALSE)</f>
        <v>0.25</v>
      </c>
      <c r="I12" s="39">
        <f>VLOOKUP(D12,player_stats[#All],15,FALSE)</f>
        <v>0.14000000000000001</v>
      </c>
      <c r="J12" s="2">
        <f>AVERAGE(players[[#This Row],[Rating]],players[[#This Row],[ACS]],players[[#This Row],[KAST]],players[[#This Row],[HS%]],players[[#This Row],[CL%]])</f>
        <v>353.44200000000001</v>
      </c>
      <c r="L12" s="3" t="s">
        <v>146</v>
      </c>
      <c r="M12" s="35">
        <f>VLOOKUP(L12,player_stats[#All],5,FALSE)</f>
        <v>124</v>
      </c>
      <c r="N12" s="35">
        <f>VLOOKUP(L12,player_stats[#All],6,FALSE)</f>
        <v>2494</v>
      </c>
      <c r="O12" s="39">
        <f>VLOOKUP(L12,player_stats[#All],8,FALSE)</f>
        <v>0.75</v>
      </c>
      <c r="P12" s="39">
        <f>VLOOKUP(L12,player_stats[#All],14,FALSE)</f>
        <v>0.33</v>
      </c>
      <c r="Q12" s="39">
        <f>VLOOKUP(L12,player_stats[#All],15,FALSE)</f>
        <v>0.2</v>
      </c>
      <c r="R12" s="2">
        <f>AVERAGE(players56[[#This Row],[Rating]],players56[[#This Row],[ACS]],players56[[#This Row],[KAST]],players56[[#This Row],[HS%]],players56[[#This Row],[CL%]])</f>
        <v>523.85599999999999</v>
      </c>
    </row>
    <row r="13" spans="1:19" x14ac:dyDescent="0.25">
      <c r="D13" s="3" t="s">
        <v>22</v>
      </c>
      <c r="E13" s="35">
        <f>VLOOKUP(D13,player_stats[#All],5,FALSE)</f>
        <v>109</v>
      </c>
      <c r="F13" s="35">
        <f>VLOOKUP(D13,player_stats[#All],6,FALSE)</f>
        <v>2173</v>
      </c>
      <c r="G13" s="39">
        <f>VLOOKUP(D13,player_stats[#All],8,FALSE)</f>
        <v>0.78</v>
      </c>
      <c r="H13" s="39">
        <f>VLOOKUP(D13,player_stats[#All],14,FALSE)</f>
        <v>0.2</v>
      </c>
      <c r="I13" s="39">
        <f>VLOOKUP(D13,player_stats[#All],15,FALSE)</f>
        <v>0.24</v>
      </c>
      <c r="J13" s="2">
        <f>AVERAGE(players[[#This Row],[Rating]],players[[#This Row],[ACS]],players[[#This Row],[KAST]],players[[#This Row],[HS%]],players[[#This Row],[CL%]])</f>
        <v>456.64399999999995</v>
      </c>
      <c r="L13" s="3" t="s">
        <v>147</v>
      </c>
      <c r="M13" s="35">
        <f>VLOOKUP(L13,player_stats[#All],5,FALSE)</f>
        <v>103</v>
      </c>
      <c r="N13" s="35">
        <f>VLOOKUP(L13,player_stats[#All],6,FALSE)</f>
        <v>2119</v>
      </c>
      <c r="O13" s="39">
        <f>VLOOKUP(L13,player_stats[#All],8,FALSE)</f>
        <v>0.73</v>
      </c>
      <c r="P13" s="39">
        <f>VLOOKUP(L13,player_stats[#All],14,FALSE)</f>
        <v>0.32</v>
      </c>
      <c r="Q13" s="39">
        <f>VLOOKUP(L13,player_stats[#All],15,FALSE)</f>
        <v>0.18</v>
      </c>
      <c r="R13" s="2">
        <f>AVERAGE(players56[[#This Row],[Rating]],players56[[#This Row],[ACS]],players56[[#This Row],[KAST]],players56[[#This Row],[HS%]],players56[[#This Row],[CL%]])</f>
        <v>444.64600000000002</v>
      </c>
    </row>
    <row r="14" spans="1:19" x14ac:dyDescent="0.25">
      <c r="D14" s="3" t="s">
        <v>23</v>
      </c>
      <c r="E14" s="35">
        <f>VLOOKUP(D14,player_stats[#All],5,FALSE)</f>
        <v>109</v>
      </c>
      <c r="F14" s="35">
        <f>VLOOKUP(D14,player_stats[#All],6,FALSE)</f>
        <v>2178</v>
      </c>
      <c r="G14" s="39">
        <f>VLOOKUP(D14,player_stats[#All],8,FALSE)</f>
        <v>0.74</v>
      </c>
      <c r="H14" s="39">
        <f>VLOOKUP(D14,player_stats[#All],14,FALSE)</f>
        <v>0.23</v>
      </c>
      <c r="I14" s="39">
        <f>VLOOKUP(D14,player_stats[#All],15,FALSE)</f>
        <v>0.11</v>
      </c>
      <c r="J14" s="2">
        <f>AVERAGE(players[[#This Row],[Rating]],players[[#This Row],[ACS]],players[[#This Row],[KAST]],players[[#This Row],[HS%]],players[[#This Row],[CL%]])</f>
        <v>457.61599999999999</v>
      </c>
      <c r="L14" s="3" t="s">
        <v>148</v>
      </c>
      <c r="M14" s="35">
        <f>VLOOKUP(L14,player_stats[#All],5,FALSE)</f>
        <v>95</v>
      </c>
      <c r="N14" s="35">
        <f>VLOOKUP(L14,player_stats[#All],6,FALSE)</f>
        <v>1768</v>
      </c>
      <c r="O14" s="39">
        <f>VLOOKUP(L14,player_stats[#All],8,FALSE)</f>
        <v>0.72</v>
      </c>
      <c r="P14" s="39">
        <f>VLOOKUP(L14,player_stats[#All],14,FALSE)</f>
        <v>0.23</v>
      </c>
      <c r="Q14" s="39">
        <f>VLOOKUP(L14,player_stats[#All],15,FALSE)</f>
        <v>0.15</v>
      </c>
      <c r="R14" s="2">
        <f>AVERAGE(players56[[#This Row],[Rating]],players56[[#This Row],[ACS]],players56[[#This Row],[KAST]],players56[[#This Row],[HS%]],players56[[#This Row],[CL%]])</f>
        <v>372.82000000000005</v>
      </c>
    </row>
    <row r="15" spans="1:19" ht="15.75" thickBot="1" x14ac:dyDescent="0.3">
      <c r="D15" s="3" t="s">
        <v>24</v>
      </c>
      <c r="E15" s="35">
        <f>VLOOKUP(D15,player_stats[#All],5,FALSE)</f>
        <v>133</v>
      </c>
      <c r="F15" s="35">
        <f>VLOOKUP(D15,player_stats[#All],6,FALSE)</f>
        <v>2693</v>
      </c>
      <c r="G15" s="39">
        <f>VLOOKUP(D15,player_stats[#All],8,FALSE)</f>
        <v>0.79</v>
      </c>
      <c r="H15" s="39">
        <f>VLOOKUP(D15,player_stats[#All],14,FALSE)</f>
        <v>0.24</v>
      </c>
      <c r="I15" s="39">
        <f>VLOOKUP(D15,player_stats[#All],15,FALSE)</f>
        <v>0.22</v>
      </c>
      <c r="J15" s="2">
        <f>AVERAGE(players[[#This Row],[Rating]],players[[#This Row],[ACS]],players[[#This Row],[KAST]],players[[#This Row],[HS%]],players[[#This Row],[CL%]])</f>
        <v>565.44999999999993</v>
      </c>
      <c r="L15" s="3" t="s">
        <v>149</v>
      </c>
      <c r="M15" s="35">
        <f>VLOOKUP(L15,player_stats[#All],5,FALSE)</f>
        <v>8</v>
      </c>
      <c r="N15" s="35">
        <f>VLOOKUP(L15,player_stats[#All],6,FALSE)</f>
        <v>1522</v>
      </c>
      <c r="O15" s="39">
        <f>VLOOKUP(L15,player_stats[#All],8,FALSE)</f>
        <v>0.69</v>
      </c>
      <c r="P15" s="39">
        <f>VLOOKUP(L15,player_stats[#All],14,FALSE)</f>
        <v>0.23</v>
      </c>
      <c r="Q15" s="39">
        <f>VLOOKUP(L15,player_stats[#All],15,FALSE)</f>
        <v>0.23</v>
      </c>
      <c r="R15" s="2">
        <f>AVERAGE(players56[[#This Row],[Rating]],players56[[#This Row],[ACS]],players56[[#This Row],[KAST]],players56[[#This Row],[HS%]],players56[[#This Row],[CL%]])</f>
        <v>306.23</v>
      </c>
    </row>
    <row r="16" spans="1:19" x14ac:dyDescent="0.25">
      <c r="D16" s="20" t="s">
        <v>17</v>
      </c>
      <c r="E16" s="38">
        <f>AVERAGE(players[Rating])</f>
        <v>109.4</v>
      </c>
      <c r="F16" s="24">
        <f>AVERAGE(players[ACS])</f>
        <v>2108.4</v>
      </c>
      <c r="G16" s="40">
        <f>AVERAGE(players[KAST])</f>
        <v>0.77000000000000013</v>
      </c>
      <c r="H16" s="40">
        <f>AVERAGE(players[HS%])</f>
        <v>0.22599999999999998</v>
      </c>
      <c r="I16" s="40">
        <f>AVERAGE(players[CL%])</f>
        <v>0.17799999999999999</v>
      </c>
      <c r="J16" s="21"/>
      <c r="L16" s="20" t="s">
        <v>17</v>
      </c>
      <c r="M16" s="36">
        <f>AVERAGE(players56[Rating])</f>
        <v>88.4</v>
      </c>
      <c r="N16" s="24">
        <f>AVERAGE(players56[ACS])</f>
        <v>2079.8000000000002</v>
      </c>
      <c r="O16" s="40">
        <f>AVERAGE(players56[KAST])</f>
        <v>0.72399999999999998</v>
      </c>
      <c r="P16" s="40">
        <f>AVERAGE(players56[HS%])</f>
        <v>0.26800000000000002</v>
      </c>
      <c r="Q16" s="40">
        <f>AVERAGE(players56[CL%])</f>
        <v>0.20200000000000001</v>
      </c>
      <c r="R16" s="21"/>
    </row>
    <row r="17" spans="4:18" s="1" customFormat="1" x14ac:dyDescent="0.25"/>
    <row r="18" spans="4:18" s="1" customFormat="1" x14ac:dyDescent="0.25"/>
    <row r="19" spans="4:18" s="1" customFormat="1" ht="15.75" thickBot="1" x14ac:dyDescent="0.3"/>
    <row r="20" spans="4:18" s="1" customFormat="1" x14ac:dyDescent="0.25">
      <c r="D20" s="6" t="s">
        <v>68</v>
      </c>
      <c r="E20" s="7"/>
      <c r="F20" s="7"/>
      <c r="G20" s="7"/>
      <c r="H20" s="7"/>
      <c r="I20" s="7"/>
      <c r="J20" s="8"/>
      <c r="L20" s="6" t="s">
        <v>78</v>
      </c>
      <c r="M20" s="7"/>
      <c r="N20" s="7"/>
      <c r="O20" s="7"/>
      <c r="P20" s="7"/>
      <c r="Q20" s="7"/>
      <c r="R20" s="8"/>
    </row>
    <row r="21" spans="4:18" s="1" customFormat="1" x14ac:dyDescent="0.25">
      <c r="D21" s="9"/>
      <c r="E21" s="18"/>
      <c r="F21" s="18"/>
      <c r="G21" s="18"/>
      <c r="H21" s="18"/>
      <c r="I21" s="18"/>
      <c r="J21" s="10"/>
      <c r="L21" s="9"/>
      <c r="M21" s="18"/>
      <c r="N21" s="18"/>
      <c r="O21" s="18"/>
      <c r="P21" s="18"/>
      <c r="Q21" s="18"/>
      <c r="R21" s="10"/>
    </row>
    <row r="22" spans="4:18" s="1" customFormat="1" ht="15.75" thickBot="1" x14ac:dyDescent="0.3">
      <c r="D22" s="11"/>
      <c r="E22" s="12"/>
      <c r="F22" s="12"/>
      <c r="G22" s="12"/>
      <c r="H22" s="12"/>
      <c r="I22" s="12"/>
      <c r="J22" s="13"/>
      <c r="L22" s="11"/>
      <c r="M22" s="12"/>
      <c r="N22" s="12"/>
      <c r="O22" s="12"/>
      <c r="P22" s="12"/>
      <c r="Q22" s="12"/>
      <c r="R22" s="13"/>
    </row>
    <row r="23" spans="4:18" s="1" customFormat="1" ht="23.25" x14ac:dyDescent="0.25">
      <c r="D23" s="23"/>
      <c r="E23" s="23"/>
      <c r="F23" s="23"/>
      <c r="G23" s="23"/>
      <c r="H23" s="23"/>
      <c r="I23" s="23"/>
      <c r="J23" s="19"/>
      <c r="L23" s="23"/>
      <c r="M23" s="23"/>
      <c r="N23" s="23"/>
      <c r="O23" s="23"/>
      <c r="P23" s="23"/>
      <c r="Q23" s="23"/>
      <c r="R23" s="19"/>
    </row>
    <row r="24" spans="4:18" s="1" customFormat="1" x14ac:dyDescent="0.25">
      <c r="D24" s="15" t="s">
        <v>6</v>
      </c>
      <c r="E24" s="16" t="s">
        <v>7</v>
      </c>
      <c r="F24" s="16" t="s">
        <v>8</v>
      </c>
      <c r="G24" s="16" t="s">
        <v>5</v>
      </c>
      <c r="H24" s="16" t="s">
        <v>2</v>
      </c>
      <c r="I24" s="17" t="s">
        <v>10</v>
      </c>
      <c r="J24" s="17" t="s">
        <v>11</v>
      </c>
      <c r="L24" s="15" t="s">
        <v>6</v>
      </c>
      <c r="M24" s="16" t="s">
        <v>7</v>
      </c>
      <c r="N24" s="16" t="s">
        <v>8</v>
      </c>
      <c r="O24" s="16" t="s">
        <v>5</v>
      </c>
      <c r="P24" s="16" t="s">
        <v>2</v>
      </c>
      <c r="Q24" s="17" t="s">
        <v>10</v>
      </c>
      <c r="R24" s="17" t="s">
        <v>11</v>
      </c>
    </row>
    <row r="25" spans="4:18" s="1" customFormat="1" x14ac:dyDescent="0.25">
      <c r="D25" s="22">
        <f>VLOOKUP(D20,team_stats_americas[#All],2,FALSE)</f>
        <v>3</v>
      </c>
      <c r="E25" s="27">
        <f>VLOOKUP(D20,team_stats_americas[#All],3,FALSE)</f>
        <v>1</v>
      </c>
      <c r="F25" s="27">
        <f>VLOOKUP(D20,team_stats_americas[#All],4,FALSE)</f>
        <v>0</v>
      </c>
      <c r="G25" s="28">
        <f>VLOOKUP(D20,team_stats_americas[#All],5,FALSE)</f>
        <v>44992</v>
      </c>
      <c r="H25" s="27" t="str">
        <f>VLOOKUP(D20,team_stats_americas[#All],6,FALSE)</f>
        <v>118/88</v>
      </c>
      <c r="I25" s="29">
        <f>VLOOKUP(D20,team_stats_americas[#All],7,FALSE)</f>
        <v>30</v>
      </c>
      <c r="J25" s="37">
        <f>E33</f>
        <v>92</v>
      </c>
      <c r="L25" s="22">
        <f>VLOOKUP(L20,team_stats_americas[#All],2,FALSE)</f>
        <v>2</v>
      </c>
      <c r="M25" s="27">
        <f>VLOOKUP(L20,team_stats_americas[#All],3,FALSE)</f>
        <v>3</v>
      </c>
      <c r="N25" s="27">
        <f>VLOOKUP(L20,team_stats_americas[#All],4,FALSE)</f>
        <v>0</v>
      </c>
      <c r="O25" s="28">
        <f>VLOOKUP(L20,team_stats_americas[#All],5,FALSE)</f>
        <v>45143</v>
      </c>
      <c r="P25" s="27" t="str">
        <f>VLOOKUP(L20,team_stats_americas[#All],6,FALSE)</f>
        <v>126/165</v>
      </c>
      <c r="Q25" s="29">
        <f>VLOOKUP(L20,team_stats_americas[#All],7,FALSE)</f>
        <v>-39</v>
      </c>
      <c r="R25" s="37">
        <f>M33</f>
        <v>92.8</v>
      </c>
    </row>
    <row r="26" spans="4:18" s="1" customFormat="1" x14ac:dyDescent="0.25">
      <c r="D26" s="5"/>
      <c r="E26" s="4"/>
      <c r="F26" s="4"/>
      <c r="G26" s="4"/>
      <c r="H26" s="4"/>
      <c r="I26" s="4"/>
      <c r="L26" s="5"/>
      <c r="M26" s="4"/>
      <c r="N26" s="4"/>
      <c r="O26" s="4"/>
      <c r="P26" s="4"/>
      <c r="Q26" s="4"/>
    </row>
    <row r="27" spans="4:18" s="1" customFormat="1" x14ac:dyDescent="0.25">
      <c r="D27" s="3" t="s">
        <v>3</v>
      </c>
      <c r="E27" t="s">
        <v>4</v>
      </c>
      <c r="F27" t="s">
        <v>0</v>
      </c>
      <c r="G27" t="s">
        <v>1</v>
      </c>
      <c r="H27" t="s">
        <v>16</v>
      </c>
      <c r="I27" t="s">
        <v>15</v>
      </c>
      <c r="J27" s="2" t="s">
        <v>9</v>
      </c>
      <c r="L27" s="3" t="s">
        <v>3</v>
      </c>
      <c r="M27" t="s">
        <v>4</v>
      </c>
      <c r="N27" t="s">
        <v>0</v>
      </c>
      <c r="O27" t="s">
        <v>1</v>
      </c>
      <c r="P27" t="s">
        <v>16</v>
      </c>
      <c r="Q27" t="s">
        <v>15</v>
      </c>
      <c r="R27" s="2" t="s">
        <v>9</v>
      </c>
    </row>
    <row r="28" spans="4:18" s="1" customFormat="1" x14ac:dyDescent="0.25">
      <c r="D28" s="3" t="s">
        <v>117</v>
      </c>
      <c r="E28" s="35">
        <f>VLOOKUP(D28,player_stats[#All],5,FALSE)</f>
        <v>12</v>
      </c>
      <c r="F28" s="35">
        <f>VLOOKUP(D28,player_stats[#All],6,FALSE)</f>
        <v>1901</v>
      </c>
      <c r="G28" s="39">
        <f>VLOOKUP(D28,player_stats[#All],8,FALSE)</f>
        <v>0.81</v>
      </c>
      <c r="H28" s="39">
        <f>VLOOKUP(D28,player_stats[#All],14,FALSE)</f>
        <v>0.21</v>
      </c>
      <c r="I28" s="39">
        <f>VLOOKUP(D28,player_stats[#All],15,FALSE)</f>
        <v>0.17</v>
      </c>
      <c r="J28" s="2">
        <f>AVERAGE(players26[[#This Row],[Rating]],players26[[#This Row],[ACS]],players26[[#This Row],[KAST]],players26[[#This Row],[HS%]],players26[[#This Row],[CL%]])</f>
        <v>382.83800000000002</v>
      </c>
      <c r="L28" s="3" t="s">
        <v>123</v>
      </c>
      <c r="M28" s="35">
        <f>VLOOKUP(L28,player_stats[#All],5,FALSE)</f>
        <v>83</v>
      </c>
      <c r="N28" s="35">
        <f>VLOOKUP(L28,player_stats[#All],6,FALSE)</f>
        <v>1790</v>
      </c>
      <c r="O28" s="39">
        <f>VLOOKUP(L28,player_stats[#All],8,FALSE)</f>
        <v>0.7</v>
      </c>
      <c r="P28" s="39">
        <f>VLOOKUP(L28,player_stats[#All],14,FALSE)</f>
        <v>0.27</v>
      </c>
      <c r="Q28" s="39">
        <f>VLOOKUP(L28,player_stats[#All],15,FALSE)</f>
        <v>0.1</v>
      </c>
      <c r="R28" s="2">
        <f>AVERAGE(players2658[[#This Row],[Rating]],players2658[[#This Row],[ACS]],players2658[[#This Row],[KAST]],players2658[[#This Row],[HS%]],players2658[[#This Row],[CL%]])</f>
        <v>374.81399999999996</v>
      </c>
    </row>
    <row r="29" spans="4:18" s="1" customFormat="1" x14ac:dyDescent="0.25">
      <c r="D29" s="3" t="s">
        <v>118</v>
      </c>
      <c r="E29" s="35">
        <f>VLOOKUP(D29,player_stats[#All],5,FALSE)</f>
        <v>104</v>
      </c>
      <c r="F29" s="35">
        <f>VLOOKUP(D29,player_stats[#All],6,FALSE)</f>
        <v>2008</v>
      </c>
      <c r="G29" s="39">
        <f>VLOOKUP(D29,player_stats[#All],8,FALSE)</f>
        <v>0.67</v>
      </c>
      <c r="H29" s="39">
        <f>VLOOKUP(D29,player_stats[#All],14,FALSE)</f>
        <v>0.18</v>
      </c>
      <c r="I29" s="39">
        <f>VLOOKUP(D29,player_stats[#All],15,FALSE)</f>
        <v>0.14000000000000001</v>
      </c>
      <c r="J29" s="2">
        <f>AVERAGE(players26[[#This Row],[Rating]],players26[[#This Row],[ACS]],players26[[#This Row],[KAST]],players26[[#This Row],[HS%]],players26[[#This Row],[CL%]])</f>
        <v>422.59799999999996</v>
      </c>
      <c r="L29" s="3" t="s">
        <v>124</v>
      </c>
      <c r="M29" s="35">
        <f>VLOOKUP(L29,player_stats[#All],5,FALSE)</f>
        <v>88</v>
      </c>
      <c r="N29" s="35">
        <f>VLOOKUP(L29,player_stats[#All],6,FALSE)</f>
        <v>1830</v>
      </c>
      <c r="O29" s="39">
        <f>VLOOKUP(L29,player_stats[#All],8,FALSE)</f>
        <v>0.66</v>
      </c>
      <c r="P29" s="39">
        <f>VLOOKUP(L29,player_stats[#All],14,FALSE)</f>
        <v>0.23</v>
      </c>
      <c r="Q29" s="39">
        <f>VLOOKUP(L29,player_stats[#All],15,FALSE)</f>
        <v>0.1</v>
      </c>
      <c r="R29" s="2">
        <f>AVERAGE(players2658[[#This Row],[Rating]],players2658[[#This Row],[ACS]],players2658[[#This Row],[KAST]],players2658[[#This Row],[HS%]],players2658[[#This Row],[CL%]])</f>
        <v>383.798</v>
      </c>
    </row>
    <row r="30" spans="4:18" s="1" customFormat="1" x14ac:dyDescent="0.25">
      <c r="D30" s="3" t="s">
        <v>119</v>
      </c>
      <c r="E30" s="35">
        <f>VLOOKUP(D30,player_stats[#All],5,FALSE)</f>
        <v>112</v>
      </c>
      <c r="F30" s="35">
        <f>VLOOKUP(D30,player_stats[#All],6,FALSE)</f>
        <v>2185</v>
      </c>
      <c r="G30" s="39">
        <f>VLOOKUP(D30,player_stats[#All],8,FALSE)</f>
        <v>0.77</v>
      </c>
      <c r="H30" s="39">
        <f>VLOOKUP(D30,player_stats[#All],14,FALSE)</f>
        <v>0.24</v>
      </c>
      <c r="I30" s="39">
        <f>VLOOKUP(D30,player_stats[#All],15,FALSE)</f>
        <v>0</v>
      </c>
      <c r="J30" s="2">
        <f>AVERAGE(players26[[#This Row],[Rating]],players26[[#This Row],[ACS]],players26[[#This Row],[KAST]],players26[[#This Row],[HS%]],players26[[#This Row],[CL%]])</f>
        <v>459.60199999999998</v>
      </c>
      <c r="L30" s="3" t="s">
        <v>125</v>
      </c>
      <c r="M30" s="35">
        <f>VLOOKUP(L30,player_stats[#All],5,FALSE)</f>
        <v>94</v>
      </c>
      <c r="N30" s="35">
        <f>VLOOKUP(L30,player_stats[#All],6,FALSE)</f>
        <v>1835</v>
      </c>
      <c r="O30" s="39">
        <f>VLOOKUP(L30,player_stats[#All],8,FALSE)</f>
        <v>0.74</v>
      </c>
      <c r="P30" s="39">
        <f>VLOOKUP(L30,player_stats[#All],14,FALSE)</f>
        <v>0.22</v>
      </c>
      <c r="Q30" s="39">
        <f>VLOOKUP(L30,player_stats[#All],15,FALSE)</f>
        <v>0.11</v>
      </c>
      <c r="R30" s="2">
        <f>AVERAGE(players2658[[#This Row],[Rating]],players2658[[#This Row],[ACS]],players2658[[#This Row],[KAST]],players2658[[#This Row],[HS%]],players2658[[#This Row],[CL%]])</f>
        <v>386.01400000000001</v>
      </c>
    </row>
    <row r="31" spans="4:18" s="1" customFormat="1" x14ac:dyDescent="0.25">
      <c r="D31" s="3" t="s">
        <v>120</v>
      </c>
      <c r="E31" s="35">
        <f>VLOOKUP(D31,player_stats[#All],5,FALSE)</f>
        <v>124</v>
      </c>
      <c r="F31" s="35">
        <f>VLOOKUP(D31,player_stats[#All],6,FALSE)</f>
        <v>2173</v>
      </c>
      <c r="G31" s="39">
        <f>VLOOKUP(D31,player_stats[#All],8,FALSE)</f>
        <v>0.82</v>
      </c>
      <c r="H31" s="39">
        <f>VLOOKUP(D31,player_stats[#All],14,FALSE)</f>
        <v>0.27</v>
      </c>
      <c r="I31" s="39">
        <f>VLOOKUP(D31,player_stats[#All],15,FALSE)</f>
        <v>0.3</v>
      </c>
      <c r="J31" s="2">
        <f>AVERAGE(players26[[#This Row],[Rating]],players26[[#This Row],[ACS]],players26[[#This Row],[KAST]],players26[[#This Row],[HS%]],players26[[#This Row],[CL%]])</f>
        <v>459.67800000000005</v>
      </c>
      <c r="L31" s="3" t="s">
        <v>126</v>
      </c>
      <c r="M31" s="35">
        <f>VLOOKUP(L31,player_stats[#All],5,FALSE)</f>
        <v>98</v>
      </c>
      <c r="N31" s="35">
        <f>VLOOKUP(L31,player_stats[#All],6,FALSE)</f>
        <v>2150</v>
      </c>
      <c r="O31" s="39">
        <f>VLOOKUP(L31,player_stats[#All],8,FALSE)</f>
        <v>0.67</v>
      </c>
      <c r="P31" s="39">
        <f>VLOOKUP(L31,player_stats[#All],14,FALSE)</f>
        <v>0.27</v>
      </c>
      <c r="Q31" s="39">
        <f>VLOOKUP(L31,player_stats[#All],15,FALSE)</f>
        <v>0.08</v>
      </c>
      <c r="R31" s="2">
        <f>AVERAGE(players2658[[#This Row],[Rating]],players2658[[#This Row],[ACS]],players2658[[#This Row],[KAST]],players2658[[#This Row],[HS%]],players2658[[#This Row],[CL%]])</f>
        <v>449.80399999999997</v>
      </c>
    </row>
    <row r="32" spans="4:18" s="1" customFormat="1" ht="15.75" thickBot="1" x14ac:dyDescent="0.3">
      <c r="D32" s="3" t="s">
        <v>121</v>
      </c>
      <c r="E32" s="35">
        <f>VLOOKUP(D32,player_stats[#All],5,FALSE)</f>
        <v>108</v>
      </c>
      <c r="F32" s="35">
        <f>VLOOKUP(D32,player_stats[#All],6,FALSE)</f>
        <v>1984</v>
      </c>
      <c r="G32" s="39">
        <f>VLOOKUP(D32,player_stats[#All],8,FALSE)</f>
        <v>0.72</v>
      </c>
      <c r="H32" s="39">
        <f>VLOOKUP(D32,player_stats[#All],14,FALSE)</f>
        <v>0.19</v>
      </c>
      <c r="I32" s="39">
        <f>VLOOKUP(D32,player_stats[#All],15,FALSE)</f>
        <v>0</v>
      </c>
      <c r="J32" s="2">
        <f>AVERAGE(players26[[#This Row],[Rating]],players26[[#This Row],[ACS]],players26[[#This Row],[KAST]],players26[[#This Row],[HS%]],players26[[#This Row],[CL%]])</f>
        <v>418.58199999999999</v>
      </c>
      <c r="L32" s="3" t="s">
        <v>127</v>
      </c>
      <c r="M32" s="35">
        <f>VLOOKUP(L32,player_stats[#All],5,FALSE)</f>
        <v>101</v>
      </c>
      <c r="N32" s="35">
        <f>VLOOKUP(L32,player_stats[#All],6,FALSE)</f>
        <v>2023</v>
      </c>
      <c r="O32" s="39">
        <f>VLOOKUP(L32,player_stats[#All],8,FALSE)</f>
        <v>0.75</v>
      </c>
      <c r="P32" s="39">
        <f>VLOOKUP(L32,player_stats[#All],14,FALSE)</f>
        <v>0.28999999999999998</v>
      </c>
      <c r="Q32" s="39">
        <f>VLOOKUP(L32,player_stats[#All],15,FALSE)</f>
        <v>0.09</v>
      </c>
      <c r="R32" s="2">
        <f>AVERAGE(players2658[[#This Row],[Rating]],players2658[[#This Row],[ACS]],players2658[[#This Row],[KAST]],players2658[[#This Row],[HS%]],players2658[[#This Row],[CL%]])</f>
        <v>425.02600000000001</v>
      </c>
    </row>
    <row r="33" spans="4:18" s="1" customFormat="1" x14ac:dyDescent="0.25">
      <c r="D33" s="20" t="s">
        <v>17</v>
      </c>
      <c r="E33" s="24">
        <f>AVERAGE(players26[Rating])</f>
        <v>92</v>
      </c>
      <c r="F33" s="24">
        <f>AVERAGE(players26[ACS])</f>
        <v>2050.1999999999998</v>
      </c>
      <c r="G33" s="40">
        <f>AVERAGE(players26[KAST])</f>
        <v>0.75800000000000001</v>
      </c>
      <c r="H33" s="40">
        <f>AVERAGE(players26[HS%])</f>
        <v>0.21800000000000003</v>
      </c>
      <c r="I33" s="40">
        <f>AVERAGE(players26[CL%])</f>
        <v>0.12200000000000003</v>
      </c>
      <c r="J33" s="21"/>
      <c r="L33" s="20" t="s">
        <v>17</v>
      </c>
      <c r="M33" s="24">
        <f>AVERAGE(players2658[Rating])</f>
        <v>92.8</v>
      </c>
      <c r="N33" s="24">
        <f>AVERAGE(players2658[ACS])</f>
        <v>1925.6</v>
      </c>
      <c r="O33" s="40">
        <f>AVERAGE(players2658[KAST])</f>
        <v>0.70399999999999996</v>
      </c>
      <c r="P33" s="40">
        <f>AVERAGE(players2658[HS%])</f>
        <v>0.25600000000000001</v>
      </c>
      <c r="Q33" s="40">
        <f>AVERAGE(players2658[CL%])</f>
        <v>9.6000000000000002E-2</v>
      </c>
      <c r="R33" s="21"/>
    </row>
    <row r="34" spans="4:18" s="1" customFormat="1" x14ac:dyDescent="0.25"/>
    <row r="35" spans="4:18" s="1" customFormat="1" x14ac:dyDescent="0.25"/>
    <row r="36" spans="4:18" s="1" customFormat="1" ht="15.75" thickBot="1" x14ac:dyDescent="0.3"/>
    <row r="37" spans="4:18" s="1" customFormat="1" x14ac:dyDescent="0.25">
      <c r="D37" s="6" t="s">
        <v>70</v>
      </c>
      <c r="E37" s="7"/>
      <c r="F37" s="7"/>
      <c r="G37" s="7"/>
      <c r="H37" s="7"/>
      <c r="I37" s="7"/>
      <c r="J37" s="8"/>
      <c r="L37" s="6" t="s">
        <v>80</v>
      </c>
      <c r="M37" s="7"/>
      <c r="N37" s="7"/>
      <c r="O37" s="7"/>
      <c r="P37" s="7"/>
      <c r="Q37" s="7"/>
      <c r="R37" s="8"/>
    </row>
    <row r="38" spans="4:18" s="1" customFormat="1" x14ac:dyDescent="0.25">
      <c r="D38" s="9"/>
      <c r="E38" s="18"/>
      <c r="F38" s="18"/>
      <c r="G38" s="18"/>
      <c r="H38" s="18"/>
      <c r="I38" s="18"/>
      <c r="J38" s="10"/>
      <c r="L38" s="9"/>
      <c r="M38" s="18"/>
      <c r="N38" s="18"/>
      <c r="O38" s="18"/>
      <c r="P38" s="18"/>
      <c r="Q38" s="18"/>
      <c r="R38" s="10"/>
    </row>
    <row r="39" spans="4:18" s="1" customFormat="1" ht="15.75" thickBot="1" x14ac:dyDescent="0.3">
      <c r="D39" s="11"/>
      <c r="E39" s="12"/>
      <c r="F39" s="12"/>
      <c r="G39" s="12"/>
      <c r="H39" s="12"/>
      <c r="I39" s="12"/>
      <c r="J39" s="13"/>
      <c r="L39" s="11"/>
      <c r="M39" s="12"/>
      <c r="N39" s="12"/>
      <c r="O39" s="12"/>
      <c r="P39" s="12"/>
      <c r="Q39" s="12"/>
      <c r="R39" s="13"/>
    </row>
    <row r="40" spans="4:18" s="1" customFormat="1" ht="23.25" x14ac:dyDescent="0.25">
      <c r="D40" s="23"/>
      <c r="E40" s="23"/>
      <c r="F40" s="23"/>
      <c r="G40" s="23"/>
      <c r="H40" s="23"/>
      <c r="I40" s="23"/>
      <c r="J40" s="19"/>
      <c r="L40" s="23"/>
      <c r="M40" s="23"/>
      <c r="N40" s="23"/>
      <c r="O40" s="23"/>
      <c r="P40" s="23"/>
      <c r="Q40" s="23"/>
      <c r="R40" s="19"/>
    </row>
    <row r="41" spans="4:18" s="1" customFormat="1" x14ac:dyDescent="0.25">
      <c r="D41" s="15" t="s">
        <v>6</v>
      </c>
      <c r="E41" s="16" t="s">
        <v>7</v>
      </c>
      <c r="F41" s="16" t="s">
        <v>8</v>
      </c>
      <c r="G41" s="16" t="s">
        <v>5</v>
      </c>
      <c r="H41" s="16" t="s">
        <v>2</v>
      </c>
      <c r="I41" s="17" t="s">
        <v>10</v>
      </c>
      <c r="J41" s="17" t="s">
        <v>11</v>
      </c>
      <c r="L41" s="15" t="s">
        <v>6</v>
      </c>
      <c r="M41" s="16" t="s">
        <v>7</v>
      </c>
      <c r="N41" s="16" t="s">
        <v>8</v>
      </c>
      <c r="O41" s="16" t="s">
        <v>5</v>
      </c>
      <c r="P41" s="16" t="s">
        <v>2</v>
      </c>
      <c r="Q41" s="17" t="s">
        <v>10</v>
      </c>
      <c r="R41" s="17" t="s">
        <v>11</v>
      </c>
    </row>
    <row r="42" spans="4:18" s="1" customFormat="1" x14ac:dyDescent="0.25">
      <c r="D42" s="22">
        <f>VLOOKUP(D37,team_stats_americas[#All],2,FALSE)</f>
        <v>3</v>
      </c>
      <c r="E42" s="27">
        <f>VLOOKUP(D37,team_stats_americas[#All],3,FALSE)</f>
        <v>1</v>
      </c>
      <c r="F42" s="27">
        <f>VLOOKUP(D37,team_stats_americas[#All],4,FALSE)</f>
        <v>0</v>
      </c>
      <c r="G42" s="28">
        <f>VLOOKUP(D37,team_stats_americas[#All],5,FALSE)</f>
        <v>44992</v>
      </c>
      <c r="H42" s="27" t="str">
        <f>VLOOKUP(D37,team_stats_americas[#All],6,FALSE)</f>
        <v>115/101</v>
      </c>
      <c r="I42" s="29">
        <f>VLOOKUP(D37,team_stats_americas[#All],7,FALSE)</f>
        <v>14</v>
      </c>
      <c r="J42" s="37">
        <f>E50</f>
        <v>105.2</v>
      </c>
      <c r="L42" s="22">
        <f>VLOOKUP(L37,team_stats_americas[#All],2,FALSE)</f>
        <v>1</v>
      </c>
      <c r="M42" s="27">
        <f>VLOOKUP(L37,team_stats_americas[#All],3,FALSE)</f>
        <v>3</v>
      </c>
      <c r="N42" s="27">
        <f>VLOOKUP(L37,team_stats_americas[#All],4,FALSE)</f>
        <v>0</v>
      </c>
      <c r="O42" s="28">
        <f>VLOOKUP(L37,team_stats_americas[#All],5,FALSE)</f>
        <v>45081</v>
      </c>
      <c r="P42" s="27" t="str">
        <f>VLOOKUP(L37,team_stats_americas[#All],6,FALSE)</f>
        <v>110/115</v>
      </c>
      <c r="Q42" s="29">
        <f>VLOOKUP(L37,team_stats_americas[#All],7,FALSE)</f>
        <v>-5</v>
      </c>
      <c r="R42" s="37">
        <f>M50</f>
        <v>96</v>
      </c>
    </row>
    <row r="43" spans="4:18" s="1" customFormat="1" x14ac:dyDescent="0.25">
      <c r="D43" s="5"/>
      <c r="E43" s="4"/>
      <c r="F43" s="4"/>
      <c r="G43" s="4"/>
      <c r="H43" s="4"/>
      <c r="I43" s="4"/>
      <c r="L43" s="5"/>
      <c r="M43" s="4"/>
      <c r="N43" s="4"/>
      <c r="O43" s="4"/>
      <c r="P43" s="4"/>
      <c r="Q43" s="4"/>
    </row>
    <row r="44" spans="4:18" s="1" customFormat="1" x14ac:dyDescent="0.25">
      <c r="D44" s="3" t="s">
        <v>3</v>
      </c>
      <c r="E44" t="s">
        <v>4</v>
      </c>
      <c r="F44" t="s">
        <v>0</v>
      </c>
      <c r="G44" t="s">
        <v>1</v>
      </c>
      <c r="H44" t="s">
        <v>16</v>
      </c>
      <c r="I44" t="s">
        <v>15</v>
      </c>
      <c r="J44" s="2" t="s">
        <v>9</v>
      </c>
      <c r="L44" s="3" t="s">
        <v>3</v>
      </c>
      <c r="M44" t="s">
        <v>4</v>
      </c>
      <c r="N44" t="s">
        <v>0</v>
      </c>
      <c r="O44" t="s">
        <v>1</v>
      </c>
      <c r="P44" t="s">
        <v>16</v>
      </c>
      <c r="Q44" t="s">
        <v>15</v>
      </c>
      <c r="R44" s="2" t="s">
        <v>9</v>
      </c>
    </row>
    <row r="45" spans="4:18" s="1" customFormat="1" x14ac:dyDescent="0.25">
      <c r="D45" s="3" t="s">
        <v>93</v>
      </c>
      <c r="E45" s="35">
        <f>VLOOKUP(D45,player_stats[#All],5,FALSE)</f>
        <v>103</v>
      </c>
      <c r="F45" s="35">
        <f>VLOOKUP(D45,player_stats[#All],6,FALSE)</f>
        <v>1914</v>
      </c>
      <c r="G45" s="39">
        <f>VLOOKUP(D45,player_stats[#All],8,FALSE)</f>
        <v>0.7</v>
      </c>
      <c r="H45" s="39">
        <f>VLOOKUP(D45,player_stats[#All],14,FALSE)</f>
        <v>0.18</v>
      </c>
      <c r="I45" s="39">
        <f>VLOOKUP(D45,player_stats[#All],15,FALSE)</f>
        <v>0.19</v>
      </c>
      <c r="J45" s="2">
        <f>AVERAGE(players2650[[#This Row],[Rating]],players2650[[#This Row],[ACS]],players2650[[#This Row],[KAST]],players2650[[#This Row],[HS%]],players2650[[#This Row],[CL%]])</f>
        <v>403.61400000000003</v>
      </c>
      <c r="L45" s="3" t="s">
        <v>129</v>
      </c>
      <c r="M45" s="35">
        <f>VLOOKUP(L45,player_stats[#All],5,FALSE)</f>
        <v>99</v>
      </c>
      <c r="N45" s="35">
        <f>VLOOKUP(L45,player_stats[#All],6,FALSE)</f>
        <v>2039</v>
      </c>
      <c r="O45" s="39">
        <f>VLOOKUP(L45,player_stats[#All],8,FALSE)</f>
        <v>0.74</v>
      </c>
      <c r="P45" s="39">
        <f>VLOOKUP(L45,player_stats[#All],14,FALSE)</f>
        <v>0.21</v>
      </c>
      <c r="Q45" s="39">
        <f>VLOOKUP(L45,player_stats[#All],15,FALSE)</f>
        <v>0.24</v>
      </c>
      <c r="R45" s="2">
        <f>AVERAGE(players265060[[#This Row],[Rating]],players265060[[#This Row],[ACS]],players265060[[#This Row],[KAST]],players265060[[#This Row],[HS%]],players265060[[#This Row],[CL%]])</f>
        <v>427.83799999999991</v>
      </c>
    </row>
    <row r="46" spans="4:18" s="1" customFormat="1" x14ac:dyDescent="0.25">
      <c r="D46" s="25" t="s">
        <v>98</v>
      </c>
      <c r="E46" s="35">
        <f>VLOOKUP(D46,player_stats[#All],5,FALSE)</f>
        <v>106</v>
      </c>
      <c r="F46" s="35">
        <f>VLOOKUP(D46,player_stats[#All],6,FALSE)</f>
        <v>1918</v>
      </c>
      <c r="G46" s="39">
        <f>VLOOKUP(D46,player_stats[#All],8,FALSE)</f>
        <v>0.8</v>
      </c>
      <c r="H46" s="39">
        <f>VLOOKUP(D46,player_stats[#All],14,FALSE)</f>
        <v>0.24</v>
      </c>
      <c r="I46" s="39">
        <f>VLOOKUP(D46,player_stats[#All],15,FALSE)</f>
        <v>0.21</v>
      </c>
      <c r="J46" s="2">
        <f>AVERAGE(players2650[[#This Row],[Rating]],players2650[[#This Row],[ACS]],players2650[[#This Row],[KAST]],players2650[[#This Row],[HS%]],players2650[[#This Row],[CL%]])</f>
        <v>405.05</v>
      </c>
      <c r="L46" s="3" t="s">
        <v>130</v>
      </c>
      <c r="M46" s="35">
        <f>VLOOKUP(L46,player_stats[#All],5,FALSE)</f>
        <v>85</v>
      </c>
      <c r="N46" s="35">
        <f>VLOOKUP(L46,player_stats[#All],6,FALSE)</f>
        <v>1783</v>
      </c>
      <c r="O46" s="39">
        <f>VLOOKUP(L46,player_stats[#All],8,FALSE)</f>
        <v>0.71</v>
      </c>
      <c r="P46" s="39">
        <f>VLOOKUP(L46,player_stats[#All],14,FALSE)</f>
        <v>0.18</v>
      </c>
      <c r="Q46" s="39">
        <f>VLOOKUP(L46,player_stats[#All],15,FALSE)</f>
        <v>0</v>
      </c>
      <c r="R46" s="2">
        <f>AVERAGE(players265060[[#This Row],[Rating]],players265060[[#This Row],[ACS]],players265060[[#This Row],[KAST]],players265060[[#This Row],[HS%]],players265060[[#This Row],[CL%]])</f>
        <v>373.77800000000002</v>
      </c>
    </row>
    <row r="47" spans="4:18" s="1" customFormat="1" x14ac:dyDescent="0.25">
      <c r="D47" s="3" t="s">
        <v>95</v>
      </c>
      <c r="E47" s="35">
        <f>VLOOKUP(D47,player_stats[#All],5,FALSE)</f>
        <v>99</v>
      </c>
      <c r="F47" s="35">
        <f>VLOOKUP(D47,player_stats[#All],6,FALSE)</f>
        <v>1919</v>
      </c>
      <c r="G47" s="39">
        <f>VLOOKUP(D47,player_stats[#All],8,FALSE)</f>
        <v>0.73</v>
      </c>
      <c r="H47" s="39">
        <f>VLOOKUP(D47,player_stats[#All],14,FALSE)</f>
        <v>0.24</v>
      </c>
      <c r="I47" s="39">
        <f>VLOOKUP(D47,player_stats[#All],15,FALSE)</f>
        <v>0.23</v>
      </c>
      <c r="J47" s="2">
        <f>AVERAGE(players2650[[#This Row],[Rating]],players2650[[#This Row],[ACS]],players2650[[#This Row],[KAST]],players2650[[#This Row],[HS%]],players2650[[#This Row],[CL%]])</f>
        <v>403.84000000000003</v>
      </c>
      <c r="L47" s="3" t="s">
        <v>131</v>
      </c>
      <c r="M47" s="35">
        <f>VLOOKUP(L47,player_stats[#All],5,FALSE)</f>
        <v>108</v>
      </c>
      <c r="N47" s="35">
        <f>VLOOKUP(L47,player_stats[#All],6,FALSE)</f>
        <v>2318</v>
      </c>
      <c r="O47" s="39">
        <f>VLOOKUP(L47,player_stats[#All],8,FALSE)</f>
        <v>0.77</v>
      </c>
      <c r="P47" s="39">
        <f>VLOOKUP(L47,player_stats[#All],14,FALSE)</f>
        <v>0.19</v>
      </c>
      <c r="Q47" s="39">
        <f>VLOOKUP(L47,player_stats[#All],15,FALSE)</f>
        <v>0.25</v>
      </c>
      <c r="R47" s="2">
        <f>AVERAGE(players265060[[#This Row],[Rating]],players265060[[#This Row],[ACS]],players265060[[#This Row],[KAST]],players265060[[#This Row],[HS%]],players265060[[#This Row],[CL%]])</f>
        <v>485.44200000000001</v>
      </c>
    </row>
    <row r="48" spans="4:18" s="1" customFormat="1" x14ac:dyDescent="0.25">
      <c r="D48" s="3" t="s">
        <v>96</v>
      </c>
      <c r="E48" s="35">
        <f>VLOOKUP(D48,player_stats[#All],5,FALSE)</f>
        <v>114</v>
      </c>
      <c r="F48" s="35">
        <f>VLOOKUP(D48,player_stats[#All],6,FALSE)</f>
        <v>2497</v>
      </c>
      <c r="G48" s="39">
        <f>VLOOKUP(D48,player_stats[#All],8,FALSE)</f>
        <v>0.74</v>
      </c>
      <c r="H48" s="39">
        <f>VLOOKUP(D48,player_stats[#All],14,FALSE)</f>
        <v>0.21</v>
      </c>
      <c r="I48" s="39">
        <f>VLOOKUP(D48,player_stats[#All],15,FALSE)</f>
        <v>0.28999999999999998</v>
      </c>
      <c r="J48" s="2">
        <f>AVERAGE(players2650[[#This Row],[Rating]],players2650[[#This Row],[ACS]],players2650[[#This Row],[KAST]],players2650[[#This Row],[HS%]],players2650[[#This Row],[CL%]])</f>
        <v>522.44799999999998</v>
      </c>
      <c r="L48" s="3" t="s">
        <v>132</v>
      </c>
      <c r="M48" s="35">
        <f>VLOOKUP(L48,player_stats[#All],5,FALSE)</f>
        <v>83</v>
      </c>
      <c r="N48" s="35">
        <f>VLOOKUP(L48,player_stats[#All],6,FALSE)</f>
        <v>1657</v>
      </c>
      <c r="O48" s="39">
        <f>VLOOKUP(L48,player_stats[#All],8,FALSE)</f>
        <v>0.69</v>
      </c>
      <c r="P48" s="39">
        <f>VLOOKUP(L48,player_stats[#All],14,FALSE)</f>
        <v>0.19</v>
      </c>
      <c r="Q48" s="39">
        <f>VLOOKUP(L48,player_stats[#All],15,FALSE)</f>
        <v>0.25</v>
      </c>
      <c r="R48" s="2">
        <f>AVERAGE(players265060[[#This Row],[Rating]],players265060[[#This Row],[ACS]],players265060[[#This Row],[KAST]],players265060[[#This Row],[HS%]],players265060[[#This Row],[CL%]])</f>
        <v>348.226</v>
      </c>
    </row>
    <row r="49" spans="4:18" s="1" customFormat="1" ht="15.75" thickBot="1" x14ac:dyDescent="0.3">
      <c r="D49" s="3" t="s">
        <v>97</v>
      </c>
      <c r="E49" s="35">
        <f>VLOOKUP(D49,player_stats[#All],5,FALSE)</f>
        <v>104</v>
      </c>
      <c r="F49" s="35">
        <f>VLOOKUP(D49,player_stats[#All],6,FALSE)</f>
        <v>2051</v>
      </c>
      <c r="G49" s="39">
        <f>VLOOKUP(D49,player_stats[#All],8,FALSE)</f>
        <v>0.74</v>
      </c>
      <c r="H49" s="39">
        <f>VLOOKUP(D49,player_stats[#All],14,FALSE)</f>
        <v>0.27</v>
      </c>
      <c r="I49" s="39">
        <f>VLOOKUP(D49,player_stats[#All],15,FALSE)</f>
        <v>0.05</v>
      </c>
      <c r="J49" s="2">
        <f>AVERAGE(players2650[[#This Row],[Rating]],players2650[[#This Row],[ACS]],players2650[[#This Row],[KAST]],players2650[[#This Row],[HS%]],players2650[[#This Row],[CL%]])</f>
        <v>431.21199999999999</v>
      </c>
      <c r="L49" s="3" t="s">
        <v>133</v>
      </c>
      <c r="M49" s="35">
        <f>VLOOKUP(L49,player_stats[#All],5,FALSE)</f>
        <v>105</v>
      </c>
      <c r="N49" s="35">
        <f>VLOOKUP(L49,player_stats[#All],6,FALSE)</f>
        <v>2027</v>
      </c>
      <c r="O49" s="39">
        <f>VLOOKUP(L49,player_stats[#All],8,FALSE)</f>
        <v>0.8</v>
      </c>
      <c r="P49" s="39">
        <f>VLOOKUP(L49,player_stats[#All],14,FALSE)</f>
        <v>0.26</v>
      </c>
      <c r="Q49" s="39">
        <f>VLOOKUP(L49,player_stats[#All],15,FALSE)</f>
        <v>0.28999999999999998</v>
      </c>
      <c r="R49" s="2">
        <f>AVERAGE(players265060[[#This Row],[Rating]],players265060[[#This Row],[ACS]],players265060[[#This Row],[KAST]],players265060[[#This Row],[HS%]],players265060[[#This Row],[CL%]])</f>
        <v>426.67000000000007</v>
      </c>
    </row>
    <row r="50" spans="4:18" s="1" customFormat="1" x14ac:dyDescent="0.25">
      <c r="D50" s="20" t="s">
        <v>17</v>
      </c>
      <c r="E50" s="24">
        <f>AVERAGE(players2650[Rating])</f>
        <v>105.2</v>
      </c>
      <c r="F50" s="24">
        <f>AVERAGE(players2650[ACS])</f>
        <v>2059.8000000000002</v>
      </c>
      <c r="G50" s="40">
        <f>AVERAGE(players2650[KAST])</f>
        <v>0.74199999999999999</v>
      </c>
      <c r="H50" s="40">
        <f>AVERAGE(players2650[HS%])</f>
        <v>0.22799999999999998</v>
      </c>
      <c r="I50" s="40">
        <f>AVERAGE(players2650[CL%])</f>
        <v>0.19400000000000001</v>
      </c>
      <c r="J50" s="21"/>
      <c r="L50" s="20" t="s">
        <v>17</v>
      </c>
      <c r="M50" s="24">
        <f>AVERAGE(players265060[Rating])</f>
        <v>96</v>
      </c>
      <c r="N50" s="24">
        <f>AVERAGE(players265060[ACS])</f>
        <v>1964.8</v>
      </c>
      <c r="O50" s="40">
        <f>AVERAGE(players265060[KAST])</f>
        <v>0.74199999999999999</v>
      </c>
      <c r="P50" s="40">
        <f>AVERAGE(players265060[HS%])</f>
        <v>0.20600000000000002</v>
      </c>
      <c r="Q50" s="40">
        <f>AVERAGE(players265060[CL%])</f>
        <v>0.20600000000000002</v>
      </c>
      <c r="R50" s="21"/>
    </row>
    <row r="51" spans="4:18" s="1" customFormat="1" x14ac:dyDescent="0.25"/>
    <row r="52" spans="4:18" s="1" customFormat="1" x14ac:dyDescent="0.25"/>
    <row r="53" spans="4:18" s="1" customFormat="1" ht="15.75" thickBot="1" x14ac:dyDescent="0.3"/>
    <row r="54" spans="4:18" s="1" customFormat="1" x14ac:dyDescent="0.25">
      <c r="D54" s="6" t="s">
        <v>72</v>
      </c>
      <c r="E54" s="7"/>
      <c r="F54" s="7"/>
      <c r="G54" s="7"/>
      <c r="H54" s="7"/>
      <c r="I54" s="7"/>
      <c r="J54" s="8"/>
      <c r="L54" s="6" t="s">
        <v>82</v>
      </c>
      <c r="M54" s="7"/>
      <c r="N54" s="7"/>
      <c r="O54" s="7"/>
      <c r="P54" s="7"/>
      <c r="Q54" s="7"/>
      <c r="R54" s="8"/>
    </row>
    <row r="55" spans="4:18" s="1" customFormat="1" x14ac:dyDescent="0.25">
      <c r="D55" s="9"/>
      <c r="E55" s="18"/>
      <c r="F55" s="18"/>
      <c r="G55" s="18"/>
      <c r="H55" s="18"/>
      <c r="I55" s="18"/>
      <c r="J55" s="10"/>
      <c r="L55" s="9"/>
      <c r="M55" s="18"/>
      <c r="N55" s="18"/>
      <c r="O55" s="18"/>
      <c r="P55" s="18"/>
      <c r="Q55" s="18"/>
      <c r="R55" s="10"/>
    </row>
    <row r="56" spans="4:18" s="1" customFormat="1" ht="15.75" thickBot="1" x14ac:dyDescent="0.3">
      <c r="D56" s="11"/>
      <c r="E56" s="12"/>
      <c r="F56" s="12"/>
      <c r="G56" s="12"/>
      <c r="H56" s="12"/>
      <c r="I56" s="12"/>
      <c r="J56" s="13"/>
      <c r="L56" s="11"/>
      <c r="M56" s="12"/>
      <c r="N56" s="12"/>
      <c r="O56" s="12"/>
      <c r="P56" s="12"/>
      <c r="Q56" s="12"/>
      <c r="R56" s="13"/>
    </row>
    <row r="57" spans="4:18" s="1" customFormat="1" ht="23.25" x14ac:dyDescent="0.25">
      <c r="D57" s="23"/>
      <c r="E57" s="23"/>
      <c r="F57" s="23"/>
      <c r="G57" s="23"/>
      <c r="H57" s="23"/>
      <c r="I57" s="23"/>
      <c r="J57" s="19"/>
      <c r="L57" s="23"/>
      <c r="M57" s="23"/>
      <c r="N57" s="23"/>
      <c r="O57" s="23"/>
      <c r="P57" s="23"/>
      <c r="Q57" s="23"/>
      <c r="R57" s="19"/>
    </row>
    <row r="58" spans="4:18" s="1" customFormat="1" x14ac:dyDescent="0.25">
      <c r="D58" s="15" t="s">
        <v>6</v>
      </c>
      <c r="E58" s="16" t="s">
        <v>7</v>
      </c>
      <c r="F58" s="16" t="s">
        <v>8</v>
      </c>
      <c r="G58" s="16" t="s">
        <v>5</v>
      </c>
      <c r="H58" s="16" t="s">
        <v>2</v>
      </c>
      <c r="I58" s="17" t="s">
        <v>10</v>
      </c>
      <c r="J58" s="17" t="s">
        <v>11</v>
      </c>
      <c r="L58" s="15" t="s">
        <v>6</v>
      </c>
      <c r="M58" s="16" t="s">
        <v>7</v>
      </c>
      <c r="N58" s="16" t="s">
        <v>8</v>
      </c>
      <c r="O58" s="16" t="s">
        <v>5</v>
      </c>
      <c r="P58" s="16" t="s">
        <v>2</v>
      </c>
      <c r="Q58" s="17" t="s">
        <v>10</v>
      </c>
      <c r="R58" s="17" t="s">
        <v>11</v>
      </c>
    </row>
    <row r="59" spans="4:18" s="1" customFormat="1" x14ac:dyDescent="0.25">
      <c r="D59" s="22">
        <f>VLOOKUP(D54,team_stats_americas[#All],2,FALSE)</f>
        <v>3</v>
      </c>
      <c r="E59" s="27">
        <f>VLOOKUP(D54,team_stats_americas[#All],3,FALSE)</f>
        <v>1</v>
      </c>
      <c r="F59" s="27">
        <f>VLOOKUP(D54,team_stats_americas[#All],4,FALSE)</f>
        <v>0</v>
      </c>
      <c r="G59" s="28">
        <f>VLOOKUP(D54,team_stats_americas[#All],5,FALSE)</f>
        <v>45022</v>
      </c>
      <c r="H59" s="27" t="str">
        <f>VLOOKUP(D54,team_stats_americas[#All],6,FALSE)</f>
        <v>111/106</v>
      </c>
      <c r="I59" s="29">
        <f>VLOOKUP(D54,team_stats_americas[#All],7,FALSE)</f>
        <v>5</v>
      </c>
      <c r="J59" s="37">
        <f>E67</f>
        <v>101.8</v>
      </c>
      <c r="L59" s="22">
        <f>VLOOKUP(L54,team_stats_americas[#All],2,FALSE)</f>
        <v>1</v>
      </c>
      <c r="M59" s="27">
        <f>VLOOKUP(L54,team_stats_americas[#All],3,FALSE)</f>
        <v>3</v>
      </c>
      <c r="N59" s="27">
        <f>VLOOKUP(L54,team_stats_americas[#All],4,FALSE)</f>
        <v>0</v>
      </c>
      <c r="O59" s="28">
        <f>VLOOKUP(L54,team_stats_americas[#All],5,FALSE)</f>
        <v>45110</v>
      </c>
      <c r="P59" s="27" t="str">
        <f>VLOOKUP(L54,team_stats_americas[#All],6,FALSE)</f>
        <v>107/118</v>
      </c>
      <c r="Q59" s="29">
        <f>VLOOKUP(L54,team_stats_americas[#All],7,FALSE)</f>
        <v>-11</v>
      </c>
      <c r="R59" s="37">
        <f>M67</f>
        <v>100.2</v>
      </c>
    </row>
    <row r="60" spans="4:18" s="1" customFormat="1" x14ac:dyDescent="0.25">
      <c r="D60" s="5"/>
      <c r="E60" s="4"/>
      <c r="F60" s="4"/>
      <c r="G60" s="4"/>
      <c r="H60" s="4"/>
      <c r="I60" s="4"/>
      <c r="L60" s="5"/>
      <c r="M60" s="4"/>
      <c r="N60" s="4"/>
      <c r="O60" s="4"/>
      <c r="P60" s="4"/>
      <c r="Q60" s="4"/>
    </row>
    <row r="61" spans="4:18" s="1" customFormat="1" x14ac:dyDescent="0.25">
      <c r="D61" s="3" t="s">
        <v>3</v>
      </c>
      <c r="E61" t="s">
        <v>4</v>
      </c>
      <c r="F61" t="s">
        <v>0</v>
      </c>
      <c r="G61" t="s">
        <v>1</v>
      </c>
      <c r="H61" t="s">
        <v>16</v>
      </c>
      <c r="I61" t="s">
        <v>15</v>
      </c>
      <c r="J61" s="2" t="s">
        <v>9</v>
      </c>
      <c r="L61" s="3" t="s">
        <v>3</v>
      </c>
      <c r="M61" t="s">
        <v>4</v>
      </c>
      <c r="N61" t="s">
        <v>0</v>
      </c>
      <c r="O61" t="s">
        <v>1</v>
      </c>
      <c r="P61" t="s">
        <v>16</v>
      </c>
      <c r="Q61" t="s">
        <v>15</v>
      </c>
      <c r="R61" s="2" t="s">
        <v>9</v>
      </c>
    </row>
    <row r="62" spans="4:18" s="1" customFormat="1" x14ac:dyDescent="0.25">
      <c r="D62" s="3" t="s">
        <v>107</v>
      </c>
      <c r="E62" s="35">
        <f>VLOOKUP(D62,player_stats[#All],5,FALSE)</f>
        <v>116</v>
      </c>
      <c r="F62" s="35">
        <f>VLOOKUP(D62,player_stats[#All],6,FALSE)</f>
        <v>2042</v>
      </c>
      <c r="G62" s="39">
        <f>VLOOKUP(D62,player_stats[#All],8,FALSE)</f>
        <v>0.78</v>
      </c>
      <c r="H62" s="39">
        <f>VLOOKUP(D62,player_stats[#All],14,FALSE)</f>
        <v>0.28000000000000003</v>
      </c>
      <c r="I62" s="39">
        <f>VLOOKUP(D62,player_stats[#All],15,FALSE)</f>
        <v>0.16</v>
      </c>
      <c r="J62" s="2">
        <f>AVERAGE(players2652[[#This Row],[Rating]],players2652[[#This Row],[ACS]],players2652[[#This Row],[KAST]],players2652[[#This Row],[HS%]],players2652[[#This Row],[CL%]])</f>
        <v>431.84400000000005</v>
      </c>
      <c r="L62" s="3" t="s">
        <v>99</v>
      </c>
      <c r="M62" s="35">
        <f>VLOOKUP(L62,player_stats[#All],5,FALSE)</f>
        <v>107</v>
      </c>
      <c r="N62" s="35">
        <f>VLOOKUP(L62,player_stats[#All],6,FALSE)</f>
        <v>2298</v>
      </c>
      <c r="O62" s="39">
        <f>VLOOKUP(L62,player_stats[#All],8,FALSE)</f>
        <v>0.67</v>
      </c>
      <c r="P62" s="39">
        <f>VLOOKUP(L62,player_stats[#All],14,FALSE)</f>
        <v>0.23</v>
      </c>
      <c r="Q62" s="39">
        <f>VLOOKUP(L62,player_stats[#All],15,FALSE)</f>
        <v>0.23</v>
      </c>
      <c r="R62" s="2">
        <f>AVERAGE(players265262[[#This Row],[Rating]],players265262[[#This Row],[ACS]],players265262[[#This Row],[KAST]],players265262[[#This Row],[HS%]],players265262[[#This Row],[CL%]])</f>
        <v>481.226</v>
      </c>
    </row>
    <row r="63" spans="4:18" s="1" customFormat="1" x14ac:dyDescent="0.25">
      <c r="D63" s="3" t="s">
        <v>109</v>
      </c>
      <c r="E63" s="35">
        <f>VLOOKUP(D63,player_stats[#All],5,FALSE)</f>
        <v>103</v>
      </c>
      <c r="F63" s="35">
        <f>VLOOKUP(D63,player_stats[#All],6,FALSE)</f>
        <v>2256</v>
      </c>
      <c r="G63" s="39">
        <f>VLOOKUP(D63,player_stats[#All],8,FALSE)</f>
        <v>0.68</v>
      </c>
      <c r="H63" s="39">
        <f>VLOOKUP(D63,player_stats[#All],14,FALSE)</f>
        <v>0.24</v>
      </c>
      <c r="I63" s="39">
        <f>VLOOKUP(D63,player_stats[#All],15,FALSE)</f>
        <v>0.19</v>
      </c>
      <c r="J63" s="2">
        <f>AVERAGE(players2652[[#This Row],[Rating]],players2652[[#This Row],[ACS]],players2652[[#This Row],[KAST]],players2652[[#This Row],[HS%]],players2652[[#This Row],[CL%]])</f>
        <v>472.02199999999993</v>
      </c>
      <c r="L63" s="3" t="s">
        <v>100</v>
      </c>
      <c r="M63" s="35">
        <f>VLOOKUP(L63,player_stats[#All],5,FALSE)</f>
        <v>94</v>
      </c>
      <c r="N63" s="35">
        <f>VLOOKUP(L63,player_stats[#All],6,FALSE)</f>
        <v>1785</v>
      </c>
      <c r="O63" s="39">
        <f>VLOOKUP(L63,player_stats[#All],8,FALSE)</f>
        <v>0.72</v>
      </c>
      <c r="P63" s="39">
        <f>VLOOKUP(L63,player_stats[#All],14,FALSE)</f>
        <v>0.23</v>
      </c>
      <c r="Q63" s="39">
        <f>VLOOKUP(L63,player_stats[#All],15,FALSE)</f>
        <v>0.09</v>
      </c>
      <c r="R63" s="2">
        <f>AVERAGE(players265262[[#This Row],[Rating]],players265262[[#This Row],[ACS]],players265262[[#This Row],[KAST]],players265262[[#This Row],[HS%]],players265262[[#This Row],[CL%]])</f>
        <v>376.00799999999998</v>
      </c>
    </row>
    <row r="64" spans="4:18" s="1" customFormat="1" x14ac:dyDescent="0.25">
      <c r="D64" s="3" t="s">
        <v>108</v>
      </c>
      <c r="E64" s="35">
        <f>VLOOKUP(D64,player_stats[#All],5,FALSE)</f>
        <v>99</v>
      </c>
      <c r="F64" s="35">
        <f>VLOOKUP(D64,player_stats[#All],6,FALSE)</f>
        <v>1826</v>
      </c>
      <c r="G64" s="39">
        <f>VLOOKUP(D64,player_stats[#All],8,FALSE)</f>
        <v>0.72</v>
      </c>
      <c r="H64" s="39">
        <f>VLOOKUP(D64,player_stats[#All],14,FALSE)</f>
        <v>0.28000000000000003</v>
      </c>
      <c r="I64" s="39">
        <f>VLOOKUP(D64,player_stats[#All],15,FALSE)</f>
        <v>0.24</v>
      </c>
      <c r="J64" s="2">
        <f>AVERAGE(players2652[[#This Row],[Rating]],players2652[[#This Row],[ACS]],players2652[[#This Row],[KAST]],players2652[[#This Row],[HS%]],players2652[[#This Row],[CL%]])</f>
        <v>385.24799999999999</v>
      </c>
      <c r="L64" s="3" t="s">
        <v>101</v>
      </c>
      <c r="M64" s="35">
        <f>VLOOKUP(L64,player_stats[#All],5,FALSE)</f>
        <v>105</v>
      </c>
      <c r="N64" s="35">
        <f>VLOOKUP(L64,player_stats[#All],6,FALSE)</f>
        <v>1867</v>
      </c>
      <c r="O64" s="39">
        <f>VLOOKUP(L64,player_stats[#All],8,FALSE)</f>
        <v>0.74</v>
      </c>
      <c r="P64" s="39">
        <f>VLOOKUP(L64,player_stats[#All],14,FALSE)</f>
        <v>0.2</v>
      </c>
      <c r="Q64" s="39">
        <f>VLOOKUP(L64,player_stats[#All],15,FALSE)</f>
        <v>0.17</v>
      </c>
      <c r="R64" s="2">
        <f>AVERAGE(players265262[[#This Row],[Rating]],players265262[[#This Row],[ACS]],players265262[[#This Row],[KAST]],players265262[[#This Row],[HS%]],players265262[[#This Row],[CL%]])</f>
        <v>394.62200000000001</v>
      </c>
    </row>
    <row r="65" spans="4:18" s="1" customFormat="1" x14ac:dyDescent="0.25">
      <c r="D65" s="3" t="s">
        <v>106</v>
      </c>
      <c r="E65" s="35">
        <f>VLOOKUP(D65,player_stats[#All],5,FALSE)</f>
        <v>96</v>
      </c>
      <c r="F65" s="35">
        <f>VLOOKUP(D65,player_stats[#All],6,FALSE)</f>
        <v>1818</v>
      </c>
      <c r="G65" s="39">
        <f>VLOOKUP(D65,player_stats[#All],8,FALSE)</f>
        <v>0.69</v>
      </c>
      <c r="H65" s="39">
        <f>VLOOKUP(D65,player_stats[#All],14,FALSE)</f>
        <v>0.26</v>
      </c>
      <c r="I65" s="39">
        <f>VLOOKUP(D65,player_stats[#All],15,FALSE)</f>
        <v>0.16</v>
      </c>
      <c r="J65" s="2">
        <f>AVERAGE(players2652[[#This Row],[Rating]],players2652[[#This Row],[ACS]],players2652[[#This Row],[KAST]],players2652[[#This Row],[HS%]],players2652[[#This Row],[CL%]])</f>
        <v>383.02200000000005</v>
      </c>
      <c r="L65" s="3" t="s">
        <v>102</v>
      </c>
      <c r="M65" s="35">
        <f>VLOOKUP(L65,player_stats[#All],5,FALSE)</f>
        <v>92</v>
      </c>
      <c r="N65" s="35">
        <f>VLOOKUP(L65,player_stats[#All],6,FALSE)</f>
        <v>1966</v>
      </c>
      <c r="O65" s="39">
        <f>VLOOKUP(L65,player_stats[#All],8,FALSE)</f>
        <v>0.72</v>
      </c>
      <c r="P65" s="39">
        <f>VLOOKUP(L65,player_stats[#All],14,FALSE)</f>
        <v>0.19</v>
      </c>
      <c r="Q65" s="39">
        <f>VLOOKUP(L65,player_stats[#All],15,FALSE)</f>
        <v>0.13</v>
      </c>
      <c r="R65" s="2">
        <f>AVERAGE(players265262[[#This Row],[Rating]],players265262[[#This Row],[ACS]],players265262[[#This Row],[KAST]],players265262[[#This Row],[HS%]],players265262[[#This Row],[CL%]])</f>
        <v>411.80799999999999</v>
      </c>
    </row>
    <row r="66" spans="4:18" s="1" customFormat="1" ht="15.75" thickBot="1" x14ac:dyDescent="0.3">
      <c r="D66" s="3" t="s">
        <v>105</v>
      </c>
      <c r="E66" s="35">
        <f>VLOOKUP(D66,player_stats[#All],5,FALSE)</f>
        <v>95</v>
      </c>
      <c r="F66" s="35">
        <f>VLOOKUP(D66,player_stats[#All],6,FALSE)</f>
        <v>1992</v>
      </c>
      <c r="G66" s="39">
        <f>VLOOKUP(D66,player_stats[#All],8,FALSE)</f>
        <v>0.72</v>
      </c>
      <c r="H66" s="39">
        <f>VLOOKUP(D66,player_stats[#All],14,FALSE)</f>
        <v>0.2</v>
      </c>
      <c r="I66" s="39">
        <f>VLOOKUP(D66,player_stats[#All],15,FALSE)</f>
        <v>0.06</v>
      </c>
      <c r="J66" s="2">
        <f>AVERAGE(players2652[[#This Row],[Rating]],players2652[[#This Row],[ACS]],players2652[[#This Row],[KAST]],players2652[[#This Row],[HS%]],players2652[[#This Row],[CL%]])</f>
        <v>417.59599999999989</v>
      </c>
      <c r="L66" s="3" t="s">
        <v>103</v>
      </c>
      <c r="M66" s="35">
        <f>VLOOKUP(L66,player_stats[#All],5,FALSE)</f>
        <v>103</v>
      </c>
      <c r="N66" s="35">
        <f>VLOOKUP(L66,player_stats[#All],6,FALSE)</f>
        <v>2009</v>
      </c>
      <c r="O66" s="39">
        <f>VLOOKUP(L66,player_stats[#All],8,FALSE)</f>
        <v>0.75</v>
      </c>
      <c r="P66" s="39">
        <f>VLOOKUP(L66,player_stats[#All],14,FALSE)</f>
        <v>0.22</v>
      </c>
      <c r="Q66" s="39">
        <f>VLOOKUP(L66,player_stats[#All],15,FALSE)</f>
        <v>0.13</v>
      </c>
      <c r="R66" s="2">
        <f>AVERAGE(players265262[[#This Row],[Rating]],players265262[[#This Row],[ACS]],players265262[[#This Row],[KAST]],players265262[[#This Row],[HS%]],players265262[[#This Row],[CL%]])</f>
        <v>422.62</v>
      </c>
    </row>
    <row r="67" spans="4:18" s="1" customFormat="1" x14ac:dyDescent="0.25">
      <c r="D67" s="20" t="s">
        <v>17</v>
      </c>
      <c r="E67" s="24">
        <f>AVERAGE(players2652[Rating])</f>
        <v>101.8</v>
      </c>
      <c r="F67" s="24">
        <f>AVERAGE(players2652[ACS])</f>
        <v>1986.8</v>
      </c>
      <c r="G67" s="40">
        <f>AVERAGE(players2652[KAST])</f>
        <v>0.71799999999999997</v>
      </c>
      <c r="H67" s="40">
        <f>AVERAGE(players2652[HS%])</f>
        <v>0.252</v>
      </c>
      <c r="I67" s="40">
        <f>AVERAGE(players2652[CL%])</f>
        <v>0.16200000000000001</v>
      </c>
      <c r="J67" s="21"/>
      <c r="L67" s="20" t="s">
        <v>17</v>
      </c>
      <c r="M67" s="24">
        <f>AVERAGE(players265262[Rating])</f>
        <v>100.2</v>
      </c>
      <c r="N67" s="24">
        <f>AVERAGE(players265262[ACS])</f>
        <v>1985</v>
      </c>
      <c r="O67" s="40">
        <f>AVERAGE(players265262[KAST])</f>
        <v>0.72</v>
      </c>
      <c r="P67" s="40">
        <f>AVERAGE(players265262[HS%])</f>
        <v>0.21400000000000002</v>
      </c>
      <c r="Q67" s="40">
        <f>AVERAGE(players265262[CL%])</f>
        <v>0.15</v>
      </c>
      <c r="R67" s="21"/>
    </row>
    <row r="68" spans="4:18" s="1" customFormat="1" x14ac:dyDescent="0.25"/>
    <row r="69" spans="4:18" s="1" customFormat="1" x14ac:dyDescent="0.25"/>
    <row r="70" spans="4:18" s="1" customFormat="1" ht="15.75" thickBot="1" x14ac:dyDescent="0.3"/>
    <row r="71" spans="4:18" s="1" customFormat="1" ht="15" customHeight="1" x14ac:dyDescent="0.25">
      <c r="D71" s="6" t="s">
        <v>74</v>
      </c>
      <c r="E71" s="7"/>
      <c r="F71" s="7"/>
      <c r="G71" s="7"/>
      <c r="H71" s="7"/>
      <c r="I71" s="7"/>
      <c r="J71" s="8"/>
      <c r="L71" s="6" t="s">
        <v>84</v>
      </c>
      <c r="M71" s="7"/>
      <c r="N71" s="7"/>
      <c r="O71" s="7"/>
      <c r="P71" s="7"/>
      <c r="Q71" s="7"/>
      <c r="R71" s="8"/>
    </row>
    <row r="72" spans="4:18" s="1" customFormat="1" ht="15" customHeight="1" x14ac:dyDescent="0.25">
      <c r="D72" s="9"/>
      <c r="E72" s="18"/>
      <c r="F72" s="18"/>
      <c r="G72" s="18"/>
      <c r="H72" s="18"/>
      <c r="I72" s="18"/>
      <c r="J72" s="10"/>
      <c r="L72" s="9"/>
      <c r="M72" s="18"/>
      <c r="N72" s="18"/>
      <c r="O72" s="18"/>
      <c r="P72" s="18"/>
      <c r="Q72" s="18"/>
      <c r="R72" s="10"/>
    </row>
    <row r="73" spans="4:18" s="1" customFormat="1" ht="15.75" customHeight="1" thickBot="1" x14ac:dyDescent="0.3">
      <c r="D73" s="11"/>
      <c r="E73" s="12"/>
      <c r="F73" s="12"/>
      <c r="G73" s="12"/>
      <c r="H73" s="12"/>
      <c r="I73" s="12"/>
      <c r="J73" s="13"/>
      <c r="L73" s="11"/>
      <c r="M73" s="12"/>
      <c r="N73" s="12"/>
      <c r="O73" s="12"/>
      <c r="P73" s="12"/>
      <c r="Q73" s="12"/>
      <c r="R73" s="13"/>
    </row>
    <row r="74" spans="4:18" s="1" customFormat="1" ht="23.25" x14ac:dyDescent="0.25">
      <c r="D74" s="23"/>
      <c r="E74" s="23"/>
      <c r="F74" s="23"/>
      <c r="G74" s="23"/>
      <c r="H74" s="23"/>
      <c r="I74" s="23"/>
      <c r="J74" s="19"/>
      <c r="L74" s="23"/>
      <c r="M74" s="23"/>
      <c r="N74" s="23"/>
      <c r="O74" s="23"/>
      <c r="P74" s="23"/>
      <c r="Q74" s="23"/>
      <c r="R74" s="19"/>
    </row>
    <row r="75" spans="4:18" s="1" customFormat="1" x14ac:dyDescent="0.25">
      <c r="D75" s="15" t="s">
        <v>6</v>
      </c>
      <c r="E75" s="16" t="s">
        <v>7</v>
      </c>
      <c r="F75" s="16" t="s">
        <v>8</v>
      </c>
      <c r="G75" s="16" t="s">
        <v>5</v>
      </c>
      <c r="H75" s="16" t="s">
        <v>2</v>
      </c>
      <c r="I75" s="17" t="s">
        <v>10</v>
      </c>
      <c r="J75" s="17" t="s">
        <v>11</v>
      </c>
      <c r="L75" s="15" t="s">
        <v>6</v>
      </c>
      <c r="M75" s="16" t="s">
        <v>7</v>
      </c>
      <c r="N75" s="16" t="s">
        <v>8</v>
      </c>
      <c r="O75" s="16" t="s">
        <v>5</v>
      </c>
      <c r="P75" s="16" t="s">
        <v>2</v>
      </c>
      <c r="Q75" s="17" t="s">
        <v>10</v>
      </c>
      <c r="R75" s="17" t="s">
        <v>11</v>
      </c>
    </row>
    <row r="76" spans="4:18" s="1" customFormat="1" x14ac:dyDescent="0.25">
      <c r="D76" s="22">
        <f>VLOOKUP(D71,team_stats_americas[#All],2,FALSE)</f>
        <v>2</v>
      </c>
      <c r="E76" s="27">
        <f>VLOOKUP(D71,team_stats_americas[#All],3,FALSE)</f>
        <v>2</v>
      </c>
      <c r="F76" s="27">
        <f>VLOOKUP(D71,team_stats_americas[#All],4,FALSE)</f>
        <v>0</v>
      </c>
      <c r="G76" s="28">
        <f>VLOOKUP(D71,team_stats_americas[#All],5,FALSE)</f>
        <v>45051</v>
      </c>
      <c r="H76" s="27" t="str">
        <f>VLOOKUP(D71,team_stats_americas[#All],6,FALSE)</f>
        <v>112/109</v>
      </c>
      <c r="I76" s="29">
        <f>VLOOKUP(D71,team_stats_americas[#All],7,FALSE)</f>
        <v>3</v>
      </c>
      <c r="J76" s="37">
        <f>E84</f>
        <v>64.8</v>
      </c>
      <c r="L76" s="22">
        <f>VLOOKUP(L71,team_stats_americas[#All],2,FALSE)</f>
        <v>0</v>
      </c>
      <c r="M76" s="27">
        <f>VLOOKUP(L71,team_stats_americas[#All],3,FALSE)</f>
        <v>4</v>
      </c>
      <c r="N76" s="27">
        <f>VLOOKUP(L71,team_stats_americas[#All],4,FALSE)</f>
        <v>0</v>
      </c>
      <c r="O76" s="28">
        <f>VLOOKUP(L71,team_stats_americas[#All],5,FALSE)</f>
        <v>45141</v>
      </c>
      <c r="P76" s="27" t="str">
        <f>VLOOKUP(L71,team_stats_americas[#All],6,FALSE)</f>
        <v>112/129</v>
      </c>
      <c r="Q76" s="29">
        <f>VLOOKUP(L71,team_stats_americas[#All],7,FALSE)</f>
        <v>-17</v>
      </c>
      <c r="R76" s="37">
        <f>M84</f>
        <v>96.6</v>
      </c>
    </row>
    <row r="77" spans="4:18" s="1" customFormat="1" x14ac:dyDescent="0.25">
      <c r="D77" s="5"/>
      <c r="E77" s="4"/>
      <c r="F77" s="4"/>
      <c r="G77" s="4"/>
      <c r="H77" s="4"/>
      <c r="I77" s="4"/>
      <c r="L77" s="5"/>
      <c r="M77" s="4"/>
      <c r="N77" s="4"/>
      <c r="O77" s="4"/>
      <c r="P77" s="4"/>
      <c r="Q77" s="4"/>
    </row>
    <row r="78" spans="4:18" s="1" customFormat="1" x14ac:dyDescent="0.25">
      <c r="D78" s="3" t="s">
        <v>3</v>
      </c>
      <c r="E78" t="s">
        <v>4</v>
      </c>
      <c r="F78" t="s">
        <v>0</v>
      </c>
      <c r="G78" t="s">
        <v>1</v>
      </c>
      <c r="H78" t="s">
        <v>16</v>
      </c>
      <c r="I78" t="s">
        <v>15</v>
      </c>
      <c r="J78" s="2" t="s">
        <v>9</v>
      </c>
      <c r="L78" s="3" t="s">
        <v>3</v>
      </c>
      <c r="M78" t="s">
        <v>4</v>
      </c>
      <c r="N78" t="s">
        <v>0</v>
      </c>
      <c r="O78" t="s">
        <v>1</v>
      </c>
      <c r="P78" t="s">
        <v>16</v>
      </c>
      <c r="Q78" t="s">
        <v>15</v>
      </c>
      <c r="R78" s="2" t="s">
        <v>9</v>
      </c>
    </row>
    <row r="79" spans="4:18" s="1" customFormat="1" x14ac:dyDescent="0.25">
      <c r="D79" s="3" t="s">
        <v>86</v>
      </c>
      <c r="E79" s="35">
        <f>VLOOKUP(D79,player_stats[#All],5,FALSE)</f>
        <v>11</v>
      </c>
      <c r="F79" s="35">
        <f>VLOOKUP(D79,player_stats[#All],6,FALSE)</f>
        <v>2238</v>
      </c>
      <c r="G79" s="39">
        <f>VLOOKUP(D79,player_stats[#All],8,FALSE)</f>
        <v>0.72</v>
      </c>
      <c r="H79" s="39">
        <f>VLOOKUP(D79,player_stats[#All],14,FALSE)</f>
        <v>0.18</v>
      </c>
      <c r="I79" s="39">
        <f>VLOOKUP(D79,player_stats[#All],15,FALSE)</f>
        <v>0.22</v>
      </c>
      <c r="J79" s="2">
        <f>AVERAGE(players2654[[#This Row],[Rating]],players2654[[#This Row],[ACS]],players2654[[#This Row],[KAST]],players2654[[#This Row],[HS%]],players2654[[#This Row],[CL%]])</f>
        <v>450.02399999999989</v>
      </c>
      <c r="L79" s="3" t="s">
        <v>111</v>
      </c>
      <c r="M79" s="35">
        <f>VLOOKUP(L79,player_stats[#All],5,FALSE)</f>
        <v>101</v>
      </c>
      <c r="N79" s="35">
        <f>VLOOKUP(L79,player_stats[#All],6,FALSE)</f>
        <v>2011</v>
      </c>
      <c r="O79" s="39">
        <f>VLOOKUP(L79,player_stats[#All],8,FALSE)</f>
        <v>0.72</v>
      </c>
      <c r="P79" s="39">
        <f>VLOOKUP(L79,player_stats[#All],14,FALSE)</f>
        <v>0.18</v>
      </c>
      <c r="Q79" s="41">
        <f>VLOOKUP(L79,player_stats[#All],15,FALSE)</f>
        <v>0.16</v>
      </c>
      <c r="R79" s="2">
        <f>AVERAGE(players26526284[[#This Row],[Rating]],players26526284[[#This Row],[ACS]],players26526284[[#This Row],[KAST]],players26526284[[#This Row],[HS%]],players26526284[[#This Row],[CL%]])</f>
        <v>422.61199999999991</v>
      </c>
    </row>
    <row r="80" spans="4:18" s="1" customFormat="1" x14ac:dyDescent="0.25">
      <c r="D80" s="3" t="s">
        <v>87</v>
      </c>
      <c r="E80" s="35">
        <f>VLOOKUP(D80,player_stats[#All],5,FALSE)</f>
        <v>97</v>
      </c>
      <c r="F80" s="35">
        <f>VLOOKUP(D80,player_stats[#All],6,FALSE)</f>
        <v>1851</v>
      </c>
      <c r="G80" s="39">
        <f>VLOOKUP(D80,player_stats[#All],8,FALSE)</f>
        <v>0.71</v>
      </c>
      <c r="H80" s="39">
        <f>VLOOKUP(D80,player_stats[#All],14,FALSE)</f>
        <v>0.23</v>
      </c>
      <c r="I80" s="39">
        <f>VLOOKUP(D80,player_stats[#All],15,FALSE)</f>
        <v>0.09</v>
      </c>
      <c r="J80" s="2">
        <f>AVERAGE(players2654[[#This Row],[Rating]],players2654[[#This Row],[ACS]],players2654[[#This Row],[KAST]],players2654[[#This Row],[HS%]],players2654[[#This Row],[CL%]])</f>
        <v>389.80599999999998</v>
      </c>
      <c r="L80" s="3" t="s">
        <v>112</v>
      </c>
      <c r="M80" s="35">
        <f>VLOOKUP(L80,player_stats[#All],5,FALSE)</f>
        <v>103</v>
      </c>
      <c r="N80" s="35">
        <f>VLOOKUP(L80,player_stats[#All],6,FALSE)</f>
        <v>2031</v>
      </c>
      <c r="O80" s="39">
        <f>VLOOKUP(L80,player_stats[#All],8,FALSE)</f>
        <v>0.74</v>
      </c>
      <c r="P80" s="39">
        <f>VLOOKUP(L80,player_stats[#All],14,FALSE)</f>
        <v>0.31</v>
      </c>
      <c r="Q80" s="41">
        <f>VLOOKUP(L80,player_stats[#All],15,FALSE)</f>
        <v>0.13</v>
      </c>
      <c r="R80" s="2">
        <f>AVERAGE(players26526284[[#This Row],[Rating]],players26526284[[#This Row],[ACS]],players26526284[[#This Row],[KAST]],players26526284[[#This Row],[HS%]],players26526284[[#This Row],[CL%]])</f>
        <v>427.03599999999994</v>
      </c>
    </row>
    <row r="81" spans="4:18" s="1" customFormat="1" x14ac:dyDescent="0.25">
      <c r="D81" s="3" t="s">
        <v>88</v>
      </c>
      <c r="E81" s="35">
        <f>VLOOKUP(D81,player_stats[#All],5,FALSE)</f>
        <v>10</v>
      </c>
      <c r="F81" s="35">
        <f>VLOOKUP(D81,player_stats[#All],6,FALSE)</f>
        <v>1764</v>
      </c>
      <c r="G81" s="39">
        <f>VLOOKUP(D81,player_stats[#All],8,FALSE)</f>
        <v>0.68</v>
      </c>
      <c r="H81" s="39">
        <f>VLOOKUP(D81,player_stats[#All],14,FALSE)</f>
        <v>0.3</v>
      </c>
      <c r="I81" s="39">
        <f>VLOOKUP(D81,player_stats[#All],15,FALSE)</f>
        <v>0.1</v>
      </c>
      <c r="J81" s="2">
        <f>AVERAGE(players2654[[#This Row],[Rating]],players2654[[#This Row],[ACS]],players2654[[#This Row],[KAST]],players2654[[#This Row],[HS%]],players2654[[#This Row],[CL%]])</f>
        <v>355.01599999999996</v>
      </c>
      <c r="L81" s="3" t="s">
        <v>113</v>
      </c>
      <c r="M81" s="35">
        <f>VLOOKUP(L81,player_stats[#All],5,FALSE)</f>
        <v>95</v>
      </c>
      <c r="N81" s="35">
        <f>VLOOKUP(L81,player_stats[#All],6,FALSE)</f>
        <v>2291</v>
      </c>
      <c r="O81" s="39">
        <f>VLOOKUP(L81,player_stats[#All],8,FALSE)</f>
        <v>0.67</v>
      </c>
      <c r="P81" s="39">
        <f>VLOOKUP(L81,player_stats[#All],14,FALSE)</f>
        <v>0.25</v>
      </c>
      <c r="Q81" s="41">
        <f>VLOOKUP(L81,player_stats[#All],15,FALSE)</f>
        <v>0.19</v>
      </c>
      <c r="R81" s="2">
        <f>AVERAGE(players26526284[[#This Row],[Rating]],players26526284[[#This Row],[ACS]],players26526284[[#This Row],[KAST]],players26526284[[#This Row],[HS%]],players26526284[[#This Row],[CL%]])</f>
        <v>477.42200000000003</v>
      </c>
    </row>
    <row r="82" spans="4:18" s="1" customFormat="1" x14ac:dyDescent="0.25">
      <c r="D82" s="3" t="s">
        <v>89</v>
      </c>
      <c r="E82" s="35">
        <f>VLOOKUP(D82,player_stats[#All],5,FALSE)</f>
        <v>104</v>
      </c>
      <c r="F82" s="35">
        <f>VLOOKUP(D82,player_stats[#All],6,FALSE)</f>
        <v>2110</v>
      </c>
      <c r="G82" s="39">
        <f>VLOOKUP(D82,player_stats[#All],8,FALSE)</f>
        <v>0.72</v>
      </c>
      <c r="H82" s="39">
        <f>VLOOKUP(D82,player_stats[#All],14,FALSE)</f>
        <v>0.3</v>
      </c>
      <c r="I82" s="39">
        <f>VLOOKUP(D82,player_stats[#All],15,FALSE)</f>
        <v>0.4</v>
      </c>
      <c r="J82" s="2">
        <f>AVERAGE(players2654[[#This Row],[Rating]],players2654[[#This Row],[ACS]],players2654[[#This Row],[KAST]],players2654[[#This Row],[HS%]],players2654[[#This Row],[CL%]])</f>
        <v>443.084</v>
      </c>
      <c r="L82" s="3" t="s">
        <v>114</v>
      </c>
      <c r="M82" s="35">
        <f>VLOOKUP(L82,player_stats[#All],5,FALSE)</f>
        <v>87</v>
      </c>
      <c r="N82" s="35">
        <f>VLOOKUP(L82,player_stats[#All],6,FALSE)</f>
        <v>1737</v>
      </c>
      <c r="O82" s="39">
        <f>VLOOKUP(L82,player_stats[#All],8,FALSE)</f>
        <v>0.73</v>
      </c>
      <c r="P82" s="39">
        <f>VLOOKUP(L82,player_stats[#All],14,FALSE)</f>
        <v>0.18</v>
      </c>
      <c r="Q82" s="41">
        <f>VLOOKUP(L82,player_stats[#All],15,FALSE)</f>
        <v>0</v>
      </c>
      <c r="R82" s="2">
        <f>AVERAGE(players26526284[[#This Row],[Rating]],players26526284[[#This Row],[ACS]],players26526284[[#This Row],[KAST]],players26526284[[#This Row],[HS%]],players26526284[[#This Row],[CL%]])</f>
        <v>364.98200000000003</v>
      </c>
    </row>
    <row r="83" spans="4:18" s="1" customFormat="1" ht="15.75" thickBot="1" x14ac:dyDescent="0.3">
      <c r="D83" s="3" t="s">
        <v>90</v>
      </c>
      <c r="E83" s="35">
        <f>VLOOKUP(D83,player_stats[#All],5,FALSE)</f>
        <v>102</v>
      </c>
      <c r="F83" s="35">
        <f>VLOOKUP(D83,player_stats[#All],6,FALSE)</f>
        <v>1948</v>
      </c>
      <c r="G83" s="39">
        <f>VLOOKUP(D83,player_stats[#All],8,FALSE)</f>
        <v>0.69</v>
      </c>
      <c r="H83" s="39">
        <f>VLOOKUP(D83,player_stats[#All],14,FALSE)</f>
        <v>0.18</v>
      </c>
      <c r="I83" s="39">
        <f>VLOOKUP(D83,player_stats[#All],15,FALSE)</f>
        <v>0.14000000000000001</v>
      </c>
      <c r="J83" s="2">
        <f>AVERAGE(players2654[[#This Row],[Rating]],players2654[[#This Row],[ACS]],players2654[[#This Row],[KAST]],players2654[[#This Row],[HS%]],players2654[[#This Row],[CL%]])</f>
        <v>410.20199999999994</v>
      </c>
      <c r="L83" s="3" t="s">
        <v>115</v>
      </c>
      <c r="M83" s="35">
        <f>VLOOKUP(L83,player_stats[#All],5,FALSE)</f>
        <v>97</v>
      </c>
      <c r="N83" s="35">
        <f>VLOOKUP(L83,player_stats[#All],6,FALSE)</f>
        <v>1765</v>
      </c>
      <c r="O83" s="39">
        <f>VLOOKUP(L83,player_stats[#All],8,FALSE)</f>
        <v>0.72</v>
      </c>
      <c r="P83" s="39">
        <f>VLOOKUP(L83,player_stats[#All],14,FALSE)</f>
        <v>0.19</v>
      </c>
      <c r="Q83" s="41">
        <f>VLOOKUP(L83,player_stats[#All],15,FALSE)</f>
        <v>0.2</v>
      </c>
      <c r="R83" s="2">
        <f>AVERAGE(players26526284[[#This Row],[Rating]],players26526284[[#This Row],[ACS]],players26526284[[#This Row],[KAST]],players26526284[[#This Row],[HS%]],players26526284[[#This Row],[CL%]])</f>
        <v>372.62200000000001</v>
      </c>
    </row>
    <row r="84" spans="4:18" s="1" customFormat="1" x14ac:dyDescent="0.25">
      <c r="D84" s="20" t="s">
        <v>17</v>
      </c>
      <c r="E84" s="24">
        <f>AVERAGE(players2654[Rating])</f>
        <v>64.8</v>
      </c>
      <c r="F84" s="24">
        <f>AVERAGE(players2654[ACS])</f>
        <v>1982.2</v>
      </c>
      <c r="G84" s="40">
        <f>AVERAGE(players2654[KAST])</f>
        <v>0.70399999999999996</v>
      </c>
      <c r="H84" s="40">
        <f>AVERAGE(players2654[HS%])</f>
        <v>0.23799999999999999</v>
      </c>
      <c r="I84" s="40">
        <f>AVERAGE(players2654[CL%])</f>
        <v>0.19</v>
      </c>
      <c r="J84" s="21"/>
      <c r="L84" s="20" t="s">
        <v>17</v>
      </c>
      <c r="M84" s="24">
        <f>AVERAGE(players26526284[Rating])</f>
        <v>96.6</v>
      </c>
      <c r="N84" s="24">
        <f>AVERAGE(players26526284[ACS])</f>
        <v>1967</v>
      </c>
      <c r="O84" s="40">
        <f>AVERAGE(players26526284[KAST])</f>
        <v>0.71599999999999997</v>
      </c>
      <c r="P84" s="40">
        <f>AVERAGE(players26526284[HS%])</f>
        <v>0.22199999999999998</v>
      </c>
      <c r="Q84" s="40">
        <f>AVERAGE(players26526284[CL%])</f>
        <v>0.13600000000000001</v>
      </c>
      <c r="R84" s="42"/>
    </row>
    <row r="85" spans="4:18" s="1" customFormat="1" x14ac:dyDescent="0.25"/>
    <row r="86" spans="4:18" s="1" customFormat="1" x14ac:dyDescent="0.25"/>
    <row r="87" spans="4:18" s="1" customFormat="1" x14ac:dyDescent="0.25"/>
    <row r="88" spans="4:18" s="1" customFormat="1" x14ac:dyDescent="0.25"/>
    <row r="89" spans="4:18" s="1" customFormat="1" x14ac:dyDescent="0.25"/>
    <row r="90" spans="4:18" s="1" customFormat="1" x14ac:dyDescent="0.25"/>
    <row r="91" spans="4:18" s="1" customFormat="1" x14ac:dyDescent="0.25"/>
    <row r="92" spans="4:18" s="1" customFormat="1" x14ac:dyDescent="0.25"/>
    <row r="93" spans="4:18" s="1" customFormat="1" x14ac:dyDescent="0.25"/>
    <row r="94" spans="4:18" s="1" customFormat="1" x14ac:dyDescent="0.25"/>
    <row r="95" spans="4:18" s="1" customFormat="1" x14ac:dyDescent="0.25"/>
    <row r="96" spans="4:18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mergeCells count="10">
    <mergeCell ref="L37:R39"/>
    <mergeCell ref="L54:R56"/>
    <mergeCell ref="L71:R73"/>
    <mergeCell ref="D20:J22"/>
    <mergeCell ref="D37:J39"/>
    <mergeCell ref="L3:R5"/>
    <mergeCell ref="L20:R22"/>
    <mergeCell ref="D54:J56"/>
    <mergeCell ref="D71:J73"/>
    <mergeCell ref="D3:J5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55A0-61A0-4DD9-A9C3-09A6D6997E5F}">
  <dimension ref="A1:G11"/>
  <sheetViews>
    <sheetView workbookViewId="0">
      <selection activeCell="A10" sqref="A10"/>
    </sheetView>
  </sheetViews>
  <sheetFormatPr defaultRowHeight="15" x14ac:dyDescent="0.25"/>
  <cols>
    <col min="1" max="1" width="25.5703125" bestFit="1" customWidth="1"/>
    <col min="2" max="2" width="7.85546875" bestFit="1" customWidth="1"/>
    <col min="3" max="3" width="7" bestFit="1" customWidth="1"/>
    <col min="4" max="4" width="6.85546875" bestFit="1" customWidth="1"/>
    <col min="5" max="5" width="7.5703125" bestFit="1" customWidth="1"/>
    <col min="6" max="6" width="7.85546875" bestFit="1" customWidth="1"/>
    <col min="7" max="7" width="4.5703125" bestFit="1" customWidth="1"/>
  </cols>
  <sheetData>
    <row r="1" spans="1:7" x14ac:dyDescent="0.25">
      <c r="A1" t="s">
        <v>61</v>
      </c>
      <c r="B1" t="s">
        <v>62</v>
      </c>
      <c r="C1" t="s">
        <v>63</v>
      </c>
      <c r="D1" t="s">
        <v>64</v>
      </c>
      <c r="E1" t="s">
        <v>5</v>
      </c>
      <c r="F1" t="s">
        <v>2</v>
      </c>
      <c r="G1" t="s">
        <v>65</v>
      </c>
    </row>
    <row r="2" spans="1:7" x14ac:dyDescent="0.25">
      <c r="A2" s="25" t="s">
        <v>66</v>
      </c>
      <c r="B2">
        <v>4</v>
      </c>
      <c r="C2">
        <v>0</v>
      </c>
      <c r="D2">
        <v>0</v>
      </c>
      <c r="E2" s="26">
        <v>44993</v>
      </c>
      <c r="F2" s="25" t="s">
        <v>67</v>
      </c>
      <c r="G2">
        <v>26</v>
      </c>
    </row>
    <row r="3" spans="1:7" x14ac:dyDescent="0.25">
      <c r="A3" s="25" t="s">
        <v>68</v>
      </c>
      <c r="B3">
        <v>3</v>
      </c>
      <c r="C3">
        <v>1</v>
      </c>
      <c r="D3">
        <v>0</v>
      </c>
      <c r="E3" s="26">
        <v>44992</v>
      </c>
      <c r="F3" s="25" t="s">
        <v>69</v>
      </c>
      <c r="G3">
        <v>30</v>
      </c>
    </row>
    <row r="4" spans="1:7" x14ac:dyDescent="0.25">
      <c r="A4" s="25" t="s">
        <v>70</v>
      </c>
      <c r="B4">
        <v>3</v>
      </c>
      <c r="C4">
        <v>1</v>
      </c>
      <c r="D4">
        <v>0</v>
      </c>
      <c r="E4" s="26">
        <v>44992</v>
      </c>
      <c r="F4" s="25" t="s">
        <v>71</v>
      </c>
      <c r="G4">
        <v>14</v>
      </c>
    </row>
    <row r="5" spans="1:7" x14ac:dyDescent="0.25">
      <c r="A5" s="25" t="s">
        <v>72</v>
      </c>
      <c r="B5">
        <v>3</v>
      </c>
      <c r="C5">
        <v>1</v>
      </c>
      <c r="D5">
        <v>0</v>
      </c>
      <c r="E5" s="26">
        <v>45022</v>
      </c>
      <c r="F5" s="25" t="s">
        <v>73</v>
      </c>
      <c r="G5">
        <v>5</v>
      </c>
    </row>
    <row r="6" spans="1:7" x14ac:dyDescent="0.25">
      <c r="A6" s="25" t="s">
        <v>74</v>
      </c>
      <c r="B6">
        <v>2</v>
      </c>
      <c r="C6">
        <v>2</v>
      </c>
      <c r="D6">
        <v>0</v>
      </c>
      <c r="E6" s="26">
        <v>45051</v>
      </c>
      <c r="F6" s="25" t="s">
        <v>75</v>
      </c>
      <c r="G6">
        <v>3</v>
      </c>
    </row>
    <row r="7" spans="1:7" x14ac:dyDescent="0.25">
      <c r="A7" s="25" t="s">
        <v>76</v>
      </c>
      <c r="B7">
        <v>2</v>
      </c>
      <c r="C7">
        <v>3</v>
      </c>
      <c r="D7">
        <v>0</v>
      </c>
      <c r="E7" s="26">
        <v>45113</v>
      </c>
      <c r="F7" s="25" t="s">
        <v>77</v>
      </c>
      <c r="G7">
        <v>-6</v>
      </c>
    </row>
    <row r="8" spans="1:7" x14ac:dyDescent="0.25">
      <c r="A8" s="25" t="s">
        <v>78</v>
      </c>
      <c r="B8">
        <v>2</v>
      </c>
      <c r="C8">
        <v>3</v>
      </c>
      <c r="D8">
        <v>0</v>
      </c>
      <c r="E8" s="26">
        <v>45143</v>
      </c>
      <c r="F8" s="25" t="s">
        <v>79</v>
      </c>
      <c r="G8">
        <v>-39</v>
      </c>
    </row>
    <row r="9" spans="1:7" x14ac:dyDescent="0.25">
      <c r="A9" s="25" t="s">
        <v>80</v>
      </c>
      <c r="B9">
        <v>1</v>
      </c>
      <c r="C9">
        <v>3</v>
      </c>
      <c r="D9">
        <v>0</v>
      </c>
      <c r="E9" s="26">
        <v>45081</v>
      </c>
      <c r="F9" s="25" t="s">
        <v>81</v>
      </c>
      <c r="G9">
        <v>-5</v>
      </c>
    </row>
    <row r="10" spans="1:7" x14ac:dyDescent="0.25">
      <c r="A10" s="25" t="s">
        <v>82</v>
      </c>
      <c r="B10">
        <v>1</v>
      </c>
      <c r="C10">
        <v>3</v>
      </c>
      <c r="D10">
        <v>0</v>
      </c>
      <c r="E10" s="26">
        <v>45110</v>
      </c>
      <c r="F10" s="25" t="s">
        <v>83</v>
      </c>
      <c r="G10">
        <v>-11</v>
      </c>
    </row>
    <row r="11" spans="1:7" x14ac:dyDescent="0.25">
      <c r="A11" s="25" t="s">
        <v>84</v>
      </c>
      <c r="B11">
        <v>0</v>
      </c>
      <c r="C11">
        <v>4</v>
      </c>
      <c r="D11">
        <v>0</v>
      </c>
      <c r="E11" s="26">
        <v>45141</v>
      </c>
      <c r="F11" s="25" t="s">
        <v>85</v>
      </c>
      <c r="G11">
        <v>-17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CAD9-F4AF-4475-B1B1-9E58BCA94C7B}">
  <dimension ref="A1:V53"/>
  <sheetViews>
    <sheetView tabSelected="1" workbookViewId="0">
      <selection activeCell="N48" sqref="N48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9.42578125" bestFit="1" customWidth="1"/>
    <col min="4" max="4" width="6.7109375" bestFit="1" customWidth="1"/>
    <col min="5" max="5" width="4.42578125" bestFit="1" customWidth="1"/>
    <col min="6" max="6" width="6.7109375" bestFit="1" customWidth="1"/>
    <col min="7" max="7" width="6.28515625" bestFit="1" customWidth="1"/>
    <col min="8" max="8" width="7.7109375" bestFit="1" customWidth="1"/>
    <col min="9" max="9" width="7" bestFit="1" customWidth="1"/>
    <col min="10" max="10" width="6.7109375" bestFit="1" customWidth="1"/>
    <col min="11" max="11" width="6.85546875" bestFit="1" customWidth="1"/>
    <col min="12" max="12" width="7.7109375" bestFit="1" customWidth="1"/>
    <col min="13" max="13" width="7.85546875" bestFit="1" customWidth="1"/>
    <col min="14" max="14" width="7.140625" bestFit="1" customWidth="1"/>
    <col min="15" max="15" width="6.85546875" bestFit="1" customWidth="1"/>
    <col min="16" max="16" width="5.28515625" bestFit="1" customWidth="1"/>
    <col min="17" max="17" width="8.28515625" bestFit="1" customWidth="1"/>
    <col min="18" max="18" width="4.42578125" bestFit="1" customWidth="1"/>
    <col min="19" max="20" width="4.5703125" bestFit="1" customWidth="1"/>
    <col min="21" max="21" width="5.42578125" bestFit="1" customWidth="1"/>
    <col min="22" max="22" width="5.5703125" bestFit="1" customWidth="1"/>
    <col min="23" max="23" width="5.42578125" customWidth="1"/>
    <col min="24" max="25" width="5.5703125" bestFit="1" customWidth="1"/>
  </cols>
  <sheetData>
    <row r="1" spans="1:22" x14ac:dyDescent="0.25">
      <c r="A1" t="s">
        <v>25</v>
      </c>
      <c r="B1" t="s">
        <v>61</v>
      </c>
      <c r="C1" t="s">
        <v>26</v>
      </c>
      <c r="D1" t="s">
        <v>27</v>
      </c>
      <c r="E1" t="s">
        <v>28</v>
      </c>
      <c r="F1" t="s">
        <v>0</v>
      </c>
      <c r="G1" t="s">
        <v>29</v>
      </c>
      <c r="H1" t="s">
        <v>1</v>
      </c>
      <c r="I1" t="s">
        <v>12</v>
      </c>
      <c r="J1" t="s">
        <v>30</v>
      </c>
      <c r="K1" t="s">
        <v>31</v>
      </c>
      <c r="L1" t="s">
        <v>13</v>
      </c>
      <c r="M1" t="s">
        <v>14</v>
      </c>
      <c r="N1" t="s">
        <v>16</v>
      </c>
      <c r="O1" t="s">
        <v>15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25">
      <c r="A2" s="25" t="s">
        <v>24</v>
      </c>
      <c r="B2" s="25" t="s">
        <v>18</v>
      </c>
      <c r="C2" s="25" t="s">
        <v>45</v>
      </c>
      <c r="D2">
        <v>230</v>
      </c>
      <c r="E2" s="35">
        <v>133</v>
      </c>
      <c r="F2">
        <v>2693</v>
      </c>
      <c r="G2">
        <v>164</v>
      </c>
      <c r="H2">
        <v>0.79</v>
      </c>
      <c r="I2">
        <v>1702</v>
      </c>
      <c r="J2">
        <v>99</v>
      </c>
      <c r="K2">
        <v>17</v>
      </c>
      <c r="L2">
        <v>19</v>
      </c>
      <c r="M2">
        <v>9</v>
      </c>
      <c r="N2">
        <v>0.24</v>
      </c>
      <c r="O2">
        <v>0.22</v>
      </c>
      <c r="P2" s="25" t="s">
        <v>47</v>
      </c>
      <c r="Q2">
        <v>28</v>
      </c>
      <c r="R2">
        <v>227</v>
      </c>
      <c r="S2">
        <v>138</v>
      </c>
      <c r="T2">
        <v>38</v>
      </c>
      <c r="U2">
        <v>44</v>
      </c>
      <c r="V2">
        <v>21</v>
      </c>
    </row>
    <row r="3" spans="1:22" x14ac:dyDescent="0.25">
      <c r="A3" s="25" t="s">
        <v>146</v>
      </c>
      <c r="B3" s="25" t="s">
        <v>179</v>
      </c>
      <c r="C3" s="25" t="s">
        <v>40</v>
      </c>
      <c r="D3">
        <v>101</v>
      </c>
      <c r="E3" s="35">
        <v>124</v>
      </c>
      <c r="F3">
        <v>2494</v>
      </c>
      <c r="G3">
        <v>133</v>
      </c>
      <c r="H3">
        <v>0.75</v>
      </c>
      <c r="I3">
        <v>1615</v>
      </c>
      <c r="J3">
        <v>88</v>
      </c>
      <c r="K3">
        <v>33</v>
      </c>
      <c r="L3">
        <v>15</v>
      </c>
      <c r="M3">
        <v>13</v>
      </c>
      <c r="N3">
        <v>0.33</v>
      </c>
      <c r="O3">
        <v>0.2</v>
      </c>
      <c r="P3" s="25" t="s">
        <v>151</v>
      </c>
      <c r="Q3">
        <v>20</v>
      </c>
      <c r="R3">
        <v>89</v>
      </c>
      <c r="S3">
        <v>67</v>
      </c>
      <c r="T3">
        <v>33</v>
      </c>
      <c r="U3">
        <v>15</v>
      </c>
      <c r="V3">
        <v>13</v>
      </c>
    </row>
    <row r="4" spans="1:22" x14ac:dyDescent="0.25">
      <c r="A4" s="25" t="s">
        <v>120</v>
      </c>
      <c r="B4" s="25" t="s">
        <v>180</v>
      </c>
      <c r="C4" s="25" t="s">
        <v>45</v>
      </c>
      <c r="D4">
        <v>206</v>
      </c>
      <c r="E4" s="35">
        <v>124</v>
      </c>
      <c r="F4">
        <v>2173</v>
      </c>
      <c r="G4">
        <v>134</v>
      </c>
      <c r="H4">
        <v>0.82</v>
      </c>
      <c r="I4">
        <v>1411</v>
      </c>
      <c r="J4">
        <v>76</v>
      </c>
      <c r="K4">
        <v>46</v>
      </c>
      <c r="L4">
        <v>8</v>
      </c>
      <c r="M4">
        <v>1</v>
      </c>
      <c r="N4">
        <v>0.27</v>
      </c>
      <c r="O4">
        <v>0.3</v>
      </c>
      <c r="P4" s="25" t="s">
        <v>152</v>
      </c>
      <c r="Q4">
        <v>26</v>
      </c>
      <c r="R4">
        <v>156</v>
      </c>
      <c r="S4">
        <v>116</v>
      </c>
      <c r="T4">
        <v>95</v>
      </c>
      <c r="U4">
        <v>16</v>
      </c>
      <c r="V4">
        <v>20</v>
      </c>
    </row>
    <row r="5" spans="1:22" x14ac:dyDescent="0.25">
      <c r="A5" s="25" t="s">
        <v>117</v>
      </c>
      <c r="B5" s="25" t="s">
        <v>180</v>
      </c>
      <c r="C5" s="25" t="s">
        <v>45</v>
      </c>
      <c r="D5">
        <v>206</v>
      </c>
      <c r="E5" s="35">
        <v>12</v>
      </c>
      <c r="F5">
        <v>1901</v>
      </c>
      <c r="G5">
        <v>123</v>
      </c>
      <c r="H5">
        <v>0.81</v>
      </c>
      <c r="I5">
        <v>1237</v>
      </c>
      <c r="J5">
        <v>67</v>
      </c>
      <c r="K5">
        <v>43</v>
      </c>
      <c r="L5">
        <v>5</v>
      </c>
      <c r="M5">
        <v>5</v>
      </c>
      <c r="N5">
        <v>0.21</v>
      </c>
      <c r="O5">
        <v>0.17</v>
      </c>
      <c r="P5" s="25" t="s">
        <v>50</v>
      </c>
      <c r="Q5">
        <v>21</v>
      </c>
      <c r="R5">
        <v>138</v>
      </c>
      <c r="S5">
        <v>112</v>
      </c>
      <c r="T5">
        <v>88</v>
      </c>
      <c r="U5">
        <v>11</v>
      </c>
      <c r="V5">
        <v>11</v>
      </c>
    </row>
    <row r="6" spans="1:22" x14ac:dyDescent="0.25">
      <c r="A6" s="25" t="s">
        <v>107</v>
      </c>
      <c r="B6" s="25" t="s">
        <v>181</v>
      </c>
      <c r="C6" s="25" t="s">
        <v>39</v>
      </c>
      <c r="D6">
        <v>217</v>
      </c>
      <c r="E6" s="35">
        <v>116</v>
      </c>
      <c r="F6">
        <v>2042</v>
      </c>
      <c r="G6">
        <v>121</v>
      </c>
      <c r="H6">
        <v>0.78</v>
      </c>
      <c r="I6">
        <v>1292</v>
      </c>
      <c r="J6">
        <v>72</v>
      </c>
      <c r="K6">
        <v>29</v>
      </c>
      <c r="L6">
        <v>3</v>
      </c>
      <c r="M6">
        <v>5</v>
      </c>
      <c r="N6">
        <v>0.28000000000000003</v>
      </c>
      <c r="O6">
        <v>0.16</v>
      </c>
      <c r="P6" s="25" t="s">
        <v>153</v>
      </c>
      <c r="Q6">
        <v>25</v>
      </c>
      <c r="R6">
        <v>157</v>
      </c>
      <c r="S6">
        <v>130</v>
      </c>
      <c r="T6">
        <v>63</v>
      </c>
      <c r="U6">
        <v>7</v>
      </c>
      <c r="V6">
        <v>10</v>
      </c>
    </row>
    <row r="7" spans="1:22" x14ac:dyDescent="0.25">
      <c r="A7" s="25" t="s">
        <v>96</v>
      </c>
      <c r="B7" s="25" t="s">
        <v>182</v>
      </c>
      <c r="C7" s="25" t="s">
        <v>40</v>
      </c>
      <c r="D7">
        <v>195</v>
      </c>
      <c r="E7" s="35">
        <v>114</v>
      </c>
      <c r="F7">
        <v>2497</v>
      </c>
      <c r="G7">
        <v>121</v>
      </c>
      <c r="H7">
        <v>0.74</v>
      </c>
      <c r="I7">
        <v>1630</v>
      </c>
      <c r="J7">
        <v>87</v>
      </c>
      <c r="K7">
        <v>3</v>
      </c>
      <c r="L7">
        <v>2</v>
      </c>
      <c r="M7">
        <v>13</v>
      </c>
      <c r="N7">
        <v>0.21</v>
      </c>
      <c r="O7">
        <v>0.28999999999999998</v>
      </c>
      <c r="P7" s="25" t="s">
        <v>154</v>
      </c>
      <c r="Q7">
        <v>26</v>
      </c>
      <c r="R7">
        <v>169</v>
      </c>
      <c r="S7">
        <v>140</v>
      </c>
      <c r="T7">
        <v>58</v>
      </c>
      <c r="U7">
        <v>39</v>
      </c>
      <c r="V7">
        <v>26</v>
      </c>
    </row>
    <row r="8" spans="1:22" x14ac:dyDescent="0.25">
      <c r="A8" s="25" t="s">
        <v>119</v>
      </c>
      <c r="B8" s="25" t="s">
        <v>180</v>
      </c>
      <c r="C8" s="25" t="s">
        <v>45</v>
      </c>
      <c r="D8">
        <v>206</v>
      </c>
      <c r="E8" s="35">
        <v>112</v>
      </c>
      <c r="F8">
        <v>2185</v>
      </c>
      <c r="G8">
        <v>11</v>
      </c>
      <c r="H8">
        <v>0.77</v>
      </c>
      <c r="I8">
        <v>1388</v>
      </c>
      <c r="J8">
        <v>77</v>
      </c>
      <c r="K8">
        <v>43</v>
      </c>
      <c r="L8">
        <v>17</v>
      </c>
      <c r="M8">
        <v>7</v>
      </c>
      <c r="N8">
        <v>0.24</v>
      </c>
      <c r="P8" s="25" t="s">
        <v>155</v>
      </c>
      <c r="Q8">
        <v>22</v>
      </c>
      <c r="R8">
        <v>159</v>
      </c>
      <c r="S8">
        <v>145</v>
      </c>
      <c r="T8">
        <v>89</v>
      </c>
      <c r="U8">
        <v>34</v>
      </c>
      <c r="V8">
        <v>15</v>
      </c>
    </row>
    <row r="9" spans="1:22" x14ac:dyDescent="0.25">
      <c r="A9" s="25" t="s">
        <v>150</v>
      </c>
      <c r="B9" s="25" t="s">
        <v>179</v>
      </c>
      <c r="C9" s="25" t="s">
        <v>40</v>
      </c>
      <c r="D9">
        <v>282</v>
      </c>
      <c r="E9" s="35">
        <v>112</v>
      </c>
      <c r="F9">
        <v>2496</v>
      </c>
      <c r="G9">
        <v>118</v>
      </c>
      <c r="H9">
        <v>0.73</v>
      </c>
      <c r="I9">
        <v>1654</v>
      </c>
      <c r="J9">
        <v>84</v>
      </c>
      <c r="K9">
        <v>28</v>
      </c>
      <c r="L9">
        <v>14</v>
      </c>
      <c r="M9">
        <v>12</v>
      </c>
      <c r="N9">
        <v>0.23</v>
      </c>
      <c r="O9">
        <v>0.25</v>
      </c>
      <c r="P9" s="25" t="s">
        <v>51</v>
      </c>
      <c r="Q9">
        <v>29</v>
      </c>
      <c r="R9">
        <v>236</v>
      </c>
      <c r="S9">
        <v>200</v>
      </c>
      <c r="T9">
        <v>78</v>
      </c>
      <c r="U9">
        <v>39</v>
      </c>
      <c r="V9">
        <v>34</v>
      </c>
    </row>
    <row r="10" spans="1:22" x14ac:dyDescent="0.25">
      <c r="A10" s="25" t="s">
        <v>86</v>
      </c>
      <c r="B10" s="25" t="s">
        <v>183</v>
      </c>
      <c r="C10" s="25" t="s">
        <v>41</v>
      </c>
      <c r="D10">
        <v>221</v>
      </c>
      <c r="E10" s="35">
        <v>11</v>
      </c>
      <c r="F10">
        <v>2238</v>
      </c>
      <c r="G10">
        <v>103</v>
      </c>
      <c r="H10">
        <v>0.72</v>
      </c>
      <c r="I10">
        <v>1504</v>
      </c>
      <c r="J10">
        <v>76</v>
      </c>
      <c r="K10">
        <v>42</v>
      </c>
      <c r="L10">
        <v>15</v>
      </c>
      <c r="M10">
        <v>11</v>
      </c>
      <c r="N10">
        <v>0.18</v>
      </c>
      <c r="O10">
        <v>0.22</v>
      </c>
      <c r="P10" s="25" t="s">
        <v>156</v>
      </c>
      <c r="Q10">
        <v>27</v>
      </c>
      <c r="R10">
        <v>167</v>
      </c>
      <c r="S10">
        <v>162</v>
      </c>
      <c r="T10">
        <v>92</v>
      </c>
      <c r="U10">
        <v>33</v>
      </c>
      <c r="V10">
        <v>24</v>
      </c>
    </row>
    <row r="11" spans="1:22" x14ac:dyDescent="0.25">
      <c r="A11" s="25" t="s">
        <v>23</v>
      </c>
      <c r="B11" s="25" t="s">
        <v>18</v>
      </c>
      <c r="C11" s="25" t="s">
        <v>45</v>
      </c>
      <c r="D11">
        <v>230</v>
      </c>
      <c r="E11" s="35">
        <v>109</v>
      </c>
      <c r="F11">
        <v>2178</v>
      </c>
      <c r="G11">
        <v>122</v>
      </c>
      <c r="H11">
        <v>0.74</v>
      </c>
      <c r="I11">
        <v>1466</v>
      </c>
      <c r="J11">
        <v>76</v>
      </c>
      <c r="K11">
        <v>24</v>
      </c>
      <c r="L11">
        <v>11</v>
      </c>
      <c r="M11">
        <v>9</v>
      </c>
      <c r="N11">
        <v>0.23</v>
      </c>
      <c r="O11">
        <v>0.11</v>
      </c>
      <c r="P11" s="25" t="s">
        <v>157</v>
      </c>
      <c r="Q11">
        <v>23</v>
      </c>
      <c r="R11">
        <v>175</v>
      </c>
      <c r="S11">
        <v>143</v>
      </c>
      <c r="T11">
        <v>55</v>
      </c>
      <c r="U11">
        <v>25</v>
      </c>
      <c r="V11">
        <v>20</v>
      </c>
    </row>
    <row r="12" spans="1:22" x14ac:dyDescent="0.25">
      <c r="A12" s="25" t="s">
        <v>22</v>
      </c>
      <c r="B12" s="25" t="s">
        <v>18</v>
      </c>
      <c r="C12" s="25" t="s">
        <v>45</v>
      </c>
      <c r="D12">
        <v>230</v>
      </c>
      <c r="E12" s="35">
        <v>109</v>
      </c>
      <c r="F12">
        <v>2173</v>
      </c>
      <c r="G12">
        <v>116</v>
      </c>
      <c r="H12">
        <v>0.78</v>
      </c>
      <c r="I12">
        <v>1358</v>
      </c>
      <c r="J12">
        <v>79</v>
      </c>
      <c r="K12">
        <v>43</v>
      </c>
      <c r="L12">
        <v>12</v>
      </c>
      <c r="M12">
        <v>9</v>
      </c>
      <c r="N12">
        <v>0.2</v>
      </c>
      <c r="O12">
        <v>0.24</v>
      </c>
      <c r="P12" s="25" t="s">
        <v>158</v>
      </c>
      <c r="Q12">
        <v>23</v>
      </c>
      <c r="R12">
        <v>182</v>
      </c>
      <c r="S12">
        <v>157</v>
      </c>
      <c r="T12">
        <v>98</v>
      </c>
      <c r="U12">
        <v>27</v>
      </c>
      <c r="V12">
        <v>20</v>
      </c>
    </row>
    <row r="13" spans="1:22" x14ac:dyDescent="0.25">
      <c r="A13" s="25" t="s">
        <v>121</v>
      </c>
      <c r="B13" s="25" t="s">
        <v>180</v>
      </c>
      <c r="C13" s="25" t="s">
        <v>45</v>
      </c>
      <c r="D13">
        <v>206</v>
      </c>
      <c r="E13" s="35">
        <v>108</v>
      </c>
      <c r="F13">
        <v>1984</v>
      </c>
      <c r="G13">
        <v>106</v>
      </c>
      <c r="H13">
        <v>0.72</v>
      </c>
      <c r="I13">
        <v>1349</v>
      </c>
      <c r="J13">
        <v>69</v>
      </c>
      <c r="K13">
        <v>22</v>
      </c>
      <c r="L13">
        <v>7</v>
      </c>
      <c r="M13">
        <v>5</v>
      </c>
      <c r="N13">
        <v>0.19</v>
      </c>
      <c r="P13" s="25" t="s">
        <v>159</v>
      </c>
      <c r="Q13">
        <v>21</v>
      </c>
      <c r="R13">
        <v>142</v>
      </c>
      <c r="S13">
        <v>134</v>
      </c>
      <c r="T13">
        <v>45</v>
      </c>
      <c r="U13">
        <v>15</v>
      </c>
      <c r="V13">
        <v>11</v>
      </c>
    </row>
    <row r="14" spans="1:22" x14ac:dyDescent="0.25">
      <c r="A14" s="25" t="s">
        <v>131</v>
      </c>
      <c r="B14" s="25" t="s">
        <v>128</v>
      </c>
      <c r="C14" s="25" t="s">
        <v>39</v>
      </c>
      <c r="D14">
        <v>204</v>
      </c>
      <c r="E14" s="35">
        <v>108</v>
      </c>
      <c r="F14">
        <v>2318</v>
      </c>
      <c r="G14">
        <v>105</v>
      </c>
      <c r="H14">
        <v>0.77</v>
      </c>
      <c r="I14">
        <v>1494</v>
      </c>
      <c r="J14">
        <v>77</v>
      </c>
      <c r="K14">
        <v>35</v>
      </c>
      <c r="L14">
        <v>18</v>
      </c>
      <c r="M14">
        <v>13</v>
      </c>
      <c r="N14">
        <v>0.19</v>
      </c>
      <c r="O14">
        <v>0.25</v>
      </c>
      <c r="P14" s="25" t="s">
        <v>51</v>
      </c>
      <c r="Q14">
        <v>30</v>
      </c>
      <c r="R14">
        <v>157</v>
      </c>
      <c r="S14">
        <v>150</v>
      </c>
      <c r="T14">
        <v>71</v>
      </c>
      <c r="U14">
        <v>36</v>
      </c>
      <c r="V14">
        <v>27</v>
      </c>
    </row>
    <row r="15" spans="1:22" x14ac:dyDescent="0.25">
      <c r="A15" s="25" t="s">
        <v>99</v>
      </c>
      <c r="B15" s="25" t="s">
        <v>184</v>
      </c>
      <c r="C15" s="25" t="s">
        <v>45</v>
      </c>
      <c r="D15">
        <v>225</v>
      </c>
      <c r="E15" s="35">
        <v>107</v>
      </c>
      <c r="F15">
        <v>2298</v>
      </c>
      <c r="G15">
        <v>107</v>
      </c>
      <c r="H15">
        <v>0.67</v>
      </c>
      <c r="I15">
        <v>1532</v>
      </c>
      <c r="J15">
        <v>78</v>
      </c>
      <c r="K15">
        <v>22</v>
      </c>
      <c r="L15">
        <v>13</v>
      </c>
      <c r="M15">
        <v>13</v>
      </c>
      <c r="N15">
        <v>0.23</v>
      </c>
      <c r="O15">
        <v>0.23</v>
      </c>
      <c r="P15" s="25" t="s">
        <v>160</v>
      </c>
      <c r="Q15">
        <v>23</v>
      </c>
      <c r="R15">
        <v>176</v>
      </c>
      <c r="S15">
        <v>164</v>
      </c>
      <c r="T15">
        <v>49</v>
      </c>
      <c r="U15">
        <v>30</v>
      </c>
      <c r="V15">
        <v>29</v>
      </c>
    </row>
    <row r="16" spans="1:22" x14ac:dyDescent="0.25">
      <c r="A16" s="25" t="s">
        <v>98</v>
      </c>
      <c r="B16" s="25" t="s">
        <v>182</v>
      </c>
      <c r="C16" s="25" t="s">
        <v>39</v>
      </c>
      <c r="D16">
        <v>195</v>
      </c>
      <c r="E16" s="35">
        <v>106</v>
      </c>
      <c r="F16">
        <v>1918</v>
      </c>
      <c r="G16">
        <v>103</v>
      </c>
      <c r="H16">
        <v>0.8</v>
      </c>
      <c r="I16">
        <v>1270</v>
      </c>
      <c r="J16">
        <v>69</v>
      </c>
      <c r="K16">
        <v>31</v>
      </c>
      <c r="L16">
        <v>9</v>
      </c>
      <c r="M16">
        <v>6</v>
      </c>
      <c r="N16">
        <v>0.24</v>
      </c>
      <c r="O16">
        <v>0.21</v>
      </c>
      <c r="P16" s="25" t="s">
        <v>49</v>
      </c>
      <c r="Q16">
        <v>19</v>
      </c>
      <c r="R16">
        <v>135</v>
      </c>
      <c r="S16">
        <v>131</v>
      </c>
      <c r="T16">
        <v>61</v>
      </c>
      <c r="U16">
        <v>17</v>
      </c>
      <c r="V16">
        <v>12</v>
      </c>
    </row>
    <row r="17" spans="1:22" x14ac:dyDescent="0.25">
      <c r="A17" s="25" t="s">
        <v>133</v>
      </c>
      <c r="B17" s="25" t="s">
        <v>128</v>
      </c>
      <c r="C17" s="25" t="s">
        <v>40</v>
      </c>
      <c r="D17">
        <v>204</v>
      </c>
      <c r="E17" s="35">
        <v>105</v>
      </c>
      <c r="F17">
        <v>2027</v>
      </c>
      <c r="G17">
        <v>109</v>
      </c>
      <c r="H17">
        <v>0.8</v>
      </c>
      <c r="I17">
        <v>1239</v>
      </c>
      <c r="J17">
        <v>75</v>
      </c>
      <c r="K17">
        <v>32</v>
      </c>
      <c r="L17">
        <v>1</v>
      </c>
      <c r="M17">
        <v>8</v>
      </c>
      <c r="N17">
        <v>0.26</v>
      </c>
      <c r="O17">
        <v>0.28999999999999998</v>
      </c>
      <c r="P17" s="25" t="s">
        <v>52</v>
      </c>
      <c r="Q17">
        <v>22</v>
      </c>
      <c r="R17">
        <v>153</v>
      </c>
      <c r="S17">
        <v>141</v>
      </c>
      <c r="T17">
        <v>66</v>
      </c>
      <c r="U17">
        <v>20</v>
      </c>
      <c r="V17">
        <v>17</v>
      </c>
    </row>
    <row r="18" spans="1:22" x14ac:dyDescent="0.25">
      <c r="A18" s="25" t="s">
        <v>101</v>
      </c>
      <c r="B18" s="25" t="s">
        <v>184</v>
      </c>
      <c r="C18" s="25" t="s">
        <v>45</v>
      </c>
      <c r="D18">
        <v>68</v>
      </c>
      <c r="E18" s="35">
        <v>105</v>
      </c>
      <c r="F18">
        <v>1867</v>
      </c>
      <c r="G18">
        <v>92</v>
      </c>
      <c r="H18">
        <v>0.74</v>
      </c>
      <c r="I18">
        <v>1156</v>
      </c>
      <c r="J18">
        <v>65</v>
      </c>
      <c r="K18">
        <v>51</v>
      </c>
      <c r="L18">
        <v>7</v>
      </c>
      <c r="M18">
        <v>6</v>
      </c>
      <c r="N18">
        <v>0.2</v>
      </c>
      <c r="O18">
        <v>0.17</v>
      </c>
      <c r="P18" s="25" t="s">
        <v>161</v>
      </c>
      <c r="Q18">
        <v>18</v>
      </c>
      <c r="R18">
        <v>44</v>
      </c>
      <c r="S18">
        <v>48</v>
      </c>
      <c r="T18">
        <v>35</v>
      </c>
      <c r="U18">
        <v>5</v>
      </c>
      <c r="V18">
        <v>4</v>
      </c>
    </row>
    <row r="19" spans="1:22" x14ac:dyDescent="0.25">
      <c r="A19" s="25" t="s">
        <v>118</v>
      </c>
      <c r="B19" s="25" t="s">
        <v>180</v>
      </c>
      <c r="C19" s="25" t="s">
        <v>45</v>
      </c>
      <c r="D19">
        <v>206</v>
      </c>
      <c r="E19" s="35">
        <v>104</v>
      </c>
      <c r="F19">
        <v>2008</v>
      </c>
      <c r="G19">
        <v>102</v>
      </c>
      <c r="H19">
        <v>0.67</v>
      </c>
      <c r="I19">
        <v>1216</v>
      </c>
      <c r="J19">
        <v>68</v>
      </c>
      <c r="K19">
        <v>19</v>
      </c>
      <c r="L19">
        <v>19</v>
      </c>
      <c r="M19">
        <v>16</v>
      </c>
      <c r="N19">
        <v>0.18</v>
      </c>
      <c r="O19">
        <v>0.14000000000000001</v>
      </c>
      <c r="P19" s="25" t="s">
        <v>162</v>
      </c>
      <c r="Q19">
        <v>19</v>
      </c>
      <c r="R19">
        <v>141</v>
      </c>
      <c r="S19">
        <v>138</v>
      </c>
      <c r="T19">
        <v>40</v>
      </c>
      <c r="U19">
        <v>39</v>
      </c>
      <c r="V19">
        <v>33</v>
      </c>
    </row>
    <row r="20" spans="1:22" x14ac:dyDescent="0.25">
      <c r="A20" s="25" t="s">
        <v>89</v>
      </c>
      <c r="B20" s="25" t="s">
        <v>183</v>
      </c>
      <c r="C20" s="25" t="s">
        <v>40</v>
      </c>
      <c r="D20">
        <v>221</v>
      </c>
      <c r="E20" s="35">
        <v>104</v>
      </c>
      <c r="F20">
        <v>2110</v>
      </c>
      <c r="G20">
        <v>102</v>
      </c>
      <c r="H20">
        <v>0.72</v>
      </c>
      <c r="I20">
        <v>1314</v>
      </c>
      <c r="J20">
        <v>74</v>
      </c>
      <c r="K20">
        <v>32</v>
      </c>
      <c r="L20">
        <v>8</v>
      </c>
      <c r="M20">
        <v>1</v>
      </c>
      <c r="N20">
        <v>0.3</v>
      </c>
      <c r="O20">
        <v>0.4</v>
      </c>
      <c r="P20" s="25" t="s">
        <v>163</v>
      </c>
      <c r="Q20">
        <v>25</v>
      </c>
      <c r="R20">
        <v>163</v>
      </c>
      <c r="S20">
        <v>160</v>
      </c>
      <c r="T20">
        <v>71</v>
      </c>
      <c r="U20">
        <v>18</v>
      </c>
      <c r="V20">
        <v>22</v>
      </c>
    </row>
    <row r="21" spans="1:22" x14ac:dyDescent="0.25">
      <c r="A21" s="25" t="s">
        <v>97</v>
      </c>
      <c r="B21" s="25" t="s">
        <v>182</v>
      </c>
      <c r="C21" s="25" t="s">
        <v>40</v>
      </c>
      <c r="D21">
        <v>195</v>
      </c>
      <c r="E21" s="35">
        <v>104</v>
      </c>
      <c r="F21">
        <v>2051</v>
      </c>
      <c r="G21">
        <v>99</v>
      </c>
      <c r="H21">
        <v>0.74</v>
      </c>
      <c r="I21">
        <v>1343</v>
      </c>
      <c r="J21">
        <v>71</v>
      </c>
      <c r="K21">
        <v>44</v>
      </c>
      <c r="L21">
        <v>1</v>
      </c>
      <c r="M21">
        <v>9</v>
      </c>
      <c r="N21">
        <v>0.27</v>
      </c>
      <c r="O21">
        <v>0.05</v>
      </c>
      <c r="P21" s="25" t="s">
        <v>164</v>
      </c>
      <c r="Q21">
        <v>24</v>
      </c>
      <c r="R21">
        <v>139</v>
      </c>
      <c r="S21">
        <v>141</v>
      </c>
      <c r="T21">
        <v>86</v>
      </c>
      <c r="U21">
        <v>19</v>
      </c>
      <c r="V21">
        <v>18</v>
      </c>
    </row>
    <row r="22" spans="1:22" x14ac:dyDescent="0.25">
      <c r="A22" s="25" t="s">
        <v>93</v>
      </c>
      <c r="B22" s="25" t="s">
        <v>182</v>
      </c>
      <c r="C22" s="25" t="s">
        <v>45</v>
      </c>
      <c r="D22">
        <v>195</v>
      </c>
      <c r="E22" s="35">
        <v>103</v>
      </c>
      <c r="F22">
        <v>1914</v>
      </c>
      <c r="G22">
        <v>107</v>
      </c>
      <c r="H22">
        <v>0.7</v>
      </c>
      <c r="I22">
        <v>1298</v>
      </c>
      <c r="J22">
        <v>69</v>
      </c>
      <c r="K22">
        <v>23</v>
      </c>
      <c r="L22">
        <v>9</v>
      </c>
      <c r="M22">
        <v>9</v>
      </c>
      <c r="N22">
        <v>0.18</v>
      </c>
      <c r="O22">
        <v>0.19</v>
      </c>
      <c r="P22" s="25" t="s">
        <v>60</v>
      </c>
      <c r="Q22">
        <v>22</v>
      </c>
      <c r="R22">
        <v>134</v>
      </c>
      <c r="S22">
        <v>125</v>
      </c>
      <c r="T22">
        <v>45</v>
      </c>
      <c r="U22">
        <v>17</v>
      </c>
      <c r="V22">
        <v>18</v>
      </c>
    </row>
    <row r="23" spans="1:22" x14ac:dyDescent="0.25">
      <c r="A23" s="25" t="s">
        <v>103</v>
      </c>
      <c r="B23" s="25" t="s">
        <v>184</v>
      </c>
      <c r="C23" s="25" t="s">
        <v>45</v>
      </c>
      <c r="D23">
        <v>225</v>
      </c>
      <c r="E23" s="35">
        <v>103</v>
      </c>
      <c r="F23">
        <v>2009</v>
      </c>
      <c r="G23">
        <v>96</v>
      </c>
      <c r="H23">
        <v>0.75</v>
      </c>
      <c r="I23">
        <v>1283</v>
      </c>
      <c r="J23">
        <v>68</v>
      </c>
      <c r="K23">
        <v>44</v>
      </c>
      <c r="L23">
        <v>8</v>
      </c>
      <c r="M23">
        <v>7</v>
      </c>
      <c r="N23">
        <v>0.22</v>
      </c>
      <c r="O23">
        <v>0.13</v>
      </c>
      <c r="P23" s="25" t="s">
        <v>58</v>
      </c>
      <c r="Q23">
        <v>21</v>
      </c>
      <c r="R23">
        <v>154</v>
      </c>
      <c r="S23">
        <v>160</v>
      </c>
      <c r="T23">
        <v>98</v>
      </c>
      <c r="U23">
        <v>17</v>
      </c>
      <c r="V23">
        <v>15</v>
      </c>
    </row>
    <row r="24" spans="1:22" x14ac:dyDescent="0.25">
      <c r="A24" s="25" t="s">
        <v>147</v>
      </c>
      <c r="B24" s="25" t="s">
        <v>179</v>
      </c>
      <c r="C24" s="25" t="s">
        <v>42</v>
      </c>
      <c r="D24">
        <v>282</v>
      </c>
      <c r="E24" s="35">
        <v>103</v>
      </c>
      <c r="F24">
        <v>2119</v>
      </c>
      <c r="G24">
        <v>107</v>
      </c>
      <c r="H24">
        <v>0.73</v>
      </c>
      <c r="I24">
        <v>1373</v>
      </c>
      <c r="J24">
        <v>74</v>
      </c>
      <c r="K24">
        <v>36</v>
      </c>
      <c r="L24">
        <v>8</v>
      </c>
      <c r="M24">
        <v>8</v>
      </c>
      <c r="N24">
        <v>0.32</v>
      </c>
      <c r="O24">
        <v>0.18</v>
      </c>
      <c r="P24" s="25" t="s">
        <v>165</v>
      </c>
      <c r="Q24">
        <v>23</v>
      </c>
      <c r="R24">
        <v>209</v>
      </c>
      <c r="S24">
        <v>195</v>
      </c>
      <c r="T24">
        <v>101</v>
      </c>
      <c r="U24">
        <v>22</v>
      </c>
      <c r="V24">
        <v>22</v>
      </c>
    </row>
    <row r="25" spans="1:22" x14ac:dyDescent="0.25">
      <c r="A25" s="25" t="s">
        <v>109</v>
      </c>
      <c r="B25" s="25" t="s">
        <v>181</v>
      </c>
      <c r="C25" s="25" t="s">
        <v>45</v>
      </c>
      <c r="D25">
        <v>217</v>
      </c>
      <c r="E25" s="35">
        <v>103</v>
      </c>
      <c r="F25">
        <v>2256</v>
      </c>
      <c r="G25">
        <v>103</v>
      </c>
      <c r="H25">
        <v>0.68</v>
      </c>
      <c r="I25">
        <v>1404</v>
      </c>
      <c r="J25">
        <v>77</v>
      </c>
      <c r="K25">
        <v>14</v>
      </c>
      <c r="L25">
        <v>23</v>
      </c>
      <c r="M25">
        <v>16</v>
      </c>
      <c r="N25">
        <v>0.24</v>
      </c>
      <c r="O25">
        <v>0.19</v>
      </c>
      <c r="P25" s="25" t="s">
        <v>166</v>
      </c>
      <c r="Q25">
        <v>23</v>
      </c>
      <c r="R25">
        <v>167</v>
      </c>
      <c r="S25">
        <v>162</v>
      </c>
      <c r="T25">
        <v>31</v>
      </c>
      <c r="U25">
        <v>49</v>
      </c>
      <c r="V25">
        <v>34</v>
      </c>
    </row>
    <row r="26" spans="1:22" x14ac:dyDescent="0.25">
      <c r="A26" s="25" t="s">
        <v>112</v>
      </c>
      <c r="B26" s="25" t="s">
        <v>110</v>
      </c>
      <c r="C26" s="25" t="s">
        <v>40</v>
      </c>
      <c r="D26">
        <v>241</v>
      </c>
      <c r="E26" s="35">
        <v>103</v>
      </c>
      <c r="F26">
        <v>2031</v>
      </c>
      <c r="G26">
        <v>97</v>
      </c>
      <c r="H26">
        <v>0.74</v>
      </c>
      <c r="I26">
        <v>1312</v>
      </c>
      <c r="J26">
        <v>69</v>
      </c>
      <c r="K26">
        <v>37</v>
      </c>
      <c r="L26">
        <v>8</v>
      </c>
      <c r="M26">
        <v>7</v>
      </c>
      <c r="N26">
        <v>0.31</v>
      </c>
      <c r="O26">
        <v>0.13</v>
      </c>
      <c r="P26" s="25" t="s">
        <v>53</v>
      </c>
      <c r="Q26">
        <v>21</v>
      </c>
      <c r="R26">
        <v>167</v>
      </c>
      <c r="S26">
        <v>172</v>
      </c>
      <c r="T26">
        <v>90</v>
      </c>
      <c r="U26">
        <v>20</v>
      </c>
      <c r="V26">
        <v>16</v>
      </c>
    </row>
    <row r="27" spans="1:22" x14ac:dyDescent="0.25">
      <c r="A27" s="25" t="s">
        <v>21</v>
      </c>
      <c r="B27" s="25" t="s">
        <v>18</v>
      </c>
      <c r="C27" s="25" t="s">
        <v>45</v>
      </c>
      <c r="D27">
        <v>230</v>
      </c>
      <c r="E27" s="35">
        <v>103</v>
      </c>
      <c r="F27">
        <v>1663</v>
      </c>
      <c r="G27">
        <v>101</v>
      </c>
      <c r="H27">
        <v>0.82</v>
      </c>
      <c r="I27">
        <v>1099</v>
      </c>
      <c r="J27">
        <v>6</v>
      </c>
      <c r="K27">
        <v>47</v>
      </c>
      <c r="L27">
        <v>4</v>
      </c>
      <c r="M27">
        <v>7</v>
      </c>
      <c r="N27">
        <v>0.25</v>
      </c>
      <c r="O27">
        <v>0.14000000000000001</v>
      </c>
      <c r="P27" s="25" t="s">
        <v>167</v>
      </c>
      <c r="Q27">
        <v>18</v>
      </c>
      <c r="R27">
        <v>139</v>
      </c>
      <c r="S27">
        <v>138</v>
      </c>
      <c r="T27">
        <v>108</v>
      </c>
      <c r="U27">
        <v>9</v>
      </c>
      <c r="V27">
        <v>15</v>
      </c>
    </row>
    <row r="28" spans="1:22" x14ac:dyDescent="0.25">
      <c r="A28" s="25" t="s">
        <v>90</v>
      </c>
      <c r="B28" s="25" t="s">
        <v>183</v>
      </c>
      <c r="C28" s="25" t="s">
        <v>45</v>
      </c>
      <c r="D28">
        <v>221</v>
      </c>
      <c r="E28" s="35">
        <v>102</v>
      </c>
      <c r="F28">
        <v>1948</v>
      </c>
      <c r="G28">
        <v>94</v>
      </c>
      <c r="H28">
        <v>0.69</v>
      </c>
      <c r="I28">
        <v>1292</v>
      </c>
      <c r="J28">
        <v>67</v>
      </c>
      <c r="K28">
        <v>27</v>
      </c>
      <c r="L28">
        <v>15</v>
      </c>
      <c r="M28">
        <v>16</v>
      </c>
      <c r="N28">
        <v>0.18</v>
      </c>
      <c r="O28">
        <v>0.14000000000000001</v>
      </c>
      <c r="P28" s="25" t="s">
        <v>168</v>
      </c>
      <c r="Q28">
        <v>23</v>
      </c>
      <c r="R28">
        <v>149</v>
      </c>
      <c r="S28">
        <v>159</v>
      </c>
      <c r="T28">
        <v>60</v>
      </c>
      <c r="U28">
        <v>33</v>
      </c>
      <c r="V28">
        <v>36</v>
      </c>
    </row>
    <row r="29" spans="1:22" x14ac:dyDescent="0.25">
      <c r="A29" s="25" t="s">
        <v>127</v>
      </c>
      <c r="B29" s="25" t="s">
        <v>122</v>
      </c>
      <c r="C29" s="25" t="s">
        <v>40</v>
      </c>
      <c r="D29">
        <v>291</v>
      </c>
      <c r="E29" s="35">
        <v>101</v>
      </c>
      <c r="F29">
        <v>2023</v>
      </c>
      <c r="G29">
        <v>102</v>
      </c>
      <c r="H29">
        <v>0.75</v>
      </c>
      <c r="I29">
        <v>1293</v>
      </c>
      <c r="J29">
        <v>73</v>
      </c>
      <c r="K29">
        <v>38</v>
      </c>
      <c r="L29">
        <v>9</v>
      </c>
      <c r="M29">
        <v>1</v>
      </c>
      <c r="N29">
        <v>0.28999999999999998</v>
      </c>
      <c r="O29">
        <v>0.09</v>
      </c>
      <c r="P29" s="25" t="s">
        <v>169</v>
      </c>
      <c r="Q29">
        <v>30</v>
      </c>
      <c r="R29">
        <v>212</v>
      </c>
      <c r="S29">
        <v>207</v>
      </c>
      <c r="T29">
        <v>110</v>
      </c>
      <c r="U29">
        <v>26</v>
      </c>
      <c r="V29">
        <v>28</v>
      </c>
    </row>
    <row r="30" spans="1:22" x14ac:dyDescent="0.25">
      <c r="A30" s="25" t="s">
        <v>111</v>
      </c>
      <c r="B30" s="25" t="s">
        <v>110</v>
      </c>
      <c r="C30" s="25" t="s">
        <v>45</v>
      </c>
      <c r="D30">
        <v>241</v>
      </c>
      <c r="E30" s="35">
        <v>101</v>
      </c>
      <c r="F30">
        <v>2011</v>
      </c>
      <c r="G30">
        <v>99</v>
      </c>
      <c r="H30">
        <v>0.72</v>
      </c>
      <c r="I30">
        <v>1374</v>
      </c>
      <c r="J30">
        <v>67</v>
      </c>
      <c r="K30">
        <v>27</v>
      </c>
      <c r="L30">
        <v>1</v>
      </c>
      <c r="M30">
        <v>5</v>
      </c>
      <c r="N30">
        <v>0.18</v>
      </c>
      <c r="O30">
        <v>0.16</v>
      </c>
      <c r="P30" s="25" t="s">
        <v>54</v>
      </c>
      <c r="Q30">
        <v>20</v>
      </c>
      <c r="R30">
        <v>161</v>
      </c>
      <c r="S30">
        <v>162</v>
      </c>
      <c r="T30">
        <v>64</v>
      </c>
      <c r="U30">
        <v>25</v>
      </c>
      <c r="V30">
        <v>12</v>
      </c>
    </row>
    <row r="31" spans="1:22" x14ac:dyDescent="0.25">
      <c r="A31" s="25" t="s">
        <v>88</v>
      </c>
      <c r="B31" s="25" t="s">
        <v>183</v>
      </c>
      <c r="C31" s="25" t="s">
        <v>45</v>
      </c>
      <c r="D31">
        <v>221</v>
      </c>
      <c r="E31" s="35">
        <v>10</v>
      </c>
      <c r="F31">
        <v>1764</v>
      </c>
      <c r="G31">
        <v>91</v>
      </c>
      <c r="H31">
        <v>0.68</v>
      </c>
      <c r="I31">
        <v>1216</v>
      </c>
      <c r="J31">
        <v>62</v>
      </c>
      <c r="K31">
        <v>33</v>
      </c>
      <c r="L31">
        <v>5</v>
      </c>
      <c r="M31">
        <v>5</v>
      </c>
      <c r="N31">
        <v>0.3</v>
      </c>
      <c r="O31">
        <v>0.1</v>
      </c>
      <c r="P31" s="25" t="s">
        <v>170</v>
      </c>
      <c r="Q31">
        <v>23</v>
      </c>
      <c r="R31">
        <v>137</v>
      </c>
      <c r="S31">
        <v>151</v>
      </c>
      <c r="T31">
        <v>74</v>
      </c>
      <c r="U31">
        <v>10</v>
      </c>
      <c r="V31">
        <v>11</v>
      </c>
    </row>
    <row r="32" spans="1:22" x14ac:dyDescent="0.25">
      <c r="A32" s="25" t="s">
        <v>95</v>
      </c>
      <c r="B32" s="25" t="s">
        <v>182</v>
      </c>
      <c r="C32" s="25" t="s">
        <v>45</v>
      </c>
      <c r="D32">
        <v>195</v>
      </c>
      <c r="E32" s="35">
        <v>99</v>
      </c>
      <c r="F32">
        <v>1919</v>
      </c>
      <c r="G32">
        <v>92</v>
      </c>
      <c r="H32">
        <v>0.73</v>
      </c>
      <c r="I32">
        <v>1272</v>
      </c>
      <c r="J32">
        <v>67</v>
      </c>
      <c r="K32">
        <v>44</v>
      </c>
      <c r="L32">
        <v>8</v>
      </c>
      <c r="M32">
        <v>7</v>
      </c>
      <c r="N32">
        <v>0.24</v>
      </c>
      <c r="O32">
        <v>0.23</v>
      </c>
      <c r="P32" s="25" t="s">
        <v>160</v>
      </c>
      <c r="Q32">
        <v>24</v>
      </c>
      <c r="R32">
        <v>131</v>
      </c>
      <c r="S32">
        <v>142</v>
      </c>
      <c r="T32">
        <v>86</v>
      </c>
      <c r="U32">
        <v>16</v>
      </c>
      <c r="V32">
        <v>13</v>
      </c>
    </row>
    <row r="33" spans="1:22" x14ac:dyDescent="0.25">
      <c r="A33" s="25" t="s">
        <v>104</v>
      </c>
      <c r="B33" s="25" t="s">
        <v>184</v>
      </c>
      <c r="C33" s="25" t="s">
        <v>45</v>
      </c>
      <c r="D33">
        <v>157</v>
      </c>
      <c r="E33" s="35">
        <v>99</v>
      </c>
      <c r="F33">
        <v>1967</v>
      </c>
      <c r="G33">
        <v>101</v>
      </c>
      <c r="H33">
        <v>0.71</v>
      </c>
      <c r="I33">
        <v>1294</v>
      </c>
      <c r="J33">
        <v>69</v>
      </c>
      <c r="K33">
        <v>15</v>
      </c>
      <c r="L33">
        <v>13</v>
      </c>
      <c r="M33">
        <v>11</v>
      </c>
      <c r="N33">
        <v>0.28000000000000003</v>
      </c>
      <c r="O33">
        <v>0.13</v>
      </c>
      <c r="P33" s="25" t="s">
        <v>58</v>
      </c>
      <c r="Q33">
        <v>22</v>
      </c>
      <c r="R33">
        <v>109</v>
      </c>
      <c r="S33">
        <v>108</v>
      </c>
      <c r="T33">
        <v>24</v>
      </c>
      <c r="U33">
        <v>21</v>
      </c>
      <c r="V33">
        <v>17</v>
      </c>
    </row>
    <row r="34" spans="1:22" x14ac:dyDescent="0.25">
      <c r="A34" s="25" t="s">
        <v>129</v>
      </c>
      <c r="B34" s="25" t="s">
        <v>128</v>
      </c>
      <c r="C34" s="25" t="s">
        <v>40</v>
      </c>
      <c r="D34">
        <v>204</v>
      </c>
      <c r="E34" s="35">
        <v>99</v>
      </c>
      <c r="F34">
        <v>2039</v>
      </c>
      <c r="G34">
        <v>10</v>
      </c>
      <c r="H34">
        <v>0.74</v>
      </c>
      <c r="I34">
        <v>1331</v>
      </c>
      <c r="J34">
        <v>71</v>
      </c>
      <c r="K34">
        <v>28</v>
      </c>
      <c r="L34">
        <v>8</v>
      </c>
      <c r="M34">
        <v>6</v>
      </c>
      <c r="N34">
        <v>0.21</v>
      </c>
      <c r="O34">
        <v>0.24</v>
      </c>
      <c r="P34" s="25" t="s">
        <v>55</v>
      </c>
      <c r="Q34">
        <v>24</v>
      </c>
      <c r="R34">
        <v>144</v>
      </c>
      <c r="S34">
        <v>144</v>
      </c>
      <c r="T34">
        <v>58</v>
      </c>
      <c r="U34">
        <v>16</v>
      </c>
      <c r="V34">
        <v>13</v>
      </c>
    </row>
    <row r="35" spans="1:22" x14ac:dyDescent="0.25">
      <c r="A35" s="25" t="s">
        <v>108</v>
      </c>
      <c r="B35" s="25" t="s">
        <v>181</v>
      </c>
      <c r="C35" s="25" t="s">
        <v>40</v>
      </c>
      <c r="D35">
        <v>217</v>
      </c>
      <c r="E35" s="35">
        <v>99</v>
      </c>
      <c r="F35">
        <v>1826</v>
      </c>
      <c r="G35">
        <v>94</v>
      </c>
      <c r="H35">
        <v>0.72</v>
      </c>
      <c r="I35">
        <v>1229</v>
      </c>
      <c r="J35">
        <v>63</v>
      </c>
      <c r="K35">
        <v>43</v>
      </c>
      <c r="L35">
        <v>7</v>
      </c>
      <c r="M35">
        <v>9</v>
      </c>
      <c r="N35">
        <v>0.28000000000000003</v>
      </c>
      <c r="O35">
        <v>0.24</v>
      </c>
      <c r="P35" s="25" t="s">
        <v>171</v>
      </c>
      <c r="Q35">
        <v>26</v>
      </c>
      <c r="R35">
        <v>137</v>
      </c>
      <c r="S35">
        <v>146</v>
      </c>
      <c r="T35">
        <v>93</v>
      </c>
      <c r="U35">
        <v>15</v>
      </c>
      <c r="V35">
        <v>20</v>
      </c>
    </row>
    <row r="36" spans="1:22" x14ac:dyDescent="0.25">
      <c r="A36" s="25" t="s">
        <v>126</v>
      </c>
      <c r="B36" s="25" t="s">
        <v>122</v>
      </c>
      <c r="C36" s="25" t="s">
        <v>45</v>
      </c>
      <c r="D36">
        <v>291</v>
      </c>
      <c r="E36" s="35">
        <v>98</v>
      </c>
      <c r="F36">
        <v>2150</v>
      </c>
      <c r="G36">
        <v>10</v>
      </c>
      <c r="H36">
        <v>0.67</v>
      </c>
      <c r="I36">
        <v>1413</v>
      </c>
      <c r="J36">
        <v>75</v>
      </c>
      <c r="K36">
        <v>13</v>
      </c>
      <c r="L36">
        <v>16</v>
      </c>
      <c r="M36">
        <v>17</v>
      </c>
      <c r="N36">
        <v>0.27</v>
      </c>
      <c r="O36">
        <v>0.08</v>
      </c>
      <c r="P36" s="25" t="s">
        <v>46</v>
      </c>
      <c r="Q36">
        <v>23</v>
      </c>
      <c r="R36">
        <v>217</v>
      </c>
      <c r="S36">
        <v>217</v>
      </c>
      <c r="T36">
        <v>39</v>
      </c>
      <c r="U36">
        <v>47</v>
      </c>
      <c r="V36">
        <v>50</v>
      </c>
    </row>
    <row r="37" spans="1:22" x14ac:dyDescent="0.25">
      <c r="A37" s="25" t="s">
        <v>115</v>
      </c>
      <c r="B37" s="25" t="s">
        <v>110</v>
      </c>
      <c r="C37" s="25" t="s">
        <v>39</v>
      </c>
      <c r="D37">
        <v>241</v>
      </c>
      <c r="E37" s="35">
        <v>97</v>
      </c>
      <c r="F37">
        <v>1765</v>
      </c>
      <c r="G37">
        <v>84</v>
      </c>
      <c r="H37">
        <v>0.72</v>
      </c>
      <c r="I37">
        <v>1106</v>
      </c>
      <c r="J37">
        <v>6</v>
      </c>
      <c r="K37">
        <v>48</v>
      </c>
      <c r="L37">
        <v>8</v>
      </c>
      <c r="M37">
        <v>9</v>
      </c>
      <c r="N37">
        <v>0.19</v>
      </c>
      <c r="O37">
        <v>0.2</v>
      </c>
      <c r="P37" s="25" t="s">
        <v>56</v>
      </c>
      <c r="Q37">
        <v>26</v>
      </c>
      <c r="R37">
        <v>144</v>
      </c>
      <c r="S37">
        <v>171</v>
      </c>
      <c r="T37">
        <v>115</v>
      </c>
      <c r="U37">
        <v>19</v>
      </c>
      <c r="V37">
        <v>22</v>
      </c>
    </row>
    <row r="38" spans="1:22" x14ac:dyDescent="0.25">
      <c r="A38" s="25" t="s">
        <v>87</v>
      </c>
      <c r="B38" s="25" t="s">
        <v>183</v>
      </c>
      <c r="C38" s="25" t="s">
        <v>45</v>
      </c>
      <c r="D38">
        <v>221</v>
      </c>
      <c r="E38" s="35">
        <v>97</v>
      </c>
      <c r="F38">
        <v>1851</v>
      </c>
      <c r="G38">
        <v>92</v>
      </c>
      <c r="H38">
        <v>0.71</v>
      </c>
      <c r="I38">
        <v>1229</v>
      </c>
      <c r="J38">
        <v>65</v>
      </c>
      <c r="K38">
        <v>21</v>
      </c>
      <c r="L38">
        <v>9</v>
      </c>
      <c r="M38">
        <v>7</v>
      </c>
      <c r="N38">
        <v>0.23</v>
      </c>
      <c r="O38">
        <v>0.09</v>
      </c>
      <c r="P38" s="25" t="s">
        <v>169</v>
      </c>
      <c r="Q38">
        <v>21</v>
      </c>
      <c r="R38">
        <v>144</v>
      </c>
      <c r="S38">
        <v>156</v>
      </c>
      <c r="T38">
        <v>46</v>
      </c>
      <c r="U38">
        <v>19</v>
      </c>
      <c r="V38">
        <v>15</v>
      </c>
    </row>
    <row r="39" spans="1:22" x14ac:dyDescent="0.25">
      <c r="A39" s="25" t="s">
        <v>106</v>
      </c>
      <c r="B39" s="25" t="s">
        <v>181</v>
      </c>
      <c r="C39" s="25" t="s">
        <v>40</v>
      </c>
      <c r="D39">
        <v>217</v>
      </c>
      <c r="E39" s="35">
        <v>96</v>
      </c>
      <c r="F39">
        <v>1818</v>
      </c>
      <c r="G39">
        <v>95</v>
      </c>
      <c r="H39">
        <v>0.69</v>
      </c>
      <c r="I39">
        <v>1239</v>
      </c>
      <c r="J39">
        <v>65</v>
      </c>
      <c r="K39">
        <v>2</v>
      </c>
      <c r="L39">
        <v>8</v>
      </c>
      <c r="M39">
        <v>8</v>
      </c>
      <c r="N39">
        <v>0.26</v>
      </c>
      <c r="O39">
        <v>0.16</v>
      </c>
      <c r="P39" s="25" t="s">
        <v>153</v>
      </c>
      <c r="Q39">
        <v>19</v>
      </c>
      <c r="R39">
        <v>142</v>
      </c>
      <c r="S39">
        <v>149</v>
      </c>
      <c r="T39">
        <v>43</v>
      </c>
      <c r="U39">
        <v>17</v>
      </c>
      <c r="V39">
        <v>17</v>
      </c>
    </row>
    <row r="40" spans="1:22" x14ac:dyDescent="0.25">
      <c r="A40" s="25" t="s">
        <v>105</v>
      </c>
      <c r="B40" s="25" t="s">
        <v>181</v>
      </c>
      <c r="C40" s="25" t="s">
        <v>40</v>
      </c>
      <c r="D40">
        <v>217</v>
      </c>
      <c r="E40" s="35">
        <v>95</v>
      </c>
      <c r="F40">
        <v>1992</v>
      </c>
      <c r="G40">
        <v>99</v>
      </c>
      <c r="H40">
        <v>0.72</v>
      </c>
      <c r="I40">
        <v>1355</v>
      </c>
      <c r="J40">
        <v>7</v>
      </c>
      <c r="K40">
        <v>29</v>
      </c>
      <c r="L40">
        <v>9</v>
      </c>
      <c r="M40">
        <v>13</v>
      </c>
      <c r="N40">
        <v>0.2</v>
      </c>
      <c r="O40">
        <v>0.06</v>
      </c>
      <c r="P40" s="25" t="s">
        <v>172</v>
      </c>
      <c r="Q40">
        <v>30</v>
      </c>
      <c r="R40">
        <v>152</v>
      </c>
      <c r="S40">
        <v>153</v>
      </c>
      <c r="T40">
        <v>62</v>
      </c>
      <c r="U40">
        <v>20</v>
      </c>
      <c r="V40">
        <v>28</v>
      </c>
    </row>
    <row r="41" spans="1:22" x14ac:dyDescent="0.25">
      <c r="A41" s="25" t="s">
        <v>113</v>
      </c>
      <c r="B41" s="25" t="s">
        <v>110</v>
      </c>
      <c r="C41" s="25" t="s">
        <v>45</v>
      </c>
      <c r="D41">
        <v>241</v>
      </c>
      <c r="E41" s="35">
        <v>95</v>
      </c>
      <c r="F41">
        <v>2291</v>
      </c>
      <c r="G41">
        <v>104</v>
      </c>
      <c r="H41">
        <v>0.67</v>
      </c>
      <c r="I41">
        <v>1556</v>
      </c>
      <c r="J41">
        <v>8</v>
      </c>
      <c r="K41">
        <v>2</v>
      </c>
      <c r="L41">
        <v>17</v>
      </c>
      <c r="M41">
        <v>22</v>
      </c>
      <c r="N41">
        <v>0.25</v>
      </c>
      <c r="O41">
        <v>0.19</v>
      </c>
      <c r="P41" s="25" t="s">
        <v>57</v>
      </c>
      <c r="Q41">
        <v>27</v>
      </c>
      <c r="R41">
        <v>192</v>
      </c>
      <c r="S41">
        <v>184</v>
      </c>
      <c r="T41">
        <v>47</v>
      </c>
      <c r="U41">
        <v>41</v>
      </c>
      <c r="V41">
        <v>52</v>
      </c>
    </row>
    <row r="42" spans="1:22" x14ac:dyDescent="0.25">
      <c r="A42" s="25" t="s">
        <v>148</v>
      </c>
      <c r="B42" s="25" t="s">
        <v>179</v>
      </c>
      <c r="C42" s="25" t="s">
        <v>45</v>
      </c>
      <c r="D42">
        <v>282</v>
      </c>
      <c r="E42" s="35">
        <v>95</v>
      </c>
      <c r="F42">
        <v>1768</v>
      </c>
      <c r="G42">
        <v>93</v>
      </c>
      <c r="H42">
        <v>0.72</v>
      </c>
      <c r="I42">
        <v>1228</v>
      </c>
      <c r="J42">
        <v>6</v>
      </c>
      <c r="K42">
        <v>23</v>
      </c>
      <c r="L42">
        <v>4</v>
      </c>
      <c r="M42">
        <v>9</v>
      </c>
      <c r="N42">
        <v>0.23</v>
      </c>
      <c r="O42">
        <v>0.15</v>
      </c>
      <c r="P42" s="25" t="s">
        <v>173</v>
      </c>
      <c r="Q42">
        <v>22</v>
      </c>
      <c r="R42">
        <v>170</v>
      </c>
      <c r="S42">
        <v>182</v>
      </c>
      <c r="T42">
        <v>66</v>
      </c>
      <c r="U42">
        <v>11</v>
      </c>
      <c r="V42">
        <v>24</v>
      </c>
    </row>
    <row r="43" spans="1:22" x14ac:dyDescent="0.25">
      <c r="A43" s="25" t="s">
        <v>125</v>
      </c>
      <c r="B43" s="25" t="s">
        <v>122</v>
      </c>
      <c r="C43" s="25" t="s">
        <v>40</v>
      </c>
      <c r="D43">
        <v>291</v>
      </c>
      <c r="E43" s="35">
        <v>94</v>
      </c>
      <c r="F43">
        <v>1835</v>
      </c>
      <c r="G43">
        <v>92</v>
      </c>
      <c r="H43">
        <v>0.74</v>
      </c>
      <c r="I43">
        <v>1214</v>
      </c>
      <c r="J43">
        <v>65</v>
      </c>
      <c r="K43">
        <v>38</v>
      </c>
      <c r="L43">
        <v>5</v>
      </c>
      <c r="M43">
        <v>6</v>
      </c>
      <c r="N43">
        <v>0.22</v>
      </c>
      <c r="O43">
        <v>0.11</v>
      </c>
      <c r="P43" s="25" t="s">
        <v>174</v>
      </c>
      <c r="Q43">
        <v>24</v>
      </c>
      <c r="R43">
        <v>190</v>
      </c>
      <c r="S43">
        <v>206</v>
      </c>
      <c r="T43">
        <v>112</v>
      </c>
      <c r="U43">
        <v>16</v>
      </c>
      <c r="V43">
        <v>18</v>
      </c>
    </row>
    <row r="44" spans="1:22" x14ac:dyDescent="0.25">
      <c r="A44" s="25" t="s">
        <v>100</v>
      </c>
      <c r="B44" s="25" t="s">
        <v>184</v>
      </c>
      <c r="C44" s="25" t="s">
        <v>45</v>
      </c>
      <c r="D44">
        <v>225</v>
      </c>
      <c r="E44" s="35">
        <v>94</v>
      </c>
      <c r="F44">
        <v>1785</v>
      </c>
      <c r="G44">
        <v>85</v>
      </c>
      <c r="H44">
        <v>0.72</v>
      </c>
      <c r="I44">
        <v>1232</v>
      </c>
      <c r="J44">
        <v>6</v>
      </c>
      <c r="K44">
        <v>36</v>
      </c>
      <c r="L44">
        <v>5</v>
      </c>
      <c r="M44">
        <v>1</v>
      </c>
      <c r="N44">
        <v>0.23</v>
      </c>
      <c r="O44">
        <v>0.09</v>
      </c>
      <c r="P44" s="25" t="s">
        <v>175</v>
      </c>
      <c r="Q44">
        <v>22</v>
      </c>
      <c r="R44">
        <v>135</v>
      </c>
      <c r="S44">
        <v>159</v>
      </c>
      <c r="T44">
        <v>82</v>
      </c>
      <c r="U44">
        <v>12</v>
      </c>
      <c r="V44">
        <v>23</v>
      </c>
    </row>
    <row r="45" spans="1:22" x14ac:dyDescent="0.25">
      <c r="A45" s="25" t="s">
        <v>20</v>
      </c>
      <c r="B45" s="25" t="s">
        <v>18</v>
      </c>
      <c r="C45" s="25" t="s">
        <v>39</v>
      </c>
      <c r="D45">
        <v>230</v>
      </c>
      <c r="E45" s="35">
        <v>93</v>
      </c>
      <c r="F45">
        <v>1835</v>
      </c>
      <c r="G45">
        <v>83</v>
      </c>
      <c r="H45">
        <v>0.72</v>
      </c>
      <c r="I45">
        <v>1181</v>
      </c>
      <c r="J45">
        <v>58</v>
      </c>
      <c r="K45">
        <v>42</v>
      </c>
      <c r="L45">
        <v>8</v>
      </c>
      <c r="M45">
        <v>13</v>
      </c>
      <c r="N45">
        <v>0.21</v>
      </c>
      <c r="O45">
        <v>0.18</v>
      </c>
      <c r="P45" s="25" t="s">
        <v>176</v>
      </c>
      <c r="Q45">
        <v>20</v>
      </c>
      <c r="R45">
        <v>133</v>
      </c>
      <c r="S45">
        <v>161</v>
      </c>
      <c r="T45">
        <v>96</v>
      </c>
      <c r="U45">
        <v>19</v>
      </c>
      <c r="V45">
        <v>30</v>
      </c>
    </row>
    <row r="46" spans="1:22" x14ac:dyDescent="0.25">
      <c r="A46" s="25" t="s">
        <v>102</v>
      </c>
      <c r="B46" s="25" t="s">
        <v>184</v>
      </c>
      <c r="C46" s="25" t="s">
        <v>40</v>
      </c>
      <c r="D46">
        <v>225</v>
      </c>
      <c r="E46" s="35">
        <v>92</v>
      </c>
      <c r="F46">
        <v>1966</v>
      </c>
      <c r="G46">
        <v>86</v>
      </c>
      <c r="H46">
        <v>0.72</v>
      </c>
      <c r="I46">
        <v>1279</v>
      </c>
      <c r="J46">
        <v>66</v>
      </c>
      <c r="K46">
        <v>37</v>
      </c>
      <c r="L46">
        <v>8</v>
      </c>
      <c r="M46">
        <v>16</v>
      </c>
      <c r="N46">
        <v>0.19</v>
      </c>
      <c r="O46">
        <v>0.13</v>
      </c>
      <c r="P46" s="25" t="s">
        <v>177</v>
      </c>
      <c r="Q46">
        <v>22</v>
      </c>
      <c r="R46">
        <v>149</v>
      </c>
      <c r="S46">
        <v>173</v>
      </c>
      <c r="T46">
        <v>83</v>
      </c>
      <c r="U46">
        <v>17</v>
      </c>
      <c r="V46">
        <v>35</v>
      </c>
    </row>
    <row r="47" spans="1:22" x14ac:dyDescent="0.25">
      <c r="A47" s="25" t="s">
        <v>124</v>
      </c>
      <c r="B47" s="25" t="s">
        <v>122</v>
      </c>
      <c r="C47" s="25" t="s">
        <v>45</v>
      </c>
      <c r="D47">
        <v>291</v>
      </c>
      <c r="E47" s="35">
        <v>88</v>
      </c>
      <c r="F47">
        <v>1830</v>
      </c>
      <c r="G47">
        <v>88</v>
      </c>
      <c r="H47">
        <v>0.66</v>
      </c>
      <c r="I47">
        <v>1270</v>
      </c>
      <c r="J47">
        <v>64</v>
      </c>
      <c r="K47">
        <v>36</v>
      </c>
      <c r="L47">
        <v>8</v>
      </c>
      <c r="M47">
        <v>12</v>
      </c>
      <c r="N47">
        <v>0.23</v>
      </c>
      <c r="O47">
        <v>0.1</v>
      </c>
      <c r="P47" s="25" t="s">
        <v>178</v>
      </c>
      <c r="Q47">
        <v>24</v>
      </c>
      <c r="R47">
        <v>185</v>
      </c>
      <c r="S47">
        <v>210</v>
      </c>
      <c r="T47">
        <v>104</v>
      </c>
      <c r="U47">
        <v>23</v>
      </c>
      <c r="V47">
        <v>34</v>
      </c>
    </row>
    <row r="48" spans="1:22" x14ac:dyDescent="0.25">
      <c r="A48" s="25" t="s">
        <v>114</v>
      </c>
      <c r="B48" s="25" t="s">
        <v>110</v>
      </c>
      <c r="C48" s="25" t="s">
        <v>40</v>
      </c>
      <c r="D48">
        <v>241</v>
      </c>
      <c r="E48" s="35">
        <v>87</v>
      </c>
      <c r="F48">
        <v>1737</v>
      </c>
      <c r="G48">
        <v>82</v>
      </c>
      <c r="H48">
        <v>0.73</v>
      </c>
      <c r="I48">
        <v>1062</v>
      </c>
      <c r="J48">
        <v>61</v>
      </c>
      <c r="K48">
        <v>44</v>
      </c>
      <c r="L48">
        <v>5</v>
      </c>
      <c r="M48">
        <v>9</v>
      </c>
      <c r="N48">
        <v>0.18</v>
      </c>
      <c r="P48" s="25" t="s">
        <v>43</v>
      </c>
      <c r="Q48">
        <v>22</v>
      </c>
      <c r="R48">
        <v>147</v>
      </c>
      <c r="S48">
        <v>179</v>
      </c>
      <c r="T48">
        <v>105</v>
      </c>
      <c r="U48">
        <v>13</v>
      </c>
      <c r="V48">
        <v>21</v>
      </c>
    </row>
    <row r="49" spans="1:22" x14ac:dyDescent="0.25">
      <c r="A49" s="25" t="s">
        <v>130</v>
      </c>
      <c r="B49" s="25" t="s">
        <v>128</v>
      </c>
      <c r="C49" s="25" t="s">
        <v>45</v>
      </c>
      <c r="D49">
        <v>204</v>
      </c>
      <c r="E49" s="35">
        <v>85</v>
      </c>
      <c r="F49">
        <v>1783</v>
      </c>
      <c r="G49">
        <v>83</v>
      </c>
      <c r="H49">
        <v>0.71</v>
      </c>
      <c r="I49">
        <v>1256</v>
      </c>
      <c r="J49">
        <v>6</v>
      </c>
      <c r="K49">
        <v>23</v>
      </c>
      <c r="L49">
        <v>13</v>
      </c>
      <c r="M49">
        <v>1</v>
      </c>
      <c r="N49">
        <v>0.18</v>
      </c>
      <c r="P49" s="25" t="s">
        <v>44</v>
      </c>
      <c r="Q49">
        <v>23</v>
      </c>
      <c r="R49">
        <v>122</v>
      </c>
      <c r="S49">
        <v>147</v>
      </c>
      <c r="T49">
        <v>47</v>
      </c>
      <c r="U49">
        <v>26</v>
      </c>
      <c r="V49">
        <v>21</v>
      </c>
    </row>
    <row r="50" spans="1:22" x14ac:dyDescent="0.25">
      <c r="A50" s="25" t="s">
        <v>132</v>
      </c>
      <c r="B50" s="25" t="s">
        <v>128</v>
      </c>
      <c r="C50" s="25" t="s">
        <v>40</v>
      </c>
      <c r="D50">
        <v>204</v>
      </c>
      <c r="E50" s="35">
        <v>83</v>
      </c>
      <c r="F50">
        <v>1657</v>
      </c>
      <c r="G50">
        <v>73</v>
      </c>
      <c r="H50">
        <v>0.69</v>
      </c>
      <c r="I50">
        <v>1125</v>
      </c>
      <c r="J50">
        <v>54</v>
      </c>
      <c r="K50">
        <v>34</v>
      </c>
      <c r="L50">
        <v>6</v>
      </c>
      <c r="M50">
        <v>8</v>
      </c>
      <c r="N50">
        <v>0.19</v>
      </c>
      <c r="O50">
        <v>0.25</v>
      </c>
      <c r="P50" s="25" t="s">
        <v>59</v>
      </c>
      <c r="Q50">
        <v>16</v>
      </c>
      <c r="R50">
        <v>110</v>
      </c>
      <c r="S50">
        <v>151</v>
      </c>
      <c r="T50">
        <v>69</v>
      </c>
      <c r="U50">
        <v>13</v>
      </c>
      <c r="V50">
        <v>16</v>
      </c>
    </row>
    <row r="51" spans="1:22" x14ac:dyDescent="0.25">
      <c r="A51" s="25" t="s">
        <v>123</v>
      </c>
      <c r="B51" s="25" t="s">
        <v>122</v>
      </c>
      <c r="C51" s="25" t="s">
        <v>45</v>
      </c>
      <c r="D51">
        <v>291</v>
      </c>
      <c r="E51" s="35">
        <v>83</v>
      </c>
      <c r="F51">
        <v>1790</v>
      </c>
      <c r="G51">
        <v>84</v>
      </c>
      <c r="H51">
        <v>0.7</v>
      </c>
      <c r="I51">
        <v>1284</v>
      </c>
      <c r="J51">
        <v>61</v>
      </c>
      <c r="K51">
        <v>2</v>
      </c>
      <c r="L51">
        <v>8</v>
      </c>
      <c r="M51">
        <v>9</v>
      </c>
      <c r="N51">
        <v>0.27</v>
      </c>
      <c r="O51">
        <v>0.1</v>
      </c>
      <c r="P51" s="25" t="s">
        <v>170</v>
      </c>
      <c r="Q51">
        <v>27</v>
      </c>
      <c r="R51">
        <v>178</v>
      </c>
      <c r="S51">
        <v>211</v>
      </c>
      <c r="T51">
        <v>58</v>
      </c>
      <c r="U51">
        <v>23</v>
      </c>
      <c r="V51">
        <v>26</v>
      </c>
    </row>
    <row r="52" spans="1:22" x14ac:dyDescent="0.25">
      <c r="A52" s="25" t="s">
        <v>145</v>
      </c>
      <c r="B52" s="25" t="s">
        <v>179</v>
      </c>
      <c r="C52" s="25" t="s">
        <v>45</v>
      </c>
      <c r="D52">
        <v>181</v>
      </c>
      <c r="E52" s="35">
        <v>82</v>
      </c>
      <c r="F52">
        <v>1786</v>
      </c>
      <c r="G52">
        <v>9</v>
      </c>
      <c r="H52">
        <v>0.64</v>
      </c>
      <c r="I52">
        <v>1231</v>
      </c>
      <c r="J52">
        <v>64</v>
      </c>
      <c r="K52">
        <v>18</v>
      </c>
      <c r="L52">
        <v>12</v>
      </c>
      <c r="M52">
        <v>24</v>
      </c>
      <c r="N52">
        <v>0.2</v>
      </c>
      <c r="O52">
        <v>0.13</v>
      </c>
      <c r="P52" s="25" t="s">
        <v>177</v>
      </c>
      <c r="Q52">
        <v>25</v>
      </c>
      <c r="R52">
        <v>116</v>
      </c>
      <c r="S52">
        <v>129</v>
      </c>
      <c r="T52">
        <v>32</v>
      </c>
      <c r="U52">
        <v>21</v>
      </c>
      <c r="V52">
        <v>43</v>
      </c>
    </row>
    <row r="53" spans="1:22" x14ac:dyDescent="0.25">
      <c r="A53" s="25" t="s">
        <v>149</v>
      </c>
      <c r="B53" s="25" t="s">
        <v>179</v>
      </c>
      <c r="C53" s="25" t="s">
        <v>39</v>
      </c>
      <c r="D53">
        <v>282</v>
      </c>
      <c r="E53" s="35">
        <v>8</v>
      </c>
      <c r="F53">
        <v>1522</v>
      </c>
      <c r="G53">
        <v>72</v>
      </c>
      <c r="H53">
        <v>0.69</v>
      </c>
      <c r="I53">
        <v>1020</v>
      </c>
      <c r="J53">
        <v>53</v>
      </c>
      <c r="K53">
        <v>4</v>
      </c>
      <c r="L53">
        <v>5</v>
      </c>
      <c r="M53">
        <v>9</v>
      </c>
      <c r="N53">
        <v>0.23</v>
      </c>
      <c r="O53">
        <v>0.23</v>
      </c>
      <c r="P53" s="25" t="s">
        <v>48</v>
      </c>
      <c r="Q53">
        <v>21</v>
      </c>
      <c r="R53">
        <v>149</v>
      </c>
      <c r="S53">
        <v>208</v>
      </c>
      <c r="T53">
        <v>113</v>
      </c>
      <c r="U53">
        <v>14</v>
      </c>
      <c r="V53">
        <v>24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EF0-2588-46EC-9793-40C18AA7434B}">
  <dimension ref="A1:G11"/>
  <sheetViews>
    <sheetView workbookViewId="0">
      <selection activeCell="G3" sqref="G3"/>
    </sheetView>
  </sheetViews>
  <sheetFormatPr defaultRowHeight="15" x14ac:dyDescent="0.25"/>
  <cols>
    <col min="1" max="1" width="12.28515625" bestFit="1" customWidth="1"/>
    <col min="2" max="3" width="9.85546875" bestFit="1" customWidth="1"/>
    <col min="4" max="4" width="10.85546875" bestFit="1" customWidth="1"/>
    <col min="5" max="7" width="9.85546875" bestFit="1" customWidth="1"/>
    <col min="8" max="14" width="12.7109375" bestFit="1" customWidth="1"/>
    <col min="15" max="15" width="12.7109375" customWidth="1"/>
  </cols>
  <sheetData>
    <row r="1" spans="1:7" x14ac:dyDescent="0.25">
      <c r="A1" t="s">
        <v>61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</row>
    <row r="2" spans="1:7" x14ac:dyDescent="0.25">
      <c r="A2" s="25" t="s">
        <v>134</v>
      </c>
      <c r="B2" s="25" t="s">
        <v>86</v>
      </c>
      <c r="C2" s="25" t="s">
        <v>87</v>
      </c>
      <c r="D2" s="25" t="s">
        <v>88</v>
      </c>
      <c r="E2" s="25" t="s">
        <v>89</v>
      </c>
      <c r="F2" s="25" t="s">
        <v>90</v>
      </c>
      <c r="G2" s="25" t="s">
        <v>91</v>
      </c>
    </row>
    <row r="3" spans="1:7" x14ac:dyDescent="0.25">
      <c r="A3" s="25" t="s">
        <v>92</v>
      </c>
      <c r="B3" s="25" t="s">
        <v>93</v>
      </c>
      <c r="C3" s="25" t="s">
        <v>94</v>
      </c>
      <c r="D3" s="25" t="s">
        <v>95</v>
      </c>
      <c r="E3" s="25" t="s">
        <v>96</v>
      </c>
      <c r="F3" s="25" t="s">
        <v>97</v>
      </c>
      <c r="G3" s="25" t="s">
        <v>98</v>
      </c>
    </row>
    <row r="4" spans="1:7" x14ac:dyDescent="0.25">
      <c r="A4" s="25" t="s">
        <v>136</v>
      </c>
      <c r="B4" s="25" t="s">
        <v>99</v>
      </c>
      <c r="C4" s="25" t="s">
        <v>100</v>
      </c>
      <c r="D4" s="25" t="s">
        <v>101</v>
      </c>
      <c r="E4" s="25" t="s">
        <v>102</v>
      </c>
      <c r="F4" s="25" t="s">
        <v>103</v>
      </c>
      <c r="G4" s="25" t="s">
        <v>104</v>
      </c>
    </row>
    <row r="5" spans="1:7" x14ac:dyDescent="0.25">
      <c r="A5" s="25" t="s">
        <v>19</v>
      </c>
      <c r="B5" s="25" t="s">
        <v>105</v>
      </c>
      <c r="C5" s="25" t="s">
        <v>106</v>
      </c>
      <c r="D5" s="25" t="s">
        <v>107</v>
      </c>
      <c r="E5" s="25" t="s">
        <v>108</v>
      </c>
      <c r="F5" s="25" t="s">
        <v>109</v>
      </c>
      <c r="G5" s="25" t="s">
        <v>91</v>
      </c>
    </row>
    <row r="6" spans="1:7" x14ac:dyDescent="0.25">
      <c r="A6" s="25" t="s">
        <v>137</v>
      </c>
      <c r="B6" s="25" t="s">
        <v>111</v>
      </c>
      <c r="C6" s="25" t="s">
        <v>112</v>
      </c>
      <c r="D6" s="25" t="s">
        <v>113</v>
      </c>
      <c r="E6" s="25" t="s">
        <v>114</v>
      </c>
      <c r="F6" s="25" t="s">
        <v>115</v>
      </c>
      <c r="G6" s="25" t="s">
        <v>91</v>
      </c>
    </row>
    <row r="7" spans="1:7" x14ac:dyDescent="0.25">
      <c r="A7" s="25" t="s">
        <v>116</v>
      </c>
      <c r="B7" s="25" t="s">
        <v>117</v>
      </c>
      <c r="C7" s="25" t="s">
        <v>118</v>
      </c>
      <c r="D7" s="25" t="s">
        <v>119</v>
      </c>
      <c r="E7" s="25" t="s">
        <v>120</v>
      </c>
      <c r="F7" s="25" t="s">
        <v>121</v>
      </c>
      <c r="G7" s="25" t="s">
        <v>91</v>
      </c>
    </row>
    <row r="8" spans="1:7" x14ac:dyDescent="0.25">
      <c r="A8" s="25" t="s">
        <v>18</v>
      </c>
      <c r="B8" s="25" t="s">
        <v>20</v>
      </c>
      <c r="C8" s="25" t="s">
        <v>21</v>
      </c>
      <c r="D8" s="25" t="s">
        <v>22</v>
      </c>
      <c r="E8" s="25" t="s">
        <v>23</v>
      </c>
      <c r="F8" s="25" t="s">
        <v>24</v>
      </c>
      <c r="G8" s="25" t="s">
        <v>91</v>
      </c>
    </row>
    <row r="9" spans="1:7" x14ac:dyDescent="0.25">
      <c r="A9" s="25" t="s">
        <v>122</v>
      </c>
      <c r="B9" s="25" t="s">
        <v>123</v>
      </c>
      <c r="C9" s="25" t="s">
        <v>124</v>
      </c>
      <c r="D9" s="25" t="s">
        <v>125</v>
      </c>
      <c r="E9" s="25" t="s">
        <v>126</v>
      </c>
      <c r="F9" s="25" t="s">
        <v>127</v>
      </c>
      <c r="G9" s="25" t="s">
        <v>91</v>
      </c>
    </row>
    <row r="10" spans="1:7" x14ac:dyDescent="0.25">
      <c r="A10" s="25" t="s">
        <v>135</v>
      </c>
      <c r="B10" s="25" t="s">
        <v>129</v>
      </c>
      <c r="C10" s="25" t="s">
        <v>130</v>
      </c>
      <c r="D10" s="25" t="s">
        <v>131</v>
      </c>
      <c r="E10" s="25" t="s">
        <v>132</v>
      </c>
      <c r="F10" s="25" t="s">
        <v>133</v>
      </c>
      <c r="G10" s="25" t="s">
        <v>91</v>
      </c>
    </row>
    <row r="11" spans="1:7" x14ac:dyDescent="0.25">
      <c r="A11" s="25" t="s">
        <v>144</v>
      </c>
      <c r="B11" s="25" t="s">
        <v>145</v>
      </c>
      <c r="C11" s="25" t="s">
        <v>146</v>
      </c>
      <c r="D11" s="25" t="s">
        <v>147</v>
      </c>
      <c r="E11" s="25" t="s">
        <v>148</v>
      </c>
      <c r="F11" s="25" t="s">
        <v>149</v>
      </c>
      <c r="G11" s="25" t="s">
        <v>150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918F-24D1-442D-9592-5E8D88720C5A}">
  <dimension ref="A1:O82"/>
  <sheetViews>
    <sheetView workbookViewId="0">
      <selection activeCell="A9" sqref="A9:A13"/>
    </sheetView>
  </sheetViews>
  <sheetFormatPr defaultRowHeight="15" x14ac:dyDescent="0.25"/>
  <sheetData>
    <row r="1" spans="1:15" ht="15" customHeight="1" x14ac:dyDescent="0.25">
      <c r="A1" s="6" t="s">
        <v>66</v>
      </c>
      <c r="B1" s="7"/>
      <c r="C1" s="7"/>
      <c r="D1" s="7"/>
      <c r="E1" s="7"/>
      <c r="F1" s="7"/>
      <c r="G1" s="8"/>
      <c r="H1" s="1"/>
      <c r="I1" s="6" t="s">
        <v>78</v>
      </c>
      <c r="J1" s="7"/>
      <c r="K1" s="7"/>
      <c r="L1" s="7"/>
      <c r="M1" s="7"/>
      <c r="N1" s="7"/>
      <c r="O1" s="8"/>
    </row>
    <row r="2" spans="1:15" ht="15" customHeight="1" x14ac:dyDescent="0.25">
      <c r="A2" s="9"/>
      <c r="B2" s="18"/>
      <c r="C2" s="18"/>
      <c r="D2" s="18"/>
      <c r="E2" s="18"/>
      <c r="F2" s="18"/>
      <c r="G2" s="10"/>
      <c r="H2" s="1"/>
      <c r="I2" s="9"/>
      <c r="J2" s="18"/>
      <c r="K2" s="18"/>
      <c r="L2" s="18"/>
      <c r="M2" s="18"/>
      <c r="N2" s="18"/>
      <c r="O2" s="10"/>
    </row>
    <row r="3" spans="1:15" ht="15.75" customHeight="1" thickBot="1" x14ac:dyDescent="0.3">
      <c r="A3" s="11"/>
      <c r="B3" s="12"/>
      <c r="C3" s="12"/>
      <c r="D3" s="12"/>
      <c r="E3" s="12"/>
      <c r="F3" s="12"/>
      <c r="G3" s="13"/>
      <c r="H3" s="1"/>
      <c r="I3" s="11"/>
      <c r="J3" s="12"/>
      <c r="K3" s="12"/>
      <c r="L3" s="12"/>
      <c r="M3" s="12"/>
      <c r="N3" s="12"/>
      <c r="O3" s="13"/>
    </row>
    <row r="4" spans="1:15" ht="23.25" x14ac:dyDescent="0.25">
      <c r="A4" s="23"/>
      <c r="B4" s="23"/>
      <c r="C4" s="23"/>
      <c r="D4" s="23"/>
      <c r="E4" s="23"/>
      <c r="F4" s="23"/>
      <c r="G4" s="19"/>
      <c r="H4" s="19"/>
      <c r="I4" s="23"/>
      <c r="J4" s="23"/>
      <c r="K4" s="23"/>
      <c r="L4" s="23"/>
      <c r="M4" s="23"/>
      <c r="N4" s="23"/>
      <c r="O4" s="19"/>
    </row>
    <row r="5" spans="1:15" x14ac:dyDescent="0.25">
      <c r="A5" s="15" t="s">
        <v>6</v>
      </c>
      <c r="B5" s="31" t="s">
        <v>7</v>
      </c>
      <c r="C5" s="31" t="s">
        <v>8</v>
      </c>
      <c r="D5" s="31" t="s">
        <v>5</v>
      </c>
      <c r="E5" s="31" t="s">
        <v>2</v>
      </c>
      <c r="F5" s="32" t="s">
        <v>10</v>
      </c>
      <c r="G5" s="32" t="s">
        <v>11</v>
      </c>
      <c r="H5" s="14"/>
      <c r="I5" s="15" t="s">
        <v>6</v>
      </c>
      <c r="J5" s="31" t="s">
        <v>7</v>
      </c>
      <c r="K5" s="31" t="s">
        <v>8</v>
      </c>
      <c r="L5" s="31" t="s">
        <v>5</v>
      </c>
      <c r="M5" s="31" t="s">
        <v>2</v>
      </c>
      <c r="N5" s="32" t="s">
        <v>10</v>
      </c>
      <c r="O5" s="32" t="s">
        <v>11</v>
      </c>
    </row>
    <row r="6" spans="1:15" x14ac:dyDescent="0.25">
      <c r="A6" s="22">
        <f>VLOOKUP(A1,team_stats_americas[#All],2,FALSE)</f>
        <v>4</v>
      </c>
      <c r="B6" s="27">
        <f>VLOOKUP(A1,team_stats_americas[#All],3,FALSE)</f>
        <v>0</v>
      </c>
      <c r="C6" s="27">
        <f>VLOOKUP(A1,team_stats_americas[#All],4,FALSE)</f>
        <v>0</v>
      </c>
      <c r="D6" s="28">
        <f>VLOOKUP(A1,team_stats_americas[#All],5,FALSE)</f>
        <v>44993</v>
      </c>
      <c r="E6" s="27" t="str">
        <f>VLOOKUP(A1,team_stats_americas[#All],6,FALSE)</f>
        <v>128/102</v>
      </c>
      <c r="F6" s="29">
        <f>VLOOKUP(A1,team_stats_americas[#All],7,FALSE)</f>
        <v>26</v>
      </c>
      <c r="G6" s="37" t="e">
        <f>B14</f>
        <v>#DIV/0!</v>
      </c>
      <c r="H6" s="5"/>
      <c r="I6" s="22">
        <f>VLOOKUP(I1,team_stats_americas[#All],2,FALSE)</f>
        <v>2</v>
      </c>
      <c r="J6" s="27">
        <f>VLOOKUP(I1,team_stats_americas[#All],3,FALSE)</f>
        <v>3</v>
      </c>
      <c r="K6" s="27">
        <f>VLOOKUP(I1,team_stats_americas[#All],4,FALSE)</f>
        <v>0</v>
      </c>
      <c r="L6" s="28">
        <f>VLOOKUP(I1,team_stats_americas[#All],5,FALSE)</f>
        <v>45143</v>
      </c>
      <c r="M6" s="27" t="str">
        <f>VLOOKUP(I1,team_stats_americas[#All],6,FALSE)</f>
        <v>126/165</v>
      </c>
      <c r="N6" s="29">
        <f>VLOOKUP(I1,team_stats_americas[#All],7,FALSE)</f>
        <v>-39</v>
      </c>
      <c r="O6" s="37" t="e">
        <f>J14</f>
        <v>#DIV/0!</v>
      </c>
    </row>
    <row r="7" spans="1:15" x14ac:dyDescent="0.25">
      <c r="A7" s="5"/>
      <c r="B7" s="4"/>
      <c r="C7" s="4"/>
      <c r="D7" s="4"/>
      <c r="E7" s="4"/>
      <c r="F7" s="4"/>
      <c r="G7" s="1"/>
      <c r="H7" s="1"/>
      <c r="I7" s="5"/>
      <c r="J7" s="4"/>
      <c r="K7" s="4"/>
      <c r="L7" s="4"/>
      <c r="M7" s="4"/>
      <c r="N7" s="4"/>
      <c r="O7" s="1"/>
    </row>
    <row r="8" spans="1:15" x14ac:dyDescent="0.25">
      <c r="A8" s="3" t="s">
        <v>3</v>
      </c>
      <c r="B8" t="s">
        <v>4</v>
      </c>
      <c r="C8" t="s">
        <v>0</v>
      </c>
      <c r="D8" t="s">
        <v>1</v>
      </c>
      <c r="E8" t="s">
        <v>16</v>
      </c>
      <c r="F8" t="s">
        <v>15</v>
      </c>
      <c r="G8" s="2" t="s">
        <v>9</v>
      </c>
      <c r="H8" s="1"/>
      <c r="I8" s="3" t="s">
        <v>3</v>
      </c>
      <c r="J8" t="s">
        <v>4</v>
      </c>
      <c r="K8" t="s">
        <v>0</v>
      </c>
      <c r="L8" t="s">
        <v>1</v>
      </c>
      <c r="M8" t="s">
        <v>16</v>
      </c>
      <c r="N8" t="s">
        <v>15</v>
      </c>
      <c r="O8" s="2" t="s">
        <v>9</v>
      </c>
    </row>
    <row r="9" spans="1:15" x14ac:dyDescent="0.25">
      <c r="A9" s="3" t="str">
        <f>VLOOKUP(A1,teams_americas[#All],2,TRUE)</f>
        <v>saadhak</v>
      </c>
      <c r="B9" s="34"/>
      <c r="G9" s="2" t="e">
        <f>AVERAGE(players66[[#This Row],[Rating]],players66[[#This Row],[ACS]],players66[[#This Row],[KAST]],players66[[#This Row],[HS%]],players66[[#This Row],[CL%]])</f>
        <v>#DIV/0!</v>
      </c>
      <c r="H9" s="1"/>
      <c r="I9" s="3" t="str">
        <f>VLOOKUP(I1,teams_americas[#All],2,TRUE)</f>
        <v>frz</v>
      </c>
      <c r="J9" s="34"/>
      <c r="O9" s="2" t="e">
        <f>AVERAGE(players5676[[#This Row],[Rating]],players5676[[#This Row],[ACS]],players5676[[#This Row],[KAST]],players5676[[#This Row],[HS%]],players5676[[#This Row],[CL%]])</f>
        <v>#DIV/0!</v>
      </c>
    </row>
    <row r="10" spans="1:15" x14ac:dyDescent="0.25">
      <c r="A10" s="3" t="str">
        <f>VLOOKUP(A1,teams_americas[#All],3,TRUE)</f>
        <v>tuyz</v>
      </c>
      <c r="B10" s="34"/>
      <c r="G10" s="2" t="e">
        <f>AVERAGE(players66[[#This Row],[Rating]],players66[[#This Row],[ACS]],players66[[#This Row],[KAST]],players66[[#This Row],[HS%]],players66[[#This Row],[CL%]])</f>
        <v>#DIV/0!</v>
      </c>
      <c r="H10" s="1"/>
      <c r="I10" s="3" t="str">
        <f>VLOOKUP(I1,teams_americas[#All],3,TRUE)</f>
        <v>murizzz</v>
      </c>
      <c r="J10" s="34"/>
      <c r="O10" s="2" t="e">
        <f>AVERAGE(players5676[[#This Row],[Rating]],players5676[[#This Row],[ACS]],players5676[[#This Row],[KAST]],players5676[[#This Row],[HS%]],players5676[[#This Row],[CL%]])</f>
        <v>#DIV/0!</v>
      </c>
    </row>
    <row r="11" spans="1:15" x14ac:dyDescent="0.25">
      <c r="A11" s="3" t="str">
        <f>VLOOKUP(A1,teams_americas[#All],4,TRUE)</f>
        <v>cauanzin</v>
      </c>
      <c r="B11" s="34"/>
      <c r="G11" s="2" t="e">
        <f>AVERAGE(players66[[#This Row],[Rating]],players66[[#This Row],[ACS]],players66[[#This Row],[KAST]],players66[[#This Row],[HS%]],players66[[#This Row],[CL%]])</f>
        <v>#DIV/0!</v>
      </c>
      <c r="H11" s="1"/>
      <c r="I11" s="3" t="str">
        <f>VLOOKUP(I1,teams_americas[#All],4,TRUE)</f>
        <v>RgLMeister</v>
      </c>
      <c r="J11" s="34"/>
      <c r="O11" s="2" t="e">
        <f>AVERAGE(players5676[[#This Row],[Rating]],players5676[[#This Row],[ACS]],players5676[[#This Row],[KAST]],players5676[[#This Row],[HS%]],players5676[[#This Row],[CL%]])</f>
        <v>#DIV/0!</v>
      </c>
    </row>
    <row r="12" spans="1:15" x14ac:dyDescent="0.25">
      <c r="A12" s="3" t="str">
        <f>VLOOKUP(A1,teams_americas[#All],5,TRUE)</f>
        <v>Less</v>
      </c>
      <c r="B12" s="34"/>
      <c r="G12" s="2" t="e">
        <f>AVERAGE(players66[[#This Row],[Rating]],players66[[#This Row],[ACS]],players66[[#This Row],[KAST]],players66[[#This Row],[HS%]],players66[[#This Row],[CL%]])</f>
        <v>#DIV/0!</v>
      </c>
      <c r="H12" s="1"/>
      <c r="I12" s="3" t="str">
        <f>VLOOKUP(I1,teams_americas[#All],5,TRUE)</f>
        <v>heat</v>
      </c>
      <c r="J12" s="34"/>
      <c r="O12" s="2" t="e">
        <f>AVERAGE(players5676[[#This Row],[Rating]],players5676[[#This Row],[ACS]],players5676[[#This Row],[KAST]],players5676[[#This Row],[HS%]],players5676[[#This Row],[CL%]])</f>
        <v>#DIV/0!</v>
      </c>
    </row>
    <row r="13" spans="1:15" ht="15.75" thickBot="1" x14ac:dyDescent="0.3">
      <c r="A13" s="3" t="str">
        <f>VLOOKUP(A1,teams_americas[#All],6,TRUE)</f>
        <v>aspas</v>
      </c>
      <c r="B13" s="34"/>
      <c r="G13" s="2" t="e">
        <f>AVERAGE(players66[[#This Row],[Rating]],players66[[#This Row],[ACS]],players66[[#This Row],[KAST]],players66[[#This Row],[HS%]],players66[[#This Row],[CL%]])</f>
        <v>#DIV/0!</v>
      </c>
      <c r="H13" s="1"/>
      <c r="I13" s="3" t="str">
        <f>VLOOKUP(I1,teams_americas[#All],6,TRUE)</f>
        <v>jzz</v>
      </c>
      <c r="J13" s="34"/>
      <c r="O13" s="2" t="e">
        <f>AVERAGE(players5676[[#This Row],[Rating]],players5676[[#This Row],[ACS]],players5676[[#This Row],[KAST]],players5676[[#This Row],[HS%]],players5676[[#This Row],[CL%]])</f>
        <v>#DIV/0!</v>
      </c>
    </row>
    <row r="14" spans="1:15" x14ac:dyDescent="0.25">
      <c r="A14" s="20" t="s">
        <v>17</v>
      </c>
      <c r="B14" s="36" t="e">
        <f>AVERAGE(players66[Rating])</f>
        <v>#DIV/0!</v>
      </c>
      <c r="C14" s="24" t="e">
        <f>AVERAGE(players66[ACS])</f>
        <v>#DIV/0!</v>
      </c>
      <c r="D14" s="24" t="e">
        <f>AVERAGE(players66[KAST])</f>
        <v>#DIV/0!</v>
      </c>
      <c r="E14" s="24" t="e">
        <f>AVERAGE(players66[HS%])</f>
        <v>#DIV/0!</v>
      </c>
      <c r="F14" s="24" t="e">
        <f>AVERAGE(players66[CL%])</f>
        <v>#DIV/0!</v>
      </c>
      <c r="G14" s="21"/>
      <c r="H14" s="1"/>
      <c r="I14" s="20" t="s">
        <v>17</v>
      </c>
      <c r="J14" s="36" t="e">
        <f>AVERAGE(players5676[Rating])</f>
        <v>#DIV/0!</v>
      </c>
      <c r="K14" s="24" t="e">
        <f>AVERAGE(players5676[ACS])</f>
        <v>#DIV/0!</v>
      </c>
      <c r="L14" s="24" t="e">
        <f>AVERAGE(players5676[KAST])</f>
        <v>#DIV/0!</v>
      </c>
      <c r="M14" s="24" t="e">
        <f>AVERAGE(players5676[HS%])</f>
        <v>#DIV/0!</v>
      </c>
      <c r="N14" s="24" t="e">
        <f>AVERAGE(players5676[CL%])</f>
        <v>#DIV/0!</v>
      </c>
      <c r="O14" s="2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6" t="s">
        <v>68</v>
      </c>
      <c r="B18" s="7"/>
      <c r="C18" s="7"/>
      <c r="D18" s="7"/>
      <c r="E18" s="7"/>
      <c r="F18" s="7"/>
      <c r="G18" s="8"/>
      <c r="H18" s="1"/>
      <c r="I18" s="6" t="s">
        <v>80</v>
      </c>
      <c r="J18" s="7"/>
      <c r="K18" s="7"/>
      <c r="L18" s="7"/>
      <c r="M18" s="7"/>
      <c r="N18" s="7"/>
      <c r="O18" s="8"/>
    </row>
    <row r="19" spans="1:15" x14ac:dyDescent="0.25">
      <c r="A19" s="9"/>
      <c r="B19" s="18"/>
      <c r="C19" s="18"/>
      <c r="D19" s="18"/>
      <c r="E19" s="18"/>
      <c r="F19" s="18"/>
      <c r="G19" s="10"/>
      <c r="H19" s="1"/>
      <c r="I19" s="9"/>
      <c r="J19" s="18"/>
      <c r="K19" s="18"/>
      <c r="L19" s="18"/>
      <c r="M19" s="18"/>
      <c r="N19" s="18"/>
      <c r="O19" s="10"/>
    </row>
    <row r="20" spans="1:15" ht="15.75" thickBot="1" x14ac:dyDescent="0.3">
      <c r="A20" s="11"/>
      <c r="B20" s="12"/>
      <c r="C20" s="12"/>
      <c r="D20" s="12"/>
      <c r="E20" s="12"/>
      <c r="F20" s="12"/>
      <c r="G20" s="13"/>
      <c r="H20" s="1"/>
      <c r="I20" s="11"/>
      <c r="J20" s="12"/>
      <c r="K20" s="12"/>
      <c r="L20" s="12"/>
      <c r="M20" s="12"/>
      <c r="N20" s="12"/>
      <c r="O20" s="13"/>
    </row>
    <row r="21" spans="1:15" ht="23.25" x14ac:dyDescent="0.25">
      <c r="A21" s="23"/>
      <c r="B21" s="23"/>
      <c r="C21" s="23"/>
      <c r="D21" s="23"/>
      <c r="E21" s="23"/>
      <c r="F21" s="23"/>
      <c r="G21" s="19"/>
      <c r="H21" s="1"/>
      <c r="I21" s="23"/>
      <c r="J21" s="23"/>
      <c r="K21" s="23"/>
      <c r="L21" s="23"/>
      <c r="M21" s="23"/>
      <c r="N21" s="23"/>
      <c r="O21" s="19"/>
    </row>
    <row r="22" spans="1:15" x14ac:dyDescent="0.25">
      <c r="A22" s="15" t="s">
        <v>6</v>
      </c>
      <c r="B22" s="16" t="s">
        <v>7</v>
      </c>
      <c r="C22" s="16" t="s">
        <v>8</v>
      </c>
      <c r="D22" s="16" t="s">
        <v>5</v>
      </c>
      <c r="E22" s="16" t="s">
        <v>2</v>
      </c>
      <c r="F22" s="17" t="s">
        <v>10</v>
      </c>
      <c r="G22" s="17" t="s">
        <v>11</v>
      </c>
      <c r="H22" s="1"/>
      <c r="I22" s="15" t="s">
        <v>6</v>
      </c>
      <c r="J22" s="16" t="s">
        <v>7</v>
      </c>
      <c r="K22" s="16" t="s">
        <v>8</v>
      </c>
      <c r="L22" s="16" t="s">
        <v>5</v>
      </c>
      <c r="M22" s="16" t="s">
        <v>2</v>
      </c>
      <c r="N22" s="17" t="s">
        <v>10</v>
      </c>
      <c r="O22" s="17" t="s">
        <v>11</v>
      </c>
    </row>
    <row r="23" spans="1:15" x14ac:dyDescent="0.25">
      <c r="A23" s="22">
        <f>VLOOKUP(A18,team_stats_americas[#All],2,FALSE)</f>
        <v>3</v>
      </c>
      <c r="B23" s="27">
        <f>VLOOKUP(A18,team_stats_americas[#All],3,FALSE)</f>
        <v>1</v>
      </c>
      <c r="C23" s="27">
        <f>VLOOKUP(A18,team_stats_americas[#All],4,FALSE)</f>
        <v>0</v>
      </c>
      <c r="D23" s="28">
        <f>VLOOKUP(A18,team_stats_americas[#All],5,FALSE)</f>
        <v>44992</v>
      </c>
      <c r="E23" s="27" t="str">
        <f>VLOOKUP(A18,team_stats_americas[#All],6,FALSE)</f>
        <v>118/88</v>
      </c>
      <c r="F23" s="29">
        <f>VLOOKUP(A18,team_stats_americas[#All],7,FALSE)</f>
        <v>30</v>
      </c>
      <c r="G23" s="37" t="e">
        <f>#REF!</f>
        <v>#REF!</v>
      </c>
      <c r="H23" s="1"/>
      <c r="I23" s="22">
        <f>VLOOKUP(I18,team_stats_americas[#All],2,FALSE)</f>
        <v>1</v>
      </c>
      <c r="J23" s="27">
        <f>VLOOKUP(I18,team_stats_americas[#All],3,FALSE)</f>
        <v>3</v>
      </c>
      <c r="K23" s="27">
        <f>VLOOKUP(I18,team_stats_americas[#All],4,FALSE)</f>
        <v>0</v>
      </c>
      <c r="L23" s="28">
        <f>VLOOKUP(I18,team_stats_americas[#All],5,FALSE)</f>
        <v>45081</v>
      </c>
      <c r="M23" s="27" t="str">
        <f>VLOOKUP(I18,team_stats_americas[#All],6,FALSE)</f>
        <v>110/115</v>
      </c>
      <c r="N23" s="29">
        <f>VLOOKUP(I18,team_stats_americas[#All],7,FALSE)</f>
        <v>-5</v>
      </c>
      <c r="O23" s="37" t="e">
        <f>#REF!</f>
        <v>#REF!</v>
      </c>
    </row>
    <row r="24" spans="1:15" x14ac:dyDescent="0.25">
      <c r="A24" s="5"/>
      <c r="B24" s="4"/>
      <c r="C24" s="4"/>
      <c r="D24" s="4"/>
      <c r="E24" s="4"/>
      <c r="F24" s="4"/>
      <c r="G24" s="1"/>
      <c r="H24" s="1"/>
      <c r="I24" s="5"/>
      <c r="J24" s="4"/>
      <c r="K24" s="4"/>
      <c r="L24" s="4"/>
      <c r="M24" s="4"/>
      <c r="N24" s="4"/>
      <c r="O24" s="1"/>
    </row>
    <row r="25" spans="1:15" x14ac:dyDescent="0.25">
      <c r="A25" s="3" t="s">
        <v>3</v>
      </c>
      <c r="B25" t="s">
        <v>4</v>
      </c>
      <c r="C25" t="s">
        <v>0</v>
      </c>
      <c r="D25" t="s">
        <v>1</v>
      </c>
      <c r="E25" t="s">
        <v>16</v>
      </c>
      <c r="F25" t="s">
        <v>15</v>
      </c>
      <c r="G25" s="2" t="s">
        <v>9</v>
      </c>
      <c r="H25" s="1"/>
      <c r="I25" s="3" t="s">
        <v>3</v>
      </c>
      <c r="J25" t="s">
        <v>4</v>
      </c>
      <c r="K25" t="s">
        <v>0</v>
      </c>
      <c r="L25" t="s">
        <v>1</v>
      </c>
      <c r="M25" t="s">
        <v>16</v>
      </c>
      <c r="N25" t="s">
        <v>15</v>
      </c>
      <c r="O25" s="2" t="s">
        <v>9</v>
      </c>
    </row>
    <row r="26" spans="1:15" x14ac:dyDescent="0.25">
      <c r="A26" s="3" t="str">
        <f>VLOOKUP(A18,teams_americas[#All],2,TRUE)</f>
        <v>nzr</v>
      </c>
      <c r="G26" s="2" t="e">
        <f>AVERAGE(players2668[[#This Row],[Rating]],players2668[[#This Row],[ACS]],players2668[[#This Row],[KAST]],players2668[[#This Row],[HS%]],players2668[[#This Row],[CL%]])</f>
        <v>#DIV/0!</v>
      </c>
      <c r="H26" s="1"/>
      <c r="I26" s="3" t="str">
        <f>VLOOKUP(I18,teams_americas[#All],2,TRUE)</f>
        <v>frz</v>
      </c>
      <c r="O26" s="2" t="e">
        <f>AVERAGE(players265878[[#This Row],[Rating]],players265878[[#This Row],[ACS]],players265878[[#This Row],[KAST]],players265878[[#This Row],[HS%]],players265878[[#This Row],[CL%]])</f>
        <v>#DIV/0!</v>
      </c>
    </row>
    <row r="27" spans="1:15" x14ac:dyDescent="0.25">
      <c r="A27" s="3" t="str">
        <f>VLOOKUP(A18,teams_americas[#All],3,TRUE)</f>
        <v>Tacolilla</v>
      </c>
      <c r="G27" s="2" t="e">
        <f>AVERAGE(players2668[[#This Row],[Rating]],players2668[[#This Row],[ACS]],players2668[[#This Row],[KAST]],players2668[[#This Row],[HS%]],players2668[[#This Row],[CL%]])</f>
        <v>#DIV/0!</v>
      </c>
      <c r="H27" s="1"/>
      <c r="I27" s="3" t="str">
        <f>VLOOKUP(I18,teams_americas[#All],3,TRUE)</f>
        <v>murizzz</v>
      </c>
      <c r="O27" s="2" t="e">
        <f>AVERAGE(players265878[[#This Row],[Rating]],players265878[[#This Row],[ACS]],players265878[[#This Row],[KAST]],players265878[[#This Row],[HS%]],players265878[[#This Row],[CL%]])</f>
        <v>#DIV/0!</v>
      </c>
    </row>
    <row r="28" spans="1:15" x14ac:dyDescent="0.25">
      <c r="A28" s="3" t="str">
        <f>VLOOKUP(A18,teams_americas[#All],4,TRUE)</f>
        <v>Mazino</v>
      </c>
      <c r="G28" s="2" t="e">
        <f>AVERAGE(players2668[[#This Row],[Rating]],players2668[[#This Row],[ACS]],players2668[[#This Row],[KAST]],players2668[[#This Row],[HS%]],players2668[[#This Row],[CL%]])</f>
        <v>#DIV/0!</v>
      </c>
      <c r="H28" s="1"/>
      <c r="I28" s="3" t="str">
        <f>VLOOKUP(I18,teams_americas[#All],4,TRUE)</f>
        <v>RgLMeister</v>
      </c>
      <c r="O28" s="2" t="e">
        <f>AVERAGE(players265878[[#This Row],[Rating]],players265878[[#This Row],[ACS]],players265878[[#This Row],[KAST]],players265878[[#This Row],[HS%]],players265878[[#This Row],[CL%]])</f>
        <v>#DIV/0!</v>
      </c>
    </row>
    <row r="29" spans="1:15" x14ac:dyDescent="0.25">
      <c r="A29" s="3" t="str">
        <f>VLOOKUP(A18,teams_americas[#All],5,TRUE)</f>
        <v>kiNgg</v>
      </c>
      <c r="G29" s="2" t="e">
        <f>AVERAGE(players2668[[#This Row],[Rating]],players2668[[#This Row],[ACS]],players2668[[#This Row],[KAST]],players2668[[#This Row],[HS%]],players2668[[#This Row],[CL%]])</f>
        <v>#DIV/0!</v>
      </c>
      <c r="H29" s="1"/>
      <c r="I29" s="3" t="str">
        <f>VLOOKUP(I18,teams_americas[#All],5,TRUE)</f>
        <v>heat</v>
      </c>
      <c r="O29" s="2" t="e">
        <f>AVERAGE(players265878[[#This Row],[Rating]],players265878[[#This Row],[ACS]],players265878[[#This Row],[KAST]],players265878[[#This Row],[HS%]],players265878[[#This Row],[CL%]])</f>
        <v>#DIV/0!</v>
      </c>
    </row>
    <row r="30" spans="1:15" ht="15.75" thickBot="1" x14ac:dyDescent="0.3">
      <c r="A30" s="3" t="str">
        <f>VLOOKUP(A18,teams_americas[#All],6,TRUE)</f>
        <v>Shyy</v>
      </c>
      <c r="G30" s="2" t="e">
        <f>AVERAGE(players2668[[#This Row],[Rating]],players2668[[#This Row],[ACS]],players2668[[#This Row],[KAST]],players2668[[#This Row],[HS%]],players2668[[#This Row],[CL%]])</f>
        <v>#DIV/0!</v>
      </c>
      <c r="H30" s="1"/>
      <c r="I30" s="3" t="str">
        <f>VLOOKUP(I18,teams_americas[#All],6,TRUE)</f>
        <v>jzz</v>
      </c>
      <c r="O30" s="2" t="e">
        <f>AVERAGE(players265878[[#This Row],[Rating]],players265878[[#This Row],[ACS]],players265878[[#This Row],[KAST]],players265878[[#This Row],[HS%]],players265878[[#This Row],[CL%]])</f>
        <v>#DIV/0!</v>
      </c>
    </row>
    <row r="31" spans="1:15" x14ac:dyDescent="0.25">
      <c r="A31" s="20" t="s">
        <v>17</v>
      </c>
      <c r="B31" s="24" t="e">
        <f>AVERAGE(players2668[Rating])</f>
        <v>#DIV/0!</v>
      </c>
      <c r="C31" s="24" t="e">
        <f>AVERAGE(players2668[ACS])</f>
        <v>#DIV/0!</v>
      </c>
      <c r="D31" s="24" t="e">
        <f>AVERAGE(players2668[KAST])</f>
        <v>#DIV/0!</v>
      </c>
      <c r="E31" s="24" t="e">
        <f>AVERAGE(players2668[HS%])</f>
        <v>#DIV/0!</v>
      </c>
      <c r="F31" s="24" t="e">
        <f>AVERAGE(players2668[CL%])</f>
        <v>#DIV/0!</v>
      </c>
      <c r="G31" s="21"/>
      <c r="H31" s="1"/>
      <c r="I31" s="20" t="s">
        <v>17</v>
      </c>
      <c r="J31" s="24" t="e">
        <f>AVERAGE(players265878[Rating])</f>
        <v>#DIV/0!</v>
      </c>
      <c r="K31" s="24" t="e">
        <f>AVERAGE(players265878[ACS])</f>
        <v>#DIV/0!</v>
      </c>
      <c r="L31" s="24" t="e">
        <f>AVERAGE(players265878[KAST])</f>
        <v>#DIV/0!</v>
      </c>
      <c r="M31" s="24" t="e">
        <f>AVERAGE(players265878[HS%])</f>
        <v>#DIV/0!</v>
      </c>
      <c r="N31" s="24" t="e">
        <f>AVERAGE(players265878[CL%])</f>
        <v>#DIV/0!</v>
      </c>
      <c r="O31" s="2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6" t="s">
        <v>70</v>
      </c>
      <c r="B35" s="7"/>
      <c r="C35" s="7"/>
      <c r="D35" s="7"/>
      <c r="E35" s="7"/>
      <c r="F35" s="7"/>
      <c r="G35" s="8"/>
      <c r="H35" s="1"/>
      <c r="I35" s="6" t="s">
        <v>82</v>
      </c>
      <c r="J35" s="7"/>
      <c r="K35" s="7"/>
      <c r="L35" s="7"/>
      <c r="M35" s="7"/>
      <c r="N35" s="7"/>
      <c r="O35" s="8"/>
    </row>
    <row r="36" spans="1:15" x14ac:dyDescent="0.25">
      <c r="A36" s="9"/>
      <c r="B36" s="18"/>
      <c r="C36" s="18"/>
      <c r="D36" s="18"/>
      <c r="E36" s="18"/>
      <c r="F36" s="18"/>
      <c r="G36" s="10"/>
      <c r="H36" s="1"/>
      <c r="I36" s="9"/>
      <c r="J36" s="18"/>
      <c r="K36" s="18"/>
      <c r="L36" s="18"/>
      <c r="M36" s="18"/>
      <c r="N36" s="18"/>
      <c r="O36" s="10"/>
    </row>
    <row r="37" spans="1:15" ht="15.75" thickBot="1" x14ac:dyDescent="0.3">
      <c r="A37" s="11"/>
      <c r="B37" s="12"/>
      <c r="C37" s="12"/>
      <c r="D37" s="12"/>
      <c r="E37" s="12"/>
      <c r="F37" s="12"/>
      <c r="G37" s="13"/>
      <c r="H37" s="1"/>
      <c r="I37" s="11"/>
      <c r="J37" s="12"/>
      <c r="K37" s="12"/>
      <c r="L37" s="12"/>
      <c r="M37" s="12"/>
      <c r="N37" s="12"/>
      <c r="O37" s="13"/>
    </row>
    <row r="38" spans="1:15" ht="23.25" x14ac:dyDescent="0.25">
      <c r="A38" s="23"/>
      <c r="B38" s="23"/>
      <c r="C38" s="23"/>
      <c r="D38" s="23"/>
      <c r="E38" s="23"/>
      <c r="F38" s="23"/>
      <c r="G38" s="19"/>
      <c r="H38" s="1"/>
      <c r="I38" s="23"/>
      <c r="J38" s="23"/>
      <c r="K38" s="23"/>
      <c r="L38" s="23"/>
      <c r="M38" s="23"/>
      <c r="N38" s="23"/>
      <c r="O38" s="19"/>
    </row>
    <row r="39" spans="1:15" x14ac:dyDescent="0.25">
      <c r="A39" s="15" t="s">
        <v>6</v>
      </c>
      <c r="B39" s="16" t="s">
        <v>7</v>
      </c>
      <c r="C39" s="16" t="s">
        <v>8</v>
      </c>
      <c r="D39" s="16" t="s">
        <v>5</v>
      </c>
      <c r="E39" s="16" t="s">
        <v>2</v>
      </c>
      <c r="F39" s="17" t="s">
        <v>10</v>
      </c>
      <c r="G39" s="17" t="s">
        <v>11</v>
      </c>
      <c r="H39" s="1"/>
      <c r="I39" s="15" t="s">
        <v>6</v>
      </c>
      <c r="J39" s="16" t="s">
        <v>7</v>
      </c>
      <c r="K39" s="16" t="s">
        <v>8</v>
      </c>
      <c r="L39" s="16" t="s">
        <v>5</v>
      </c>
      <c r="M39" s="16" t="s">
        <v>2</v>
      </c>
      <c r="N39" s="17" t="s">
        <v>10</v>
      </c>
      <c r="O39" s="17" t="s">
        <v>11</v>
      </c>
    </row>
    <row r="40" spans="1:15" x14ac:dyDescent="0.25">
      <c r="A40" s="22">
        <f>VLOOKUP(A35,team_stats_americas[#All],2,FALSE)</f>
        <v>3</v>
      </c>
      <c r="B40" s="27">
        <f>VLOOKUP(A35,team_stats_americas[#All],3,FALSE)</f>
        <v>1</v>
      </c>
      <c r="C40" s="27">
        <f>VLOOKUP(A35,team_stats_americas[#All],4,FALSE)</f>
        <v>0</v>
      </c>
      <c r="D40" s="28">
        <f>VLOOKUP(A35,team_stats_americas[#All],5,FALSE)</f>
        <v>44992</v>
      </c>
      <c r="E40" s="27" t="str">
        <f>VLOOKUP(A35,team_stats_americas[#All],6,FALSE)</f>
        <v>115/101</v>
      </c>
      <c r="F40" s="29">
        <f>VLOOKUP(A35,team_stats_americas[#All],7,FALSE)</f>
        <v>14</v>
      </c>
      <c r="G40" s="37" t="e">
        <f>#REF!</f>
        <v>#REF!</v>
      </c>
      <c r="H40" s="1"/>
      <c r="I40" s="22">
        <f>VLOOKUP(I35,team_stats_americas[#All],2,FALSE)</f>
        <v>1</v>
      </c>
      <c r="J40" s="27">
        <f>VLOOKUP(I35,team_stats_americas[#All],3,FALSE)</f>
        <v>3</v>
      </c>
      <c r="K40" s="27">
        <f>VLOOKUP(I35,team_stats_americas[#All],4,FALSE)</f>
        <v>0</v>
      </c>
      <c r="L40" s="28">
        <f>VLOOKUP(I35,team_stats_americas[#All],5,FALSE)</f>
        <v>45110</v>
      </c>
      <c r="M40" s="27" t="str">
        <f>VLOOKUP(I35,team_stats_americas[#All],6,FALSE)</f>
        <v>107/118</v>
      </c>
      <c r="N40" s="29">
        <f>VLOOKUP(I35,team_stats_americas[#All],7,FALSE)</f>
        <v>-11</v>
      </c>
      <c r="O40" s="37" t="e">
        <f>#REF!</f>
        <v>#REF!</v>
      </c>
    </row>
    <row r="41" spans="1:15" x14ac:dyDescent="0.25">
      <c r="A41" s="5"/>
      <c r="B41" s="4"/>
      <c r="C41" s="4"/>
      <c r="D41" s="4"/>
      <c r="E41" s="4"/>
      <c r="F41" s="4"/>
      <c r="G41" s="1"/>
      <c r="H41" s="1"/>
      <c r="I41" s="5"/>
      <c r="J41" s="4"/>
      <c r="K41" s="4"/>
      <c r="L41" s="4"/>
      <c r="M41" s="4"/>
      <c r="N41" s="4"/>
      <c r="O41" s="1"/>
    </row>
    <row r="42" spans="1:15" x14ac:dyDescent="0.25">
      <c r="A42" s="3" t="s">
        <v>3</v>
      </c>
      <c r="B42" t="s">
        <v>4</v>
      </c>
      <c r="C42" t="s">
        <v>0</v>
      </c>
      <c r="D42" t="s">
        <v>1</v>
      </c>
      <c r="E42" t="s">
        <v>16</v>
      </c>
      <c r="F42" t="s">
        <v>15</v>
      </c>
      <c r="G42" s="2" t="s">
        <v>9</v>
      </c>
      <c r="H42" s="1"/>
      <c r="I42" s="3" t="s">
        <v>3</v>
      </c>
      <c r="J42" t="s">
        <v>4</v>
      </c>
      <c r="K42" t="s">
        <v>0</v>
      </c>
      <c r="L42" t="s">
        <v>1</v>
      </c>
      <c r="M42" t="s">
        <v>16</v>
      </c>
      <c r="N42" t="s">
        <v>15</v>
      </c>
      <c r="O42" s="2" t="s">
        <v>9</v>
      </c>
    </row>
    <row r="43" spans="1:15" x14ac:dyDescent="0.25">
      <c r="A43" s="3" t="str">
        <f>VLOOKUP(A35,teams_americas[#All],2,TRUE)</f>
        <v>Zellsis</v>
      </c>
      <c r="G43" s="2" t="e">
        <f>AVERAGE(players265070[[#This Row],[Rating]],players265070[[#This Row],[ACS]],players265070[[#This Row],[KAST]],players265070[[#This Row],[HS%]],players265070[[#This Row],[CL%]])</f>
        <v>#DIV/0!</v>
      </c>
      <c r="H43" s="1"/>
      <c r="I43" s="3" t="str">
        <f>VLOOKUP(I35,teams_americas[#All],2,TRUE)</f>
        <v>Zellsis</v>
      </c>
      <c r="O43" s="2" t="e">
        <f>AVERAGE(players26506080[[#This Row],[Rating]],players26506080[[#This Row],[ACS]],players26506080[[#This Row],[KAST]],players26506080[[#This Row],[HS%]],players26506080[[#This Row],[CL%]])</f>
        <v>#DIV/0!</v>
      </c>
    </row>
    <row r="44" spans="1:15" x14ac:dyDescent="0.25">
      <c r="A44" s="3" t="str">
        <f>VLOOKUP(A35,teams_americas[#All],3,TRUE)</f>
        <v>qpert</v>
      </c>
      <c r="G44" s="2" t="e">
        <f>AVERAGE(players265070[[#This Row],[Rating]],players265070[[#This Row],[ACS]],players265070[[#This Row],[KAST]],players265070[[#This Row],[HS%]],players265070[[#This Row],[CL%]])</f>
        <v>#DIV/0!</v>
      </c>
      <c r="H44" s="1"/>
      <c r="I44" s="3" t="str">
        <f>VLOOKUP(I35,teams_americas[#All],3,TRUE)</f>
        <v>qpert</v>
      </c>
      <c r="O44" s="2" t="e">
        <f>AVERAGE(players26506080[[#This Row],[Rating]],players26506080[[#This Row],[ACS]],players26506080[[#This Row],[KAST]],players26506080[[#This Row],[HS%]],players26506080[[#This Row],[CL%]])</f>
        <v>#DIV/0!</v>
      </c>
    </row>
    <row r="45" spans="1:15" x14ac:dyDescent="0.25">
      <c r="A45" s="3" t="str">
        <f>VLOOKUP(A35,teams_americas[#All],4,TRUE)</f>
        <v>Xeppaa</v>
      </c>
      <c r="G45" s="2" t="e">
        <f>AVERAGE(players265070[[#This Row],[Rating]],players265070[[#This Row],[ACS]],players265070[[#This Row],[KAST]],players265070[[#This Row],[HS%]],players265070[[#This Row],[CL%]])</f>
        <v>#DIV/0!</v>
      </c>
      <c r="H45" s="1"/>
      <c r="I45" s="3" t="str">
        <f>VLOOKUP(I35,teams_americas[#All],4,TRUE)</f>
        <v>Xeppaa</v>
      </c>
      <c r="O45" s="2" t="e">
        <f>AVERAGE(players26506080[[#This Row],[Rating]],players26506080[[#This Row],[ACS]],players26506080[[#This Row],[KAST]],players26506080[[#This Row],[HS%]],players26506080[[#This Row],[CL%]])</f>
        <v>#DIV/0!</v>
      </c>
    </row>
    <row r="46" spans="1:15" x14ac:dyDescent="0.25">
      <c r="A46" s="3" t="str">
        <f>VLOOKUP(A35,teams_americas[#All],5,TRUE)</f>
        <v>leaf</v>
      </c>
      <c r="G46" s="2" t="e">
        <f>AVERAGE(players265070[[#This Row],[Rating]],players265070[[#This Row],[ACS]],players265070[[#This Row],[KAST]],players265070[[#This Row],[HS%]],players265070[[#This Row],[CL%]])</f>
        <v>#DIV/0!</v>
      </c>
      <c r="H46" s="1"/>
      <c r="I46" s="3" t="str">
        <f>VLOOKUP(I35,teams_americas[#All],5,TRUE)</f>
        <v>leaf</v>
      </c>
      <c r="O46" s="2" t="e">
        <f>AVERAGE(players26506080[[#This Row],[Rating]],players26506080[[#This Row],[ACS]],players26506080[[#This Row],[KAST]],players26506080[[#This Row],[HS%]],players26506080[[#This Row],[CL%]])</f>
        <v>#DIV/0!</v>
      </c>
    </row>
    <row r="47" spans="1:15" ht="15.75" thickBot="1" x14ac:dyDescent="0.3">
      <c r="A47" s="3" t="str">
        <f>VLOOKUP(A35,teams_americas[#All],6,TRUE)</f>
        <v>jakee</v>
      </c>
      <c r="G47" s="2" t="e">
        <f>AVERAGE(players265070[[#This Row],[Rating]],players265070[[#This Row],[ACS]],players265070[[#This Row],[KAST]],players265070[[#This Row],[HS%]],players265070[[#This Row],[CL%]])</f>
        <v>#DIV/0!</v>
      </c>
      <c r="H47" s="1"/>
      <c r="I47" s="3" t="str">
        <f>VLOOKUP(I35,teams_americas[#All],6,TRUE)</f>
        <v>jakee</v>
      </c>
      <c r="O47" s="2" t="e">
        <f>AVERAGE(players26506080[[#This Row],[Rating]],players26506080[[#This Row],[ACS]],players26506080[[#This Row],[KAST]],players26506080[[#This Row],[HS%]],players26506080[[#This Row],[CL%]])</f>
        <v>#DIV/0!</v>
      </c>
    </row>
    <row r="48" spans="1:15" x14ac:dyDescent="0.25">
      <c r="A48" s="20" t="s">
        <v>17</v>
      </c>
      <c r="B48" s="24" t="e">
        <f>AVERAGE(players265070[Rating])</f>
        <v>#DIV/0!</v>
      </c>
      <c r="C48" s="24" t="e">
        <f>AVERAGE(players265070[ACS])</f>
        <v>#DIV/0!</v>
      </c>
      <c r="D48" s="24" t="e">
        <f>AVERAGE(players265070[KAST])</f>
        <v>#DIV/0!</v>
      </c>
      <c r="E48" s="24" t="e">
        <f>AVERAGE(players265070[HS%])</f>
        <v>#DIV/0!</v>
      </c>
      <c r="F48" s="24" t="e">
        <f>AVERAGE(players265070[CL%])</f>
        <v>#DIV/0!</v>
      </c>
      <c r="G48" s="21"/>
      <c r="H48" s="1"/>
      <c r="I48" s="20" t="s">
        <v>17</v>
      </c>
      <c r="J48" s="24" t="e">
        <f>AVERAGE(players26506080[Rating])</f>
        <v>#DIV/0!</v>
      </c>
      <c r="K48" s="24" t="e">
        <f>AVERAGE(players26506080[ACS])</f>
        <v>#DIV/0!</v>
      </c>
      <c r="L48" s="24" t="e">
        <f>AVERAGE(players26506080[KAST])</f>
        <v>#DIV/0!</v>
      </c>
      <c r="M48" s="24" t="e">
        <f>AVERAGE(players26506080[HS%])</f>
        <v>#DIV/0!</v>
      </c>
      <c r="N48" s="24" t="e">
        <f>AVERAGE(players26506080[CL%])</f>
        <v>#DIV/0!</v>
      </c>
      <c r="O48" s="2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6" t="s">
        <v>72</v>
      </c>
      <c r="B52" s="7"/>
      <c r="C52" s="7"/>
      <c r="D52" s="7"/>
      <c r="E52" s="7"/>
      <c r="F52" s="7"/>
      <c r="G52" s="8"/>
      <c r="H52" s="1"/>
      <c r="I52" s="6" t="s">
        <v>84</v>
      </c>
      <c r="J52" s="7"/>
      <c r="K52" s="7"/>
      <c r="L52" s="7"/>
      <c r="M52" s="7"/>
      <c r="N52" s="7"/>
      <c r="O52" s="8"/>
    </row>
    <row r="53" spans="1:15" x14ac:dyDescent="0.25">
      <c r="A53" s="9"/>
      <c r="B53" s="18"/>
      <c r="C53" s="18"/>
      <c r="D53" s="18"/>
      <c r="E53" s="18"/>
      <c r="F53" s="18"/>
      <c r="G53" s="10"/>
      <c r="H53" s="1"/>
      <c r="I53" s="9"/>
      <c r="J53" s="18"/>
      <c r="K53" s="18"/>
      <c r="L53" s="18"/>
      <c r="M53" s="18"/>
      <c r="N53" s="18"/>
      <c r="O53" s="10"/>
    </row>
    <row r="54" spans="1:15" ht="15.75" thickBot="1" x14ac:dyDescent="0.3">
      <c r="A54" s="11"/>
      <c r="B54" s="12"/>
      <c r="C54" s="12"/>
      <c r="D54" s="12"/>
      <c r="E54" s="12"/>
      <c r="F54" s="12"/>
      <c r="G54" s="13"/>
      <c r="H54" s="1"/>
      <c r="I54" s="11"/>
      <c r="J54" s="12"/>
      <c r="K54" s="12"/>
      <c r="L54" s="12"/>
      <c r="M54" s="12"/>
      <c r="N54" s="12"/>
      <c r="O54" s="13"/>
    </row>
    <row r="55" spans="1:15" ht="23.25" x14ac:dyDescent="0.25">
      <c r="A55" s="23"/>
      <c r="B55" s="23"/>
      <c r="C55" s="23"/>
      <c r="D55" s="23"/>
      <c r="E55" s="23"/>
      <c r="F55" s="23"/>
      <c r="G55" s="19"/>
      <c r="H55" s="1"/>
      <c r="I55" s="23"/>
      <c r="J55" s="23"/>
      <c r="K55" s="23"/>
      <c r="L55" s="23"/>
      <c r="M55" s="23"/>
      <c r="N55" s="23"/>
      <c r="O55" s="19"/>
    </row>
    <row r="56" spans="1:15" x14ac:dyDescent="0.25">
      <c r="A56" s="15" t="s">
        <v>6</v>
      </c>
      <c r="B56" s="16" t="s">
        <v>7</v>
      </c>
      <c r="C56" s="16" t="s">
        <v>8</v>
      </c>
      <c r="D56" s="16" t="s">
        <v>5</v>
      </c>
      <c r="E56" s="16" t="s">
        <v>2</v>
      </c>
      <c r="F56" s="17" t="s">
        <v>10</v>
      </c>
      <c r="G56" s="17" t="s">
        <v>11</v>
      </c>
      <c r="H56" s="1"/>
      <c r="I56" s="15" t="s">
        <v>6</v>
      </c>
      <c r="J56" s="16" t="s">
        <v>7</v>
      </c>
      <c r="K56" s="16" t="s">
        <v>8</v>
      </c>
      <c r="L56" s="16" t="s">
        <v>5</v>
      </c>
      <c r="M56" s="16" t="s">
        <v>2</v>
      </c>
      <c r="N56" s="17" t="s">
        <v>10</v>
      </c>
      <c r="O56" s="17" t="s">
        <v>11</v>
      </c>
    </row>
    <row r="57" spans="1:15" x14ac:dyDescent="0.25">
      <c r="A57" s="22">
        <f>VLOOKUP(A52,team_stats_americas[#All],2,FALSE)</f>
        <v>3</v>
      </c>
      <c r="B57" s="27">
        <f>VLOOKUP(A52,team_stats_americas[#All],3,FALSE)</f>
        <v>1</v>
      </c>
      <c r="C57" s="27">
        <f>VLOOKUP(A52,team_stats_americas[#All],4,FALSE)</f>
        <v>0</v>
      </c>
      <c r="D57" s="28">
        <f>VLOOKUP(A52,team_stats_americas[#All],5,FALSE)</f>
        <v>45022</v>
      </c>
      <c r="E57" s="27" t="str">
        <f>VLOOKUP(A52,team_stats_americas[#All],6,FALSE)</f>
        <v>111/106</v>
      </c>
      <c r="F57" s="29">
        <f>VLOOKUP(A52,team_stats_americas[#All],7,FALSE)</f>
        <v>5</v>
      </c>
      <c r="G57" s="37" t="e">
        <f>#REF!</f>
        <v>#REF!</v>
      </c>
      <c r="H57" s="1"/>
      <c r="I57" s="22">
        <f>VLOOKUP(I52,team_stats_americas[#All],2,FALSE)</f>
        <v>0</v>
      </c>
      <c r="J57" s="27">
        <f>VLOOKUP(I52,team_stats_americas[#All],3,FALSE)</f>
        <v>4</v>
      </c>
      <c r="K57" s="27">
        <f>VLOOKUP(I52,team_stats_americas[#All],4,FALSE)</f>
        <v>0</v>
      </c>
      <c r="L57" s="28">
        <f>VLOOKUP(I52,team_stats_americas[#All],5,FALSE)</f>
        <v>45141</v>
      </c>
      <c r="M57" s="27" t="str">
        <f>VLOOKUP(I52,team_stats_americas[#All],6,FALSE)</f>
        <v>112/129</v>
      </c>
      <c r="N57" s="29">
        <f>VLOOKUP(I52,team_stats_americas[#All],7,FALSE)</f>
        <v>-17</v>
      </c>
      <c r="O57" s="37" t="e">
        <f>#REF!</f>
        <v>#REF!</v>
      </c>
    </row>
    <row r="58" spans="1:15" x14ac:dyDescent="0.25">
      <c r="A58" s="5"/>
      <c r="B58" s="4"/>
      <c r="C58" s="4"/>
      <c r="D58" s="4"/>
      <c r="E58" s="4"/>
      <c r="F58" s="4"/>
      <c r="G58" s="1"/>
      <c r="H58" s="1"/>
      <c r="I58" s="5"/>
      <c r="J58" s="4"/>
      <c r="K58" s="4"/>
      <c r="L58" s="4"/>
      <c r="M58" s="4"/>
      <c r="N58" s="4"/>
      <c r="O58" s="1"/>
    </row>
    <row r="59" spans="1:15" x14ac:dyDescent="0.25">
      <c r="A59" s="3" t="s">
        <v>3</v>
      </c>
      <c r="B59" t="s">
        <v>4</v>
      </c>
      <c r="C59" t="s">
        <v>0</v>
      </c>
      <c r="D59" t="s">
        <v>1</v>
      </c>
      <c r="E59" t="s">
        <v>16</v>
      </c>
      <c r="F59" t="s">
        <v>15</v>
      </c>
      <c r="G59" s="2" t="s">
        <v>9</v>
      </c>
      <c r="H59" s="1"/>
      <c r="I59" s="3" t="s">
        <v>3</v>
      </c>
      <c r="J59" t="s">
        <v>4</v>
      </c>
      <c r="K59" t="s">
        <v>0</v>
      </c>
      <c r="L59" t="s">
        <v>1</v>
      </c>
      <c r="M59" t="s">
        <v>16</v>
      </c>
      <c r="N59" t="s">
        <v>15</v>
      </c>
      <c r="O59" s="2" t="s">
        <v>9</v>
      </c>
    </row>
    <row r="60" spans="1:15" x14ac:dyDescent="0.25">
      <c r="A60" s="3" t="str">
        <f>VLOOKUP(A52,teams_americas[#All],2,TRUE)</f>
        <v>mwzera</v>
      </c>
      <c r="G60" s="2" t="e">
        <f>AVERAGE(players265272[[#This Row],[Rating]],players265272[[#This Row],[ACS]],players265272[[#This Row],[KAST]],players265272[[#This Row],[HS%]],players265272[[#This Row],[CL%]])</f>
        <v>#DIV/0!</v>
      </c>
      <c r="H60" s="1"/>
      <c r="I60" s="3" t="str">
        <f>VLOOKUP(I52,teams_americas[#All],2,TRUE)</f>
        <v>mwzera</v>
      </c>
      <c r="O60" s="2" t="e">
        <f>AVERAGE(players26526282[[#This Row],[Rating]],players26526282[[#This Row],[ACS]],players26526282[[#This Row],[KAST]],players26526282[[#This Row],[HS%]],players26526282[[#This Row],[CL%]])</f>
        <v>#DIV/0!</v>
      </c>
    </row>
    <row r="61" spans="1:15" x14ac:dyDescent="0.25">
      <c r="A61" s="3" t="str">
        <f>VLOOKUP(A52,teams_americas[#All],3,TRUE)</f>
        <v>Quick</v>
      </c>
      <c r="G61" s="2" t="e">
        <f>AVERAGE(players265272[[#This Row],[Rating]],players265272[[#This Row],[ACS]],players265272[[#This Row],[KAST]],players265272[[#This Row],[HS%]],players265272[[#This Row],[CL%]])</f>
        <v>#DIV/0!</v>
      </c>
      <c r="H61" s="1"/>
      <c r="I61" s="3" t="str">
        <f>VLOOKUP(I52,teams_americas[#All],3,TRUE)</f>
        <v>Quick</v>
      </c>
      <c r="O61" s="2" t="e">
        <f>AVERAGE(players26526282[[#This Row],[Rating]],players26526282[[#This Row],[ACS]],players26526282[[#This Row],[KAST]],players26526282[[#This Row],[HS%]],players26526282[[#This Row],[CL%]])</f>
        <v>#DIV/0!</v>
      </c>
    </row>
    <row r="62" spans="1:15" x14ac:dyDescent="0.25">
      <c r="A62" s="3" t="str">
        <f>VLOOKUP(A52,teams_americas[#All],4,TRUE)</f>
        <v>Khalil</v>
      </c>
      <c r="G62" s="2" t="e">
        <f>AVERAGE(players265272[[#This Row],[Rating]],players265272[[#This Row],[ACS]],players265272[[#This Row],[KAST]],players265272[[#This Row],[HS%]],players265272[[#This Row],[CL%]])</f>
        <v>#DIV/0!</v>
      </c>
      <c r="H62" s="1"/>
      <c r="I62" s="3" t="str">
        <f>VLOOKUP(I52,teams_americas[#All],4,TRUE)</f>
        <v>Khalil</v>
      </c>
      <c r="O62" s="2" t="e">
        <f>AVERAGE(players26526282[[#This Row],[Rating]],players26526282[[#This Row],[ACS]],players26526282[[#This Row],[KAST]],players26526282[[#This Row],[HS%]],players26526282[[#This Row],[CL%]])</f>
        <v>#DIV/0!</v>
      </c>
    </row>
    <row r="63" spans="1:15" x14ac:dyDescent="0.25">
      <c r="A63" s="3" t="str">
        <f>VLOOKUP(A52,teams_americas[#All],5,TRUE)</f>
        <v>Mazin</v>
      </c>
      <c r="G63" s="2" t="e">
        <f>AVERAGE(players265272[[#This Row],[Rating]],players265272[[#This Row],[ACS]],players265272[[#This Row],[KAST]],players265272[[#This Row],[HS%]],players265272[[#This Row],[CL%]])</f>
        <v>#DIV/0!</v>
      </c>
      <c r="H63" s="1"/>
      <c r="I63" s="3" t="str">
        <f>VLOOKUP(I52,teams_americas[#All],5,TRUE)</f>
        <v>Mazin</v>
      </c>
      <c r="O63" s="2" t="e">
        <f>AVERAGE(players26526282[[#This Row],[Rating]],players26526282[[#This Row],[ACS]],players26526282[[#This Row],[KAST]],players26526282[[#This Row],[HS%]],players26526282[[#This Row],[CL%]])</f>
        <v>#DIV/0!</v>
      </c>
    </row>
    <row r="64" spans="1:15" ht="15.75" thickBot="1" x14ac:dyDescent="0.3">
      <c r="A64" s="3" t="str">
        <f>VLOOKUP(A52,teams_americas[#All],6,TRUE)</f>
        <v>dgzin</v>
      </c>
      <c r="G64" s="2" t="e">
        <f>AVERAGE(players265272[[#This Row],[Rating]],players265272[[#This Row],[ACS]],players265272[[#This Row],[KAST]],players265272[[#This Row],[HS%]],players265272[[#This Row],[CL%]])</f>
        <v>#DIV/0!</v>
      </c>
      <c r="H64" s="1"/>
      <c r="I64" s="3" t="str">
        <f>VLOOKUP(I52,teams_americas[#All],6,TRUE)</f>
        <v>dgzin</v>
      </c>
      <c r="O64" s="2" t="e">
        <f>AVERAGE(players26526282[[#This Row],[Rating]],players26526282[[#This Row],[ACS]],players26526282[[#This Row],[KAST]],players26526282[[#This Row],[HS%]],players26526282[[#This Row],[CL%]])</f>
        <v>#DIV/0!</v>
      </c>
    </row>
    <row r="65" spans="1:15" x14ac:dyDescent="0.25">
      <c r="A65" s="20" t="s">
        <v>17</v>
      </c>
      <c r="B65" s="24" t="e">
        <f>AVERAGE(players265272[Rating])</f>
        <v>#DIV/0!</v>
      </c>
      <c r="C65" s="24" t="e">
        <f>AVERAGE(players265272[ACS])</f>
        <v>#DIV/0!</v>
      </c>
      <c r="D65" s="24" t="e">
        <f>AVERAGE(players265272[KAST])</f>
        <v>#DIV/0!</v>
      </c>
      <c r="E65" s="24" t="e">
        <f>AVERAGE(players265272[HS%])</f>
        <v>#DIV/0!</v>
      </c>
      <c r="F65" s="24" t="e">
        <f>AVERAGE(players265272[CL%])</f>
        <v>#DIV/0!</v>
      </c>
      <c r="G65" s="21"/>
      <c r="H65" s="1"/>
      <c r="I65" s="20" t="s">
        <v>17</v>
      </c>
      <c r="J65" s="24" t="e">
        <f>AVERAGE(players26526282[Rating])</f>
        <v>#DIV/0!</v>
      </c>
      <c r="K65" s="24" t="e">
        <f>AVERAGE(players26526282[ACS])</f>
        <v>#DIV/0!</v>
      </c>
      <c r="L65" s="24" t="e">
        <f>AVERAGE(players26526282[KAST])</f>
        <v>#DIV/0!</v>
      </c>
      <c r="M65" s="24" t="e">
        <f>AVERAGE(players26526282[HS%])</f>
        <v>#DIV/0!</v>
      </c>
      <c r="N65" s="24" t="e">
        <f>AVERAGE(players26526282[CL%])</f>
        <v>#DIV/0!</v>
      </c>
      <c r="O65" s="2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6" t="s">
        <v>74</v>
      </c>
      <c r="B69" s="7"/>
      <c r="C69" s="7"/>
      <c r="D69" s="7"/>
      <c r="E69" s="7"/>
      <c r="F69" s="7"/>
      <c r="G69" s="8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9"/>
      <c r="B70" s="18"/>
      <c r="C70" s="18"/>
      <c r="D70" s="18"/>
      <c r="E70" s="18"/>
      <c r="F70" s="18"/>
      <c r="G70" s="10"/>
      <c r="H70" s="1"/>
      <c r="I70" s="1"/>
      <c r="J70" s="1"/>
      <c r="K70" s="1"/>
      <c r="L70" s="1"/>
      <c r="M70" s="1"/>
      <c r="N70" s="1"/>
      <c r="O70" s="1"/>
    </row>
    <row r="71" spans="1:15" ht="15.75" thickBot="1" x14ac:dyDescent="0.3">
      <c r="A71" s="11"/>
      <c r="B71" s="12"/>
      <c r="C71" s="12"/>
      <c r="D71" s="12"/>
      <c r="E71" s="12"/>
      <c r="F71" s="12"/>
      <c r="G71" s="13"/>
      <c r="H71" s="1"/>
      <c r="I71" s="1"/>
      <c r="J71" s="1"/>
      <c r="K71" s="1"/>
      <c r="L71" s="1"/>
      <c r="M71" s="1"/>
      <c r="N71" s="1"/>
      <c r="O71" s="1"/>
    </row>
    <row r="72" spans="1:15" ht="23.25" x14ac:dyDescent="0.25">
      <c r="A72" s="23"/>
      <c r="B72" s="23"/>
      <c r="C72" s="23"/>
      <c r="D72" s="23"/>
      <c r="E72" s="23"/>
      <c r="F72" s="23"/>
      <c r="G72" s="19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5" t="s">
        <v>6</v>
      </c>
      <c r="B73" s="16" t="s">
        <v>7</v>
      </c>
      <c r="C73" s="16" t="s">
        <v>8</v>
      </c>
      <c r="D73" s="16" t="s">
        <v>5</v>
      </c>
      <c r="E73" s="16" t="s">
        <v>2</v>
      </c>
      <c r="F73" s="17" t="s">
        <v>10</v>
      </c>
      <c r="G73" s="17" t="s">
        <v>11</v>
      </c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22">
        <f>VLOOKUP(A69,team_stats_americas[#All],2,FALSE)</f>
        <v>2</v>
      </c>
      <c r="B74" s="27">
        <f>VLOOKUP(A69,team_stats_americas[#All],3,FALSE)</f>
        <v>2</v>
      </c>
      <c r="C74" s="27">
        <f>VLOOKUP(A69,team_stats_americas[#All],4,FALSE)</f>
        <v>0</v>
      </c>
      <c r="D74" s="28">
        <f>VLOOKUP(A69,team_stats_americas[#All],5,FALSE)</f>
        <v>45051</v>
      </c>
      <c r="E74" s="27" t="str">
        <f>VLOOKUP(A69,team_stats_americas[#All],6,FALSE)</f>
        <v>112/109</v>
      </c>
      <c r="F74" s="29">
        <f>VLOOKUP(A69,team_stats_americas[#All],7,FALSE)</f>
        <v>3</v>
      </c>
      <c r="G74" s="37" t="e">
        <f>#REF!</f>
        <v>#REF!</v>
      </c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5"/>
      <c r="B75" s="4"/>
      <c r="C75" s="4"/>
      <c r="D75" s="4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3" t="s">
        <v>3</v>
      </c>
      <c r="B76" t="s">
        <v>4</v>
      </c>
      <c r="C76" t="s">
        <v>0</v>
      </c>
      <c r="D76" t="s">
        <v>1</v>
      </c>
      <c r="E76" t="s">
        <v>16</v>
      </c>
      <c r="F76" t="s">
        <v>15</v>
      </c>
      <c r="G76" s="2" t="s">
        <v>9</v>
      </c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3" t="e">
        <f>VLOOKUP(A69,teams_americas[#All],2,TRUE)</f>
        <v>#N/A</v>
      </c>
      <c r="G77" s="2" t="e">
        <f>AVERAGE(players265474[[#This Row],[Rating]],players265474[[#This Row],[ACS]],players265474[[#This Row],[KAST]],players265474[[#This Row],[HS%]],players265474[[#This Row],[CL%]])</f>
        <v>#DIV/0!</v>
      </c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3" t="e">
        <f>VLOOKUP(A69,teams_americas[#All],3,TRUE)</f>
        <v>#N/A</v>
      </c>
      <c r="G78" s="2" t="e">
        <f>AVERAGE(players265474[[#This Row],[Rating]],players265474[[#This Row],[ACS]],players265474[[#This Row],[KAST]],players265474[[#This Row],[HS%]],players265474[[#This Row],[CL%]])</f>
        <v>#DIV/0!</v>
      </c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3" t="e">
        <f>VLOOKUP(A69,teams_americas[#All],4,TRUE)</f>
        <v>#N/A</v>
      </c>
      <c r="G79" s="2" t="e">
        <f>AVERAGE(players265474[[#This Row],[Rating]],players265474[[#This Row],[ACS]],players265474[[#This Row],[KAST]],players265474[[#This Row],[HS%]],players265474[[#This Row],[CL%]])</f>
        <v>#DIV/0!</v>
      </c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3" t="e">
        <f>VLOOKUP(A69,teams_americas[#All],5,TRUE)</f>
        <v>#N/A</v>
      </c>
      <c r="G80" s="2" t="e">
        <f>AVERAGE(players265474[[#This Row],[Rating]],players265474[[#This Row],[ACS]],players265474[[#This Row],[KAST]],players265474[[#This Row],[HS%]],players265474[[#This Row],[CL%]])</f>
        <v>#DIV/0!</v>
      </c>
      <c r="H80" s="1"/>
      <c r="I80" s="1"/>
      <c r="J80" s="1"/>
      <c r="K80" s="1"/>
      <c r="L80" s="1"/>
      <c r="M80" s="1"/>
      <c r="N80" s="1"/>
      <c r="O80" s="1"/>
    </row>
    <row r="81" spans="1:15" ht="15.75" thickBot="1" x14ac:dyDescent="0.3">
      <c r="A81" s="3" t="e">
        <f>VLOOKUP(A69,teams_americas[#All],6,TRUE)</f>
        <v>#N/A</v>
      </c>
      <c r="G81" s="2" t="e">
        <f>AVERAGE(players265474[[#This Row],[Rating]],players265474[[#This Row],[ACS]],players265474[[#This Row],[KAST]],players265474[[#This Row],[HS%]],players265474[[#This Row],[CL%]])</f>
        <v>#DIV/0!</v>
      </c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20" t="s">
        <v>17</v>
      </c>
      <c r="B82" s="24" t="e">
        <f>AVERAGE(players265474[Rating])</f>
        <v>#DIV/0!</v>
      </c>
      <c r="C82" s="24" t="e">
        <f>AVERAGE(players265474[ACS])</f>
        <v>#DIV/0!</v>
      </c>
      <c r="D82" s="24" t="e">
        <f>AVERAGE(players265474[KAST])</f>
        <v>#DIV/0!</v>
      </c>
      <c r="E82" s="24" t="e">
        <f>AVERAGE(players265474[HS%])</f>
        <v>#DIV/0!</v>
      </c>
      <c r="F82" s="24" t="e">
        <f>AVERAGE(players265474[CL%])</f>
        <v>#DIV/0!</v>
      </c>
      <c r="G82" s="21"/>
      <c r="H82" s="1"/>
      <c r="I82" s="1"/>
      <c r="J82" s="1"/>
      <c r="K82" s="1"/>
      <c r="L82" s="1"/>
      <c r="M82" s="1"/>
      <c r="N82" s="1"/>
      <c r="O82" s="1"/>
    </row>
  </sheetData>
  <mergeCells count="9">
    <mergeCell ref="A52:G54"/>
    <mergeCell ref="I52:O54"/>
    <mergeCell ref="A69:G71"/>
    <mergeCell ref="A1:G3"/>
    <mergeCell ref="I1:O3"/>
    <mergeCell ref="A18:G20"/>
    <mergeCell ref="I18:O20"/>
    <mergeCell ref="A35:G37"/>
    <mergeCell ref="I35:O37"/>
  </mergeCells>
  <pageMargins left="0.511811024" right="0.511811024" top="0.78740157499999996" bottom="0.78740157499999996" header="0.31496062000000002" footer="0.31496062000000002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a 2 0 b 1 b - 7 7 4 9 - 4 8 c 2 - 8 6 0 2 - f f 2 2 2 1 b 3 a e e 9 "   x m l n s = " h t t p : / / s c h e m a s . m i c r o s o f t . c o m / D a t a M a s h u p " > A A A A A E k G A A B Q S w M E F A A C A A g A n B K Y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n B K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S m F Y 5 D d Q 2 Q w M A A I E O A A A T A B w A R m 9 y b X V s Y X M v U 2 V j d G l v b j E u b S C i G A A o o B Q A A A A A A A A A A A A A A A A A A A A A A A A A A A D l V t 1 O 2 z A U v k f q O 1 h G k 4 o U I l L a 8 q d e d O 2 q T f y o I 5 F 2 Q S d k U l M 8 U j u y 3 U K F e I u 9 w x 5 k 9 3 u m n S Y p c Y l D g Q l x s d 6 k 5 z v O + f 3 O c R Q N N R M c + e n T O 6 i s V d b U F Z F 0 i O K I z K g 8 V 5 p o h V o o o r q y h u D X E 1 x T A D p q 6 n Z F O B l T r q s 9 F l G 3 M 9 d w r a q 4 t z + 4 E f J a x S S k g 1 i K H 1 Q L t R k L q S 9 F x M T g h l 6 o U J I 4 Z n w 0 m E Z y c w Q P E g l J u J 7 / H x J N F N V q Y A b h h m q K N 5 y z L o 3 Y m G k q W 9 j B D u q I a D L m q l W r O e g T D 8 U Q b L a a j a 0 t z 0 F f J 0 J T X 8 8 i 2 s r / u i e C 0 + 8 b T p r O O u 6 Q C / r 7 F 4 m u h E J 9 K c Z i y o Z C Y U g x I B d w P M E 0 / U z J k E p V T f J 3 0 F k G t 6 P I D 0 l E p G p p O T H t B i w W q B 1 B o G Q o c n M B J K k u h R y n g Q e z m K p q a R T O 3 R 2 G J L 9 w 3 a y 7 8 7 P 3 D r r D / a Q s g G t A k K a 3 O o H b o 3 n 5 C / A p H x Z N n B a h d s c v g o f 7 X Q v Y 9 g N A + 1 S G 4 J G M q G G k a 7 F 8 2 L e 5 s 4 E 9 6 9 F e 1 4 Z + 9 j + U B N E 5 K t c U y n N 4 T G 4 t I R c h S y H a t g x s 8 S 9 j 9 w b 7 g A W c K H R K k 5 Y T g 3 g J R D N + V x 8 T y g F i G H a 6 D N 5 m E q X 2 E M w a y g Y F D s v c q B 9 H T K c 2 q z b v D s r Z l Z w F d + l L A R T s 4 + x h + q o Y Y X P C X F g I G z k 5 X S 8 3 5 d b M S J f S 8 F Y O x o r E 5 g N i e F x u 7 Y N 7 U 2 E t P h d j m O / l 6 n M y L q u + Z / q d m 8 c B J W N 8 b 8 8 f g 8 / K G u N P u D U 3 7 z r W Y C x d e p s Q g 2 R h G t j 7 7 G B L M C t W 8 e 7 / s 4 m T t j + m 3 T f G V f H o k V A W N G D U g h 6 3 + w u r 0 I d s Y 5 9 0 C 5 7 + / H y r x W L n 6 8 K U S d c 5 P 9 T 5 g h r v S t M 8 j F U f C 6 9 k 6 E u Y l N I T W J O C X r H L q e I Z 2 + n l H V z 4 N M w d M X 4 F 1 v x J D C U S k l o N + 9 c s t t 8 L 3 r / e N U / 5 h 1 W Z F + N 1 1 0 7 2 f r p 3 F 0 L N F L Z N o W 4 K D V N o m s K O K e y a w p 4 p e F t v e 8 O Z y S 1 v A D N T u 2 a 7 V F M v 1 T R K N c 1 S z U 6 p Z r d U s 1 e q g Y o + d y y 8 Z 8 6 F l w 9 G Z t + I 4 5 V f B Z Z g H v f L + D R Y o m X 6 b e D h Q r M y T Q 0 X m p V p t n G h W Z m m j g v N y j Q N X G h W p m n i J 6 t b K 6 + u p V C O 2 f U V t 0 g N H / w F U E s B A i 0 A F A A C A A g A n B K Y V i n H i a C k A A A A 9 g A A A B I A A A A A A A A A A A A A A A A A A A A A A E N v b m Z p Z y 9 Q Y W N r Y W d l L n h t b F B L A Q I t A B Q A A g A I A J w S m F Y P y u m r p A A A A O k A A A A T A A A A A A A A A A A A A A A A A P A A A A B b Q 2 9 u d G V u d F 9 U e X B l c 1 0 u e G 1 s U E s B A i 0 A F A A C A A g A n B K Y V j k N 1 D Z D A w A A g Q 4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A A A A A A A A C R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l 9 z d G F 0 c y 9 U a X B v I E F s d G V y Y W R v M S 5 7 U G x h e W V y L j E s M H 0 m c X V v d D s s J n F 1 b 3 Q 7 U 2 V j d G l v b j E v c G x h e W V y X 3 N 0 Y X R z L 1 R p c G 8 g Q W x 0 Z X J h Z G 8 x L n t Q b G F 5 Z X I u M i w x f S Z x d W 9 0 O y w m c X V v d D t T Z W N 0 a W 9 u M S 9 w b G F 5 Z X J f c 3 R h d H M v V G l w b y B B b H R l c m F k b y 5 7 Q W d l b n R z L D J 9 J n F 1 b 3 Q 7 L C Z x d W 9 0 O 1 N l Y 3 R p b 2 4 x L 3 B s Y X l l c l 9 z d G F 0 c y 9 U a X B v I E F s d G V y Y W R v L n t S b m Q s M 3 0 m c X V v d D s s J n F 1 b 3 Q 7 U 2 V j d G l v b j E v c G x h e W V y X 3 N 0 Y X R z L 1 R p c G 8 g Q W x 0 Z X J h Z G 8 u e 1 I s N H 0 m c X V v d D s s J n F 1 b 3 Q 7 U 2 V j d G l v b j E v c G x h e W V y X 3 N 0 Y X R z L 1 R p c G 8 g Q W x 0 Z X J h Z G 8 u e 0 F D U y w 1 f S Z x d W 9 0 O y w m c X V v d D t T Z W N 0 a W 9 u M S 9 w b G F 5 Z X J f c 3 R h d H M v V G l w b y B B b H R l c m F k b y 5 7 S z p E L D Z 9 J n F 1 b 3 Q 7 L C Z x d W 9 0 O 1 N l Y 3 R p b 2 4 x L 3 B s Y X l l c l 9 z d G F 0 c y 9 U a X B v I E F s d G V y Y W R v L n t L Q V N U L D d 9 J n F 1 b 3 Q 7 L C Z x d W 9 0 O 1 N l Y 3 R p b 2 4 x L 3 B s Y X l l c l 9 z d G F 0 c y 9 U a X B v I E F s d G V y Y W R v L n t B R F I s O H 0 m c X V v d D s s J n F 1 b 3 Q 7 U 2 V j d G l v b j E v c G x h e W V y X 3 N 0 Y X R z L 1 R p c G 8 g Q W x 0 Z X J h Z G 8 u e 0 t Q U i w 5 f S Z x d W 9 0 O y w m c X V v d D t T Z W N 0 a W 9 u M S 9 w b G F 5 Z X J f c 3 R h d H M v V G l w b y B B b H R l c m F k b y 5 7 Q V B S L D E w f S Z x d W 9 0 O y w m c X V v d D t T Z W N 0 a W 9 u M S 9 w b G F 5 Z X J f c 3 R h d H M v V G l w b y B B b H R l c m F k b y 5 7 R k t Q U i w x M X 0 m c X V v d D s s J n F 1 b 3 Q 7 U 2 V j d G l v b j E v c G x h e W V y X 3 N 0 Y X R z L 1 R p c G 8 g Q W x 0 Z X J h Z G 8 u e 0 Z E U F I s M T J 9 J n F 1 b 3 Q 7 L C Z x d W 9 0 O 1 N l Y 3 R p b 2 4 x L 3 B s Y X l l c l 9 z d G F 0 c y 9 U a X B v I E F s d G V y Y W R v L n t I U y U s M T N 9 J n F 1 b 3 Q 7 L C Z x d W 9 0 O 1 N l Y 3 R p b 2 4 x L 3 B s Y X l l c l 9 z d G F 0 c y 9 U a X B v I E F s d G V y Y W R v L n t D T C U s M T R 9 J n F 1 b 3 Q 7 L C Z x d W 9 0 O 1 N l Y 3 R p b 2 4 x L 3 B s Y X l l c l 9 z d G F 0 c y 9 U a X B v I E F s d G V y Y W R v L n t D T C w x N X 0 m c X V v d D s s J n F 1 b 3 Q 7 U 2 V j d G l v b j E v c G x h e W V y X 3 N 0 Y X R z L 1 R p c G 8 g Q W x 0 Z X J h Z G 8 u e 0 t N Y X g s M T Z 9 J n F 1 b 3 Q 7 L C Z x d W 9 0 O 1 N l Y 3 R p b 2 4 x L 3 B s Y X l l c l 9 z d G F 0 c y 9 U a X B v I E F s d G V y Y W R v L n t L L D E 3 f S Z x d W 9 0 O y w m c X V v d D t T Z W N 0 a W 9 u M S 9 w b G F 5 Z X J f c 3 R h d H M v V G l w b y B B b H R l c m F k b y 5 7 R C w x O H 0 m c X V v d D s s J n F 1 b 3 Q 7 U 2 V j d G l v b j E v c G x h e W V y X 3 N 0 Y X R z L 1 R p c G 8 g Q W x 0 Z X J h Z G 8 u e 0 E s M T l 9 J n F 1 b 3 Q 7 L C Z x d W 9 0 O 1 N l Y 3 R p b 2 4 x L 3 B s Y X l l c l 9 z d G F 0 c y 9 U a X B v I E F s d G V y Y W R v L n t G S y w y M H 0 m c X V v d D s s J n F 1 b 3 Q 7 U 2 V j d G l v b j E v c G x h e W V y X 3 N 0 Y X R z L 1 R p c G 8 g Q W x 0 Z X J h Z G 8 u e 0 Z E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X 3 N 0 Y X R z L 1 R p c G 8 g Q W x 0 Z X J h Z G 8 x L n t Q b G F 5 Z X I u M S w w f S Z x d W 9 0 O y w m c X V v d D t T Z W N 0 a W 9 u M S 9 w b G F 5 Z X J f c 3 R h d H M v V G l w b y B B b H R l c m F k b z E u e 1 B s Y X l l c i 4 y L D F 9 J n F 1 b 3 Q 7 L C Z x d W 9 0 O 1 N l Y 3 R p b 2 4 x L 3 B s Y X l l c l 9 z d G F 0 c y 9 U a X B v I E F s d G V y Y W R v L n t B Z 2 V u d H M s M n 0 m c X V v d D s s J n F 1 b 3 Q 7 U 2 V j d G l v b j E v c G x h e W V y X 3 N 0 Y X R z L 1 R p c G 8 g Q W x 0 Z X J h Z G 8 u e 1 J u Z C w z f S Z x d W 9 0 O y w m c X V v d D t T Z W N 0 a W 9 u M S 9 w b G F 5 Z X J f c 3 R h d H M v V G l w b y B B b H R l c m F k b y 5 7 U i w 0 f S Z x d W 9 0 O y w m c X V v d D t T Z W N 0 a W 9 u M S 9 w b G F 5 Z X J f c 3 R h d H M v V G l w b y B B b H R l c m F k b y 5 7 Q U N T L D V 9 J n F 1 b 3 Q 7 L C Z x d W 9 0 O 1 N l Y 3 R p b 2 4 x L 3 B s Y X l l c l 9 z d G F 0 c y 9 U a X B v I E F s d G V y Y W R v L n t L O k Q s N n 0 m c X V v d D s s J n F 1 b 3 Q 7 U 2 V j d G l v b j E v c G x h e W V y X 3 N 0 Y X R z L 1 R p c G 8 g Q W x 0 Z X J h Z G 8 u e 0 t B U 1 Q s N 3 0 m c X V v d D s s J n F 1 b 3 Q 7 U 2 V j d G l v b j E v c G x h e W V y X 3 N 0 Y X R z L 1 R p c G 8 g Q W x 0 Z X J h Z G 8 u e 0 F E U i w 4 f S Z x d W 9 0 O y w m c X V v d D t T Z W N 0 a W 9 u M S 9 w b G F 5 Z X J f c 3 R h d H M v V G l w b y B B b H R l c m F k b y 5 7 S 1 B S L D l 9 J n F 1 b 3 Q 7 L C Z x d W 9 0 O 1 N l Y 3 R p b 2 4 x L 3 B s Y X l l c l 9 z d G F 0 c y 9 U a X B v I E F s d G V y Y W R v L n t B U F I s M T B 9 J n F 1 b 3 Q 7 L C Z x d W 9 0 O 1 N l Y 3 R p b 2 4 x L 3 B s Y X l l c l 9 z d G F 0 c y 9 U a X B v I E F s d G V y Y W R v L n t G S 1 B S L D E x f S Z x d W 9 0 O y w m c X V v d D t T Z W N 0 a W 9 u M S 9 w b G F 5 Z X J f c 3 R h d H M v V G l w b y B B b H R l c m F k b y 5 7 R k R Q U i w x M n 0 m c X V v d D s s J n F 1 b 3 Q 7 U 2 V j d G l v b j E v c G x h e W V y X 3 N 0 Y X R z L 1 R p c G 8 g Q W x 0 Z X J h Z G 8 u e 0 h T J S w x M 3 0 m c X V v d D s s J n F 1 b 3 Q 7 U 2 V j d G l v b j E v c G x h e W V y X 3 N 0 Y X R z L 1 R p c G 8 g Q W x 0 Z X J h Z G 8 u e 0 N M J S w x N H 0 m c X V v d D s s J n F 1 b 3 Q 7 U 2 V j d G l v b j E v c G x h e W V y X 3 N 0 Y X R z L 1 R p c G 8 g Q W x 0 Z X J h Z G 8 u e 0 N M L D E 1 f S Z x d W 9 0 O y w m c X V v d D t T Z W N 0 a W 9 u M S 9 w b G F 5 Z X J f c 3 R h d H M v V G l w b y B B b H R l c m F k b y 5 7 S 0 1 h e C w x N n 0 m c X V v d D s s J n F 1 b 3 Q 7 U 2 V j d G l v b j E v c G x h e W V y X 3 N 0 Y X R z L 1 R p c G 8 g Q W x 0 Z X J h Z G 8 u e 0 s s M T d 9 J n F 1 b 3 Q 7 L C Z x d W 9 0 O 1 N l Y 3 R p b 2 4 x L 3 B s Y X l l c l 9 z d G F 0 c y 9 U a X B v I E F s d G V y Y W R v L n t E L D E 4 f S Z x d W 9 0 O y w m c X V v d D t T Z W N 0 a W 9 u M S 9 w b G F 5 Z X J f c 3 R h d H M v V G l w b y B B b H R l c m F k b y 5 7 Q S w x O X 0 m c X V v d D s s J n F 1 b 3 Q 7 U 2 V j d G l v b j E v c G x h e W V y X 3 N 0 Y X R z L 1 R p c G 8 g Q W x 0 Z X J h Z G 8 u e 0 Z L L D I w f S Z x d W 9 0 O y w m c X V v d D t T Z W N 0 a W 9 u M S 9 w b G F 5 Z X J f c 3 R h d H M v V G l w b y B B b H R l c m F k b y 5 7 R k Q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G V h b S Z x d W 9 0 O y w m c X V v d D t B Z 2 V u d H M m c X V v d D s s J n F 1 b 3 Q 7 U m 5 k J n F 1 b 3 Q 7 L C Z x d W 9 0 O 1 I m c X V v d D s s J n F 1 b 3 Q 7 Q U N T J n F 1 b 3 Q 7 L C Z x d W 9 0 O 0 s 6 R C Z x d W 9 0 O y w m c X V v d D t L Q V N U J n F 1 b 3 Q 7 L C Z x d W 9 0 O 0 F E U i Z x d W 9 0 O y w m c X V v d D t L U F I m c X V v d D s s J n F 1 b 3 Q 7 Q V B S J n F 1 b 3 Q 7 L C Z x d W 9 0 O 0 Z L U F I m c X V v d D s s J n F 1 b 3 Q 7 R k R Q U i Z x d W 9 0 O y w m c X V v d D t I U y U m c X V v d D s s J n F 1 b 3 Q 7 Q 0 w l J n F 1 b 3 Q 7 L C Z x d W 9 0 O 0 N M J n F 1 b 3 Q 7 L C Z x d W 9 0 O 0 t N Y X g m c X V v d D s s J n F 1 b 3 Q 7 S y Z x d W 9 0 O y w m c X V v d D t E J n F 1 b 3 Q 7 L C Z x d W 9 0 O 0 E m c X V v d D s s J n F 1 b 3 Q 7 R k s m c X V v d D s s J n F 1 b 3 Q 7 R k Q m c X V v d D t d I i A v P j x F b n R y e S B U e X B l P S J G a W x s Q 2 9 s d W 1 u V H l w Z X M i I F Z h b H V l P S J z Q m d Z R 0 F 3 T U R B d 1 F E Q X d N R E F 3 U U V C Z 0 1 E Q X d N R E F 3 P T 0 i I C 8 + P E V u d H J 5 I F R 5 c G U 9 I k Z p b G x M Y X N 0 V X B k Y X R l Z C I g V m F s d W U 9 I m Q y M D I z L T A 0 L T I 0 V D A 1 O j I w O j U 2 L j Q z N j I 3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x F b n R y e S B U e X B l P S J R d W V y e U l E I i B W Y W x 1 Z T 0 i c 2 Y 0 M j g 0 O W I y L T I 4 N j Q t N G I x M y 1 i Z T h h L T Y 1 M j Q x O D c y M j l k O C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3 R h d H M t Y W 1 l c m l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l Y W 1 f c 3 R h d H N f Y W 1 l c m l j Y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V 9 z d G F 0 c y 1 h b W V y a W N h c y 9 U a X B v I E F s d G V y Y W R v L n t U Z W F t L D F 9 J n F 1 b 3 Q 7 L C Z x d W 9 0 O 1 N l Y 3 R p b 2 4 x L 3 R l Y W 1 f c 3 R h d H M t Y W 1 l c m l j Y X M v V G l w b y B B b H R l c m F k b y 5 7 V 2 l u c y w y f S Z x d W 9 0 O y w m c X V v d D t T Z W N 0 a W 9 u M S 9 0 Z W F t X 3 N 0 Y X R z L W F t Z X J p Y 2 F z L 1 R p c G 8 g Q W x 0 Z X J h Z G 8 u e 0 x v c 3 M s M 3 0 m c X V v d D s s J n F 1 b 3 Q 7 U 2 V j d G l v b j E v d G V h b V 9 z d G F 0 c y 1 h b W V y a W N h c y 9 U a X B v I E F s d G V y Y W R v L n t U a W V z L D R 9 J n F 1 b 3 Q 7 L C Z x d W 9 0 O 1 N l Y 3 R p b 2 4 x L 3 R l Y W 1 f c 3 R h d H M t Y W 1 l c m l j Y X M v V G l w b y B B b H R l c m F k b y 5 7 T U F Q L D V 9 J n F 1 b 3 Q 7 L C Z x d W 9 0 O 1 N l Y 3 R p b 2 4 x L 3 R l Y W 1 f c 3 R h d H M t Y W 1 l c m l j Y X M v V G l w b y B B b H R l c m F k b y 5 7 U k 5 E L D Z 9 J n F 1 b 3 Q 7 L C Z x d W 9 0 O 1 N l Y 3 R p b 2 4 x L 3 R l Y W 1 f c 3 R h d H M t Y W 1 l c m l j Y X M v V G l w b y B B b H R l c m F k b y 5 7 z p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h b V 9 z d G F 0 c y 1 h b W V y a W N h c y 9 U a X B v I E F s d G V y Y W R v L n t U Z W F t L D F 9 J n F 1 b 3 Q 7 L C Z x d W 9 0 O 1 N l Y 3 R p b 2 4 x L 3 R l Y W 1 f c 3 R h d H M t Y W 1 l c m l j Y X M v V G l w b y B B b H R l c m F k b y 5 7 V 2 l u c y w y f S Z x d W 9 0 O y w m c X V v d D t T Z W N 0 a W 9 u M S 9 0 Z W F t X 3 N 0 Y X R z L W F t Z X J p Y 2 F z L 1 R p c G 8 g Q W x 0 Z X J h Z G 8 u e 0 x v c 3 M s M 3 0 m c X V v d D s s J n F 1 b 3 Q 7 U 2 V j d G l v b j E v d G V h b V 9 z d G F 0 c y 1 h b W V y a W N h c y 9 U a X B v I E F s d G V y Y W R v L n t U a W V z L D R 9 J n F 1 b 3 Q 7 L C Z x d W 9 0 O 1 N l Y 3 R p b 2 4 x L 3 R l Y W 1 f c 3 R h d H M t Y W 1 l c m l j Y X M v V G l w b y B B b H R l c m F k b y 5 7 T U F Q L D V 9 J n F 1 b 3 Q 7 L C Z x d W 9 0 O 1 N l Y 3 R p b 2 4 x L 3 R l Y W 1 f c 3 R h d H M t Y W 1 l c m l j Y X M v V G l w b y B B b H R l c m F k b y 5 7 U k 5 E L D Z 9 J n F 1 b 3 Q 7 L C Z x d W 9 0 O 1 N l Y 3 R p b 2 4 x L 3 R l Y W 1 f c 3 R h d H M t Y W 1 l c m l j Y X M v V G l w b y B B b H R l c m F k b y 5 7 z p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2 l u c y Z x d W 9 0 O y w m c X V v d D t M b 3 N z J n F 1 b 3 Q 7 L C Z x d W 9 0 O 1 R p Z X M m c X V v d D s s J n F 1 b 3 Q 7 T U F Q J n F 1 b 3 Q 7 L C Z x d W 9 0 O 1 J O R C Z x d W 9 0 O y w m c X V v d D v O l C Z x d W 9 0 O 1 0 i I C 8 + P E V u d H J 5 I F R 5 c G U 9 I k Z p b G x D b 2 x 1 b W 5 U e X B l c y I g V m F s d W U 9 I n N C Z 0 1 E Q X d r R 0 F 3 P T 0 i I C 8 + P E V u d H J 5 I F R 5 c G U 9 I k Z p b G x M Y X N 0 V X B k Y X R l Z C I g V m F s d W U 9 I m Q y M D I z L T A 0 L T I 0 V D A 1 O j I w O j U 2 L j Q 1 M T k w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z d j N z V j Y z U 5 L T U w Y T M t N D I 0 M y 1 i N W U 0 L W E 3 O T J i O W M 4 M z U x N i I g L z 4 8 L 1 N 0 Y W J s Z U V u d H J p Z X M + P C 9 J d G V t P j x J d G V t P j x J d G V t T G 9 j Y X R p b 2 4 + P E l 0 Z W 1 U e X B l P k Z v c m 1 1 b G E 8 L 0 l 0 Z W 1 U e X B l P j x J d G V t U G F 0 a D 5 T Z W N 0 a W 9 u M S 9 0 Z W F t X 3 N 0 Y X R z L W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0 Y X R z L W F t Z X J p Y 2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V h b X N f Y W 1 l c m l j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U 6 M j A 6 N T Y u N D Y 3 N T I 0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V G V h b S Z x d W 9 0 O y w m c X V v d D t Q b G F 5 Z X I x J n F 1 b 3 Q 7 L C Z x d W 9 0 O 1 B s Y X l l c j I m c X V v d D s s J n F 1 b 3 Q 7 U G x h e W V y M y Z x d W 9 0 O y w m c X V v d D t Q b G F 5 Z X I 0 J n F 1 b 3 Q 7 L C Z x d W 9 0 O 1 B s Y X l l c j U m c X V v d D s s J n F 1 b 3 Q 7 U G x h e W V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X 2 F t Z X J p Y 2 F z L 1 R p c G 8 g Q W x 0 Z X J h Z G 8 x L n t D b 2 x 1 b W 4 y L j E s M H 0 m c X V v d D s s J n F 1 b 3 Q 7 U 2 V j d G l v b j E v d G V h b X N f Y W 1 l c m l j Y X M v V G l w b y B B b H R l c m F k b z E u e 0 N v b H V t b j I u M i w x f S Z x d W 9 0 O y w m c X V v d D t T Z W N 0 a W 9 u M S 9 0 Z W F t c 1 9 h b W V y a W N h c y 9 U a X B v I E F s d G V y Y W R v M S 5 7 Q 2 9 s d W 1 u M i 4 z L D J 9 J n F 1 b 3 Q 7 L C Z x d W 9 0 O 1 N l Y 3 R p b 2 4 x L 3 R l Y W 1 z X 2 F t Z X J p Y 2 F z L 1 R p c G 8 g Q W x 0 Z X J h Z G 8 x L n t D b 2 x 1 b W 4 y L j Q s M 3 0 m c X V v d D s s J n F 1 b 3 Q 7 U 2 V j d G l v b j E v d G V h b X N f Y W 1 l c m l j Y X M v V G l w b y B B b H R l c m F k b z E u e 0 N v b H V t b j I u N S w 0 f S Z x d W 9 0 O y w m c X V v d D t T Z W N 0 a W 9 u M S 9 0 Z W F t c 1 9 h b W V y a W N h c y 9 U a X B v I E F s d G V y Y W R v M S 5 7 Q 2 9 s d W 1 u M i 4 2 L D V 9 J n F 1 b 3 Q 7 L C Z x d W 9 0 O 1 N l Y 3 R p b 2 4 x L 3 R l Y W 1 z X 2 F t Z X J p Y 2 F z L 1 R p c G 8 g Q W x 0 Z X J h Z G 8 x L n t D b 2 x 1 b W 4 y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h b X N f Y W 1 l c m l j Y X M v V G l w b y B B b H R l c m F k b z E u e 0 N v b H V t b j I u M S w w f S Z x d W 9 0 O y w m c X V v d D t T Z W N 0 a W 9 u M S 9 0 Z W F t c 1 9 h b W V y a W N h c y 9 U a X B v I E F s d G V y Y W R v M S 5 7 Q 2 9 s d W 1 u M i 4 y L D F 9 J n F 1 b 3 Q 7 L C Z x d W 9 0 O 1 N l Y 3 R p b 2 4 x L 3 R l Y W 1 z X 2 F t Z X J p Y 2 F z L 1 R p c G 8 g Q W x 0 Z X J h Z G 8 x L n t D b 2 x 1 b W 4 y L j M s M n 0 m c X V v d D s s J n F 1 b 3 Q 7 U 2 V j d G l v b j E v d G V h b X N f Y W 1 l c m l j Y X M v V G l w b y B B b H R l c m F k b z E u e 0 N v b H V t b j I u N C w z f S Z x d W 9 0 O y w m c X V v d D t T Z W N 0 a W 9 u M S 9 0 Z W F t c 1 9 h b W V y a W N h c y 9 U a X B v I E F s d G V y Y W R v M S 5 7 Q 2 9 s d W 1 u M i 4 1 L D R 9 J n F 1 b 3 Q 7 L C Z x d W 9 0 O 1 N l Y 3 R p b 2 4 x L 3 R l Y W 1 z X 2 F t Z X J p Y 2 F z L 1 R p c G 8 g Q W x 0 Z X J h Z G 8 x L n t D b 2 x 1 b W 4 y L j Y s N X 0 m c X V v d D s s J n F 1 b 3 Q 7 U 2 V j d G l v b j E v d G V h b X N f Y W 1 l c m l j Y X M v V G l w b y B B b H R l c m F k b z E u e 0 N v b H V t b j I u N y w 2 f S Z x d W 9 0 O 1 0 s J n F 1 b 3 Q 7 U m V s Y X R p b 2 5 z a G l w S W 5 m b y Z x d W 9 0 O z p b X X 0 i I C 8 + P E V u d H J 5 I F R 5 c G U 9 I l F 1 Z X J 5 S U Q i I F Z h b H V l P S J z Z D A 1 Z j c 5 Z W Q t M T U 5 Z C 0 0 Z m Z m L T k 4 Y T E t M j Z h M W U 5 N W I 1 M G Q 5 I i A v P j w v U 3 R h Y m x l R W 5 0 c m l l c z 4 8 L 0 l 0 Z W 0 + P E l 0 Z W 0 + P E l 0 Z W 1 M b 2 N h d G l v b j 4 8 S X R l b V R 5 c G U + R m 9 y b X V s Y T w v S X R l b V R 5 c G U + P E l 0 Z W 1 Q Y X R o P l N l Y 3 R p b 2 4 x L 3 R l Y W 1 z X 2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K 8 I p 5 B a w t G g Z D 9 z j a V K a U A A A A A A g A A A A A A E G Y A A A A B A A A g A A A A C X s m 9 b V A + q m 3 2 g x P + A c O L Z K F m 5 S q k L R k i 2 v y 2 X F p F / A A A A A A D o A A A A A C A A A g A A A A o T T t k y P t D K I 4 o C n c M l 3 e s q 2 b I i p J 8 n x f n T Q l T z u x 4 X B Q A A A A x W q L 7 X f 6 d G l m 3 2 X w c P i S Z A g h B 4 A N j Y D o t 5 h p W l Q k k p n G Q p b g x C S h g 7 f e a v T c Z + T s w X L 0 V 6 p m 3 E 4 Y I + F E k X Q z 2 g s 7 v q 4 A l 8 k c a d g X j j t F m X h A A A A A u P R l I x 2 G 5 G k f N / C T O t s q T D t p h h k U t v x y N b N 7 c A u e a m Q l x d J X F Z 2 D O G E x K Z F y X S x 6 j f 7 n q T W P f 6 3 X f e g h e p G e m A = = < / D a t a M a s h u p > 
</file>

<file path=customXml/itemProps1.xml><?xml version="1.0" encoding="utf-8"?>
<ds:datastoreItem xmlns:ds="http://schemas.openxmlformats.org/officeDocument/2006/customXml" ds:itemID="{30DD5098-A152-48FE-A362-F36E6F83B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teams-americas</vt:lpstr>
      <vt:lpstr>team_stats-americas</vt:lpstr>
      <vt:lpstr>player_stats</vt:lpstr>
      <vt:lpstr>teams_americas</vt:lpstr>
      <vt:lpstr>get-players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Ricardo</dc:creator>
  <cp:lastModifiedBy>Luiz Ricardo</cp:lastModifiedBy>
  <dcterms:created xsi:type="dcterms:W3CDTF">2023-04-23T19:22:38Z</dcterms:created>
  <dcterms:modified xsi:type="dcterms:W3CDTF">2023-04-24T05:27:26Z</dcterms:modified>
</cp:coreProperties>
</file>