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.xml" ContentType="application/vnd.openxmlformats-officedocument.spreadsheetml.queryTable+xml"/>
  <Override PartName="/xl/tables/table22.xml" ContentType="application/vnd.openxmlformats-officedocument.spreadsheetml.table+xml"/>
  <Override PartName="/xl/queryTables/queryTable2.xml" ContentType="application/vnd.openxmlformats-officedocument.spreadsheetml.queryTable+xml"/>
  <Override PartName="/xl/tables/table23.xml" ContentType="application/vnd.openxmlformats-officedocument.spreadsheetml.table+xml"/>
  <Override PartName="/xl/queryTables/queryTable3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workspace\projetos-portfolio\webscrapping\vlr-gg\valorant-gg\datasets\"/>
    </mc:Choice>
  </mc:AlternateContent>
  <xr:revisionPtr revIDLastSave="0" documentId="13_ncr:1_{8A2D0930-F3DA-4B57-9844-E7D0A65A8674}" xr6:coauthVersionLast="47" xr6:coauthVersionMax="47" xr10:uidLastSave="{00000000-0000-0000-0000-000000000000}"/>
  <bookViews>
    <workbookView xWindow="-120" yWindow="-120" windowWidth="21840" windowHeight="13740" xr2:uid="{00000000-000D-0000-FFFF-FFFF00000000}"/>
  </bookViews>
  <sheets>
    <sheet name="Demonstrativo" sheetId="10" r:id="rId1"/>
    <sheet name="teams-americas" sheetId="2" r:id="rId2"/>
    <sheet name="team_stats-americas" sheetId="7" r:id="rId3"/>
    <sheet name="player_stats" sheetId="4" r:id="rId4"/>
    <sheet name="teams_americas" sheetId="8" r:id="rId5"/>
    <sheet name="get-players" sheetId="5" r:id="rId6"/>
  </sheets>
  <definedNames>
    <definedName name="_xlcn.WorksheetConnection_VALORANTDBA.xlsxplayer_stats1" hidden="1">player_stats[]</definedName>
    <definedName name="_xlcn.WorksheetConnection_VALORANTDBA.xlsxplayers100T1" hidden="1">players100T[]</definedName>
    <definedName name="_xlcn.WorksheetConnection_VALORANTDBA.xlsxplayersLOUD1" hidden="1">playersLOUD[]</definedName>
    <definedName name="_xlcn.WorksheetConnection_VALORANTDBA.xlsxteam_stats_americas1" hidden="1">team_stats_americas[]</definedName>
    <definedName name="_xlcn.WorksheetConnection_VALORANTDBA.xlsxteam100T1" hidden="1">team100T[]</definedName>
    <definedName name="_xlcn.WorksheetConnection_VALORANTDBA.xlsxteamLOUD1" hidden="1">teamLOUD[]</definedName>
    <definedName name="_xlcn.WorksheetConnection_VALORANTDBA.xlsxteamNRG1" hidden="1">teamNRG[]</definedName>
    <definedName name="_xlcn.WorksheetConnection_VALORANTDBA.xlsxteams_americas1" hidden="1">teams_americas[]</definedName>
    <definedName name="DadosExternos_1" localSheetId="3" hidden="1">player_stats!$A$1:$V$53</definedName>
    <definedName name="DadosExternos_1" localSheetId="2" hidden="1">'team_stats-americas'!$A$1:$G$11</definedName>
    <definedName name="DadosExternos_1" localSheetId="4" hidden="1">teams_americas!$A$1:$G$11</definedName>
  </definedNames>
  <calcPr calcId="191029"/>
  <pivotCaches>
    <pivotCache cacheId="46" r:id="rId7"/>
    <pivotCache cacheId="49" r:id="rId8"/>
    <pivotCache cacheId="52" r:id="rId9"/>
    <pivotCache cacheId="55" r:id="rId10"/>
    <pivotCache cacheId="58" r:id="rId11"/>
    <pivotCache cacheId="61" r:id="rId12"/>
    <pivotCache cacheId="64" r:id="rId13"/>
    <pivotCache cacheId="67" r:id="rId14"/>
    <pivotCache cacheId="70" r:id="rId15"/>
    <pivotCache cacheId="73" r:id="rId16"/>
    <pivotCache cacheId="76" r:id="rId17"/>
  </pivotCaches>
  <extLst>
    <ext xmlns:x15="http://schemas.microsoft.com/office/spreadsheetml/2010/11/main" uri="{FCE2AD5D-F65C-4FA6-A056-5C36A1767C68}">
      <x15:dataModel>
        <x15:modelTables>
          <x15:modelTable id="teams_americas" name="teams_americas" connection="WorksheetConnection_VALORANT-DBA.xlsx!teams_americas"/>
          <x15:modelTable id="teamNRG" name="teamNRG" connection="WorksheetConnection_VALORANT-DBA.xlsx!teamNRG"/>
          <x15:modelTable id="teamLOUD" name="teamLOUD" connection="WorksheetConnection_VALORANT-DBA.xlsx!teamLOUD"/>
          <x15:modelTable id="team100T" name="team100T" connection="WorksheetConnection_VALORANT-DBA.xlsx!team100T"/>
          <x15:modelTable id="team_stats_americas" name="team_stats_americas" connection="WorksheetConnection_VALORANT-DBA.xlsx!team_stats_americas"/>
          <x15:modelTable id="playersLOUD" name="playersLOUD" connection="WorksheetConnection_VALORANT-DBA.xlsx!playersLOUD"/>
          <x15:modelTable id="players100T" name="players100T" connection="WorksheetConnection_VALORANT-DBA.xlsx!players100T"/>
          <x15:modelTable id="player_stats" name="player_stats" connection="WorksheetConnection_VALORANT-DBA.xlsx!player_stats"/>
        </x15:modelTables>
        <x15:modelRelationships>
          <x15:modelRelationship fromTable="teams_americas" fromColumn="Team" toTable="playersLOUD" toColumn="Rating"/>
          <x15:modelRelationship fromTable="teams_americas" fromColumn="Team" toTable="team100T" toColumn="Players RATING"/>
        </x15:modelRelationships>
      </x15:dataModel>
    </ext>
  </extLst>
</workbook>
</file>

<file path=xl/calcChain.xml><?xml version="1.0" encoding="utf-8"?>
<calcChain xmlns="http://schemas.openxmlformats.org/spreadsheetml/2006/main">
  <c r="M8" i="2" l="1"/>
  <c r="N8" i="2"/>
  <c r="O8" i="2"/>
  <c r="P8" i="2"/>
  <c r="Q8" i="2"/>
  <c r="R8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11" i="2"/>
  <c r="I12" i="2"/>
  <c r="I13" i="2"/>
  <c r="I14" i="2"/>
  <c r="I15" i="2"/>
  <c r="H11" i="2"/>
  <c r="H12" i="2"/>
  <c r="H13" i="2"/>
  <c r="H14" i="2"/>
  <c r="H15" i="2"/>
  <c r="G11" i="2"/>
  <c r="G12" i="2"/>
  <c r="G13" i="2"/>
  <c r="G14" i="2"/>
  <c r="G15" i="2"/>
  <c r="F11" i="2"/>
  <c r="F12" i="2"/>
  <c r="F13" i="2"/>
  <c r="F14" i="2"/>
  <c r="F15" i="2"/>
  <c r="E11" i="2"/>
  <c r="E12" i="2"/>
  <c r="E13" i="2"/>
  <c r="E14" i="2"/>
  <c r="E15" i="2"/>
  <c r="R11" i="2"/>
  <c r="R15" i="2"/>
  <c r="O14" i="2"/>
  <c r="P13" i="2"/>
  <c r="Q12" i="2"/>
  <c r="Q32" i="2"/>
  <c r="R31" i="2"/>
  <c r="O30" i="2"/>
  <c r="P29" i="2"/>
  <c r="Q28" i="2"/>
  <c r="P49" i="2"/>
  <c r="Q48" i="2"/>
  <c r="R47" i="2"/>
  <c r="O46" i="2"/>
  <c r="P45" i="2"/>
  <c r="O66" i="2"/>
  <c r="P65" i="2"/>
  <c r="Q64" i="2"/>
  <c r="R63" i="2"/>
  <c r="O62" i="2"/>
  <c r="R83" i="2"/>
  <c r="O82" i="2"/>
  <c r="P81" i="2"/>
  <c r="Q80" i="2"/>
  <c r="R79" i="2"/>
  <c r="G63" i="2"/>
  <c r="H64" i="2"/>
  <c r="I62" i="2"/>
  <c r="F65" i="2"/>
  <c r="G66" i="2"/>
  <c r="H49" i="2"/>
  <c r="I48" i="2"/>
  <c r="F47" i="2"/>
  <c r="G46" i="2"/>
  <c r="H45" i="2"/>
  <c r="I32" i="2"/>
  <c r="F31" i="2"/>
  <c r="G30" i="2"/>
  <c r="H29" i="2"/>
  <c r="I28" i="2"/>
  <c r="R76" i="2"/>
  <c r="Q76" i="2"/>
  <c r="P76" i="2"/>
  <c r="O76" i="2"/>
  <c r="N76" i="2"/>
  <c r="M76" i="2"/>
  <c r="F82" i="5"/>
  <c r="E82" i="5"/>
  <c r="D82" i="5"/>
  <c r="C82" i="5"/>
  <c r="B82" i="5"/>
  <c r="G81" i="5"/>
  <c r="A81" i="5"/>
  <c r="G80" i="5"/>
  <c r="A80" i="5"/>
  <c r="G79" i="5"/>
  <c r="A79" i="5"/>
  <c r="G78" i="5"/>
  <c r="A78" i="5"/>
  <c r="G77" i="5"/>
  <c r="A77" i="5"/>
  <c r="G74" i="5"/>
  <c r="F74" i="5"/>
  <c r="E74" i="5"/>
  <c r="D74" i="5"/>
  <c r="C74" i="5"/>
  <c r="B74" i="5"/>
  <c r="A74" i="5"/>
  <c r="N65" i="5"/>
  <c r="M65" i="5"/>
  <c r="L65" i="5"/>
  <c r="K65" i="5"/>
  <c r="J65" i="5"/>
  <c r="F65" i="5"/>
  <c r="E65" i="5"/>
  <c r="D65" i="5"/>
  <c r="C65" i="5"/>
  <c r="B65" i="5"/>
  <c r="O64" i="5"/>
  <c r="I64" i="5"/>
  <c r="G64" i="5"/>
  <c r="A64" i="5"/>
  <c r="O63" i="5"/>
  <c r="I63" i="5"/>
  <c r="G63" i="5"/>
  <c r="A63" i="5"/>
  <c r="O62" i="5"/>
  <c r="I62" i="5"/>
  <c r="G62" i="5"/>
  <c r="A62" i="5"/>
  <c r="O61" i="5"/>
  <c r="I61" i="5"/>
  <c r="G61" i="5"/>
  <c r="A61" i="5"/>
  <c r="O60" i="5"/>
  <c r="I60" i="5"/>
  <c r="G60" i="5"/>
  <c r="A60" i="5"/>
  <c r="O57" i="5"/>
  <c r="N57" i="5"/>
  <c r="M57" i="5"/>
  <c r="L57" i="5"/>
  <c r="K57" i="5"/>
  <c r="J57" i="5"/>
  <c r="I57" i="5"/>
  <c r="G57" i="5"/>
  <c r="F57" i="5"/>
  <c r="E57" i="5"/>
  <c r="D57" i="5"/>
  <c r="C57" i="5"/>
  <c r="B57" i="5"/>
  <c r="A57" i="5"/>
  <c r="N48" i="5"/>
  <c r="M48" i="5"/>
  <c r="L48" i="5"/>
  <c r="K48" i="5"/>
  <c r="J48" i="5"/>
  <c r="F48" i="5"/>
  <c r="E48" i="5"/>
  <c r="D48" i="5"/>
  <c r="C48" i="5"/>
  <c r="B48" i="5"/>
  <c r="O47" i="5"/>
  <c r="I47" i="5"/>
  <c r="G47" i="5"/>
  <c r="A47" i="5"/>
  <c r="O46" i="5"/>
  <c r="I46" i="5"/>
  <c r="G46" i="5"/>
  <c r="A46" i="5"/>
  <c r="O45" i="5"/>
  <c r="I45" i="5"/>
  <c r="G45" i="5"/>
  <c r="A45" i="5"/>
  <c r="O44" i="5"/>
  <c r="I44" i="5"/>
  <c r="G44" i="5"/>
  <c r="A44" i="5"/>
  <c r="O43" i="5"/>
  <c r="I43" i="5"/>
  <c r="G43" i="5"/>
  <c r="A43" i="5"/>
  <c r="O40" i="5"/>
  <c r="N40" i="5"/>
  <c r="M40" i="5"/>
  <c r="L40" i="5"/>
  <c r="K40" i="5"/>
  <c r="J40" i="5"/>
  <c r="I40" i="5"/>
  <c r="G40" i="5"/>
  <c r="F40" i="5"/>
  <c r="E40" i="5"/>
  <c r="D40" i="5"/>
  <c r="C40" i="5"/>
  <c r="B40" i="5"/>
  <c r="A40" i="5"/>
  <c r="N31" i="5"/>
  <c r="M31" i="5"/>
  <c r="L31" i="5"/>
  <c r="K31" i="5"/>
  <c r="J31" i="5"/>
  <c r="F31" i="5"/>
  <c r="E31" i="5"/>
  <c r="D31" i="5"/>
  <c r="C31" i="5"/>
  <c r="B31" i="5"/>
  <c r="O30" i="5"/>
  <c r="I30" i="5"/>
  <c r="G30" i="5"/>
  <c r="A30" i="5"/>
  <c r="O29" i="5"/>
  <c r="I29" i="5"/>
  <c r="G29" i="5"/>
  <c r="A29" i="5"/>
  <c r="O28" i="5"/>
  <c r="I28" i="5"/>
  <c r="G28" i="5"/>
  <c r="A28" i="5"/>
  <c r="O27" i="5"/>
  <c r="I27" i="5"/>
  <c r="G27" i="5"/>
  <c r="A27" i="5"/>
  <c r="O26" i="5"/>
  <c r="I26" i="5"/>
  <c r="G26" i="5"/>
  <c r="A26" i="5"/>
  <c r="O23" i="5"/>
  <c r="N23" i="5"/>
  <c r="M23" i="5"/>
  <c r="L23" i="5"/>
  <c r="K23" i="5"/>
  <c r="J23" i="5"/>
  <c r="I23" i="5"/>
  <c r="G23" i="5"/>
  <c r="F23" i="5"/>
  <c r="E23" i="5"/>
  <c r="D23" i="5"/>
  <c r="C23" i="5"/>
  <c r="B23" i="5"/>
  <c r="A23" i="5"/>
  <c r="N14" i="5"/>
  <c r="M14" i="5"/>
  <c r="L14" i="5"/>
  <c r="K14" i="5"/>
  <c r="J14" i="5"/>
  <c r="F14" i="5"/>
  <c r="E14" i="5"/>
  <c r="D14" i="5"/>
  <c r="C14" i="5"/>
  <c r="B14" i="5"/>
  <c r="O13" i="5"/>
  <c r="I13" i="5"/>
  <c r="G13" i="5"/>
  <c r="A13" i="5"/>
  <c r="O12" i="5"/>
  <c r="I12" i="5"/>
  <c r="G12" i="5"/>
  <c r="A12" i="5"/>
  <c r="O11" i="5"/>
  <c r="I11" i="5"/>
  <c r="G11" i="5"/>
  <c r="A11" i="5"/>
  <c r="O10" i="5"/>
  <c r="I10" i="5"/>
  <c r="G10" i="5"/>
  <c r="A10" i="5"/>
  <c r="O9" i="5"/>
  <c r="I9" i="5"/>
  <c r="G9" i="5"/>
  <c r="A9" i="5"/>
  <c r="O6" i="5"/>
  <c r="N6" i="5"/>
  <c r="M6" i="5"/>
  <c r="L6" i="5"/>
  <c r="K6" i="5"/>
  <c r="J6" i="5"/>
  <c r="I6" i="5"/>
  <c r="G6" i="5"/>
  <c r="F6" i="5"/>
  <c r="E6" i="5"/>
  <c r="D6" i="5"/>
  <c r="C6" i="5"/>
  <c r="B6" i="5"/>
  <c r="A6" i="5"/>
  <c r="R59" i="2"/>
  <c r="Q59" i="2"/>
  <c r="P59" i="2"/>
  <c r="O59" i="2"/>
  <c r="N59" i="2"/>
  <c r="M59" i="2"/>
  <c r="R42" i="2"/>
  <c r="Q42" i="2"/>
  <c r="P42" i="2"/>
  <c r="O42" i="2"/>
  <c r="N42" i="2"/>
  <c r="M42" i="2"/>
  <c r="R25" i="2"/>
  <c r="Q25" i="2"/>
  <c r="P25" i="2"/>
  <c r="O25" i="2"/>
  <c r="N25" i="2"/>
  <c r="M25" i="2"/>
  <c r="I76" i="2"/>
  <c r="H76" i="2"/>
  <c r="G76" i="2"/>
  <c r="F76" i="2"/>
  <c r="E76" i="2"/>
  <c r="D76" i="2"/>
  <c r="I59" i="2"/>
  <c r="H59" i="2"/>
  <c r="G59" i="2"/>
  <c r="F59" i="2"/>
  <c r="E59" i="2"/>
  <c r="D59" i="2"/>
  <c r="I42" i="2"/>
  <c r="H42" i="2"/>
  <c r="G42" i="2"/>
  <c r="F42" i="2"/>
  <c r="E42" i="2"/>
  <c r="D42" i="2"/>
  <c r="I25" i="2"/>
  <c r="H25" i="2"/>
  <c r="G25" i="2"/>
  <c r="F25" i="2"/>
  <c r="E25" i="2"/>
  <c r="D25" i="2"/>
  <c r="I8" i="2"/>
  <c r="H8" i="2"/>
  <c r="G8" i="2"/>
  <c r="F8" i="2"/>
  <c r="E8" i="2"/>
  <c r="D8" i="2"/>
  <c r="G84" i="2" l="1"/>
  <c r="K76" i="2" s="1"/>
  <c r="H84" i="2"/>
  <c r="F84" i="2"/>
  <c r="E84" i="2"/>
  <c r="J76" i="2" s="1"/>
  <c r="I84" i="2"/>
  <c r="Q11" i="2"/>
  <c r="Q15" i="2"/>
  <c r="P32" i="2"/>
  <c r="F30" i="2"/>
  <c r="F46" i="2"/>
  <c r="F66" i="2"/>
  <c r="F63" i="2"/>
  <c r="N14" i="2"/>
  <c r="O29" i="2"/>
  <c r="N46" i="2"/>
  <c r="Q63" i="2"/>
  <c r="O81" i="2"/>
  <c r="E31" i="2"/>
  <c r="E47" i="2"/>
  <c r="E65" i="2"/>
  <c r="R14" i="2"/>
  <c r="Q31" i="2"/>
  <c r="R46" i="2"/>
  <c r="P64" i="2"/>
  <c r="N82" i="2"/>
  <c r="I31" i="2"/>
  <c r="I47" i="2"/>
  <c r="I65" i="2"/>
  <c r="Q47" i="2"/>
  <c r="O65" i="2"/>
  <c r="R82" i="2"/>
  <c r="G29" i="2"/>
  <c r="G45" i="2"/>
  <c r="G49" i="2"/>
  <c r="G64" i="2"/>
  <c r="P12" i="2"/>
  <c r="P28" i="2"/>
  <c r="O45" i="2"/>
  <c r="O49" i="2"/>
  <c r="Q79" i="2"/>
  <c r="Q83" i="2"/>
  <c r="H32" i="2"/>
  <c r="H48" i="2"/>
  <c r="H62" i="2"/>
  <c r="O13" i="2"/>
  <c r="N30" i="2"/>
  <c r="R30" i="2"/>
  <c r="P48" i="2"/>
  <c r="R66" i="2"/>
  <c r="F28" i="2"/>
  <c r="E29" i="2"/>
  <c r="I29" i="2"/>
  <c r="H30" i="2"/>
  <c r="G31" i="2"/>
  <c r="F32" i="2"/>
  <c r="E45" i="2"/>
  <c r="I45" i="2"/>
  <c r="H46" i="2"/>
  <c r="G47" i="2"/>
  <c r="F48" i="2"/>
  <c r="E49" i="2"/>
  <c r="I49" i="2"/>
  <c r="H66" i="2"/>
  <c r="G65" i="2"/>
  <c r="F62" i="2"/>
  <c r="E64" i="2"/>
  <c r="I64" i="2"/>
  <c r="H63" i="2"/>
  <c r="O11" i="2"/>
  <c r="N12" i="2"/>
  <c r="R12" i="2"/>
  <c r="Q13" i="2"/>
  <c r="P14" i="2"/>
  <c r="O15" i="2"/>
  <c r="N28" i="2"/>
  <c r="R28" i="2"/>
  <c r="Q29" i="2"/>
  <c r="P30" i="2"/>
  <c r="O31" i="2"/>
  <c r="N32" i="2"/>
  <c r="R32" i="2"/>
  <c r="Q45" i="2"/>
  <c r="P46" i="2"/>
  <c r="O47" i="2"/>
  <c r="N48" i="2"/>
  <c r="R48" i="2"/>
  <c r="Q49" i="2"/>
  <c r="P62" i="2"/>
  <c r="O63" i="2"/>
  <c r="N64" i="2"/>
  <c r="R64" i="2"/>
  <c r="Q65" i="2"/>
  <c r="P66" i="2"/>
  <c r="O79" i="2"/>
  <c r="N80" i="2"/>
  <c r="R80" i="2"/>
  <c r="Q81" i="2"/>
  <c r="P82" i="2"/>
  <c r="O83" i="2"/>
  <c r="H28" i="2"/>
  <c r="G28" i="2"/>
  <c r="F29" i="2"/>
  <c r="E30" i="2"/>
  <c r="I30" i="2"/>
  <c r="H31" i="2"/>
  <c r="G32" i="2"/>
  <c r="F45" i="2"/>
  <c r="E46" i="2"/>
  <c r="I46" i="2"/>
  <c r="H47" i="2"/>
  <c r="G48" i="2"/>
  <c r="F49" i="2"/>
  <c r="E66" i="2"/>
  <c r="I66" i="2"/>
  <c r="H65" i="2"/>
  <c r="G62" i="2"/>
  <c r="F64" i="2"/>
  <c r="E63" i="2"/>
  <c r="I63" i="2"/>
  <c r="P11" i="2"/>
  <c r="O12" i="2"/>
  <c r="N13" i="2"/>
  <c r="R13" i="2"/>
  <c r="Q14" i="2"/>
  <c r="P15" i="2"/>
  <c r="O28" i="2"/>
  <c r="N29" i="2"/>
  <c r="R29" i="2"/>
  <c r="Q30" i="2"/>
  <c r="P31" i="2"/>
  <c r="O32" i="2"/>
  <c r="N45" i="2"/>
  <c r="R45" i="2"/>
  <c r="Q46" i="2"/>
  <c r="P47" i="2"/>
  <c r="O48" i="2"/>
  <c r="N49" i="2"/>
  <c r="R49" i="2"/>
  <c r="Q62" i="2"/>
  <c r="P63" i="2"/>
  <c r="O64" i="2"/>
  <c r="N65" i="2"/>
  <c r="R65" i="2"/>
  <c r="Q66" i="2"/>
  <c r="P79" i="2"/>
  <c r="O80" i="2"/>
  <c r="N81" i="2"/>
  <c r="R81" i="2"/>
  <c r="Q82" i="2"/>
  <c r="P83" i="2"/>
  <c r="N62" i="2"/>
  <c r="R62" i="2"/>
  <c r="N66" i="2"/>
  <c r="P80" i="2"/>
  <c r="E28" i="2"/>
  <c r="E32" i="2"/>
  <c r="E48" i="2"/>
  <c r="E62" i="2"/>
  <c r="N11" i="2"/>
  <c r="N15" i="2"/>
  <c r="N31" i="2"/>
  <c r="N47" i="2"/>
  <c r="N63" i="2"/>
  <c r="N79" i="2"/>
  <c r="N83" i="2"/>
  <c r="G16" i="2"/>
  <c r="K8" i="2" s="1"/>
  <c r="F16" i="2"/>
  <c r="E16" i="2"/>
  <c r="J8" i="2" s="1"/>
  <c r="R67" i="2" l="1"/>
  <c r="Q33" i="2"/>
  <c r="Q67" i="2"/>
  <c r="P16" i="2"/>
  <c r="T8" i="2" s="1"/>
  <c r="O33" i="2"/>
  <c r="F33" i="2"/>
  <c r="I67" i="2"/>
  <c r="I50" i="2"/>
  <c r="G50" i="2"/>
  <c r="K42" i="2" s="1"/>
  <c r="E50" i="2"/>
  <c r="J42" i="2" s="1"/>
  <c r="H50" i="2"/>
  <c r="F50" i="2"/>
  <c r="I33" i="2"/>
  <c r="O84" i="2"/>
  <c r="E33" i="2"/>
  <c r="J25" i="2" s="1"/>
  <c r="R50" i="2"/>
  <c r="O67" i="2"/>
  <c r="F67" i="2"/>
  <c r="E67" i="2"/>
  <c r="J59" i="2" s="1"/>
  <c r="Q50" i="2"/>
  <c r="O50" i="2"/>
  <c r="G67" i="2"/>
  <c r="K59" i="2" s="1"/>
  <c r="P84" i="2"/>
  <c r="T76" i="2" s="1"/>
  <c r="G33" i="2"/>
  <c r="K25" i="2" s="1"/>
  <c r="N50" i="2"/>
  <c r="S42" i="2" s="1"/>
  <c r="O16" i="2"/>
  <c r="H33" i="2"/>
  <c r="Q84" i="2"/>
  <c r="N67" i="2"/>
  <c r="S59" i="2" s="1"/>
  <c r="N16" i="2"/>
  <c r="S8" i="2" s="1"/>
  <c r="R84" i="2"/>
  <c r="P67" i="2"/>
  <c r="T59" i="2" s="1"/>
  <c r="R33" i="2"/>
  <c r="Q16" i="2"/>
  <c r="P50" i="2"/>
  <c r="T42" i="2" s="1"/>
  <c r="P33" i="2"/>
  <c r="T25" i="2" s="1"/>
  <c r="N84" i="2"/>
  <c r="S76" i="2" s="1"/>
  <c r="N33" i="2"/>
  <c r="S25" i="2" s="1"/>
  <c r="R16" i="2"/>
  <c r="H67" i="2"/>
  <c r="H16" i="2"/>
  <c r="I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9478F-2259-4409-8D7D-BC2FD643AD54}" keepAlive="1" name="Consulta - player_stats" description="Conexão com a consulta 'player_stats' na pasta de trabalho." type="5" refreshedVersion="8" background="1" saveData="1">
    <dbPr connection="Provider=Microsoft.Mashup.OleDb.1;Data Source=$Workbook$;Location=player_stats;Extended Properties=&quot;&quot;" command="SELECT * FROM [player_stats]"/>
  </connection>
  <connection id="2" xr16:uid="{B99CD371-B629-40EA-86E6-C2D2452BC2DD}" keepAlive="1" name="Consulta - team_stats-americas" description="Conexão com a consulta 'team_stats-americas' na pasta de trabalho." type="5" refreshedVersion="8" background="1" saveData="1">
    <dbPr connection="Provider=Microsoft.Mashup.OleDb.1;Data Source=$Workbook$;Location=team_stats-americas;Extended Properties=&quot;&quot;" command="SELECT * FROM [team_stats-americas]"/>
  </connection>
  <connection id="3" xr16:uid="{0A4BCC35-9E8D-4BF0-8E48-DC9E645C7136}" keepAlive="1" name="Consulta - teams_americas" description="Conexão com a consulta 'teams_americas' na pasta de trabalho." type="5" refreshedVersion="8" background="1" saveData="1">
    <dbPr connection="Provider=Microsoft.Mashup.OleDb.1;Data Source=$Workbook$;Location=teams_americas;Extended Properties=&quot;&quot;" command="SELECT * FROM [teams_americas]"/>
  </connection>
  <connection id="4" xr16:uid="{9D47A8B8-AC13-490C-ACD3-52D1D66EB04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3823AD9-F7CB-439D-9663-3881603CE64E}" name="WorksheetConnection_VALORANT-DBA.xlsx!player_stats" type="102" refreshedVersion="8" minRefreshableVersion="5">
    <extLst>
      <ext xmlns:x15="http://schemas.microsoft.com/office/spreadsheetml/2010/11/main" uri="{DE250136-89BD-433C-8126-D09CA5730AF9}">
        <x15:connection id="player_stats" autoDelete="1">
          <x15:rangePr sourceName="_xlcn.WorksheetConnection_VALORANTDBA.xlsxplayer_stats1"/>
        </x15:connection>
      </ext>
    </extLst>
  </connection>
  <connection id="6" xr16:uid="{27DEF243-10E7-4856-986D-1DCFE944FCA2}" name="WorksheetConnection_VALORANT-DBA.xlsx!players100T" type="102" refreshedVersion="8" minRefreshableVersion="5">
    <extLst>
      <ext xmlns:x15="http://schemas.microsoft.com/office/spreadsheetml/2010/11/main" uri="{DE250136-89BD-433C-8126-D09CA5730AF9}">
        <x15:connection id="players100T">
          <x15:rangePr sourceName="_xlcn.WorksheetConnection_VALORANTDBA.xlsxplayers100T1"/>
        </x15:connection>
      </ext>
    </extLst>
  </connection>
  <connection id="7" xr16:uid="{FEE19007-0B9E-4B4A-A269-4EC156502219}" name="WorksheetConnection_VALORANT-DBA.xlsx!playersLOUD" type="102" refreshedVersion="8" minRefreshableVersion="5">
    <extLst>
      <ext xmlns:x15="http://schemas.microsoft.com/office/spreadsheetml/2010/11/main" uri="{DE250136-89BD-433C-8126-D09CA5730AF9}">
        <x15:connection id="playersLOUD">
          <x15:rangePr sourceName="_xlcn.WorksheetConnection_VALORANTDBA.xlsxplayersLOUD1"/>
        </x15:connection>
      </ext>
    </extLst>
  </connection>
  <connection id="8" xr16:uid="{EBFA114B-5545-493E-AB15-4B86DD94C1FD}" name="WorksheetConnection_VALORANT-DBA.xlsx!team_stats_americas" type="102" refreshedVersion="8" minRefreshableVersion="5">
    <extLst>
      <ext xmlns:x15="http://schemas.microsoft.com/office/spreadsheetml/2010/11/main" uri="{DE250136-89BD-433C-8126-D09CA5730AF9}">
        <x15:connection id="team_stats_americas">
          <x15:rangePr sourceName="_xlcn.WorksheetConnection_VALORANTDBA.xlsxteam_stats_americas1"/>
        </x15:connection>
      </ext>
    </extLst>
  </connection>
  <connection id="9" xr16:uid="{7F5AEC45-3FCB-4773-AD2A-51779B30D09D}" name="WorksheetConnection_VALORANT-DBA.xlsx!team100T" type="102" refreshedVersion="8" minRefreshableVersion="5">
    <extLst>
      <ext xmlns:x15="http://schemas.microsoft.com/office/spreadsheetml/2010/11/main" uri="{DE250136-89BD-433C-8126-D09CA5730AF9}">
        <x15:connection id="team100T">
          <x15:rangePr sourceName="_xlcn.WorksheetConnection_VALORANTDBA.xlsxteam100T1"/>
        </x15:connection>
      </ext>
    </extLst>
  </connection>
  <connection id="10" xr16:uid="{231666E3-1057-4B1A-B7D8-B70900D18D92}" name="WorksheetConnection_VALORANT-DBA.xlsx!teamLOUD" type="102" refreshedVersion="8" minRefreshableVersion="5">
    <extLst>
      <ext xmlns:x15="http://schemas.microsoft.com/office/spreadsheetml/2010/11/main" uri="{DE250136-89BD-433C-8126-D09CA5730AF9}">
        <x15:connection id="teamLOUD" autoDelete="1">
          <x15:rangePr sourceName="_xlcn.WorksheetConnection_VALORANTDBA.xlsxteamLOUD1"/>
        </x15:connection>
      </ext>
    </extLst>
  </connection>
  <connection id="11" xr16:uid="{1D8E7C90-9A38-4FD4-A461-6FD87647FF07}" name="WorksheetConnection_VALORANT-DBA.xlsx!teamNRG" type="102" refreshedVersion="8" minRefreshableVersion="5">
    <extLst>
      <ext xmlns:x15="http://schemas.microsoft.com/office/spreadsheetml/2010/11/main" uri="{DE250136-89BD-433C-8126-D09CA5730AF9}">
        <x15:connection id="teamNRG">
          <x15:rangePr sourceName="_xlcn.WorksheetConnection_VALORANTDBA.xlsxteamNRG1"/>
        </x15:connection>
      </ext>
    </extLst>
  </connection>
  <connection id="12" xr16:uid="{C5B9B621-C484-4CD7-ABD6-87060436F341}" name="WorksheetConnection_VALORANT-DBA.xlsx!teams_americas" type="102" refreshedVersion="8" minRefreshableVersion="5">
    <extLst>
      <ext xmlns:x15="http://schemas.microsoft.com/office/spreadsheetml/2010/11/main" uri="{DE250136-89BD-433C-8126-D09CA5730AF9}">
        <x15:connection id="teams_americas">
          <x15:rangePr sourceName="_xlcn.WorksheetConnection_VALORANTDBA.xlsxteams_americas1"/>
        </x15:connection>
      </ext>
    </extLst>
  </connection>
</connections>
</file>

<file path=xl/sharedStrings.xml><?xml version="1.0" encoding="utf-8"?>
<sst xmlns="http://schemas.openxmlformats.org/spreadsheetml/2006/main" count="1375" uniqueCount="205">
  <si>
    <t>ACS</t>
  </si>
  <si>
    <t>KAST</t>
  </si>
  <si>
    <t>RND</t>
  </si>
  <si>
    <t>Players</t>
  </si>
  <si>
    <t>Rating</t>
  </si>
  <si>
    <t>MAP</t>
  </si>
  <si>
    <t>WINS</t>
  </si>
  <si>
    <t>LOSS</t>
  </si>
  <si>
    <t>TIES</t>
  </si>
  <si>
    <t>M.Total</t>
  </si>
  <si>
    <t>S.MAPS</t>
  </si>
  <si>
    <t>Players RATING</t>
  </si>
  <si>
    <t>ADR</t>
  </si>
  <si>
    <t>FKPR</t>
  </si>
  <si>
    <t>FDPR</t>
  </si>
  <si>
    <t>CL%</t>
  </si>
  <si>
    <t>HS%</t>
  </si>
  <si>
    <t>médias</t>
  </si>
  <si>
    <t>LOUD</t>
  </si>
  <si>
    <t>FURIA</t>
  </si>
  <si>
    <t>saadhak</t>
  </si>
  <si>
    <t>tuyz</t>
  </si>
  <si>
    <t>cauanzin</t>
  </si>
  <si>
    <t>Less</t>
  </si>
  <si>
    <t>aspas</t>
  </si>
  <si>
    <t>Player</t>
  </si>
  <si>
    <t>Agents</t>
  </si>
  <si>
    <t>Rnd</t>
  </si>
  <si>
    <t>R</t>
  </si>
  <si>
    <t>K:D</t>
  </si>
  <si>
    <t>KPR</t>
  </si>
  <si>
    <t>APR</t>
  </si>
  <si>
    <t>CL</t>
  </si>
  <si>
    <t>KMax</t>
  </si>
  <si>
    <t>K</t>
  </si>
  <si>
    <t>D</t>
  </si>
  <si>
    <t>A</t>
  </si>
  <si>
    <t>FK</t>
  </si>
  <si>
    <t>FD</t>
  </si>
  <si>
    <t>(+2)</t>
  </si>
  <si>
    <t>(+1)</t>
  </si>
  <si>
    <t>(+3)</t>
  </si>
  <si>
    <t>(+4)</t>
  </si>
  <si>
    <t/>
  </si>
  <si>
    <t>2/26</t>
  </si>
  <si>
    <t>Team</t>
  </si>
  <si>
    <t>Wins</t>
  </si>
  <si>
    <t>Loss</t>
  </si>
  <si>
    <t>Ties</t>
  </si>
  <si>
    <t>Δ</t>
  </si>
  <si>
    <t>LOUD Brazil</t>
  </si>
  <si>
    <t>Leviatán Chile</t>
  </si>
  <si>
    <t>Cloud9 United States</t>
  </si>
  <si>
    <t>FURIA Brazil</t>
  </si>
  <si>
    <t>100 Thieves United States</t>
  </si>
  <si>
    <t>Sentinels United States</t>
  </si>
  <si>
    <t>MIBR Brazil</t>
  </si>
  <si>
    <t>NRG Esports United States</t>
  </si>
  <si>
    <t>Evil Geniuses United States</t>
  </si>
  <si>
    <t>KRÜ Esports Chile</t>
  </si>
  <si>
    <t>Asuna</t>
  </si>
  <si>
    <t>stellar</t>
  </si>
  <si>
    <t>Derrek</t>
  </si>
  <si>
    <t>bang</t>
  </si>
  <si>
    <t>Cryocells</t>
  </si>
  <si>
    <t>Partner</t>
  </si>
  <si>
    <t>Cloud9</t>
  </si>
  <si>
    <t>Zellsis</t>
  </si>
  <si>
    <t>qpert</t>
  </si>
  <si>
    <t>Xeppaa</t>
  </si>
  <si>
    <t>leaf</t>
  </si>
  <si>
    <t>jakee</t>
  </si>
  <si>
    <t>runi</t>
  </si>
  <si>
    <t>Boostio</t>
  </si>
  <si>
    <t>C0M</t>
  </si>
  <si>
    <t>BcJ</t>
  </si>
  <si>
    <t>jawgemo</t>
  </si>
  <si>
    <t>Ethan</t>
  </si>
  <si>
    <t>Demon1</t>
  </si>
  <si>
    <t>mwzera</t>
  </si>
  <si>
    <t>Quick</t>
  </si>
  <si>
    <t>Khalil</t>
  </si>
  <si>
    <t>Mazin</t>
  </si>
  <si>
    <t>dgzin</t>
  </si>
  <si>
    <t>KRÜ</t>
  </si>
  <si>
    <t>NagZ</t>
  </si>
  <si>
    <t>Melser</t>
  </si>
  <si>
    <t>keznit</t>
  </si>
  <si>
    <t>Klaus</t>
  </si>
  <si>
    <t>DaveeyS</t>
  </si>
  <si>
    <t>Leviatán</t>
  </si>
  <si>
    <t>nzr</t>
  </si>
  <si>
    <t>Tacolilla</t>
  </si>
  <si>
    <t>Mazino</t>
  </si>
  <si>
    <t>kiNgg</t>
  </si>
  <si>
    <t>Shyy</t>
  </si>
  <si>
    <t>MIBR</t>
  </si>
  <si>
    <t>frz</t>
  </si>
  <si>
    <t>murizzz</t>
  </si>
  <si>
    <t>RgLMeister</t>
  </si>
  <si>
    <t>heat</t>
  </si>
  <si>
    <t>jzz</t>
  </si>
  <si>
    <t>NRG</t>
  </si>
  <si>
    <t>crashies</t>
  </si>
  <si>
    <t>ardiis</t>
  </si>
  <si>
    <t>Victor</t>
  </si>
  <si>
    <t>FNS</t>
  </si>
  <si>
    <t>s0m</t>
  </si>
  <si>
    <t>Player1</t>
  </si>
  <si>
    <t>Player2</t>
  </si>
  <si>
    <t>Player3</t>
  </si>
  <si>
    <t>Player4</t>
  </si>
  <si>
    <t>Player5</t>
  </si>
  <si>
    <t>Player6</t>
  </si>
  <si>
    <t>Sentinels</t>
  </si>
  <si>
    <t>TenZ</t>
  </si>
  <si>
    <t>Marved</t>
  </si>
  <si>
    <t>Sacy</t>
  </si>
  <si>
    <t>pANcada</t>
  </si>
  <si>
    <t>dephh</t>
  </si>
  <si>
    <t>zekken</t>
  </si>
  <si>
    <t>4/25</t>
  </si>
  <si>
    <t>2/12</t>
  </si>
  <si>
    <t>6/34</t>
  </si>
  <si>
    <t>3/32</t>
  </si>
  <si>
    <t>2/16</t>
  </si>
  <si>
    <t>SEN</t>
  </si>
  <si>
    <t>LEV</t>
  </si>
  <si>
    <t>FUR</t>
  </si>
  <si>
    <t>C9</t>
  </si>
  <si>
    <t>100T</t>
  </si>
  <si>
    <t>EG</t>
  </si>
  <si>
    <t>157/125</t>
  </si>
  <si>
    <t>8/37</t>
  </si>
  <si>
    <t>5/37</t>
  </si>
  <si>
    <t>6/23</t>
  </si>
  <si>
    <t>3/19</t>
  </si>
  <si>
    <t>5/25</t>
  </si>
  <si>
    <t>100</t>
  </si>
  <si>
    <t>Thieves</t>
  </si>
  <si>
    <t>Evil</t>
  </si>
  <si>
    <t>Geniuses</t>
  </si>
  <si>
    <t>Esports</t>
  </si>
  <si>
    <t>126/155</t>
  </si>
  <si>
    <t>6/19</t>
  </si>
  <si>
    <t>4/37</t>
  </si>
  <si>
    <t>7/53</t>
  </si>
  <si>
    <t>7/32</t>
  </si>
  <si>
    <t>0/23</t>
  </si>
  <si>
    <t>RATING</t>
  </si>
  <si>
    <t>Total Geral</t>
  </si>
  <si>
    <t>Teams</t>
  </si>
  <si>
    <t>Clutches</t>
  </si>
  <si>
    <t>HS</t>
  </si>
  <si>
    <t>First Death</t>
  </si>
  <si>
    <t>First Kill</t>
  </si>
  <si>
    <t>Média de K:D</t>
  </si>
  <si>
    <t>Top KAST</t>
  </si>
  <si>
    <t>Top First Kill</t>
  </si>
  <si>
    <t>Top First Death</t>
  </si>
  <si>
    <t>Top K/D</t>
  </si>
  <si>
    <t>Top ACS</t>
  </si>
  <si>
    <t>Top Clutches</t>
  </si>
  <si>
    <t>Top Wins</t>
  </si>
  <si>
    <t>Top Rating - Teams</t>
  </si>
  <si>
    <t>Top Rating - Americas Players</t>
  </si>
  <si>
    <t>Top First Kill Per Round</t>
  </si>
  <si>
    <t>Top First Death per Round</t>
  </si>
  <si>
    <t>167/128</t>
  </si>
  <si>
    <t>154/150</t>
  </si>
  <si>
    <t>188/163</t>
  </si>
  <si>
    <t>162/139</t>
  </si>
  <si>
    <t>161/172</t>
  </si>
  <si>
    <t>148/170</t>
  </si>
  <si>
    <t>166/180</t>
  </si>
  <si>
    <t>144/191</t>
  </si>
  <si>
    <t>8/35</t>
  </si>
  <si>
    <t>9/31</t>
  </si>
  <si>
    <t>5/50</t>
  </si>
  <si>
    <t>4/35</t>
  </si>
  <si>
    <t>3/14</t>
  </si>
  <si>
    <t>8/32</t>
  </si>
  <si>
    <t>6/28</t>
  </si>
  <si>
    <t>10/41</t>
  </si>
  <si>
    <t>1/15</t>
  </si>
  <si>
    <t>8/39</t>
  </si>
  <si>
    <t>6/36</t>
  </si>
  <si>
    <t>9/42</t>
  </si>
  <si>
    <t>4/23</t>
  </si>
  <si>
    <t>4/29</t>
  </si>
  <si>
    <t>8/19</t>
  </si>
  <si>
    <t>3/37</t>
  </si>
  <si>
    <t>0/21</t>
  </si>
  <si>
    <t>6/40</t>
  </si>
  <si>
    <t>5/53</t>
  </si>
  <si>
    <t>10/38</t>
  </si>
  <si>
    <t>1/30</t>
  </si>
  <si>
    <t>2/29</t>
  </si>
  <si>
    <t>6/51</t>
  </si>
  <si>
    <t>10/64</t>
  </si>
  <si>
    <t>5/32</t>
  </si>
  <si>
    <t>7/57</t>
  </si>
  <si>
    <t>3/48</t>
  </si>
  <si>
    <t>4/43</t>
  </si>
  <si>
    <t>6/29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</si>
</sst>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@\ &quot;*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33" borderId="0" xfId="0" applyFill="1"/>
    <xf numFmtId="0" fontId="0" fillId="0" borderId="17" xfId="0" applyBorder="1"/>
    <xf numFmtId="0" fontId="0" fillId="0" borderId="16" xfId="0" applyBorder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4" borderId="0" xfId="0" applyFill="1"/>
    <xf numFmtId="0" fontId="0" fillId="34" borderId="21" xfId="0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4" borderId="11" xfId="0" applyFill="1" applyBorder="1"/>
    <xf numFmtId="164" fontId="0" fillId="0" borderId="0" xfId="0" applyNumberFormat="1"/>
    <xf numFmtId="0" fontId="0" fillId="34" borderId="22" xfId="0" applyFill="1" applyBorder="1" applyAlignment="1">
      <alignment horizontal="center" vertical="center"/>
    </xf>
    <xf numFmtId="164" fontId="0" fillId="34" borderId="22" xfId="0" applyNumberForma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34" borderId="11" xfId="0" applyNumberFormat="1" applyFill="1" applyBorder="1"/>
    <xf numFmtId="2" fontId="0" fillId="34" borderId="23" xfId="0" applyNumberFormat="1" applyFill="1" applyBorder="1" applyAlignment="1">
      <alignment horizontal="center" vertical="center"/>
    </xf>
    <xf numFmtId="1" fontId="0" fillId="34" borderId="11" xfId="0" applyNumberFormat="1" applyFill="1" applyBorder="1"/>
    <xf numFmtId="9" fontId="0" fillId="0" borderId="0" xfId="42" applyFont="1"/>
    <xf numFmtId="9" fontId="0" fillId="34" borderId="11" xfId="42" applyFont="1" applyFill="1" applyBorder="1" applyAlignment="1"/>
    <xf numFmtId="9" fontId="0" fillId="34" borderId="0" xfId="0" applyNumberFormat="1" applyFill="1"/>
    <xf numFmtId="1" fontId="0" fillId="34" borderId="23" xfId="0" applyNumberFormat="1" applyFill="1" applyBorder="1" applyAlignment="1">
      <alignment horizontal="center" vertical="center"/>
    </xf>
    <xf numFmtId="9" fontId="0" fillId="34" borderId="19" xfId="42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9" fontId="0" fillId="34" borderId="0" xfId="42" applyFont="1" applyFill="1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0" fontId="20" fillId="33" borderId="0" xfId="0" applyFont="1" applyFill="1"/>
    <xf numFmtId="0" fontId="20" fillId="33" borderId="0" xfId="0" applyFont="1" applyFill="1" applyAlignment="1">
      <alignment horizontal="left"/>
    </xf>
    <xf numFmtId="9" fontId="20" fillId="33" borderId="0" xfId="0" applyNumberFormat="1" applyFont="1" applyFill="1"/>
    <xf numFmtId="1" fontId="20" fillId="33" borderId="0" xfId="0" applyNumberFormat="1" applyFont="1" applyFill="1"/>
    <xf numFmtId="0" fontId="21" fillId="33" borderId="0" xfId="0" applyFont="1" applyFill="1" applyAlignment="1">
      <alignment horizontal="left"/>
    </xf>
    <xf numFmtId="0" fontId="20" fillId="33" borderId="0" xfId="0" applyFont="1" applyFill="1" applyAlignment="1">
      <alignment horizontal="center"/>
    </xf>
    <xf numFmtId="9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0" fillId="33" borderId="0" xfId="0" applyFont="1" applyFill="1" applyAlignment="1">
      <alignment horizontal="left" indent="1"/>
    </xf>
    <xf numFmtId="165" fontId="20" fillId="33" borderId="0" xfId="0" applyNumberFormat="1" applyFont="1" applyFill="1" applyAlignment="1">
      <alignment horizontal="left"/>
    </xf>
    <xf numFmtId="0" fontId="23" fillId="0" borderId="0" xfId="0" applyFont="1"/>
    <xf numFmtId="0" fontId="22" fillId="33" borderId="0" xfId="0" applyFont="1" applyFill="1"/>
    <xf numFmtId="0" fontId="23" fillId="33" borderId="0" xfId="0" applyFont="1" applyFill="1"/>
    <xf numFmtId="1" fontId="23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2" fillId="33" borderId="14" xfId="0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0" fillId="33" borderId="0" xfId="0" applyNumberFormat="1" applyFont="1" applyFill="1"/>
    <xf numFmtId="0" fontId="21" fillId="33" borderId="0" xfId="0" applyNumberFormat="1" applyFont="1" applyFill="1"/>
    <xf numFmtId="0" fontId="20" fillId="33" borderId="0" xfId="0" applyNumberFormat="1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d/m;@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/>
        <top/>
        <bottom/>
      </border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2" formatCode="0.00"/>
    </dxf>
    <dxf>
      <fill>
        <patternFill>
          <bgColor theme="3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2" formatCode="0.00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" formatCode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ont>
        <color theme="0"/>
      </font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3" formatCode="0%"/>
    </dxf>
    <dxf>
      <numFmt numFmtId="13" formatCode="0%"/>
    </dxf>
    <dxf>
      <fill>
        <patternFill>
          <bgColor theme="3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07175924" backgroundQuery="1" createdVersion="8" refreshedVersion="8" minRefreshableVersion="3" recordCount="0" supportSubquery="1" supportAdvancedDrill="1" xr:uid="{A499AC57-63EE-44F7-9C6D-D6B3C755CDD5}">
  <cacheSource type="external" connectionId="4"/>
  <cacheFields count="2">
    <cacheField name="[team_stats_americas].[Team].[Team]" caption="Team" numFmtId="0" hierarchy="38" level="1">
      <sharedItems count="10">
        <s v="100 Thieves United States"/>
        <s v="Cloud9 United States"/>
        <s v="Evil Geniuses United States"/>
        <s v="FURIA Brazil"/>
        <s v="KRÜ Esports Chile"/>
        <s v="Leviatán Chile"/>
        <s v="LOUD Brazil"/>
        <s v="MIBR Brazil"/>
        <s v="NRG Esports United States"/>
        <s v="Sentinels United States"/>
      </sharedItems>
    </cacheField>
    <cacheField name="[Measures].[Soma de Wins]" caption="Soma de Wins" numFmtId="0" hierarchy="98" level="32767"/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0" memberValueDatatype="130" unbalanced="0"/>
    <cacheHierarchy uniqueName="[player_stats].[Team]" caption="Team" attribute="1" defaultMemberUniqueName="[player_stats].[Team].[All]" allUniqueName="[player_stats].[Team].[All]" dimensionUniqueName="[player_stats]" displayFolder="" count="0" memberValueDatatype="130" unbalanced="0"/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2" memberValueDatatype="130" unbalanced="0">
      <fieldsUsage count="2">
        <fieldUsage x="-1"/>
        <fieldUsage x="0"/>
      </fieldsUsage>
    </cacheHierarchy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24652774" backgroundQuery="1" createdVersion="8" refreshedVersion="8" minRefreshableVersion="3" recordCount="0" supportSubquery="1" supportAdvancedDrill="1" xr:uid="{7C8156D4-4957-4862-B0A9-0D014569921D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ACS]" caption="Média de ACS" numFmtId="0" hierarchy="106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26041667" backgroundQuery="1" createdVersion="8" refreshedVersion="8" minRefreshableVersion="3" recordCount="0" supportSubquery="1" supportAdvancedDrill="1" xr:uid="{5967FE2F-8990-4B3A-AC06-426C20AC4562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FKPR]" caption="Média de FKPR" numFmtId="0" hierarchy="107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13773151" backgroundQuery="1" createdVersion="8" refreshedVersion="8" minRefreshableVersion="3" recordCount="0" supportSubquery="1" supportAdvancedDrill="1" xr:uid="{7DBCA760-7ACE-44A8-BBEC-EBC0CC9F926E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D]" caption="Soma de FD" numFmtId="0" hierarchy="101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15162037" backgroundQuery="1" createdVersion="8" refreshedVersion="8" minRefreshableVersion="3" recordCount="0" supportSubquery="1" supportAdvancedDrill="1" xr:uid="{78F3065C-7EDF-466E-BEFB-9E55899589D7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R]" caption="Média de R" numFmtId="0" hierarchy="92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16550923" backgroundQuery="1" createdVersion="8" refreshedVersion="8" minRefreshableVersion="3" recordCount="0" supportSubquery="1" supportAdvancedDrill="1" xr:uid="{30F52807-C936-4A28-820F-0B40B9D2D76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DPR]" caption="Soma de FDPR" numFmtId="0" hierarchy="104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17824077" backgroundQuery="1" createdVersion="8" refreshedVersion="8" minRefreshableVersion="3" recordCount="0" supportSubquery="1" supportAdvancedDrill="1" xr:uid="{00469027-B4C3-482D-B11B-FB14105448A0}">
  <cacheSource type="external" connectionId="4"/>
  <cacheFields count="8">
    <cacheField name="[player_stats].[Player].[Player]" caption="Player" numFmtId="0" level="1">
      <sharedItems count="52">
        <s v="ardiis"/>
        <s v="aspas"/>
        <s v="Asuna"/>
        <s v="bang"/>
        <s v="BcJ"/>
        <s v="Boostio"/>
        <s v="C0M"/>
        <s v="cauanzin"/>
        <s v="crashies"/>
        <s v="Cryocells"/>
        <s v="DaveeyS"/>
        <s v="Demon1"/>
        <s v="dephh"/>
        <s v="Derrek"/>
        <s v="dgzin"/>
        <s v="Ethan"/>
        <s v="FNS"/>
        <s v="frz"/>
        <s v="heat"/>
        <s v="jakee"/>
        <s v="jawgemo"/>
        <s v="jzz"/>
        <s v="keznit"/>
        <s v="Khalil"/>
        <s v="kiNgg"/>
        <s v="Klaus"/>
        <s v="leaf"/>
        <s v="Less"/>
        <s v="Marved"/>
        <s v="Mazin"/>
        <s v="Mazino"/>
        <s v="Melser"/>
        <s v="murizzz"/>
        <s v="mwzera"/>
        <s v="NagZ"/>
        <s v="nzr"/>
        <s v="pANcada"/>
        <s v="Quick"/>
        <s v="RgLMeister"/>
        <s v="runi"/>
        <s v="s0m"/>
        <s v="saadhak"/>
        <s v="Sacy"/>
        <s v="Shyy"/>
        <s v="stellar"/>
        <s v="Tacolilla"/>
        <s v="TenZ"/>
        <s v="tuyz"/>
        <s v="Victor"/>
        <s v="Xeppaa"/>
        <s v="zekken"/>
        <s v="Zellsis"/>
      </sharedItems>
    </cacheField>
    <cacheField name="[Measures].[Soma de R]" caption="Soma de R" numFmtId="0" hierarchy="91" level="32767"/>
    <cacheField name="[Measures].[Soma de ACS]" caption="Soma de ACS" numFmtId="0" hierarchy="99" level="32767"/>
    <cacheField name="[Measures].[Soma de KAST 3]" caption="Soma de KAST 3" numFmtId="0" hierarchy="93" level="32767"/>
    <cacheField name="[Measures].[Soma de HS%]" caption="Soma de HS%" numFmtId="0" hierarchy="100" level="32767"/>
    <cacheField name="[Measures].[Soma de CL%]" caption="Soma de CL%" numFmtId="0" hierarchy="96" level="32767"/>
    <cacheField name="[Measures].[Soma de FK]" caption="Soma de FK" numFmtId="0" hierarchy="95" level="32767"/>
    <cacheField name="[Measures].[Soma de FD]" caption="Soma de FD" numFmtId="0" hierarchy="101" level="32767"/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0" memberValueDatatype="130" unbalanced="0"/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19212963" backgroundQuery="1" createdVersion="8" refreshedVersion="8" minRefreshableVersion="3" recordCount="0" supportSubquery="1" supportAdvancedDrill="1" xr:uid="{D59F1F5E-83C1-45BB-AF11-7CBDD91F0DA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K]" caption="Soma de FK" numFmtId="0" hierarchy="95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20601849" backgroundQuery="1" createdVersion="8" refreshedVersion="8" minRefreshableVersion="3" recordCount="0" supportSubquery="1" supportAdvancedDrill="1" xr:uid="{22A82E9B-6A93-40C5-AE14-D153955B9CC9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KAST 2]" caption="Média de KAST 2" numFmtId="0" hierarchy="94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21875003" backgroundQuery="1" createdVersion="8" refreshedVersion="8" minRefreshableVersion="3" recordCount="0" supportSubquery="1" supportAdvancedDrill="1" xr:uid="{82E98167-2FA1-4425-ADC6-CF860F161C9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CL%]" caption="Média de CL%" numFmtId="0" hierarchy="97" level="32767"/>
    <cacheField name="[player_stats].[Player].[Player]" caption="Player" numFmtId="0" level="1">
      <sharedItems count="50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7.582823263889" backgroundQuery="1" createdVersion="8" refreshedVersion="8" minRefreshableVersion="3" recordCount="0" supportSubquery="1" supportAdvancedDrill="1" xr:uid="{CF9C2363-965B-4D92-A348-14580CBA9A99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K:D]" caption="Média de K:D" numFmtId="0" hierarchy="105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F20EB-2268-43EF-B7B4-38689B97F028}" name="Tabela dinâmica4" cacheId="6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rowHeaderCaption="Teams">
  <location ref="Q5:R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5"/>
    </i>
    <i r="1">
      <x v="26"/>
    </i>
    <i r="1">
      <x v="27"/>
    </i>
    <i r="1">
      <x v="28"/>
    </i>
    <i r="1">
      <x v="29"/>
    </i>
    <i r="1">
      <x v="30"/>
    </i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31"/>
    </i>
    <i r="1">
      <x v="32"/>
    </i>
    <i r="1">
      <x v="33"/>
    </i>
    <i r="1">
      <x v="34"/>
    </i>
    <i r="1">
      <x v="35"/>
    </i>
    <i>
      <x v="8"/>
    </i>
    <i r="1">
      <x v="41"/>
    </i>
    <i r="1">
      <x v="42"/>
    </i>
    <i r="1">
      <x v="43"/>
    </i>
    <i r="1">
      <x v="44"/>
    </i>
    <i r="1">
      <x v="45"/>
    </i>
    <i>
      <x v="3"/>
    </i>
    <i r="1">
      <x v="16"/>
    </i>
    <i r="1">
      <x v="17"/>
    </i>
    <i r="1">
      <x v="18"/>
    </i>
    <i r="1">
      <x v="19"/>
    </i>
    <i r="1">
      <x v="20"/>
    </i>
    <i>
      <x v="7"/>
    </i>
    <i r="1">
      <x v="36"/>
    </i>
    <i r="1">
      <x v="37"/>
    </i>
    <i r="1">
      <x v="38"/>
    </i>
    <i r="1">
      <x v="39"/>
    </i>
    <i r="1">
      <x v="40"/>
    </i>
    <i>
      <x v="1"/>
    </i>
    <i r="1">
      <x v="5"/>
    </i>
    <i r="1">
      <x v="6"/>
    </i>
    <i r="1">
      <x v="7"/>
    </i>
    <i r="1">
      <x v="8"/>
    </i>
    <i r="1">
      <x v="9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4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First Kill" fld="1" baseField="0" baseItem="0"/>
  </dataFields>
  <formats count="28">
    <format dxfId="1098">
      <pivotArea type="all" dataOnly="0" outline="0" fieldPosition="0"/>
    </format>
    <format dxfId="1097">
      <pivotArea type="all" dataOnly="0" outline="0" fieldPosition="0"/>
    </format>
    <format dxfId="1096">
      <pivotArea type="all" dataOnly="0" outline="0" fieldPosition="0"/>
    </format>
    <format dxfId="1095">
      <pivotArea outline="0" collapsedLevelsAreSubtotals="1" fieldPosition="0"/>
    </format>
    <format dxfId="1094">
      <pivotArea field="0" type="button" dataOnly="0" labelOnly="1" outline="0" axis="axisRow" fieldPosition="0"/>
    </format>
    <format dxfId="1093">
      <pivotArea dataOnly="0" labelOnly="1" fieldPosition="0">
        <references count="1">
          <reference field="0" count="0"/>
        </references>
      </pivotArea>
    </format>
    <format dxfId="1092">
      <pivotArea dataOnly="0" labelOnly="1" grandRow="1" outline="0" fieldPosition="0"/>
    </format>
    <format dxfId="1091">
      <pivotArea dataOnly="0" labelOnly="1" outline="0" axis="axisValues" fieldPosition="0"/>
    </format>
    <format dxfId="1090">
      <pivotArea type="all" dataOnly="0" outline="0" fieldPosition="0"/>
    </format>
    <format dxfId="1089">
      <pivotArea outline="0" collapsedLevelsAreSubtotals="1" fieldPosition="0"/>
    </format>
    <format dxfId="1088">
      <pivotArea field="0" type="button" dataOnly="0" labelOnly="1" outline="0" axis="axisRow" fieldPosition="0"/>
    </format>
    <format dxfId="1087">
      <pivotArea dataOnly="0" labelOnly="1" fieldPosition="0">
        <references count="1">
          <reference field="0" count="0"/>
        </references>
      </pivotArea>
    </format>
    <format dxfId="1086">
      <pivotArea dataOnly="0" labelOnly="1" grandRow="1" outline="0" fieldPosition="0"/>
    </format>
    <format dxfId="1085">
      <pivotArea dataOnly="0" labelOnly="1" outline="0" axis="axisValues" fieldPosition="0"/>
    </format>
    <format dxfId="1084">
      <pivotArea type="all" dataOnly="0" outline="0" fieldPosition="0"/>
    </format>
    <format dxfId="1083">
      <pivotArea outline="0" collapsedLevelsAreSubtotals="1" fieldPosition="0"/>
    </format>
    <format dxfId="1082">
      <pivotArea field="0" type="button" dataOnly="0" labelOnly="1" outline="0" axis="axisRow" fieldPosition="0"/>
    </format>
    <format dxfId="1081">
      <pivotArea dataOnly="0" labelOnly="1" fieldPosition="0">
        <references count="1">
          <reference field="0" count="0"/>
        </references>
      </pivotArea>
    </format>
    <format dxfId="1080">
      <pivotArea dataOnly="0" labelOnly="1" grandRow="1" outline="0" fieldPosition="0"/>
    </format>
    <format dxfId="1079">
      <pivotArea dataOnly="0" labelOnly="1" outline="0" axis="axisValues" fieldPosition="0"/>
    </format>
    <format dxfId="1078">
      <pivotArea type="all" dataOnly="0" outline="0" fieldPosition="0"/>
    </format>
    <format dxfId="1077">
      <pivotArea outline="0" collapsedLevelsAreSubtotals="1" fieldPosition="0"/>
    </format>
    <format dxfId="1076">
      <pivotArea dataOnly="0" labelOnly="1" fieldPosition="0">
        <references count="1">
          <reference field="0" count="0"/>
        </references>
      </pivotArea>
    </format>
    <format dxfId="1075">
      <pivotArea dataOnly="0" labelOnly="1" grandRow="1" outline="0" fieldPosition="0"/>
    </format>
    <format dxfId="1074">
      <pivotArea field="0" type="button" dataOnly="0" labelOnly="1" outline="0" axis="axisRow" fieldPosition="0"/>
    </format>
    <format dxfId="1073">
      <pivotArea dataOnly="0" labelOnly="1" outline="0" axis="axisValues" fieldPosition="0"/>
    </format>
    <format dxfId="1072">
      <pivotArea field="0" type="button" dataOnly="0" labelOnly="1" outline="0" axis="axisRow" fieldPosition="0"/>
    </format>
    <format dxfId="1071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irst Kil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C9840-7A47-467D-A004-FB9603912DF7}" name="Tabela dinâmica5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T5:U68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1"/>
    </i>
    <i r="1">
      <x v="42"/>
    </i>
    <i r="1">
      <x v="43"/>
    </i>
    <i r="1">
      <x v="44"/>
    </i>
    <i r="1">
      <x v="45"/>
    </i>
    <i>
      <x v="6"/>
    </i>
    <i r="1">
      <x v="31"/>
    </i>
    <i r="1">
      <x v="32"/>
    </i>
    <i r="1">
      <x v="33"/>
    </i>
    <i r="1">
      <x v="34"/>
    </i>
    <i r="1">
      <x v="35"/>
    </i>
    <i>
      <x v="4"/>
    </i>
    <i r="1">
      <x v="21"/>
    </i>
    <i r="1">
      <x v="22"/>
    </i>
    <i r="1">
      <x v="23"/>
    </i>
    <i r="1">
      <x v="24"/>
    </i>
    <i r="1">
      <x v="25"/>
    </i>
    <i>
      <x v="3"/>
    </i>
    <i r="1">
      <x v="16"/>
    </i>
    <i r="1">
      <x v="17"/>
    </i>
    <i r="1">
      <x v="18"/>
    </i>
    <i r="1">
      <x v="19"/>
    </i>
    <i r="1">
      <x v="20"/>
    </i>
    <i>
      <x v="5"/>
    </i>
    <i r="1">
      <x v="26"/>
    </i>
    <i r="1">
      <x v="27"/>
    </i>
    <i r="1">
      <x v="28"/>
    </i>
    <i r="1">
      <x v="29"/>
    </i>
    <i r="1">
      <x v="30"/>
    </i>
    <i>
      <x/>
    </i>
    <i r="1">
      <x/>
    </i>
    <i r="1">
      <x v="1"/>
    </i>
    <i r="1">
      <x v="2"/>
    </i>
    <i r="1">
      <x v="3"/>
    </i>
    <i r="1">
      <x v="4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7"/>
    </i>
    <i r="1">
      <x v="36"/>
    </i>
    <i r="1">
      <x v="37"/>
    </i>
    <i r="1">
      <x v="38"/>
    </i>
    <i r="1">
      <x v="3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First Death" fld="1" baseField="0" baseItem="0" numFmtId="1"/>
  </dataFields>
  <formats count="32">
    <format dxfId="1425">
      <pivotArea type="all" dataOnly="0" outline="0" fieldPosition="0"/>
    </format>
    <format dxfId="1424">
      <pivotArea type="all" dataOnly="0" outline="0" fieldPosition="0"/>
    </format>
    <format dxfId="1423">
      <pivotArea collapsedLevelsAreSubtotals="1" fieldPosition="0">
        <references count="1">
          <reference field="0" count="0"/>
        </references>
      </pivotArea>
    </format>
    <format dxfId="1422">
      <pivotArea type="all" dataOnly="0" outline="0" fieldPosition="0"/>
    </format>
    <format dxfId="1421">
      <pivotArea grandRow="1" outline="0" collapsedLevelsAreSubtotals="1" fieldPosition="0"/>
    </format>
    <format dxfId="1420">
      <pivotArea type="all" dataOnly="0" outline="0" fieldPosition="0"/>
    </format>
    <format dxfId="1419">
      <pivotArea outline="0" collapsedLevelsAreSubtotals="1" fieldPosition="0"/>
    </format>
    <format dxfId="1418">
      <pivotArea field="0" type="button" dataOnly="0" labelOnly="1" outline="0" axis="axisRow" fieldPosition="0"/>
    </format>
    <format dxfId="1417">
      <pivotArea dataOnly="0" labelOnly="1" fieldPosition="0">
        <references count="1">
          <reference field="0" count="0"/>
        </references>
      </pivotArea>
    </format>
    <format dxfId="1416">
      <pivotArea dataOnly="0" labelOnly="1" grandRow="1" outline="0" fieldPosition="0"/>
    </format>
    <format dxfId="1415">
      <pivotArea dataOnly="0" labelOnly="1" outline="0" axis="axisValues" fieldPosition="0"/>
    </format>
    <format dxfId="1414">
      <pivotArea type="all" dataOnly="0" outline="0" fieldPosition="0"/>
    </format>
    <format dxfId="1413">
      <pivotArea outline="0" collapsedLevelsAreSubtotals="1" fieldPosition="0"/>
    </format>
    <format dxfId="1412">
      <pivotArea field="0" type="button" dataOnly="0" labelOnly="1" outline="0" axis="axisRow" fieldPosition="0"/>
    </format>
    <format dxfId="1411">
      <pivotArea dataOnly="0" labelOnly="1" fieldPosition="0">
        <references count="1">
          <reference field="0" count="0"/>
        </references>
      </pivotArea>
    </format>
    <format dxfId="1410">
      <pivotArea dataOnly="0" labelOnly="1" grandRow="1" outline="0" fieldPosition="0"/>
    </format>
    <format dxfId="1409">
      <pivotArea dataOnly="0" labelOnly="1" outline="0" axis="axisValues" fieldPosition="0"/>
    </format>
    <format dxfId="1408">
      <pivotArea outline="0" collapsedLevelsAreSubtotals="1" fieldPosition="0"/>
    </format>
    <format dxfId="1407">
      <pivotArea type="all" dataOnly="0" outline="0" fieldPosition="0"/>
    </format>
    <format dxfId="1406">
      <pivotArea outline="0" collapsedLevelsAreSubtotals="1" fieldPosition="0"/>
    </format>
    <format dxfId="1405">
      <pivotArea field="0" type="button" dataOnly="0" labelOnly="1" outline="0" axis="axisRow" fieldPosition="0"/>
    </format>
    <format dxfId="1404">
      <pivotArea dataOnly="0" labelOnly="1" fieldPosition="0">
        <references count="1">
          <reference field="0" count="0"/>
        </references>
      </pivotArea>
    </format>
    <format dxfId="1403">
      <pivotArea dataOnly="0" labelOnly="1" grandRow="1" outline="0" fieldPosition="0"/>
    </format>
    <format dxfId="1402">
      <pivotArea dataOnly="0" labelOnly="1" outline="0" axis="axisValues" fieldPosition="0"/>
    </format>
    <format dxfId="1401">
      <pivotArea type="all" dataOnly="0" outline="0" fieldPosition="0"/>
    </format>
    <format dxfId="1400">
      <pivotArea outline="0" collapsedLevelsAreSubtotals="1" fieldPosition="0"/>
    </format>
    <format dxfId="1399">
      <pivotArea dataOnly="0" labelOnly="1" fieldPosition="0">
        <references count="1">
          <reference field="0" count="0"/>
        </references>
      </pivotArea>
    </format>
    <format dxfId="1398">
      <pivotArea dataOnly="0" labelOnly="1" grandRow="1" outline="0" fieldPosition="0"/>
    </format>
    <format dxfId="1397">
      <pivotArea field="0" type="button" dataOnly="0" labelOnly="1" outline="0" axis="axisRow" fieldPosition="0"/>
    </format>
    <format dxfId="1396">
      <pivotArea dataOnly="0" labelOnly="1" outline="0" axis="axisValues" fieldPosition="0"/>
    </format>
    <format dxfId="1395">
      <pivotArea field="0" type="button" dataOnly="0" labelOnly="1" outline="0" axis="axisRow" fieldPosition="0"/>
    </format>
    <format dxfId="1394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utches"/>
    <pivotHierarchy dragToData="1"/>
    <pivotHierarchy dragToData="1"/>
    <pivotHierarchy dragToData="1"/>
    <pivotHierarchy dragToData="1" caption="First Death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8B163-A33B-4AF7-82A0-3166E31CD9F2}" name="Tabela dinâmica7" cacheId="5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rowHeaderCaption="Player">
  <location ref="B5:I57" firstHeaderRow="0" firstDataRow="1" firstDataCol="1"/>
  <pivotFields count="8">
    <pivotField axis="axisRow" allDrilled="1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2">
    <i>
      <x v="1"/>
    </i>
    <i>
      <x v="26"/>
    </i>
    <i>
      <x v="24"/>
    </i>
    <i>
      <x v="40"/>
    </i>
    <i>
      <x v="35"/>
    </i>
    <i>
      <x v="23"/>
    </i>
    <i>
      <x v="28"/>
    </i>
    <i>
      <x v="27"/>
    </i>
    <i>
      <x v="48"/>
    </i>
    <i>
      <x v="7"/>
    </i>
    <i>
      <x v="8"/>
    </i>
    <i>
      <x v="39"/>
    </i>
    <i>
      <x v="30"/>
    </i>
    <i>
      <x v="2"/>
    </i>
    <i>
      <x v="51"/>
    </i>
    <i>
      <x v="50"/>
    </i>
    <i>
      <x v="4"/>
    </i>
    <i>
      <x v="14"/>
    </i>
    <i>
      <x v="49"/>
    </i>
    <i>
      <x v="5"/>
    </i>
    <i>
      <x v="43"/>
    </i>
    <i>
      <x v="9"/>
    </i>
    <i>
      <x v="47"/>
    </i>
    <i>
      <x v="45"/>
    </i>
    <i>
      <x v="11"/>
    </i>
    <i>
      <x v="3"/>
    </i>
    <i>
      <x/>
    </i>
    <i>
      <x v="42"/>
    </i>
    <i>
      <x v="13"/>
    </i>
    <i>
      <x v="31"/>
    </i>
    <i>
      <x v="21"/>
    </i>
    <i>
      <x v="41"/>
    </i>
    <i>
      <x v="18"/>
    </i>
    <i>
      <x v="29"/>
    </i>
    <i>
      <x v="34"/>
    </i>
    <i>
      <x v="33"/>
    </i>
    <i>
      <x v="38"/>
    </i>
    <i>
      <x v="6"/>
    </i>
    <i>
      <x v="10"/>
    </i>
    <i>
      <x v="36"/>
    </i>
    <i>
      <x v="37"/>
    </i>
    <i>
      <x v="22"/>
    </i>
    <i>
      <x v="44"/>
    </i>
    <i>
      <x v="16"/>
    </i>
    <i>
      <x v="20"/>
    </i>
    <i>
      <x v="32"/>
    </i>
    <i>
      <x v="17"/>
    </i>
    <i>
      <x v="25"/>
    </i>
    <i>
      <x v="46"/>
    </i>
    <i>
      <x v="12"/>
    </i>
    <i>
      <x v="19"/>
    </i>
    <i>
      <x v="15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ating" fld="1" baseField="0" baseItem="0"/>
    <dataField name="ACS" fld="2" baseField="0" baseItem="0"/>
    <dataField name="KAST" fld="3" baseField="0" baseItem="0"/>
    <dataField name="HS" fld="4" baseField="0" baseItem="0"/>
    <dataField name="CL" fld="5" baseField="0" baseItem="0"/>
    <dataField name="FK" fld="6" baseField="0" baseItem="0"/>
    <dataField name="FD" fld="7" baseField="0" baseItem="0"/>
  </dataFields>
  <formats count="38">
    <format dxfId="1463">
      <pivotArea type="all" dataOnly="0" outline="0" fieldPosition="0"/>
    </format>
    <format dxfId="1462">
      <pivotArea outline="0" collapsedLevelsAreSubtotals="1" fieldPosition="0"/>
    </format>
    <format dxfId="1461">
      <pivotArea field="0" type="button" dataOnly="0" labelOnly="1" outline="0" axis="axisRow" fieldPosition="0"/>
    </format>
    <format dxfId="146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59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1458">
      <pivotArea dataOnly="0" labelOnly="1" grandRow="1" outline="0" fieldPosition="0"/>
    </format>
    <format dxfId="145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56">
      <pivotArea type="all" dataOnly="0" outline="0" fieldPosition="0"/>
    </format>
    <format dxfId="1455">
      <pivotArea outline="0" collapsedLevelsAreSubtotals="1" fieldPosition="0"/>
    </format>
    <format dxfId="1454">
      <pivotArea field="0" type="button" dataOnly="0" labelOnly="1" outline="0" axis="axisRow" fieldPosition="0"/>
    </format>
    <format dxfId="145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52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1451">
      <pivotArea dataOnly="0" labelOnly="1" grandRow="1" outline="0" fieldPosition="0"/>
    </format>
    <format dxfId="145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49">
      <pivotArea type="all" dataOnly="0" outline="0" fieldPosition="0"/>
    </format>
    <format dxfId="1448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447">
      <pivotArea collapsedLevelsAreSubtotals="1" fieldPosition="0">
        <references count="2">
          <reference field="4294967294" count="2" selected="0">
            <x v="3"/>
            <x v="4"/>
          </reference>
          <reference field="0" count="0"/>
        </references>
      </pivotArea>
    </format>
    <format dxfId="1446">
      <pivotArea type="all" dataOnly="0" outline="0" fieldPosition="0"/>
    </format>
    <format dxfId="1445">
      <pivotArea outline="0" collapsedLevelsAreSubtotals="1" fieldPosition="0"/>
    </format>
    <format dxfId="1444">
      <pivotArea field="0" type="button" dataOnly="0" labelOnly="1" outline="0" axis="axisRow" fieldPosition="0"/>
    </format>
    <format dxfId="144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442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1441">
      <pivotArea dataOnly="0" labelOnly="1" grandRow="1" outline="0" fieldPosition="0"/>
    </format>
    <format dxfId="144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39">
      <pivotArea type="all" dataOnly="0" outline="0" fieldPosition="0"/>
    </format>
    <format dxfId="1438">
      <pivotArea outline="0" collapsedLevelsAreSubtotals="1" fieldPosition="0"/>
    </format>
    <format dxfId="143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436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1435">
      <pivotArea dataOnly="0" labelOnly="1" grandRow="1" outline="0" fieldPosition="0"/>
    </format>
    <format dxfId="1434">
      <pivotArea field="0" type="button" dataOnly="0" labelOnly="1" outline="0" axis="axisRow" fieldPosition="0"/>
    </format>
    <format dxfId="14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32">
      <pivotArea type="all" dataOnly="0" outline="0" fieldPosition="0"/>
    </format>
    <format dxfId="1431">
      <pivotArea outline="0" collapsedLevelsAreSubtotals="1" fieldPosition="0"/>
    </format>
    <format dxfId="143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429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1428">
      <pivotArea dataOnly="0" labelOnly="1" grandRow="1" outline="0" fieldPosition="0"/>
    </format>
    <format dxfId="1427">
      <pivotArea field="0" type="button" dataOnly="0" labelOnly="1" outline="0" axis="axisRow" fieldPosition="0"/>
    </format>
    <format dxfId="142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ating"/>
    <pivotHierarchy dragToData="1"/>
    <pivotHierarchy dragToData="1"/>
    <pivotHierarchy dragToData="1"/>
    <pivotHierarchy dragToData="1" caption="FK"/>
    <pivotHierarchy dragToData="1" caption="CL"/>
    <pivotHierarchy dragToData="1"/>
    <pivotHierarchy dragToData="1"/>
    <pivotHierarchy dragToData="1" caption="ACS"/>
    <pivotHierarchy dragToData="1" caption="HS"/>
    <pivotHierarchy dragToData="1" caption="F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2EE56-913F-43D4-8EE4-07303056AA2E}" name="Tabela dinâmica12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I5:AJ66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2">
    <field x="0"/>
    <field x="2"/>
  </rowFields>
  <rowItems count="61">
    <i>
      <x v="8"/>
    </i>
    <i r="1">
      <x v="40"/>
    </i>
    <i r="1">
      <x v="41"/>
    </i>
    <i r="1">
      <x v="42"/>
    </i>
    <i r="1">
      <x v="43"/>
    </i>
    <i>
      <x v="1"/>
    </i>
    <i r="1">
      <x v="5"/>
    </i>
    <i r="1">
      <x v="6"/>
    </i>
    <i r="1">
      <x v="7"/>
    </i>
    <i r="1">
      <x v="8"/>
    </i>
    <i r="1">
      <x v="9"/>
    </i>
    <i>
      <x v="6"/>
    </i>
    <i r="1">
      <x v="30"/>
    </i>
    <i r="1">
      <x v="31"/>
    </i>
    <i r="1">
      <x v="32"/>
    </i>
    <i r="1">
      <x v="33"/>
    </i>
    <i r="1">
      <x v="34"/>
    </i>
    <i>
      <x v="9"/>
    </i>
    <i r="1">
      <x v="44"/>
    </i>
    <i r="1">
      <x v="45"/>
    </i>
    <i r="1">
      <x v="46"/>
    </i>
    <i r="1">
      <x v="47"/>
    </i>
    <i r="1">
      <x v="48"/>
    </i>
    <i r="1">
      <x v="49"/>
    </i>
    <i>
      <x/>
    </i>
    <i r="1">
      <x/>
    </i>
    <i r="1">
      <x v="1"/>
    </i>
    <i r="1">
      <x v="2"/>
    </i>
    <i r="1">
      <x v="3"/>
    </i>
    <i r="1">
      <x v="4"/>
    </i>
    <i>
      <x v="4"/>
    </i>
    <i r="1">
      <x v="21"/>
    </i>
    <i r="1">
      <x v="22"/>
    </i>
    <i r="1">
      <x v="23"/>
    </i>
    <i r="1">
      <x v="24"/>
    </i>
    <i>
      <x v="3"/>
    </i>
    <i r="1">
      <x v="16"/>
    </i>
    <i r="1">
      <x v="17"/>
    </i>
    <i r="1">
      <x v="18"/>
    </i>
    <i r="1">
      <x v="19"/>
    </i>
    <i r="1">
      <x v="2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25"/>
    </i>
    <i r="1">
      <x v="26"/>
    </i>
    <i r="1">
      <x v="27"/>
    </i>
    <i r="1">
      <x v="28"/>
    </i>
    <i r="1">
      <x v="29"/>
    </i>
    <i>
      <x v="7"/>
    </i>
    <i r="1">
      <x v="35"/>
    </i>
    <i r="1">
      <x v="36"/>
    </i>
    <i r="1">
      <x v="37"/>
    </i>
    <i r="1">
      <x v="38"/>
    </i>
    <i r="1">
      <x v="39"/>
    </i>
    <i t="grand">
      <x/>
    </i>
  </rowItems>
  <colItems count="1">
    <i/>
  </colItems>
  <dataFields count="1">
    <dataField name="Clutches" fld="1" subtotal="average" baseField="0" baseItem="0" numFmtId="9"/>
  </dataFields>
  <formats count="35">
    <format dxfId="1133">
      <pivotArea type="all" dataOnly="0" outline="0" fieldPosition="0"/>
    </format>
    <format dxfId="1132">
      <pivotArea outline="0" collapsedLevelsAreSubtotals="1" fieldPosition="0"/>
    </format>
    <format dxfId="1131">
      <pivotArea field="0" type="button" dataOnly="0" labelOnly="1" outline="0" axis="axisRow" fieldPosition="0"/>
    </format>
    <format dxfId="1130">
      <pivotArea dataOnly="0" labelOnly="1" fieldPosition="0">
        <references count="1">
          <reference field="0" count="0"/>
        </references>
      </pivotArea>
    </format>
    <format dxfId="1129">
      <pivotArea dataOnly="0" labelOnly="1" grandRow="1" outline="0" fieldPosition="0"/>
    </format>
    <format dxfId="1128">
      <pivotArea dataOnly="0" labelOnly="1" outline="0" axis="axisValues" fieldPosition="0"/>
    </format>
    <format dxfId="1127">
      <pivotArea type="all" dataOnly="0" outline="0" fieldPosition="0"/>
    </format>
    <format dxfId="1126">
      <pivotArea outline="0" collapsedLevelsAreSubtotals="1" fieldPosition="0"/>
    </format>
    <format dxfId="1125">
      <pivotArea field="0" type="button" dataOnly="0" labelOnly="1" outline="0" axis="axisRow" fieldPosition="0"/>
    </format>
    <format dxfId="1124">
      <pivotArea dataOnly="0" labelOnly="1" fieldPosition="0">
        <references count="1">
          <reference field="0" count="0"/>
        </references>
      </pivotArea>
    </format>
    <format dxfId="1123">
      <pivotArea dataOnly="0" labelOnly="1" grandRow="1" outline="0" fieldPosition="0"/>
    </format>
    <format dxfId="1122">
      <pivotArea dataOnly="0" labelOnly="1" outline="0" axis="axisValues" fieldPosition="0"/>
    </format>
    <format dxfId="1121">
      <pivotArea outline="0" collapsedLevelsAreSubtotals="1" fieldPosition="0"/>
    </format>
    <format dxfId="1120">
      <pivotArea type="all" dataOnly="0" outline="0" fieldPosition="0"/>
    </format>
    <format dxfId="1119">
      <pivotArea outline="0" collapsedLevelsAreSubtotals="1" fieldPosition="0"/>
    </format>
    <format dxfId="1118">
      <pivotArea field="0" type="button" dataOnly="0" labelOnly="1" outline="0" axis="axisRow" fieldPosition="0"/>
    </format>
    <format dxfId="1117">
      <pivotArea dataOnly="0" labelOnly="1" fieldPosition="0">
        <references count="1">
          <reference field="0" count="0"/>
        </references>
      </pivotArea>
    </format>
    <format dxfId="1116">
      <pivotArea dataOnly="0" labelOnly="1" grandRow="1" outline="0" fieldPosition="0"/>
    </format>
    <format dxfId="1115">
      <pivotArea dataOnly="0" labelOnly="1" outline="0" axis="axisValues" fieldPosition="0"/>
    </format>
    <format dxfId="1114">
      <pivotArea type="all" dataOnly="0" outline="0" fieldPosition="0"/>
    </format>
    <format dxfId="1113">
      <pivotArea outline="0" collapsedLevelsAreSubtotals="1" fieldPosition="0"/>
    </format>
    <format dxfId="1112">
      <pivotArea field="0" type="button" dataOnly="0" labelOnly="1" outline="0" axis="axisRow" fieldPosition="0"/>
    </format>
    <format dxfId="1111">
      <pivotArea dataOnly="0" labelOnly="1" fieldPosition="0">
        <references count="1">
          <reference field="0" count="0"/>
        </references>
      </pivotArea>
    </format>
    <format dxfId="1110">
      <pivotArea dataOnly="0" labelOnly="1" grandRow="1" outline="0" fieldPosition="0"/>
    </format>
    <format dxfId="1109">
      <pivotArea dataOnly="0" labelOnly="1" outline="0" axis="axisValues" fieldPosition="0"/>
    </format>
    <format dxfId="1108">
      <pivotArea type="all" dataOnly="0" outline="0" fieldPosition="0"/>
    </format>
    <format dxfId="1107">
      <pivotArea outline="0" collapsedLevelsAreSubtotals="1" fieldPosition="0"/>
    </format>
    <format dxfId="1106">
      <pivotArea field="0" type="button" dataOnly="0" labelOnly="1" outline="0" axis="axisRow" fieldPosition="0"/>
    </format>
    <format dxfId="1105">
      <pivotArea dataOnly="0" labelOnly="1" fieldPosition="0">
        <references count="1">
          <reference field="0" count="0"/>
        </references>
      </pivotArea>
    </format>
    <format dxfId="1104">
      <pivotArea dataOnly="0" labelOnly="1" grandRow="1" outline="0" fieldPosition="0"/>
    </format>
    <format dxfId="1103">
      <pivotArea dataOnly="0" labelOnly="1" outline="0" axis="axisValues" fieldPosition="0"/>
    </format>
    <format dxfId="1102">
      <pivotArea field="0" type="button" dataOnly="0" labelOnly="1" outline="0" axis="axisRow" fieldPosition="0"/>
    </format>
    <format dxfId="1101">
      <pivotArea dataOnly="0" labelOnly="1" outline="0" axis="axisValues" fieldPosition="0"/>
    </format>
    <format dxfId="1100">
      <pivotArea field="0" type="button" dataOnly="0" labelOnly="1" outline="0" axis="axisRow" fieldPosition="0"/>
    </format>
    <format dxfId="1099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utch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B14FD-07F0-4B5A-BADD-C145B277F55B}" name="Tabela dinâmica9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Z5:AA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1"/>
    </i>
    <i r="1">
      <x v="42"/>
    </i>
    <i r="1">
      <x v="43"/>
    </i>
    <i r="1">
      <x v="44"/>
    </i>
    <i r="1">
      <x v="45"/>
    </i>
    <i>
      <x v="5"/>
    </i>
    <i r="1">
      <x v="26"/>
    </i>
    <i r="1">
      <x v="27"/>
    </i>
    <i r="1">
      <x v="28"/>
    </i>
    <i r="1">
      <x v="29"/>
    </i>
    <i r="1">
      <x v="30"/>
    </i>
    <i>
      <x v="3"/>
    </i>
    <i r="1">
      <x v="16"/>
    </i>
    <i r="1">
      <x v="17"/>
    </i>
    <i r="1">
      <x v="18"/>
    </i>
    <i r="1">
      <x v="19"/>
    </i>
    <i r="1">
      <x v="20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21"/>
    </i>
    <i r="1">
      <x v="22"/>
    </i>
    <i r="1">
      <x v="23"/>
    </i>
    <i r="1">
      <x v="24"/>
    </i>
    <i r="1">
      <x v="25"/>
    </i>
    <i>
      <x v="7"/>
    </i>
    <i r="1">
      <x v="36"/>
    </i>
    <i r="1">
      <x v="37"/>
    </i>
    <i r="1">
      <x v="38"/>
    </i>
    <i r="1">
      <x v="39"/>
    </i>
    <i r="1">
      <x v="40"/>
    </i>
    <i t="grand">
      <x/>
    </i>
  </rowItems>
  <colItems count="1">
    <i/>
  </colItems>
  <dataFields count="1">
    <dataField name="ACS" fld="1" subtotal="average" baseField="0" baseItem="9"/>
  </dataFields>
  <formats count="36">
    <format dxfId="1169">
      <pivotArea type="all" dataOnly="0" outline="0" fieldPosition="0"/>
    </format>
    <format dxfId="1168">
      <pivotArea outline="0" collapsedLevelsAreSubtotals="1" fieldPosition="0"/>
    </format>
    <format dxfId="1167">
      <pivotArea field="0" type="button" dataOnly="0" labelOnly="1" outline="0" axis="axisRow" fieldPosition="0"/>
    </format>
    <format dxfId="1166">
      <pivotArea dataOnly="0" labelOnly="1" fieldPosition="0">
        <references count="1">
          <reference field="0" count="0"/>
        </references>
      </pivotArea>
    </format>
    <format dxfId="1165">
      <pivotArea dataOnly="0" labelOnly="1" grandRow="1" outline="0" fieldPosition="0"/>
    </format>
    <format dxfId="1164">
      <pivotArea dataOnly="0" labelOnly="1" outline="0" axis="axisValues" fieldPosition="0"/>
    </format>
    <format dxfId="1163">
      <pivotArea type="all" dataOnly="0" outline="0" fieldPosition="0"/>
    </format>
    <format dxfId="1162">
      <pivotArea outline="0" collapsedLevelsAreSubtotals="1" fieldPosition="0"/>
    </format>
    <format dxfId="1161">
      <pivotArea field="0" type="button" dataOnly="0" labelOnly="1" outline="0" axis="axisRow" fieldPosition="0"/>
    </format>
    <format dxfId="1160">
      <pivotArea dataOnly="0" labelOnly="1" fieldPosition="0">
        <references count="1">
          <reference field="0" count="0"/>
        </references>
      </pivotArea>
    </format>
    <format dxfId="1159">
      <pivotArea dataOnly="0" labelOnly="1" grandRow="1" outline="0" fieldPosition="0"/>
    </format>
    <format dxfId="1158">
      <pivotArea dataOnly="0" labelOnly="1" outline="0" axis="axisValues" fieldPosition="0"/>
    </format>
    <format dxfId="1157">
      <pivotArea type="all" dataOnly="0" outline="0" fieldPosition="0"/>
    </format>
    <format dxfId="1156">
      <pivotArea collapsedLevelsAreSubtotals="1" fieldPosition="0">
        <references count="1">
          <reference field="0" count="0"/>
        </references>
      </pivotArea>
    </format>
    <format dxfId="1155">
      <pivotArea type="all" dataOnly="0" outline="0" fieldPosition="0"/>
    </format>
    <format dxfId="1154">
      <pivotArea outline="0" collapsedLevelsAreSubtotals="1" fieldPosition="0"/>
    </format>
    <format dxfId="1153">
      <pivotArea field="0" type="button" dataOnly="0" labelOnly="1" outline="0" axis="axisRow" fieldPosition="0"/>
    </format>
    <format dxfId="1152">
      <pivotArea dataOnly="0" labelOnly="1" fieldPosition="0">
        <references count="1">
          <reference field="0" count="0"/>
        </references>
      </pivotArea>
    </format>
    <format dxfId="1151">
      <pivotArea dataOnly="0" labelOnly="1" grandRow="1" outline="0" fieldPosition="0"/>
    </format>
    <format dxfId="1150">
      <pivotArea dataOnly="0" labelOnly="1" outline="0" axis="axisValues" fieldPosition="0"/>
    </format>
    <format dxfId="1149">
      <pivotArea type="all" dataOnly="0" outline="0" fieldPosition="0"/>
    </format>
    <format dxfId="1148">
      <pivotArea outline="0" collapsedLevelsAreSubtotals="1" fieldPosition="0"/>
    </format>
    <format dxfId="1147">
      <pivotArea field="0" type="button" dataOnly="0" labelOnly="1" outline="0" axis="axisRow" fieldPosition="0"/>
    </format>
    <format dxfId="1146">
      <pivotArea dataOnly="0" labelOnly="1" fieldPosition="0">
        <references count="1">
          <reference field="0" count="0"/>
        </references>
      </pivotArea>
    </format>
    <format dxfId="1145">
      <pivotArea dataOnly="0" labelOnly="1" grandRow="1" outline="0" fieldPosition="0"/>
    </format>
    <format dxfId="1144">
      <pivotArea dataOnly="0" labelOnly="1" outline="0" axis="axisValues" fieldPosition="0"/>
    </format>
    <format dxfId="1143">
      <pivotArea type="all" dataOnly="0" outline="0" fieldPosition="0"/>
    </format>
    <format dxfId="1142">
      <pivotArea outline="0" collapsedLevelsAreSubtotals="1" fieldPosition="0"/>
    </format>
    <format dxfId="1141">
      <pivotArea field="0" type="button" dataOnly="0" labelOnly="1" outline="0" axis="axisRow" fieldPosition="0"/>
    </format>
    <format dxfId="1140">
      <pivotArea dataOnly="0" labelOnly="1" fieldPosition="0">
        <references count="1">
          <reference field="0" count="0"/>
        </references>
      </pivotArea>
    </format>
    <format dxfId="1139">
      <pivotArea dataOnly="0" labelOnly="1" grandRow="1" outline="0" fieldPosition="0"/>
    </format>
    <format dxfId="1138">
      <pivotArea dataOnly="0" labelOnly="1" outline="0" axis="axisValues" fieldPosition="0"/>
    </format>
    <format dxfId="1137">
      <pivotArea field="0" type="button" dataOnly="0" labelOnly="1" outline="0" axis="axisRow" fieldPosition="0"/>
    </format>
    <format dxfId="1136">
      <pivotArea dataOnly="0" labelOnly="1" outline="0" axis="axisValues" fieldPosition="0"/>
    </format>
    <format dxfId="1135">
      <pivotArea field="0" type="button" dataOnly="0" labelOnly="1" outline="0" axis="axisRow" fieldPosition="0"/>
    </format>
    <format dxfId="1134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CS"/>
    <pivotHierarchy dragToData="1"/>
    <pivotHierarchy dragToData="1"/>
    <pivotHierarchy dragToData="1"/>
    <pivotHierarchy dragToData="1"/>
    <pivotHierarchy dragToData="1"/>
    <pivotHierarchy dragToData="1"/>
    <pivotHierarchy dragToData="1" caption="AC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1829A-5C61-4DD2-A0E2-62B20444E4FA}" name="Tabela dinâmica11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F5:AG68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3"/>
    </i>
    <i r="1">
      <x v="16"/>
    </i>
    <i r="1">
      <x v="17"/>
    </i>
    <i r="1">
      <x v="18"/>
    </i>
    <i r="1">
      <x v="19"/>
    </i>
    <i r="1">
      <x v="20"/>
    </i>
    <i>
      <x v="6"/>
    </i>
    <i r="1">
      <x v="31"/>
    </i>
    <i r="1">
      <x v="32"/>
    </i>
    <i r="1">
      <x v="33"/>
    </i>
    <i r="1">
      <x v="34"/>
    </i>
    <i r="1">
      <x v="35"/>
    </i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1"/>
    </i>
    <i r="1">
      <x v="42"/>
    </i>
    <i r="1">
      <x v="43"/>
    </i>
    <i r="1">
      <x v="44"/>
    </i>
    <i r="1">
      <x v="45"/>
    </i>
    <i>
      <x v="7"/>
    </i>
    <i r="1">
      <x v="36"/>
    </i>
    <i r="1">
      <x v="37"/>
    </i>
    <i r="1">
      <x v="38"/>
    </i>
    <i r="1">
      <x v="39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>
      <x v="4"/>
    </i>
    <i r="1">
      <x v="21"/>
    </i>
    <i r="1">
      <x v="22"/>
    </i>
    <i r="1">
      <x v="23"/>
    </i>
    <i r="1">
      <x v="24"/>
    </i>
    <i r="1">
      <x v="25"/>
    </i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FDPR" fld="1" baseField="0" baseItem="0"/>
  </dataFields>
  <formats count="34">
    <format dxfId="1203">
      <pivotArea type="all" dataOnly="0" outline="0" fieldPosition="0"/>
    </format>
    <format dxfId="1202">
      <pivotArea outline="0" collapsedLevelsAreSubtotals="1" fieldPosition="0"/>
    </format>
    <format dxfId="1201">
      <pivotArea field="0" type="button" dataOnly="0" labelOnly="1" outline="0" axis="axisRow" fieldPosition="0"/>
    </format>
    <format dxfId="1200">
      <pivotArea dataOnly="0" labelOnly="1" fieldPosition="0">
        <references count="1">
          <reference field="0" count="0"/>
        </references>
      </pivotArea>
    </format>
    <format dxfId="1199">
      <pivotArea dataOnly="0" labelOnly="1" grandRow="1" outline="0" fieldPosition="0"/>
    </format>
    <format dxfId="1198">
      <pivotArea dataOnly="0" labelOnly="1" outline="0" axis="axisValues" fieldPosition="0"/>
    </format>
    <format dxfId="1197">
      <pivotArea type="all" dataOnly="0" outline="0" fieldPosition="0"/>
    </format>
    <format dxfId="1196">
      <pivotArea outline="0" collapsedLevelsAreSubtotals="1" fieldPosition="0"/>
    </format>
    <format dxfId="1195">
      <pivotArea field="0" type="button" dataOnly="0" labelOnly="1" outline="0" axis="axisRow" fieldPosition="0"/>
    </format>
    <format dxfId="1194">
      <pivotArea dataOnly="0" labelOnly="1" fieldPosition="0">
        <references count="1">
          <reference field="0" count="0"/>
        </references>
      </pivotArea>
    </format>
    <format dxfId="1193">
      <pivotArea dataOnly="0" labelOnly="1" grandRow="1" outline="0" fieldPosition="0"/>
    </format>
    <format dxfId="1192">
      <pivotArea dataOnly="0" labelOnly="1" outline="0" axis="axisValues" fieldPosition="0"/>
    </format>
    <format dxfId="1191">
      <pivotArea type="all" dataOnly="0" outline="0" fieldPosition="0"/>
    </format>
    <format dxfId="1190">
      <pivotArea outline="0" collapsedLevelsAreSubtotals="1" fieldPosition="0"/>
    </format>
    <format dxfId="1189">
      <pivotArea field="0" type="button" dataOnly="0" labelOnly="1" outline="0" axis="axisRow" fieldPosition="0"/>
    </format>
    <format dxfId="1188">
      <pivotArea dataOnly="0" labelOnly="1" fieldPosition="0">
        <references count="1">
          <reference field="0" count="0"/>
        </references>
      </pivotArea>
    </format>
    <format dxfId="1187">
      <pivotArea dataOnly="0" labelOnly="1" grandRow="1" outline="0" fieldPosition="0"/>
    </format>
    <format dxfId="1186">
      <pivotArea dataOnly="0" labelOnly="1" outline="0" axis="axisValues" fieldPosition="0"/>
    </format>
    <format dxfId="1185">
      <pivotArea type="all" dataOnly="0" outline="0" fieldPosition="0"/>
    </format>
    <format dxfId="1184">
      <pivotArea outline="0" collapsedLevelsAreSubtotals="1" fieldPosition="0"/>
    </format>
    <format dxfId="1183">
      <pivotArea field="0" type="button" dataOnly="0" labelOnly="1" outline="0" axis="axisRow" fieldPosition="0"/>
    </format>
    <format dxfId="1182">
      <pivotArea dataOnly="0" labelOnly="1" fieldPosition="0">
        <references count="1">
          <reference field="0" count="0"/>
        </references>
      </pivotArea>
    </format>
    <format dxfId="1181">
      <pivotArea dataOnly="0" labelOnly="1" grandRow="1" outline="0" fieldPosition="0"/>
    </format>
    <format dxfId="1180">
      <pivotArea dataOnly="0" labelOnly="1" outline="0" axis="axisValues" fieldPosition="0"/>
    </format>
    <format dxfId="1179">
      <pivotArea type="all" dataOnly="0" outline="0" fieldPosition="0"/>
    </format>
    <format dxfId="1178">
      <pivotArea outline="0" collapsedLevelsAreSubtotals="1" fieldPosition="0"/>
    </format>
    <format dxfId="1177">
      <pivotArea field="0" type="button" dataOnly="0" labelOnly="1" outline="0" axis="axisRow" fieldPosition="0"/>
    </format>
    <format dxfId="1176">
      <pivotArea dataOnly="0" labelOnly="1" fieldPosition="0">
        <references count="1">
          <reference field="0" count="0"/>
        </references>
      </pivotArea>
    </format>
    <format dxfId="1175">
      <pivotArea dataOnly="0" labelOnly="1" grandRow="1" outline="0" fieldPosition="0"/>
    </format>
    <format dxfId="1174">
      <pivotArea dataOnly="0" labelOnly="1" outline="0" axis="axisValues" fieldPosition="0"/>
    </format>
    <format dxfId="1173">
      <pivotArea field="0" type="button" dataOnly="0" labelOnly="1" outline="0" axis="axisRow" fieldPosition="0"/>
    </format>
    <format dxfId="1172">
      <pivotArea dataOnly="0" labelOnly="1" outline="0" axis="axisValues" fieldPosition="0"/>
    </format>
    <format dxfId="1171">
      <pivotArea field="0" type="button" dataOnly="0" labelOnly="1" outline="0" axis="axisRow" fieldPosition="0"/>
    </format>
    <format dxfId="1170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DP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69A67-8A82-4B21-834E-9272C60315A1}" name="Tabela dinâmica3" cacheId="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N5:O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8"/>
    </i>
    <i r="1">
      <x v="41"/>
    </i>
    <i r="1">
      <x v="42"/>
    </i>
    <i r="1">
      <x v="43"/>
    </i>
    <i r="1">
      <x v="44"/>
    </i>
    <i r="1">
      <x v="45"/>
    </i>
    <i>
      <x v="1"/>
    </i>
    <i r="1">
      <x v="5"/>
    </i>
    <i r="1">
      <x v="6"/>
    </i>
    <i r="1">
      <x v="7"/>
    </i>
    <i r="1">
      <x v="8"/>
    </i>
    <i r="1">
      <x v="9"/>
    </i>
    <i>
      <x v="5"/>
    </i>
    <i r="1">
      <x v="26"/>
    </i>
    <i r="1">
      <x v="27"/>
    </i>
    <i r="1">
      <x v="28"/>
    </i>
    <i r="1">
      <x v="29"/>
    </i>
    <i r="1">
      <x v="30"/>
    </i>
    <i>
      <x v="3"/>
    </i>
    <i r="1">
      <x v="16"/>
    </i>
    <i r="1">
      <x v="17"/>
    </i>
    <i r="1">
      <x v="18"/>
    </i>
    <i r="1">
      <x v="19"/>
    </i>
    <i r="1">
      <x v="20"/>
    </i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36"/>
    </i>
    <i r="1">
      <x v="37"/>
    </i>
    <i r="1">
      <x v="38"/>
    </i>
    <i r="1">
      <x v="39"/>
    </i>
    <i r="1">
      <x v="40"/>
    </i>
    <i>
      <x v="4"/>
    </i>
    <i r="1">
      <x v="21"/>
    </i>
    <i r="1">
      <x v="22"/>
    </i>
    <i r="1">
      <x v="23"/>
    </i>
    <i r="1">
      <x v="24"/>
    </i>
    <i r="1">
      <x v="2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KAST" fld="1" subtotal="average" baseField="0" baseItem="0"/>
  </dataFields>
  <formats count="51">
    <format dxfId="1254">
      <pivotArea type="all" dataOnly="0" outline="0" fieldPosition="0"/>
    </format>
    <format dxfId="1253">
      <pivotArea type="all" dataOnly="0" outline="0" fieldPosition="0"/>
    </format>
    <format dxfId="1252">
      <pivotArea type="all" dataOnly="0" outline="0" fieldPosition="0"/>
    </format>
    <format dxfId="1251">
      <pivotArea collapsedLevelsAreSubtotals="1" fieldPosition="0">
        <references count="1">
          <reference field="0" count="0"/>
        </references>
      </pivotArea>
    </format>
    <format dxfId="1250">
      <pivotArea type="all" dataOnly="0" outline="0" fieldPosition="0"/>
    </format>
    <format dxfId="1249">
      <pivotArea outline="0" collapsedLevelsAreSubtotals="1" fieldPosition="0"/>
    </format>
    <format dxfId="1248">
      <pivotArea field="0" type="button" dataOnly="0" labelOnly="1" outline="0" axis="axisRow" fieldPosition="0"/>
    </format>
    <format dxfId="1247">
      <pivotArea dataOnly="0" labelOnly="1" fieldPosition="0">
        <references count="1">
          <reference field="0" count="0"/>
        </references>
      </pivotArea>
    </format>
    <format dxfId="1246">
      <pivotArea dataOnly="0" labelOnly="1" grandRow="1" outline="0" fieldPosition="0"/>
    </format>
    <format dxfId="1245">
      <pivotArea dataOnly="0" labelOnly="1" outline="0" axis="axisValues" fieldPosition="0"/>
    </format>
    <format dxfId="1244">
      <pivotArea type="all" dataOnly="0" outline="0" fieldPosition="0"/>
    </format>
    <format dxfId="1243">
      <pivotArea outline="0" collapsedLevelsAreSubtotals="1" fieldPosition="0"/>
    </format>
    <format dxfId="1242">
      <pivotArea field="0" type="button" dataOnly="0" labelOnly="1" outline="0" axis="axisRow" fieldPosition="0"/>
    </format>
    <format dxfId="1241">
      <pivotArea dataOnly="0" labelOnly="1" fieldPosition="0">
        <references count="1">
          <reference field="0" count="0"/>
        </references>
      </pivotArea>
    </format>
    <format dxfId="1240">
      <pivotArea dataOnly="0" labelOnly="1" grandRow="1" outline="0" fieldPosition="0"/>
    </format>
    <format dxfId="1239">
      <pivotArea dataOnly="0" labelOnly="1" outline="0" axis="axisValues" fieldPosition="0"/>
    </format>
    <format dxfId="1238">
      <pivotArea type="all" dataOnly="0" outline="0" fieldPosition="0"/>
    </format>
    <format dxfId="1237">
      <pivotArea outline="0" collapsedLevelsAreSubtotals="1" fieldPosition="0"/>
    </format>
    <format dxfId="1236">
      <pivotArea field="0" type="button" dataOnly="0" labelOnly="1" outline="0" axis="axisRow" fieldPosition="0"/>
    </format>
    <format dxfId="1235">
      <pivotArea dataOnly="0" labelOnly="1" fieldPosition="0">
        <references count="1">
          <reference field="0" count="0"/>
        </references>
      </pivotArea>
    </format>
    <format dxfId="1234">
      <pivotArea dataOnly="0" labelOnly="1" grandRow="1" outline="0" fieldPosition="0"/>
    </format>
    <format dxfId="1233">
      <pivotArea dataOnly="0" labelOnly="1" outline="0" axis="axisValues" fieldPosition="0"/>
    </format>
    <format dxfId="1232">
      <pivotArea type="all" dataOnly="0" outline="0" fieldPosition="0"/>
    </format>
    <format dxfId="1231">
      <pivotArea outline="0" collapsedLevelsAreSubtotals="1" fieldPosition="0"/>
    </format>
    <format dxfId="1230">
      <pivotArea dataOnly="0" labelOnly="1" fieldPosition="0">
        <references count="1">
          <reference field="0" count="0"/>
        </references>
      </pivotArea>
    </format>
    <format dxfId="1229">
      <pivotArea dataOnly="0" labelOnly="1" grandRow="1" outline="0" fieldPosition="0"/>
    </format>
    <format dxfId="1228">
      <pivotArea field="0" type="button" dataOnly="0" labelOnly="1" outline="0" axis="axisRow" fieldPosition="0"/>
    </format>
    <format dxfId="1227">
      <pivotArea dataOnly="0" labelOnly="1" outline="0" axis="axisValues" fieldPosition="0"/>
    </format>
    <format dxfId="1226">
      <pivotArea field="0" type="button" dataOnly="0" labelOnly="1" outline="0" axis="axisRow" fieldPosition="0"/>
    </format>
    <format dxfId="1225">
      <pivotArea outline="0" collapsedLevelsAreSubtotals="1" fieldPosition="0"/>
    </format>
    <format dxfId="1224">
      <pivotArea dataOnly="0" labelOnly="1" outline="0" axis="axisValues" fieldPosition="0"/>
    </format>
    <format dxfId="1223">
      <pivotArea collapsedLevelsAreSubtotals="1" fieldPosition="0">
        <references count="2">
          <reference field="0" count="1" selected="0">
            <x v="6"/>
          </reference>
          <reference field="2" count="5">
            <x v="31"/>
            <x v="32"/>
            <x v="33"/>
            <x v="34"/>
            <x v="35"/>
          </reference>
        </references>
      </pivotArea>
    </format>
    <format dxfId="1222">
      <pivotArea collapsedLevelsAreSubtotals="1" fieldPosition="0">
        <references count="1">
          <reference field="0" count="1">
            <x v="8"/>
          </reference>
        </references>
      </pivotArea>
    </format>
    <format dxfId="1221">
      <pivotArea collapsedLevelsAreSubtotals="1" fieldPosition="0">
        <references count="2">
          <reference field="0" count="1" selected="0">
            <x v="8"/>
          </reference>
          <reference field="2" count="5">
            <x v="41"/>
            <x v="42"/>
            <x v="43"/>
            <x v="44"/>
            <x v="45"/>
          </reference>
        </references>
      </pivotArea>
    </format>
    <format dxfId="1220">
      <pivotArea collapsedLevelsAreSubtotals="1" fieldPosition="0">
        <references count="1">
          <reference field="0" count="1">
            <x v="5"/>
          </reference>
        </references>
      </pivotArea>
    </format>
    <format dxfId="1219">
      <pivotArea collapsedLevelsAreSubtotals="1" fieldPosition="0">
        <references count="2">
          <reference field="0" count="1" selected="0">
            <x v="5"/>
          </reference>
          <reference field="2" count="5">
            <x v="26"/>
            <x v="27"/>
            <x v="28"/>
            <x v="29"/>
            <x v="30"/>
          </reference>
        </references>
      </pivotArea>
    </format>
    <format dxfId="1218">
      <pivotArea collapsedLevelsAreSubtotals="1" fieldPosition="0">
        <references count="1">
          <reference field="0" count="1">
            <x v="1"/>
          </reference>
        </references>
      </pivotArea>
    </format>
    <format dxfId="1217">
      <pivotArea collapsedLevelsAreSubtotals="1" fieldPosition="0">
        <references count="2">
          <reference field="0" count="1" selected="0">
            <x v="1"/>
          </reference>
          <reference field="2" count="5">
            <x v="5"/>
            <x v="6"/>
            <x v="7"/>
            <x v="8"/>
            <x v="9"/>
          </reference>
        </references>
      </pivotArea>
    </format>
    <format dxfId="1216">
      <pivotArea collapsedLevelsAreSubtotals="1" fieldPosition="0">
        <references count="1">
          <reference field="0" count="1">
            <x v="3"/>
          </reference>
        </references>
      </pivotArea>
    </format>
    <format dxfId="1215">
      <pivotArea collapsedLevelsAreSubtotals="1" fieldPosition="0">
        <references count="2">
          <reference field="0" count="1" selected="0">
            <x v="3"/>
          </reference>
          <reference field="2" count="5">
            <x v="16"/>
            <x v="17"/>
            <x v="18"/>
            <x v="19"/>
            <x v="20"/>
          </reference>
        </references>
      </pivotArea>
    </format>
    <format dxfId="1214">
      <pivotArea collapsedLevelsAreSubtotals="1" fieldPosition="0">
        <references count="1">
          <reference field="0" count="1">
            <x v="0"/>
          </reference>
        </references>
      </pivotArea>
    </format>
    <format dxfId="1213">
      <pivotArea collapsedLevelsAreSubtotals="1" fieldPosition="0">
        <references count="2">
          <reference field="0" count="1" selected="0">
            <x v="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212">
      <pivotArea collapsedLevelsAreSubtotals="1" fieldPosition="0">
        <references count="1">
          <reference field="0" count="1">
            <x v="2"/>
          </reference>
        </references>
      </pivotArea>
    </format>
    <format dxfId="1211">
      <pivotArea collapsedLevelsAreSubtotals="1" fieldPosition="0">
        <references count="2">
          <reference field="0" count="1" selected="0">
            <x v="2"/>
          </reference>
          <reference field="2" count="6">
            <x v="10"/>
            <x v="11"/>
            <x v="12"/>
            <x v="13"/>
            <x v="14"/>
            <x v="15"/>
          </reference>
        </references>
      </pivotArea>
    </format>
    <format dxfId="1210">
      <pivotArea collapsedLevelsAreSubtotals="1" fieldPosition="0">
        <references count="1">
          <reference field="0" count="1">
            <x v="9"/>
          </reference>
        </references>
      </pivotArea>
    </format>
    <format dxfId="1209">
      <pivotArea collapsedLevelsAreSubtotals="1" fieldPosition="0">
        <references count="2">
          <reference field="0" count="1" selected="0">
            <x v="9"/>
          </reference>
          <reference field="2" count="6">
            <x v="46"/>
            <x v="47"/>
            <x v="48"/>
            <x v="49"/>
            <x v="50"/>
            <x v="51"/>
          </reference>
        </references>
      </pivotArea>
    </format>
    <format dxfId="1208">
      <pivotArea collapsedLevelsAreSubtotals="1" fieldPosition="0">
        <references count="1">
          <reference field="0" count="1">
            <x v="7"/>
          </reference>
        </references>
      </pivotArea>
    </format>
    <format dxfId="1207">
      <pivotArea collapsedLevelsAreSubtotals="1" fieldPosition="0">
        <references count="2">
          <reference field="0" count="1" selected="0">
            <x v="7"/>
          </reference>
          <reference field="2" count="5">
            <x v="36"/>
            <x v="37"/>
            <x v="38"/>
            <x v="39"/>
            <x v="40"/>
          </reference>
        </references>
      </pivotArea>
    </format>
    <format dxfId="1206">
      <pivotArea collapsedLevelsAreSubtotals="1" fieldPosition="0">
        <references count="1">
          <reference field="0" count="1">
            <x v="4"/>
          </reference>
        </references>
      </pivotArea>
    </format>
    <format dxfId="1205">
      <pivotArea collapsedLevelsAreSubtotals="1" fieldPosition="0">
        <references count="2">
          <reference field="0" count="1" selected="0">
            <x v="4"/>
          </reference>
          <reference field="2" count="5">
            <x v="21"/>
            <x v="22"/>
            <x v="23"/>
            <x v="24"/>
            <x v="25"/>
          </reference>
        </references>
      </pivotArea>
    </format>
    <format dxfId="1204">
      <pivotArea grandRow="1" outline="0" collapsedLevelsAreSubtotals="1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KA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3E551-399E-4B54-9481-2CD022A7BE4B}" name="Tabela dinâmica8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W5:X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3"/>
    </i>
    <i r="1">
      <x v="16"/>
    </i>
    <i r="1">
      <x v="17"/>
    </i>
    <i r="1">
      <x v="18"/>
    </i>
    <i r="1">
      <x v="19"/>
    </i>
    <i r="1">
      <x v="2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26"/>
    </i>
    <i r="1">
      <x v="27"/>
    </i>
    <i r="1">
      <x v="28"/>
    </i>
    <i r="1">
      <x v="29"/>
    </i>
    <i r="1">
      <x v="30"/>
    </i>
    <i>
      <x v="1"/>
    </i>
    <i r="1">
      <x v="5"/>
    </i>
    <i r="1">
      <x v="6"/>
    </i>
    <i r="1">
      <x v="7"/>
    </i>
    <i r="1">
      <x v="8"/>
    </i>
    <i r="1">
      <x v="9"/>
    </i>
    <i>
      <x v="4"/>
    </i>
    <i r="1">
      <x v="21"/>
    </i>
    <i r="1">
      <x v="22"/>
    </i>
    <i r="1">
      <x v="23"/>
    </i>
    <i r="1">
      <x v="24"/>
    </i>
    <i r="1">
      <x v="25"/>
    </i>
    <i>
      <x v="6"/>
    </i>
    <i r="1">
      <x v="31"/>
    </i>
    <i r="1">
      <x v="32"/>
    </i>
    <i r="1">
      <x v="33"/>
    </i>
    <i r="1">
      <x v="34"/>
    </i>
    <i r="1">
      <x v="35"/>
    </i>
    <i>
      <x/>
    </i>
    <i r="1">
      <x/>
    </i>
    <i r="1">
      <x v="1"/>
    </i>
    <i r="1">
      <x v="2"/>
    </i>
    <i r="1">
      <x v="3"/>
    </i>
    <i r="1">
      <x v="4"/>
    </i>
    <i>
      <x v="7"/>
    </i>
    <i r="1">
      <x v="36"/>
    </i>
    <i r="1">
      <x v="37"/>
    </i>
    <i r="1">
      <x v="38"/>
    </i>
    <i r="1">
      <x v="39"/>
    </i>
    <i r="1">
      <x v="40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8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Média de K:D" fld="1" subtotal="average" baseField="0" baseItem="5"/>
  </dataFields>
  <formats count="26">
    <format dxfId="1280">
      <pivotArea type="all" dataOnly="0" outline="0" fieldPosition="0"/>
    </format>
    <format dxfId="1279">
      <pivotArea outline="0" collapsedLevelsAreSubtotals="1" fieldPosition="0"/>
    </format>
    <format dxfId="1278">
      <pivotArea field="0" type="button" dataOnly="0" labelOnly="1" outline="0" axis="axisRow" fieldPosition="0"/>
    </format>
    <format dxfId="1277">
      <pivotArea dataOnly="0" labelOnly="1" fieldPosition="0">
        <references count="1">
          <reference field="0" count="0"/>
        </references>
      </pivotArea>
    </format>
    <format dxfId="1276">
      <pivotArea dataOnly="0" labelOnly="1" grandRow="1" outline="0" fieldPosition="0"/>
    </format>
    <format dxfId="1275">
      <pivotArea dataOnly="0" labelOnly="1" outline="0" axis="axisValues" fieldPosition="0"/>
    </format>
    <format dxfId="1274">
      <pivotArea type="all" dataOnly="0" outline="0" fieldPosition="0"/>
    </format>
    <format dxfId="1273">
      <pivotArea outline="0" collapsedLevelsAreSubtotals="1" fieldPosition="0"/>
    </format>
    <format dxfId="1272">
      <pivotArea field="0" type="button" dataOnly="0" labelOnly="1" outline="0" axis="axisRow" fieldPosition="0"/>
    </format>
    <format dxfId="1271">
      <pivotArea dataOnly="0" labelOnly="1" fieldPosition="0">
        <references count="1">
          <reference field="0" count="0"/>
        </references>
      </pivotArea>
    </format>
    <format dxfId="1270">
      <pivotArea dataOnly="0" labelOnly="1" grandRow="1" outline="0" fieldPosition="0"/>
    </format>
    <format dxfId="1269">
      <pivotArea dataOnly="0" labelOnly="1" outline="0" axis="axisValues" fieldPosition="0"/>
    </format>
    <format dxfId="1268">
      <pivotArea type="all" dataOnly="0" outline="0" fieldPosition="0"/>
    </format>
    <format dxfId="1267">
      <pivotArea outline="0" collapsedLevelsAreSubtotals="1" fieldPosition="0"/>
    </format>
    <format dxfId="1266">
      <pivotArea field="0" type="button" dataOnly="0" labelOnly="1" outline="0" axis="axisRow" fieldPosition="0"/>
    </format>
    <format dxfId="1265">
      <pivotArea dataOnly="0" labelOnly="1" fieldPosition="0">
        <references count="1">
          <reference field="0" count="0"/>
        </references>
      </pivotArea>
    </format>
    <format dxfId="1264">
      <pivotArea dataOnly="0" labelOnly="1" grandRow="1" outline="0" fieldPosition="0"/>
    </format>
    <format dxfId="1263">
      <pivotArea dataOnly="0" labelOnly="1" outline="0" axis="axisValues" fieldPosition="0"/>
    </format>
    <format dxfId="1262">
      <pivotArea type="all" dataOnly="0" outline="0" fieldPosition="0"/>
    </format>
    <format dxfId="1261">
      <pivotArea outline="0" collapsedLevelsAreSubtotals="1" fieldPosition="0"/>
    </format>
    <format dxfId="1260">
      <pivotArea dataOnly="0" labelOnly="1" fieldPosition="0">
        <references count="1">
          <reference field="0" count="0"/>
        </references>
      </pivotArea>
    </format>
    <format dxfId="1259">
      <pivotArea dataOnly="0" labelOnly="1" grandRow="1" outline="0" fieldPosition="0"/>
    </format>
    <format dxfId="1258">
      <pivotArea field="0" type="button" dataOnly="0" labelOnly="1" outline="0" axis="axisRow" fieldPosition="0"/>
    </format>
    <format dxfId="1257">
      <pivotArea dataOnly="0" labelOnly="1" outline="0" axis="axisValues" fieldPosition="0"/>
    </format>
    <format dxfId="1256">
      <pivotArea field="0" type="button" dataOnly="0" labelOnly="1" outline="0" axis="axisRow" fieldPosition="0"/>
    </format>
    <format dxfId="1255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KD"/>
    <pivotHierarchy dragToData="1"/>
    <pivotHierarchy dragToData="1"/>
    <pivotHierarchy dragToData="1" caption="Média de K: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4B70C-27D4-492E-8305-C6AD85F337D2}" name="Tabela dinâmica6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L5:AM16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6"/>
    </i>
    <i>
      <x v="3"/>
    </i>
    <i>
      <x v="8"/>
    </i>
    <i>
      <x v="5"/>
    </i>
    <i>
      <x/>
    </i>
    <i>
      <x v="9"/>
    </i>
    <i>
      <x v="2"/>
    </i>
    <i>
      <x v="7"/>
    </i>
    <i>
      <x v="4"/>
    </i>
    <i t="grand">
      <x/>
    </i>
  </rowItems>
  <colItems count="1">
    <i/>
  </colItems>
  <dataFields count="1">
    <dataField name="Wins" fld="1" baseField="0" baseItem="0"/>
  </dataFields>
  <formats count="34">
    <format dxfId="1314">
      <pivotArea type="all" dataOnly="0" outline="0" fieldPosition="0"/>
    </format>
    <format dxfId="1313">
      <pivotArea type="all" dataOnly="0" outline="0" fieldPosition="0"/>
    </format>
    <format dxfId="1312">
      <pivotArea type="all" dataOnly="0" outline="0" fieldPosition="0"/>
    </format>
    <format dxfId="1311">
      <pivotArea outline="0" collapsedLevelsAreSubtotals="1" fieldPosition="0"/>
    </format>
    <format dxfId="1310">
      <pivotArea field="0" type="button" dataOnly="0" labelOnly="1" outline="0" axis="axisRow" fieldPosition="0"/>
    </format>
    <format dxfId="1309">
      <pivotArea dataOnly="0" labelOnly="1" fieldPosition="0">
        <references count="1">
          <reference field="0" count="0"/>
        </references>
      </pivotArea>
    </format>
    <format dxfId="1308">
      <pivotArea dataOnly="0" labelOnly="1" grandRow="1" outline="0" fieldPosition="0"/>
    </format>
    <format dxfId="1307">
      <pivotArea dataOnly="0" labelOnly="1" outline="0" axis="axisValues" fieldPosition="0"/>
    </format>
    <format dxfId="1306">
      <pivotArea type="all" dataOnly="0" outline="0" fieldPosition="0"/>
    </format>
    <format dxfId="1305">
      <pivotArea outline="0" collapsedLevelsAreSubtotals="1" fieldPosition="0"/>
    </format>
    <format dxfId="1304">
      <pivotArea field="0" type="button" dataOnly="0" labelOnly="1" outline="0" axis="axisRow" fieldPosition="0"/>
    </format>
    <format dxfId="1303">
      <pivotArea dataOnly="0" labelOnly="1" fieldPosition="0">
        <references count="1">
          <reference field="0" count="0"/>
        </references>
      </pivotArea>
    </format>
    <format dxfId="1302">
      <pivotArea dataOnly="0" labelOnly="1" grandRow="1" outline="0" fieldPosition="0"/>
    </format>
    <format dxfId="1301">
      <pivotArea dataOnly="0" labelOnly="1" outline="0" axis="axisValues" fieldPosition="0"/>
    </format>
    <format dxfId="1300">
      <pivotArea type="all" dataOnly="0" outline="0" fieldPosition="0"/>
    </format>
    <format dxfId="1299">
      <pivotArea outline="0" collapsedLevelsAreSubtotals="1" fieldPosition="0"/>
    </format>
    <format dxfId="1298">
      <pivotArea field="0" type="button" dataOnly="0" labelOnly="1" outline="0" axis="axisRow" fieldPosition="0"/>
    </format>
    <format dxfId="1297">
      <pivotArea dataOnly="0" labelOnly="1" fieldPosition="0">
        <references count="1">
          <reference field="0" count="0"/>
        </references>
      </pivotArea>
    </format>
    <format dxfId="1296">
      <pivotArea dataOnly="0" labelOnly="1" grandRow="1" outline="0" fieldPosition="0"/>
    </format>
    <format dxfId="1295">
      <pivotArea dataOnly="0" labelOnly="1" outline="0" axis="axisValues" fieldPosition="0"/>
    </format>
    <format dxfId="1294">
      <pivotArea type="all" dataOnly="0" outline="0" fieldPosition="0"/>
    </format>
    <format dxfId="1293">
      <pivotArea outline="0" collapsedLevelsAreSubtotals="1" fieldPosition="0"/>
    </format>
    <format dxfId="1292">
      <pivotArea dataOnly="0" labelOnly="1" fieldPosition="0">
        <references count="1">
          <reference field="0" count="0"/>
        </references>
      </pivotArea>
    </format>
    <format dxfId="1291">
      <pivotArea dataOnly="0" labelOnly="1" grandRow="1" outline="0" fieldPosition="0"/>
    </format>
    <format dxfId="1290">
      <pivotArea type="all" dataOnly="0" outline="0" fieldPosition="0"/>
    </format>
    <format dxfId="1289">
      <pivotArea outline="0" collapsedLevelsAreSubtotals="1" fieldPosition="0"/>
    </format>
    <format dxfId="1288">
      <pivotArea field="0" type="button" dataOnly="0" labelOnly="1" outline="0" axis="axisRow" fieldPosition="0"/>
    </format>
    <format dxfId="1287">
      <pivotArea dataOnly="0" labelOnly="1" fieldPosition="0">
        <references count="1">
          <reference field="0" count="0"/>
        </references>
      </pivotArea>
    </format>
    <format dxfId="1286">
      <pivotArea dataOnly="0" labelOnly="1" grandRow="1" outline="0" fieldPosition="0"/>
    </format>
    <format dxfId="1285">
      <pivotArea dataOnly="0" labelOnly="1" outline="0" axis="axisValues" fieldPosition="0"/>
    </format>
    <format dxfId="1284">
      <pivotArea field="0" type="button" dataOnly="0" labelOnly="1" outline="0" axis="axisRow" fieldPosition="0"/>
    </format>
    <format dxfId="1283">
      <pivotArea dataOnly="0" labelOnly="1" outline="0" axis="axisValues" fieldPosition="0"/>
    </format>
    <format dxfId="1282">
      <pivotArea field="0" type="button" dataOnly="0" labelOnly="1" outline="0" axis="axisRow" fieldPosition="0"/>
    </format>
    <format dxfId="1281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i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_stats]"/>
        <x15:activeTabTopLevelEntity name="[team_stats_amer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E98D4-9E35-4F73-A13E-8E0F37F6B8AD}" name="Tabela dinâmica2" cacheId="52" applyNumberFormats="0" applyBorderFormats="0" applyFontFormats="0" applyPatternFormats="0" applyAlignmentFormats="0" applyWidthHeightFormats="1" dataCaption="Valores" updatedVersion="8" minRefreshableVersion="3" visualTotals="0" useAutoFormatting="1" subtotalHiddenItems="1" itemPrintTitles="1" createdVersion="8" indent="0" outline="1" outlineData="1" multipleFieldFilters="0" chartFormat="2" rowHeaderCaption="Teams">
  <location ref="K5:L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63">
    <i>
      <x v="6"/>
    </i>
    <i r="1">
      <x v="31"/>
    </i>
    <i r="1">
      <x v="33"/>
    </i>
    <i r="1">
      <x v="32"/>
    </i>
    <i r="1">
      <x v="35"/>
    </i>
    <i r="1">
      <x v="34"/>
    </i>
    <i>
      <x v="5"/>
    </i>
    <i r="1">
      <x v="26"/>
    </i>
    <i r="1">
      <x v="28"/>
    </i>
    <i r="1">
      <x v="27"/>
    </i>
    <i r="1">
      <x v="29"/>
    </i>
    <i r="1">
      <x v="30"/>
    </i>
    <i>
      <x v="8"/>
    </i>
    <i r="1">
      <x v="44"/>
    </i>
    <i r="1">
      <x v="45"/>
    </i>
    <i r="1">
      <x v="42"/>
    </i>
    <i r="1">
      <x v="41"/>
    </i>
    <i r="1">
      <x v="43"/>
    </i>
    <i>
      <x v="3"/>
    </i>
    <i r="1">
      <x v="17"/>
    </i>
    <i r="1">
      <x v="16"/>
    </i>
    <i r="1">
      <x v="19"/>
    </i>
    <i r="1">
      <x v="18"/>
    </i>
    <i r="1">
      <x v="20"/>
    </i>
    <i>
      <x/>
    </i>
    <i r="1">
      <x/>
    </i>
    <i r="1">
      <x v="2"/>
    </i>
    <i r="1">
      <x v="1"/>
    </i>
    <i r="1">
      <x v="3"/>
    </i>
    <i r="1">
      <x v="4"/>
    </i>
    <i>
      <x v="9"/>
    </i>
    <i r="1">
      <x v="47"/>
    </i>
    <i r="1">
      <x v="51"/>
    </i>
    <i r="1">
      <x v="49"/>
    </i>
    <i r="1">
      <x v="48"/>
    </i>
    <i r="1">
      <x v="50"/>
    </i>
    <i r="1">
      <x v="46"/>
    </i>
    <i>
      <x v="7"/>
    </i>
    <i r="1">
      <x v="38"/>
    </i>
    <i r="1">
      <x v="37"/>
    </i>
    <i r="1">
      <x v="40"/>
    </i>
    <i r="1">
      <x v="39"/>
    </i>
    <i r="1">
      <x v="36"/>
    </i>
    <i>
      <x v="4"/>
    </i>
    <i r="1">
      <x v="24"/>
    </i>
    <i r="1">
      <x v="25"/>
    </i>
    <i r="1">
      <x v="21"/>
    </i>
    <i r="1">
      <x v="22"/>
    </i>
    <i r="1">
      <x v="23"/>
    </i>
    <i>
      <x v="1"/>
    </i>
    <i r="1">
      <x v="6"/>
    </i>
    <i r="1">
      <x v="7"/>
    </i>
    <i r="1">
      <x v="9"/>
    </i>
    <i r="1">
      <x v="8"/>
    </i>
    <i r="1">
      <x v="5"/>
    </i>
    <i>
      <x v="2"/>
    </i>
    <i r="1">
      <x v="10"/>
    </i>
    <i r="1">
      <x v="11"/>
    </i>
    <i r="1">
      <x v="13"/>
    </i>
    <i r="1">
      <x v="12"/>
    </i>
    <i r="1">
      <x v="15"/>
    </i>
    <i r="1">
      <x v="14"/>
    </i>
    <i t="grand">
      <x/>
    </i>
  </rowItems>
  <colItems count="1">
    <i/>
  </colItems>
  <dataFields count="1">
    <dataField name="Rating" fld="1" subtotal="average" baseField="0" baseItem="0"/>
  </dataFields>
  <formats count="45">
    <format dxfId="1359">
      <pivotArea collapsedLevelsAreSubtotals="1" fieldPosition="0">
        <references count="1">
          <reference field="0" count="0"/>
        </references>
      </pivotArea>
    </format>
    <format dxfId="1358">
      <pivotArea type="all" dataOnly="0" outline="0" fieldPosition="0"/>
    </format>
    <format dxfId="1357">
      <pivotArea outline="0" collapsedLevelsAreSubtotals="1" fieldPosition="0"/>
    </format>
    <format dxfId="1356">
      <pivotArea field="0" type="button" dataOnly="0" labelOnly="1" outline="0" axis="axisRow" fieldPosition="0"/>
    </format>
    <format dxfId="1355">
      <pivotArea dataOnly="0" labelOnly="1" fieldPosition="0">
        <references count="1">
          <reference field="0" count="0"/>
        </references>
      </pivotArea>
    </format>
    <format dxfId="1354">
      <pivotArea dataOnly="0" labelOnly="1" grandRow="1" outline="0" fieldPosition="0"/>
    </format>
    <format dxfId="1353">
      <pivotArea dataOnly="0" labelOnly="1" outline="0" axis="axisValues" fieldPosition="0"/>
    </format>
    <format dxfId="1352">
      <pivotArea type="all" dataOnly="0" outline="0" fieldPosition="0"/>
    </format>
    <format dxfId="1351">
      <pivotArea outline="0" collapsedLevelsAreSubtotals="1" fieldPosition="0"/>
    </format>
    <format dxfId="1350">
      <pivotArea field="0" type="button" dataOnly="0" labelOnly="1" outline="0" axis="axisRow" fieldPosition="0"/>
    </format>
    <format dxfId="1349">
      <pivotArea dataOnly="0" labelOnly="1" fieldPosition="0">
        <references count="1">
          <reference field="0" count="0"/>
        </references>
      </pivotArea>
    </format>
    <format dxfId="1348">
      <pivotArea dataOnly="0" labelOnly="1" grandRow="1" outline="0" fieldPosition="0"/>
    </format>
    <format dxfId="1347">
      <pivotArea dataOnly="0" labelOnly="1" outline="0" axis="axisValues" fieldPosition="0"/>
    </format>
    <format dxfId="1346">
      <pivotArea type="all" dataOnly="0" outline="0" fieldPosition="0"/>
    </format>
    <format dxfId="1345">
      <pivotArea grandRow="1" outline="0" collapsedLevelsAreSubtotals="1" fieldPosition="0"/>
    </format>
    <format dxfId="1344">
      <pivotArea type="all" dataOnly="0" outline="0" fieldPosition="0"/>
    </format>
    <format dxfId="1343">
      <pivotArea outline="0" collapsedLevelsAreSubtotals="1" fieldPosition="0"/>
    </format>
    <format dxfId="1342">
      <pivotArea field="0" type="button" dataOnly="0" labelOnly="1" outline="0" axis="axisRow" fieldPosition="0"/>
    </format>
    <format dxfId="1341">
      <pivotArea dataOnly="0" labelOnly="1" fieldPosition="0">
        <references count="1">
          <reference field="0" count="0"/>
        </references>
      </pivotArea>
    </format>
    <format dxfId="1340">
      <pivotArea dataOnly="0" labelOnly="1" grandRow="1" outline="0" fieldPosition="0"/>
    </format>
    <format dxfId="1339">
      <pivotArea dataOnly="0" labelOnly="1" outline="0" axis="axisValues" fieldPosition="0"/>
    </format>
    <format dxfId="1338">
      <pivotArea type="all" dataOnly="0" outline="0" fieldPosition="0"/>
    </format>
    <format dxfId="1337">
      <pivotArea outline="0" collapsedLevelsAreSubtotals="1" fieldPosition="0"/>
    </format>
    <format dxfId="1336">
      <pivotArea field="0" type="button" dataOnly="0" labelOnly="1" outline="0" axis="axisRow" fieldPosition="0"/>
    </format>
    <format dxfId="1335">
      <pivotArea dataOnly="0" labelOnly="1" fieldPosition="0">
        <references count="1">
          <reference field="0" count="0"/>
        </references>
      </pivotArea>
    </format>
    <format dxfId="1334">
      <pivotArea dataOnly="0" labelOnly="1" grandRow="1" outline="0" fieldPosition="0"/>
    </format>
    <format dxfId="1333">
      <pivotArea dataOnly="0" labelOnly="1" outline="0" axis="axisValues" fieldPosition="0"/>
    </format>
    <format dxfId="1332">
      <pivotArea type="all" dataOnly="0" outline="0" fieldPosition="0"/>
    </format>
    <format dxfId="1331">
      <pivotArea outline="0" collapsedLevelsAreSubtotals="1" fieldPosition="0"/>
    </format>
    <format dxfId="1330">
      <pivotArea field="0" type="button" dataOnly="0" labelOnly="1" outline="0" axis="axisRow" fieldPosition="0"/>
    </format>
    <format dxfId="1329">
      <pivotArea dataOnly="0" labelOnly="1" fieldPosition="0">
        <references count="1">
          <reference field="0" count="0"/>
        </references>
      </pivotArea>
    </format>
    <format dxfId="1328">
      <pivotArea dataOnly="0" labelOnly="1" grandRow="1" outline="0" fieldPosition="0"/>
    </format>
    <format dxfId="1327">
      <pivotArea dataOnly="0" labelOnly="1" outline="0" axis="axisValues" fieldPosition="0"/>
    </format>
    <format dxfId="1326">
      <pivotArea type="all" dataOnly="0" outline="0" fieldPosition="0"/>
    </format>
    <format dxfId="1325">
      <pivotArea outline="0" collapsedLevelsAreSubtotals="1" fieldPosition="0"/>
    </format>
    <format dxfId="1324">
      <pivotArea dataOnly="0" labelOnly="1" fieldPosition="0">
        <references count="1">
          <reference field="0" count="0"/>
        </references>
      </pivotArea>
    </format>
    <format dxfId="1323">
      <pivotArea dataOnly="0" labelOnly="1" grandRow="1" outline="0" fieldPosition="0"/>
    </format>
    <format dxfId="1322">
      <pivotArea field="0" type="button" dataOnly="0" labelOnly="1" outline="0" axis="axisRow" fieldPosition="0"/>
    </format>
    <format dxfId="1321">
      <pivotArea dataOnly="0" labelOnly="1" outline="0" axis="axisValues" fieldPosition="0"/>
    </format>
    <format dxfId="1320">
      <pivotArea type="all" dataOnly="0" outline="0" fieldPosition="0"/>
    </format>
    <format dxfId="1319">
      <pivotArea dataOnly="0" labelOnly="1" fieldPosition="0">
        <references count="1">
          <reference field="0" count="0"/>
        </references>
      </pivotArea>
    </format>
    <format dxfId="1318">
      <pivotArea dataOnly="0" labelOnly="1" grandRow="1" outline="0" fieldPosition="0"/>
    </format>
    <format dxfId="1317">
      <pivotArea outline="0" collapsedLevelsAreSubtotals="1" fieldPosition="0"/>
    </format>
    <format dxfId="1316">
      <pivotArea field="0" type="button" dataOnly="0" labelOnly="1" outline="0" axis="axisRow" fieldPosition="0"/>
    </format>
    <format dxfId="1315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BA5B9-D2B4-4C3C-AC35-8ADADD82A4F4}" name="Tabela dinâmica10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">
  <location ref="AC5:AD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8"/>
    </i>
    <i r="1">
      <x v="41"/>
    </i>
    <i r="1">
      <x v="42"/>
    </i>
    <i r="1">
      <x v="43"/>
    </i>
    <i r="1">
      <x v="44"/>
    </i>
    <i r="1">
      <x v="45"/>
    </i>
    <i>
      <x v="6"/>
    </i>
    <i r="1">
      <x v="31"/>
    </i>
    <i r="1">
      <x v="32"/>
    </i>
    <i r="1">
      <x v="33"/>
    </i>
    <i r="1">
      <x v="34"/>
    </i>
    <i r="1">
      <x v="35"/>
    </i>
    <i>
      <x v="5"/>
    </i>
    <i r="1">
      <x v="26"/>
    </i>
    <i r="1">
      <x v="27"/>
    </i>
    <i r="1">
      <x v="28"/>
    </i>
    <i r="1">
      <x v="29"/>
    </i>
    <i r="1">
      <x v="30"/>
    </i>
    <i>
      <x v="3"/>
    </i>
    <i r="1">
      <x v="16"/>
    </i>
    <i r="1">
      <x v="17"/>
    </i>
    <i r="1">
      <x v="18"/>
    </i>
    <i r="1">
      <x v="19"/>
    </i>
    <i r="1">
      <x v="20"/>
    </i>
    <i>
      <x/>
    </i>
    <i r="1">
      <x/>
    </i>
    <i r="1">
      <x v="1"/>
    </i>
    <i r="1">
      <x v="2"/>
    </i>
    <i r="1">
      <x v="3"/>
    </i>
    <i r="1">
      <x v="4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36"/>
    </i>
    <i r="1">
      <x v="37"/>
    </i>
    <i r="1">
      <x v="38"/>
    </i>
    <i r="1">
      <x v="39"/>
    </i>
    <i r="1">
      <x v="40"/>
    </i>
    <i>
      <x v="4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FKPR" fld="1" subtotal="average" baseField="0" baseItem="6"/>
  </dataFields>
  <formats count="34">
    <format dxfId="1393">
      <pivotArea type="all" dataOnly="0" outline="0" fieldPosition="0"/>
    </format>
    <format dxfId="1392">
      <pivotArea outline="0" collapsedLevelsAreSubtotals="1" fieldPosition="0"/>
    </format>
    <format dxfId="1391">
      <pivotArea field="0" type="button" dataOnly="0" labelOnly="1" outline="0" axis="axisRow" fieldPosition="0"/>
    </format>
    <format dxfId="1390">
      <pivotArea dataOnly="0" labelOnly="1" fieldPosition="0">
        <references count="1">
          <reference field="0" count="0"/>
        </references>
      </pivotArea>
    </format>
    <format dxfId="1389">
      <pivotArea dataOnly="0" labelOnly="1" grandRow="1" outline="0" fieldPosition="0"/>
    </format>
    <format dxfId="1388">
      <pivotArea dataOnly="0" labelOnly="1" outline="0" axis="axisValues" fieldPosition="0"/>
    </format>
    <format dxfId="1387">
      <pivotArea type="all" dataOnly="0" outline="0" fieldPosition="0"/>
    </format>
    <format dxfId="1386">
      <pivotArea outline="0" collapsedLevelsAreSubtotals="1" fieldPosition="0"/>
    </format>
    <format dxfId="1385">
      <pivotArea field="0" type="button" dataOnly="0" labelOnly="1" outline="0" axis="axisRow" fieldPosition="0"/>
    </format>
    <format dxfId="1384">
      <pivotArea dataOnly="0" labelOnly="1" fieldPosition="0">
        <references count="1">
          <reference field="0" count="0"/>
        </references>
      </pivotArea>
    </format>
    <format dxfId="1383">
      <pivotArea dataOnly="0" labelOnly="1" grandRow="1" outline="0" fieldPosition="0"/>
    </format>
    <format dxfId="1382">
      <pivotArea dataOnly="0" labelOnly="1" outline="0" axis="axisValues" fieldPosition="0"/>
    </format>
    <format dxfId="1381">
      <pivotArea type="all" dataOnly="0" outline="0" fieldPosition="0"/>
    </format>
    <format dxfId="1380">
      <pivotArea outline="0" collapsedLevelsAreSubtotals="1" fieldPosition="0"/>
    </format>
    <format dxfId="1379">
      <pivotArea field="0" type="button" dataOnly="0" labelOnly="1" outline="0" axis="axisRow" fieldPosition="0"/>
    </format>
    <format dxfId="1378">
      <pivotArea dataOnly="0" labelOnly="1" fieldPosition="0">
        <references count="1">
          <reference field="0" count="0"/>
        </references>
      </pivotArea>
    </format>
    <format dxfId="1377">
      <pivotArea dataOnly="0" labelOnly="1" grandRow="1" outline="0" fieldPosition="0"/>
    </format>
    <format dxfId="1376">
      <pivotArea dataOnly="0" labelOnly="1" outline="0" axis="axisValues" fieldPosition="0"/>
    </format>
    <format dxfId="1375">
      <pivotArea type="all" dataOnly="0" outline="0" fieldPosition="0"/>
    </format>
    <format dxfId="1374">
      <pivotArea outline="0" collapsedLevelsAreSubtotals="1" fieldPosition="0"/>
    </format>
    <format dxfId="1373">
      <pivotArea field="0" type="button" dataOnly="0" labelOnly="1" outline="0" axis="axisRow" fieldPosition="0"/>
    </format>
    <format dxfId="1372">
      <pivotArea dataOnly="0" labelOnly="1" fieldPosition="0">
        <references count="1">
          <reference field="0" count="0"/>
        </references>
      </pivotArea>
    </format>
    <format dxfId="1371">
      <pivotArea dataOnly="0" labelOnly="1" grandRow="1" outline="0" fieldPosition="0"/>
    </format>
    <format dxfId="1370">
      <pivotArea dataOnly="0" labelOnly="1" outline="0" axis="axisValues" fieldPosition="0"/>
    </format>
    <format dxfId="1369">
      <pivotArea type="all" dataOnly="0" outline="0" fieldPosition="0"/>
    </format>
    <format dxfId="1368">
      <pivotArea outline="0" collapsedLevelsAreSubtotals="1" fieldPosition="0"/>
    </format>
    <format dxfId="1367">
      <pivotArea field="0" type="button" dataOnly="0" labelOnly="1" outline="0" axis="axisRow" fieldPosition="0"/>
    </format>
    <format dxfId="1366">
      <pivotArea dataOnly="0" labelOnly="1" fieldPosition="0">
        <references count="1">
          <reference field="0" count="0"/>
        </references>
      </pivotArea>
    </format>
    <format dxfId="1365">
      <pivotArea dataOnly="0" labelOnly="1" grandRow="1" outline="0" fieldPosition="0"/>
    </format>
    <format dxfId="1364">
      <pivotArea dataOnly="0" labelOnly="1" outline="0" axis="axisValues" fieldPosition="0"/>
    </format>
    <format dxfId="1363">
      <pivotArea field="0" type="button" dataOnly="0" labelOnly="1" outline="0" axis="axisRow" fieldPosition="0"/>
    </format>
    <format dxfId="1362">
      <pivotArea dataOnly="0" labelOnly="1" outline="0" axis="axisValues" fieldPosition="0"/>
    </format>
    <format dxfId="1361">
      <pivotArea field="0" type="button" dataOnly="0" labelOnly="1" outline="0" axis="axisRow" fieldPosition="0"/>
    </format>
    <format dxfId="1360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KPR"/>
    <pivotHierarchy dragToData="1"/>
    <pivotHierarchy dragToData="1"/>
    <pivotHierarchy dragToData="1"/>
    <pivotHierarchy dragToData="1" caption="FKPR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87F5CDA-6EF6-46F0-86E8-E2F8FD23684E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Wins" tableColumnId="2"/>
      <queryTableField id="3" name="Loss" tableColumnId="3"/>
      <queryTableField id="4" name="Ties" tableColumnId="4"/>
      <queryTableField id="5" name="MAP" tableColumnId="5"/>
      <queryTableField id="6" name="RND" tableColumnId="6"/>
      <queryTableField id="7" name="Δ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44E627E-C0AD-441D-AE19-06D3DDF5CF86}" autoFormatId="16" applyNumberFormats="0" applyBorderFormats="0" applyFontFormats="0" applyPatternFormats="0" applyAlignmentFormats="0" applyWidthHeightFormats="0">
  <queryTableRefresh nextId="30">
    <queryTableFields count="22">
      <queryTableField id="26" name="Player" tableColumnId="24"/>
      <queryTableField id="27" name="Team" tableColumnId="25"/>
      <queryTableField id="2" name="Agents" tableColumnId="2"/>
      <queryTableField id="3" name="Rnd" tableColumnId="3"/>
      <queryTableField id="4" name="R" tableColumnId="4"/>
      <queryTableField id="5" name="ACS" tableColumnId="5"/>
      <queryTableField id="6" name="K:D" tableColumnId="6"/>
      <queryTableField id="7" name="KAST" tableColumnId="7"/>
      <queryTableField id="8" name="ADR" tableColumnId="8"/>
      <queryTableField id="9" name="KPR" tableColumnId="9"/>
      <queryTableField id="10" name="APR" tableColumnId="10"/>
      <queryTableField id="11" name="FKPR" tableColumnId="11"/>
      <queryTableField id="12" name="FDPR" tableColumnId="12"/>
      <queryTableField id="13" name="HS%" tableColumnId="13"/>
      <queryTableField id="14" name="CL%" tableColumnId="14"/>
      <queryTableField id="15" name="CL" tableColumnId="15"/>
      <queryTableField id="16" name="KMax" tableColumnId="16"/>
      <queryTableField id="17" name="K" tableColumnId="17"/>
      <queryTableField id="18" name="D" tableColumnId="18"/>
      <queryTableField id="19" name="A" tableColumnId="19"/>
      <queryTableField id="20" name="FK" tableColumnId="20"/>
      <queryTableField id="21" name="FD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DB151D6-CB00-4C8E-9955-8F45F7F5D860}" autoFormatId="16" applyNumberFormats="0" applyBorderFormats="0" applyFontFormats="0" applyPatternFormats="0" applyAlignmentFormats="0" applyWidthHeightFormats="0">
  <queryTableRefresh nextId="17">
    <queryTableFields count="7">
      <queryTableField id="10" name="Team" tableColumnId="10"/>
      <queryTableField id="11" name="Player1" tableColumnId="11"/>
      <queryTableField id="12" name="Player2" tableColumnId="12"/>
      <queryTableField id="13" name="Player3" tableColumnId="13"/>
      <queryTableField id="14" name="Player4" tableColumnId="14"/>
      <queryTableField id="15" name="Player5" tableColumnId="15"/>
      <queryTableField id="16" name="Player6" tableColumnId="16"/>
    </queryTableFields>
    <queryTableDeletedFields count="1">
      <deletedField name="Column2.8"/>
    </queryTableDeletedFields>
  </queryTableRefresh>
</queryTable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ayersLOUD" displayName="playersLOUD" ref="D10:K15" totalsRowShown="0">
  <autoFilter ref="D10:K15" xr:uid="{00000000-0009-0000-0100-000003000000}"/>
  <tableColumns count="8">
    <tableColumn id="1" xr3:uid="{00000000-0010-0000-0100-000001000000}" name="Players" dataDxfId="1070"/>
    <tableColumn id="2" xr3:uid="{00000000-0010-0000-0100-000002000000}" name="Rating" dataDxfId="1069">
      <calculatedColumnFormula>VLOOKUP(D11,player_stats[#All],5,FALSE)</calculatedColumnFormula>
    </tableColumn>
    <tableColumn id="3" xr3:uid="{00000000-0010-0000-0100-000003000000}" name="ACS" dataDxfId="1068">
      <calculatedColumnFormula>VLOOKUP(D11,player_stats[#All],6,FALSE)</calculatedColumnFormula>
    </tableColumn>
    <tableColumn id="5" xr3:uid="{2363F034-9346-4B93-93BB-7533B6D34A61}" name="KAST" dataCellStyle="Porcentagem">
      <calculatedColumnFormula>VLOOKUP(D11,player_stats[#All],8,FALSE)</calculatedColumnFormula>
    </tableColumn>
    <tableColumn id="6" xr3:uid="{AD793F01-EAD9-46ED-9594-896B23CEF011}" name="HS%" dataCellStyle="Porcentagem">
      <calculatedColumnFormula>VLOOKUP(D11,player_stats[#All],14,FALSE)</calculatedColumnFormula>
    </tableColumn>
    <tableColumn id="7" xr3:uid="{E36FFFD6-CF59-49D0-9F63-D270EB4D159D}" name="CL%" dataCellStyle="Porcentagem">
      <calculatedColumnFormula>VLOOKUP(D11,player_stats[#All],15,FALSE)</calculatedColumnFormula>
    </tableColumn>
    <tableColumn id="4" xr3:uid="{00000000-0010-0000-0100-000004000000}" name="FK" dataDxfId="1067"/>
    <tableColumn id="8" xr3:uid="{25120DE8-0685-4CD4-AD47-C537CE65347D}" name="FD" dataCellStyle="Porcentagem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7045D1A-1FAD-4CE2-A811-E31CE0B3A237}" name="team100T" displayName="team100T" ref="D75:K76" totalsRowShown="0" headerRowDxfId="997" tableBorderDxfId="996">
  <autoFilter ref="D75:K76" xr:uid="{77045D1A-1FAD-4CE2-A811-E31CE0B3A237}"/>
  <tableColumns count="8">
    <tableColumn id="1" xr3:uid="{66856128-54FE-4050-BC8A-DA315F09D512}" name="WINS" dataDxfId="995">
      <calculatedColumnFormula>VLOOKUP(D71,team_stats_americas[#All],2,FALSE)</calculatedColumnFormula>
    </tableColumn>
    <tableColumn id="2" xr3:uid="{DAE92573-6A76-417F-900D-30DFDA27EAA2}" name="LOSS" dataDxfId="994">
      <calculatedColumnFormula>VLOOKUP(D71,team_stats_americas[#All],3,FALSE)</calculatedColumnFormula>
    </tableColumn>
    <tableColumn id="3" xr3:uid="{142EDD29-BDFC-44F3-ACC3-58317CF4B785}" name="TIES" dataDxfId="993">
      <calculatedColumnFormula>VLOOKUP(D71,team_stats_americas[#All],4,FALSE)</calculatedColumnFormula>
    </tableColumn>
    <tableColumn id="4" xr3:uid="{CCE275E5-5BEC-4278-A498-404F49506C05}" name="MAP" dataDxfId="992">
      <calculatedColumnFormula>VLOOKUP(D71,team_stats_americas[#All],5,FALSE)</calculatedColumnFormula>
    </tableColumn>
    <tableColumn id="5" xr3:uid="{120EBBC6-1FBD-46C8-8FE9-96C58E755356}" name="RND" dataDxfId="991">
      <calculatedColumnFormula>VLOOKUP(D71,team_stats_americas[#All],6,FALSE)</calculatedColumnFormula>
    </tableColumn>
    <tableColumn id="7" xr3:uid="{813A0DE5-9A76-4862-9B1D-282797C82E8E}" name="S.MAPS" dataDxfId="990">
      <calculatedColumnFormula>VLOOKUP(D71,team_stats_americas[#All],7,FALSE)</calculatedColumnFormula>
    </tableColumn>
    <tableColumn id="6" xr3:uid="{0B586ED3-7C05-46BB-AFA5-05E53E39D302}" name="Players RATING" dataDxfId="989">
      <calculatedColumnFormula>E84</calculatedColumnFormula>
    </tableColumn>
    <tableColumn id="8" xr3:uid="{10DDF2D1-F687-44E8-9968-FC79650E3B74}" name="KAST" dataDxfId="988" dataCellStyle="Porcentagem">
      <calculatedColumnFormula>G84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955D2BA-E884-48A5-83EA-DADC9FBAC80C}" name="playersSEN" displayName="playersSEN" ref="M10:T15" totalsRowShown="0">
  <autoFilter ref="M10:T15" xr:uid="{C955D2BA-E884-48A5-83EA-DADC9FBAC80C}"/>
  <tableColumns count="8">
    <tableColumn id="1" xr3:uid="{E40AC739-A0BC-4BDB-A10C-F882549CC40A}" name="Players" dataDxfId="987"/>
    <tableColumn id="2" xr3:uid="{785F4273-8050-4589-BBC7-28B33A07526B}" name="Rating" dataDxfId="986">
      <calculatedColumnFormula>VLOOKUP(M11,player_stats[#All],5,FALSE)</calculatedColumnFormula>
    </tableColumn>
    <tableColumn id="3" xr3:uid="{FF33D511-9510-4ED6-95B2-184208C2A2F3}" name="ACS" dataDxfId="985">
      <calculatedColumnFormula>VLOOKUP(M11,player_stats[#All],6,FALSE)</calculatedColumnFormula>
    </tableColumn>
    <tableColumn id="5" xr3:uid="{F351E745-A582-4598-8754-3D8F80EE1763}" name="KAST" dataDxfId="984" dataCellStyle="Porcentagem">
      <calculatedColumnFormula>VLOOKUP(M11,player_stats[#All],8,FALSE)</calculatedColumnFormula>
    </tableColumn>
    <tableColumn id="6" xr3:uid="{5714F816-130D-431A-86CE-7AD25B18DB2F}" name="HS%" dataDxfId="983" dataCellStyle="Porcentagem">
      <calculatedColumnFormula>VLOOKUP(M11,player_stats[#All],14,FALSE)</calculatedColumnFormula>
    </tableColumn>
    <tableColumn id="7" xr3:uid="{3F677204-2B96-404B-8765-954369F77D84}" name="CL%" dataCellStyle="Porcentagem">
      <calculatedColumnFormula>VLOOKUP(M11,player_stats[#All],15,FALSE)</calculatedColumnFormula>
    </tableColumn>
    <tableColumn id="4" xr3:uid="{9B7673D9-E8A1-4D08-A1D2-FB5F9A324324}" name="FK" dataDxfId="982"/>
    <tableColumn id="8" xr3:uid="{C8899B2A-EF6C-4EA5-BCD6-EE2357DB2270}" name="FD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0B0F539-F6FC-4751-A1EF-F07035D8558F}" name="playersMIBR" displayName="playersMIBR" ref="M27:T32" totalsRowShown="0">
  <autoFilter ref="M27:T32" xr:uid="{C0B0F539-F6FC-4751-A1EF-F07035D8558F}"/>
  <tableColumns count="8">
    <tableColumn id="1" xr3:uid="{A0435F85-D338-4C75-85BF-E9EF85679A83}" name="Players" dataDxfId="981"/>
    <tableColumn id="2" xr3:uid="{98B28923-7D20-4489-90F6-40DBDE15B295}" name="Rating" dataDxfId="980">
      <calculatedColumnFormula>VLOOKUP(M28,player_stats[#All],5,FALSE)</calculatedColumnFormula>
    </tableColumn>
    <tableColumn id="3" xr3:uid="{B2885C91-91D3-4F45-849B-9E107FAE3E36}" name="ACS" dataDxfId="979">
      <calculatedColumnFormula>VLOOKUP(M28,player_stats[#All],6,FALSE)</calculatedColumnFormula>
    </tableColumn>
    <tableColumn id="5" xr3:uid="{5D134A35-EBE4-47D8-936B-8C854F37BA6F}" name="KAST" dataDxfId="978" dataCellStyle="Porcentagem">
      <calculatedColumnFormula>VLOOKUP(M28,player_stats[#All],8,FALSE)</calculatedColumnFormula>
    </tableColumn>
    <tableColumn id="6" xr3:uid="{E6ED0958-997F-4C59-BD09-C8FA6F6D3268}" name="HS%" dataDxfId="977" dataCellStyle="Porcentagem">
      <calculatedColumnFormula>VLOOKUP(M28,player_stats[#All],14,FALSE)</calculatedColumnFormula>
    </tableColumn>
    <tableColumn id="7" xr3:uid="{D11EF0CC-7AE0-4E76-88E2-2F2511985BC1}" name="CL%" dataCellStyle="Porcentagem">
      <calculatedColumnFormula>VLOOKUP(M28,player_stats[#All],15,FALSE)</calculatedColumnFormula>
    </tableColumn>
    <tableColumn id="4" xr3:uid="{5A1B77B0-4EC9-4BF4-AFB7-9FE0BF2FC6D5}" name="FK" dataDxfId="976"/>
    <tableColumn id="8" xr3:uid="{6A3DFD9A-6539-41AA-AA2D-196B4667CB4F}" name="FD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68309DB-6830-479D-BC2F-DB7C05E00989}" name="teamMIBR" displayName="teamMIBR" ref="M24:T25" totalsRowShown="0" headerRowDxfId="975" tableBorderDxfId="974">
  <autoFilter ref="M24:T25" xr:uid="{568309DB-6830-479D-BC2F-DB7C05E00989}"/>
  <tableColumns count="8">
    <tableColumn id="1" xr3:uid="{ADD7FE35-EFC4-4DC2-8949-D48BC45747A6}" name="WINS" dataDxfId="973">
      <calculatedColumnFormula>VLOOKUP(M20,team_stats_americas[#All],2,FALSE)</calculatedColumnFormula>
    </tableColumn>
    <tableColumn id="2" xr3:uid="{FF5F40F7-FC62-4D68-BB28-91D0E8631515}" name="LOSS" dataDxfId="972">
      <calculatedColumnFormula>VLOOKUP(M20,team_stats_americas[#All],3,FALSE)</calculatedColumnFormula>
    </tableColumn>
    <tableColumn id="3" xr3:uid="{12225825-1DED-4545-92D4-64F70548C86F}" name="TIES" dataDxfId="971">
      <calculatedColumnFormula>VLOOKUP(M20,team_stats_americas[#All],4,FALSE)</calculatedColumnFormula>
    </tableColumn>
    <tableColumn id="4" xr3:uid="{335F8C6A-6EB6-4953-A0BE-6760651400A2}" name="MAP" dataDxfId="970">
      <calculatedColumnFormula>VLOOKUP(M20,team_stats_americas[#All],5,FALSE)</calculatedColumnFormula>
    </tableColumn>
    <tableColumn id="5" xr3:uid="{F1A5225A-4313-44AB-8A6D-74FBCA6CDB87}" name="RND" dataDxfId="969">
      <calculatedColumnFormula>VLOOKUP(M20,team_stats_americas[#All],6,FALSE)</calculatedColumnFormula>
    </tableColumn>
    <tableColumn id="7" xr3:uid="{54205421-93EF-44D2-8074-8F12B703F48C}" name="S.MAPS" dataDxfId="968">
      <calculatedColumnFormula>VLOOKUP(M20,team_stats_americas[#All],7,FALSE)</calculatedColumnFormula>
    </tableColumn>
    <tableColumn id="6" xr3:uid="{15D348CB-97E3-4B71-989F-265BD479278C}" name="Players RATING" dataDxfId="967">
      <calculatedColumnFormula>N33</calculatedColumnFormula>
    </tableColumn>
    <tableColumn id="9" xr3:uid="{7E58A0F6-D33E-412B-91C8-11B94E69E92A}" name="KAST" dataDxfId="966" dataCellStyle="Porcentagem">
      <calculatedColumnFormula>P33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4C032BE-D57A-4101-94B8-B9CD7C0021A9}" name="playersNRG" displayName="playersNRG" ref="M44:T49" totalsRowShown="0">
  <autoFilter ref="M44:T49" xr:uid="{D4C032BE-D57A-4101-94B8-B9CD7C0021A9}"/>
  <tableColumns count="8">
    <tableColumn id="1" xr3:uid="{CCCC92E5-46C7-486A-9987-5F6CF7182652}" name="Players" dataDxfId="965"/>
    <tableColumn id="2" xr3:uid="{302A72AE-756F-412B-8816-0F017D9A161F}" name="Rating" dataDxfId="964">
      <calculatedColumnFormula>VLOOKUP(M45,player_stats[#All],5,FALSE)</calculatedColumnFormula>
    </tableColumn>
    <tableColumn id="3" xr3:uid="{877A69D4-CFC7-48F5-BE3A-7B85BD0ED911}" name="ACS" dataDxfId="963">
      <calculatedColumnFormula>VLOOKUP(M45,player_stats[#All],6,FALSE)</calculatedColumnFormula>
    </tableColumn>
    <tableColumn id="5" xr3:uid="{8605C711-5A28-4441-A297-E405C6AD4F1B}" name="KAST" dataDxfId="962" dataCellStyle="Porcentagem">
      <calculatedColumnFormula>VLOOKUP(M45,player_stats[#All],8,FALSE)</calculatedColumnFormula>
    </tableColumn>
    <tableColumn id="6" xr3:uid="{FD6CF125-3B6F-4C61-9E64-A7A504FE1AF1}" name="HS%" dataDxfId="961" dataCellStyle="Porcentagem">
      <calculatedColumnFormula>VLOOKUP(M45,player_stats[#All],14,FALSE)</calculatedColumnFormula>
    </tableColumn>
    <tableColumn id="7" xr3:uid="{A1DAA4F9-1657-4FB5-A159-E1F9DB436BC4}" name="CL%" dataCellStyle="Porcentagem">
      <calculatedColumnFormula>VLOOKUP(M45,player_stats[#All],15,FALSE)</calculatedColumnFormula>
    </tableColumn>
    <tableColumn id="4" xr3:uid="{6BCEF16A-E2E6-462D-8147-1E595AFC2AFB}" name="FK" dataDxfId="960"/>
    <tableColumn id="8" xr3:uid="{4EDBD710-1D90-45C0-B819-CD5220C8C509}" name="FD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86161E9-8300-447C-9CBA-013EE726B670}" name="teamNRG" displayName="teamNRG" ref="M41:T42" totalsRowShown="0" headerRowDxfId="959" tableBorderDxfId="958">
  <autoFilter ref="M41:T42" xr:uid="{586161E9-8300-447C-9CBA-013EE726B670}"/>
  <tableColumns count="8">
    <tableColumn id="1" xr3:uid="{5883C48C-B563-4088-9450-0562C2BF7472}" name="WINS" dataDxfId="957">
      <calculatedColumnFormula>VLOOKUP(M37,team_stats_americas[#All],2,FALSE)</calculatedColumnFormula>
    </tableColumn>
    <tableColumn id="2" xr3:uid="{2AE7AEF7-E2B9-480C-92B5-45A51A5ACFC2}" name="LOSS" dataDxfId="956">
      <calculatedColumnFormula>VLOOKUP(M37,team_stats_americas[#All],3,FALSE)</calculatedColumnFormula>
    </tableColumn>
    <tableColumn id="3" xr3:uid="{02B4DD35-1AF1-46A8-BF4E-9FB30A68144F}" name="TIES" dataDxfId="955">
      <calculatedColumnFormula>VLOOKUP(M37,team_stats_americas[#All],4,FALSE)</calculatedColumnFormula>
    </tableColumn>
    <tableColumn id="4" xr3:uid="{FF503A22-09F8-4122-A19C-BF2D21B70CA6}" name="MAP" dataDxfId="954">
      <calculatedColumnFormula>VLOOKUP(M37,team_stats_americas[#All],5,FALSE)</calculatedColumnFormula>
    </tableColumn>
    <tableColumn id="5" xr3:uid="{D1FD56F2-699E-4300-91FC-83FD99754D46}" name="RND" dataDxfId="953">
      <calculatedColumnFormula>VLOOKUP(M37,team_stats_americas[#All],6,FALSE)</calculatedColumnFormula>
    </tableColumn>
    <tableColumn id="7" xr3:uid="{6735FA74-555E-4E51-B336-E3092C6A67FD}" name="S.MAPS" dataDxfId="952">
      <calculatedColumnFormula>VLOOKUP(M37,team_stats_americas[#All],7,FALSE)</calculatedColumnFormula>
    </tableColumn>
    <tableColumn id="6" xr3:uid="{E60BBDAE-5008-46B6-B38F-2001A8469890}" name="Players RATING" dataDxfId="951">
      <calculatedColumnFormula>N50</calculatedColumnFormula>
    </tableColumn>
    <tableColumn id="9" xr3:uid="{65BA47BB-A107-4677-A609-6E3368537A22}" name="KAST" dataDxfId="950" dataCellStyle="Porcentagem">
      <calculatedColumnFormula>P50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926F998-E3A1-41E9-8BB9-3F81792F5CF9}" name="playersEG" displayName="playersEG" ref="M61:T66" totalsRowShown="0">
  <autoFilter ref="M61:T66" xr:uid="{7926F998-E3A1-41E9-8BB9-3F81792F5CF9}"/>
  <tableColumns count="8">
    <tableColumn id="1" xr3:uid="{90349C81-A3E8-41B0-8D06-2776804F758F}" name="Players" dataDxfId="949"/>
    <tableColumn id="2" xr3:uid="{1594D76B-E6B9-4CB0-B48A-2709D4513E8B}" name="Rating" dataDxfId="948">
      <calculatedColumnFormula>VLOOKUP(M62,player_stats[#All],5,FALSE)</calculatedColumnFormula>
    </tableColumn>
    <tableColumn id="3" xr3:uid="{93894A60-454C-4D94-BE7E-D85576DD3602}" name="ACS" dataDxfId="947">
      <calculatedColumnFormula>VLOOKUP(M62,player_stats[#All],6,FALSE)</calculatedColumnFormula>
    </tableColumn>
    <tableColumn id="5" xr3:uid="{1D0E6EBC-8035-4F2A-9366-4150CDE9FAE7}" name="KAST" dataDxfId="946" dataCellStyle="Porcentagem">
      <calculatedColumnFormula>VLOOKUP(M62,player_stats[#All],8,FALSE)</calculatedColumnFormula>
    </tableColumn>
    <tableColumn id="6" xr3:uid="{B7896F50-A5E4-4E96-9E17-115F531FD8A4}" name="HS%" dataDxfId="945" dataCellStyle="Porcentagem">
      <calculatedColumnFormula>VLOOKUP(M62,player_stats[#All],14,FALSE)</calculatedColumnFormula>
    </tableColumn>
    <tableColumn id="7" xr3:uid="{B46A646D-2196-459D-BD84-AA0CDEF6B00E}" name="CL%" dataCellStyle="Porcentagem">
      <calculatedColumnFormula>VLOOKUP(M62,player_stats[#All],15,FALSE)</calculatedColumnFormula>
    </tableColumn>
    <tableColumn id="4" xr3:uid="{762619F3-7056-45EF-9122-666800DE9496}" name="FK" dataDxfId="944"/>
    <tableColumn id="8" xr3:uid="{AE9213EB-2826-4978-B7AC-977CDE5179FF}" name="FD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743F413-C029-4572-9D1A-46C181F94B4B}" name="teamEG" displayName="teamEG" ref="M58:T59" totalsRowShown="0" headerRowDxfId="943" tableBorderDxfId="942">
  <autoFilter ref="M58:T59" xr:uid="{0743F413-C029-4572-9D1A-46C181F94B4B}"/>
  <tableColumns count="8">
    <tableColumn id="1" xr3:uid="{DFD7165E-E741-4068-BE6C-F981A6AB3C0A}" name="WINS" dataDxfId="941">
      <calculatedColumnFormula>VLOOKUP(M54,team_stats_americas[#All],2,FALSE)</calculatedColumnFormula>
    </tableColumn>
    <tableColumn id="2" xr3:uid="{3A13EA93-0076-4BEF-9E09-F145118C368C}" name="LOSS" dataDxfId="940">
      <calculatedColumnFormula>VLOOKUP(M54,team_stats_americas[#All],3,FALSE)</calculatedColumnFormula>
    </tableColumn>
    <tableColumn id="3" xr3:uid="{EC86FD83-2576-4A89-B769-2FAF859EF4E0}" name="TIES" dataDxfId="939">
      <calculatedColumnFormula>VLOOKUP(M54,team_stats_americas[#All],4,FALSE)</calculatedColumnFormula>
    </tableColumn>
    <tableColumn id="4" xr3:uid="{B2E58936-AAF0-45A4-BF35-16DA21C13CD4}" name="MAP" dataDxfId="938">
      <calculatedColumnFormula>VLOOKUP(M54,team_stats_americas[#All],5,FALSE)</calculatedColumnFormula>
    </tableColumn>
    <tableColumn id="5" xr3:uid="{157EFDB6-7491-4AD6-8649-4639DDBC472D}" name="RND" dataDxfId="937">
      <calculatedColumnFormula>VLOOKUP(M54,team_stats_americas[#All],6,FALSE)</calculatedColumnFormula>
    </tableColumn>
    <tableColumn id="7" xr3:uid="{2F9A7834-8CF6-464C-A46D-85A51E8F098D}" name="S.MAPS" dataDxfId="936">
      <calculatedColumnFormula>VLOOKUP(M54,team_stats_americas[#All],7,FALSE)</calculatedColumnFormula>
    </tableColumn>
    <tableColumn id="6" xr3:uid="{FC399303-9B9D-48B2-A7BF-FB9234D799A9}" name="Players RATING" dataDxfId="935">
      <calculatedColumnFormula>N67</calculatedColumnFormula>
    </tableColumn>
    <tableColumn id="9" xr3:uid="{D6CAB4E9-D660-40A3-B98B-D709B22A4C00}" name="KAST" dataDxfId="934" dataCellStyle="Porcentagem">
      <calculatedColumnFormula>P67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4B93DA9-B256-46FE-952F-8B443FA66D74}" name="playersKRU" displayName="playersKRU" ref="M78:T83" totalsRowShown="0">
  <autoFilter ref="M78:T83" xr:uid="{24B93DA9-B256-46FE-952F-8B443FA66D74}"/>
  <tableColumns count="8">
    <tableColumn id="1" xr3:uid="{AF806203-C6CE-466F-A828-4BCBC0E2AE31}" name="Players" dataDxfId="933"/>
    <tableColumn id="2" xr3:uid="{05628E46-E2A4-46A9-9872-C03B8EAB89FA}" name="Rating" dataDxfId="932">
      <calculatedColumnFormula>VLOOKUP(M79,player_stats[#All],5,FALSE)</calculatedColumnFormula>
    </tableColumn>
    <tableColumn id="3" xr3:uid="{E6D85051-6257-4BE6-8B47-9E3BF3594B02}" name="ACS" dataDxfId="931">
      <calculatedColumnFormula>VLOOKUP(M79,player_stats[#All],6,FALSE)</calculatedColumnFormula>
    </tableColumn>
    <tableColumn id="5" xr3:uid="{2DC9EC23-CE87-4946-A1A1-B1CB8BFF4833}" name="KAST" dataDxfId="930" dataCellStyle="Porcentagem">
      <calculatedColumnFormula>VLOOKUP(M79,player_stats[#All],8,FALSE)</calculatedColumnFormula>
    </tableColumn>
    <tableColumn id="6" xr3:uid="{63805AE0-CCF9-4DDD-A42F-EB6F02797290}" name="HS%" dataDxfId="929" dataCellStyle="Porcentagem">
      <calculatedColumnFormula>VLOOKUP(M79,player_stats[#All],14,FALSE)</calculatedColumnFormula>
    </tableColumn>
    <tableColumn id="7" xr3:uid="{429025AF-CB94-40FF-A9C7-6BB2B229D875}" name="CL%" dataDxfId="928" dataCellStyle="Porcentagem">
      <calculatedColumnFormula>VLOOKUP(M79,player_stats[#All],15,FALSE)</calculatedColumnFormula>
    </tableColumn>
    <tableColumn id="4" xr3:uid="{D34254B5-A72D-48A2-87E7-079C42C5F1C0}" name="FK" dataDxfId="927"/>
    <tableColumn id="9" xr3:uid="{8E43693C-2A7B-4FB7-A47B-D6549F42F3D4}" name="FD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CA9C5E7-91B5-4D8B-9901-13FF8C3F331F}" name="teamKRU" displayName="teamKRU" ref="M75:T76" totalsRowShown="0" headerRowDxfId="926" tableBorderDxfId="925">
  <autoFilter ref="M75:T76" xr:uid="{7CA9C5E7-91B5-4D8B-9901-13FF8C3F331F}"/>
  <tableColumns count="8">
    <tableColumn id="1" xr3:uid="{65343CB4-6F38-4279-B3D4-6F634B2BC7FB}" name="WINS" dataDxfId="924">
      <calculatedColumnFormula>VLOOKUP(M71,team_stats_americas[#All],2,FALSE)</calculatedColumnFormula>
    </tableColumn>
    <tableColumn id="2" xr3:uid="{DB81171F-0387-43D0-A4A8-548119A7AD07}" name="LOSS" dataDxfId="923">
      <calculatedColumnFormula>VLOOKUP(M71,team_stats_americas[#All],3,FALSE)</calculatedColumnFormula>
    </tableColumn>
    <tableColumn id="3" xr3:uid="{A59BFF2A-D891-4D9A-A087-634D1E0BAC20}" name="TIES" dataDxfId="922">
      <calculatedColumnFormula>VLOOKUP(M71,team_stats_americas[#All],4,FALSE)</calculatedColumnFormula>
    </tableColumn>
    <tableColumn id="4" xr3:uid="{5E5E25ED-49D1-4212-BEEA-62B47DDED4C5}" name="MAP" dataDxfId="921">
      <calculatedColumnFormula>VLOOKUP(M71,team_stats_americas[#All],5,FALSE)</calculatedColumnFormula>
    </tableColumn>
    <tableColumn id="5" xr3:uid="{FE9E8704-3A58-42A7-90A1-14C7B7C5A7A3}" name="RND" dataDxfId="920">
      <calculatedColumnFormula>VLOOKUP(M71,team_stats_americas[#All],6,FALSE)</calculatedColumnFormula>
    </tableColumn>
    <tableColumn id="7" xr3:uid="{1BD67171-0B1A-491F-81BE-810256191669}" name="S.MAPS" dataDxfId="919">
      <calculatedColumnFormula>VLOOKUP(M71,team_stats_americas[#All],7,FALSE)</calculatedColumnFormula>
    </tableColumn>
    <tableColumn id="6" xr3:uid="{434D9323-983F-413F-9911-A5B9FA1013A5}" name="Players RATING" dataDxfId="918">
      <calculatedColumnFormula>N84</calculatedColumnFormula>
    </tableColumn>
    <tableColumn id="9" xr3:uid="{9C84776A-806A-454B-B953-65732314B493}" name="KAST" dataDxfId="917" dataCellStyle="Porcentagem">
      <calculatedColumnFormula>P84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4322B-5FD0-49D5-A9DD-585BE2DF7FEB}" name="teamLOUD" displayName="teamLOUD" ref="D7:K8" totalsRowShown="0" headerRowDxfId="1066" dataDxfId="1065" tableBorderDxfId="1064">
  <autoFilter ref="D7:K8" xr:uid="{1CD4322B-5FD0-49D5-A9DD-585BE2DF7FEB}"/>
  <tableColumns count="8">
    <tableColumn id="1" xr3:uid="{CBD7799E-F4A9-424E-9FE5-57B0C670D837}" name="WINS" dataDxfId="1063">
      <calculatedColumnFormula>VLOOKUP(D3,team_stats_americas[#All],2,FALSE)</calculatedColumnFormula>
    </tableColumn>
    <tableColumn id="2" xr3:uid="{49BC8C44-3F80-4EAD-8F8A-66B7BC18AF18}" name="LOSS" dataDxfId="1062">
      <calculatedColumnFormula>VLOOKUP(D3,team_stats_americas[#All],3,FALSE)</calculatedColumnFormula>
    </tableColumn>
    <tableColumn id="3" xr3:uid="{8DEFCA51-187B-406A-A3E6-4E03DD671DCA}" name="TIES" dataDxfId="1061">
      <calculatedColumnFormula>VLOOKUP(D3,team_stats_americas[#All],4,FALSE)</calculatedColumnFormula>
    </tableColumn>
    <tableColumn id="4" xr3:uid="{C63C2E28-AEA7-4E87-8491-B155DE84E7FB}" name="MAP" dataDxfId="1060">
      <calculatedColumnFormula>VLOOKUP(D3,team_stats_americas[#All],5,FALSE)</calculatedColumnFormula>
    </tableColumn>
    <tableColumn id="5" xr3:uid="{E8A53E10-635A-4EF1-8355-DB146D7A015E}" name="RND" dataDxfId="1059">
      <calculatedColumnFormula>VLOOKUP(D3,team_stats_americas[#All],6,FALSE)</calculatedColumnFormula>
    </tableColumn>
    <tableColumn id="7" xr3:uid="{380F2124-3C66-42F6-B53F-47CF7EEA7D3C}" name="S.MAPS" dataDxfId="1058">
      <calculatedColumnFormula>VLOOKUP(D3,team_stats_americas[#All],7,FALSE)</calculatedColumnFormula>
    </tableColumn>
    <tableColumn id="6" xr3:uid="{A211710B-8DA5-4180-BA19-D6EC1277DC7C}" name="RATING" dataDxfId="1057">
      <calculatedColumnFormula>E16</calculatedColumnFormula>
    </tableColumn>
    <tableColumn id="8" xr3:uid="{E972394F-F44C-47BA-AF7B-9A2BBFD6E6E3}" name="KAST" dataDxfId="1056" dataCellStyle="Porcentagem">
      <calculatedColumnFormula>G16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F904FEC-2287-4F32-937C-2B45FBC7AA5E}" name="teamSEN" displayName="teamSEN" ref="M7:T8" totalsRowShown="0" headerRowDxfId="916" dataDxfId="915" tableBorderDxfId="914">
  <autoFilter ref="M7:T8" xr:uid="{9F904FEC-2287-4F32-937C-2B45FBC7AA5E}"/>
  <tableColumns count="8">
    <tableColumn id="1" xr3:uid="{061C6E98-D6E0-45DC-9603-DCF2169C0F21}" name="WINS" dataDxfId="913">
      <calculatedColumnFormula>VLOOKUP(M3,team_stats_americas[#All],2,FALSE)</calculatedColumnFormula>
    </tableColumn>
    <tableColumn id="2" xr3:uid="{1C0DBF4B-89B2-4B6D-A79A-7C6771C2BEAD}" name="LOSS" dataDxfId="912">
      <calculatedColumnFormula>VLOOKUP(M3,team_stats_americas[#All],3,FALSE)</calculatedColumnFormula>
    </tableColumn>
    <tableColumn id="3" xr3:uid="{B0D11501-128B-46B1-8EFA-49F0791C5927}" name="TIES" dataDxfId="911">
      <calculatedColumnFormula>VLOOKUP(M3,team_stats_americas[#All],4,FALSE)</calculatedColumnFormula>
    </tableColumn>
    <tableColumn id="4" xr3:uid="{FFAA6EBB-220C-4A20-B7B9-2F8B8AC3554C}" name="MAP" dataDxfId="910">
      <calculatedColumnFormula>VLOOKUP(M3,team_stats_americas[#All],5,FALSE)</calculatedColumnFormula>
    </tableColumn>
    <tableColumn id="5" xr3:uid="{B0C1238A-3CF2-4DF2-950E-A34DF433B016}" name="RND" dataDxfId="909">
      <calculatedColumnFormula>VLOOKUP(M3,team_stats_americas[#All],6,FALSE)</calculatedColumnFormula>
    </tableColumn>
    <tableColumn id="7" xr3:uid="{8A79E425-1AC8-426D-B1CD-4C77EDA1C315}" name="S.MAPS" dataDxfId="908">
      <calculatedColumnFormula>VLOOKUP(M3,team_stats_americas[#All],7,FALSE)</calculatedColumnFormula>
    </tableColumn>
    <tableColumn id="6" xr3:uid="{D79DB217-D70C-4B77-86A3-03B99CA90559}" name="Players RATING" dataDxfId="907">
      <calculatedColumnFormula>N16</calculatedColumnFormula>
    </tableColumn>
    <tableColumn id="9" xr3:uid="{EF34A7CB-B6C2-4B2E-81E0-0E704DD2F15A}" name="KAST" dataDxfId="906" dataCellStyle="Porcentagem">
      <calculatedColumnFormula>P16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FB56D42-5ACD-4D8E-A0DB-642A911414D3}" name="team_stats_americas" displayName="team_stats_americas" ref="A1:G11" tableType="queryTable" totalsRowShown="0">
  <autoFilter ref="A1:G11" xr:uid="{AFB56D42-5ACD-4D8E-A0DB-642A911414D3}"/>
  <tableColumns count="7">
    <tableColumn id="1" xr3:uid="{CDCF19CB-5022-4021-9E68-8FE3C51EBB2F}" uniqueName="1" name="Team" queryTableFieldId="1" dataDxfId="905"/>
    <tableColumn id="2" xr3:uid="{E56DB83C-7125-4C3E-85C8-0E9DEB4D5356}" uniqueName="2" name="Wins" queryTableFieldId="2"/>
    <tableColumn id="3" xr3:uid="{EE3FD778-B7A3-4EB4-B0AC-9E89EA3EFC8C}" uniqueName="3" name="Loss" queryTableFieldId="3"/>
    <tableColumn id="4" xr3:uid="{F58B5EDD-99C8-4614-9AE4-9F2C22D15E99}" uniqueName="4" name="Ties" queryTableFieldId="4"/>
    <tableColumn id="5" xr3:uid="{D08C2204-0E6B-47AA-8EC7-062A39040350}" uniqueName="5" name="MAP" queryTableFieldId="5" dataDxfId="3"/>
    <tableColumn id="6" xr3:uid="{7ED9B4A8-4368-4885-8DB4-AD8BC6507C3E}" uniqueName="6" name="RND" queryTableFieldId="6" dataDxfId="904"/>
    <tableColumn id="7" xr3:uid="{D6521669-2341-4717-B028-718B12BFEE8B}" uniqueName="7" name="Δ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260BD4A-509E-4B42-974E-8DD2499B22D4}" name="player_stats" displayName="player_stats" ref="A1:V53" tableType="queryTable" totalsRowShown="0">
  <autoFilter ref="A1:V53" xr:uid="{A260BD4A-509E-4B42-974E-8DD2499B22D4}"/>
  <sortState xmlns:xlrd2="http://schemas.microsoft.com/office/spreadsheetml/2017/richdata2" ref="A2:V53">
    <sortCondition descending="1" ref="O1:O53"/>
  </sortState>
  <tableColumns count="22">
    <tableColumn id="24" xr3:uid="{62E8B017-6665-45BF-AD7D-E5DDFD7A107C}" uniqueName="24" name="Player" queryTableFieldId="26" dataDxfId="903"/>
    <tableColumn id="25" xr3:uid="{3EFCD797-F9E8-440A-8AC4-000D40BFCC39}" uniqueName="25" name="Team" queryTableFieldId="27" dataDxfId="902"/>
    <tableColumn id="2" xr3:uid="{AB516C51-77EA-4DC2-BF65-2340A1E25E60}" uniqueName="2" name="Agents" queryTableFieldId="2" dataDxfId="901"/>
    <tableColumn id="3" xr3:uid="{7F15E2CB-8D9D-46A5-AA95-C20BD4FC6D3B}" uniqueName="3" name="Rnd" queryTableFieldId="3"/>
    <tableColumn id="4" xr3:uid="{B9FCDA6F-F5AA-423D-A9C6-F6BDDB928E31}" uniqueName="4" name="R" queryTableFieldId="4" dataDxfId="2"/>
    <tableColumn id="5" xr3:uid="{B86B72B9-A1E0-4E66-9B89-ECBE100C52BE}" uniqueName="5" name="ACS" queryTableFieldId="5"/>
    <tableColumn id="6" xr3:uid="{871D140E-5EA0-45FD-ABFD-2EE83E96A53B}" uniqueName="6" name="K:D" queryTableFieldId="6"/>
    <tableColumn id="7" xr3:uid="{B7310F67-6AB3-4E66-9B1E-4654FB36B17F}" uniqueName="7" name="KAST" queryTableFieldId="7"/>
    <tableColumn id="8" xr3:uid="{3B1AB713-682D-46DA-B0B8-BF033E942100}" uniqueName="8" name="ADR" queryTableFieldId="8"/>
    <tableColumn id="9" xr3:uid="{5F86E21E-2603-4DF2-8534-A0D0303E45EA}" uniqueName="9" name="KPR" queryTableFieldId="9"/>
    <tableColumn id="10" xr3:uid="{FBF8E46A-6AD8-4E83-98D9-234734BB9723}" uniqueName="10" name="APR" queryTableFieldId="10"/>
    <tableColumn id="11" xr3:uid="{44B0B737-973E-4248-AA33-1AB16004F2EA}" uniqueName="11" name="FKPR" queryTableFieldId="11"/>
    <tableColumn id="12" xr3:uid="{2ED2B25F-2C7D-46FF-A940-D5DD0F28CA7F}" uniqueName="12" name="FDPR" queryTableFieldId="12"/>
    <tableColumn id="13" xr3:uid="{24B8C0D1-20D7-42BA-A148-56D35E6A09FA}" uniqueName="13" name="HS%" queryTableFieldId="13" dataDxfId="1" dataCellStyle="Porcentagem"/>
    <tableColumn id="14" xr3:uid="{2D43FFDB-D3B8-480E-863F-106942D3F056}" uniqueName="14" name="CL%" queryTableFieldId="14" dataDxfId="0" dataCellStyle="Porcentagem"/>
    <tableColumn id="15" xr3:uid="{86580520-716F-4FF7-A7A2-7538D9604730}" uniqueName="15" name="CL" queryTableFieldId="15" dataDxfId="900"/>
    <tableColumn id="16" xr3:uid="{A74C9341-5AB8-4DF3-92DE-C38B32619B07}" uniqueName="16" name="KMax" queryTableFieldId="16"/>
    <tableColumn id="17" xr3:uid="{132B0C41-DC96-4D67-B918-8FF4ACE829AF}" uniqueName="17" name="K" queryTableFieldId="17"/>
    <tableColumn id="18" xr3:uid="{CA3DFDC7-3CEA-4891-89F3-57197D5D935F}" uniqueName="18" name="D" queryTableFieldId="18"/>
    <tableColumn id="19" xr3:uid="{AC796560-60A2-4F14-B2C6-10B2AD47C331}" uniqueName="19" name="A" queryTableFieldId="19"/>
    <tableColumn id="20" xr3:uid="{560290F9-2D8B-4CC0-AC60-3B2564ACA363}" uniqueName="20" name="FK" queryTableFieldId="20"/>
    <tableColumn id="21" xr3:uid="{867D1951-44AE-4A13-9274-AD23010693E3}" uniqueName="21" name="FD" queryTableFieldId="2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855BE1-80FC-449E-98D9-63390590D9F5}" name="teams_americas" displayName="teams_americas" ref="A1:G11" tableType="queryTable" totalsRowShown="0">
  <autoFilter ref="A1:G11" xr:uid="{A6855BE1-80FC-449E-98D9-63390590D9F5}"/>
  <tableColumns count="7">
    <tableColumn id="10" xr3:uid="{8F2BBA78-3A3C-4907-BBA6-A1E46263F8D9}" uniqueName="10" name="Team" queryTableFieldId="10" dataDxfId="899"/>
    <tableColumn id="11" xr3:uid="{A784FDA5-4814-4BF4-8D70-954A94651A41}" uniqueName="11" name="Player1" queryTableFieldId="11" dataDxfId="898"/>
    <tableColumn id="12" xr3:uid="{A75DE5D2-FFA7-421D-BDD7-15661CEA4774}" uniqueName="12" name="Player2" queryTableFieldId="12" dataDxfId="897"/>
    <tableColumn id="13" xr3:uid="{2809E970-F499-452A-AAA9-8FC541D11E58}" uniqueName="13" name="Player3" queryTableFieldId="13" dataDxfId="896"/>
    <tableColumn id="14" xr3:uid="{401B4BB4-9393-4CFF-AFCB-359712BB0C6A}" uniqueName="14" name="Player4" queryTableFieldId="14" dataDxfId="895"/>
    <tableColumn id="15" xr3:uid="{E7CBD11F-4359-4085-828E-316B719A4BF3}" uniqueName="15" name="Player5" queryTableFieldId="15" dataDxfId="894"/>
    <tableColumn id="16" xr3:uid="{2AB0F6CE-8227-4B1F-B7D2-DB56B80768C7}" uniqueName="16" name="Player6" queryTableFieldId="16" dataDxfId="89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48E2431-FB11-4C37-A85E-9EF1FA764D15}" name="players66" displayName="players66" ref="A8:G13" totalsRowShown="0">
  <autoFilter ref="A8:G13" xr:uid="{648E2431-FB11-4C37-A85E-9EF1FA764D15}"/>
  <tableColumns count="7">
    <tableColumn id="1" xr3:uid="{490134A3-C6C9-41A7-8A98-BC87B920C968}" name="Players" dataDxfId="892"/>
    <tableColumn id="2" xr3:uid="{9B5852E0-009D-4856-886C-C5FE16037FF9}" name="Rating" dataDxfId="891"/>
    <tableColumn id="3" xr3:uid="{53B32C41-B542-43A4-9F75-22EC9BD26A4F}" name="ACS"/>
    <tableColumn id="5" xr3:uid="{411A0D71-A9B1-486E-9B26-EBB42BBC3CD1}" name="KAST"/>
    <tableColumn id="6" xr3:uid="{4DEE69BD-1D2E-4E30-BD21-18B83922B62B}" name="HS%"/>
    <tableColumn id="7" xr3:uid="{B249FEDE-B8F9-41BB-9D9C-A080C350A507}" name="CL%"/>
    <tableColumn id="4" xr3:uid="{50E24A78-CF66-4C3D-98CD-10547D9A9EE9}" name="M.Total" dataDxfId="890">
      <calculatedColumnFormula>AVERAGE(players66[[#This Row],[Rating]],players66[[#This Row],[ACS]],players66[[#This Row],[KAST]],players66[[#This Row],[HS%]],players66[[#This Row],[CL%]])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34D88DC-CF86-435C-AB14-0C7EDA6A0F1B}" name="team67" displayName="team67" ref="A5:G6" totalsRowShown="0" headerRowDxfId="889" dataDxfId="888" tableBorderDxfId="887">
  <autoFilter ref="A5:G6" xr:uid="{034D88DC-CF86-435C-AB14-0C7EDA6A0F1B}"/>
  <tableColumns count="7">
    <tableColumn id="1" xr3:uid="{B2E14237-B317-400D-8CE1-B2BAF4854249}" name="WINS" dataDxfId="886">
      <calculatedColumnFormula>VLOOKUP(A1,team_stats_americas[#All],2,FALSE)</calculatedColumnFormula>
    </tableColumn>
    <tableColumn id="2" xr3:uid="{096B5FB2-6F02-4BB6-A0D1-92F50D0BD005}" name="LOSS" dataDxfId="885">
      <calculatedColumnFormula>VLOOKUP(A1,team_stats_americas[#All],3,FALSE)</calculatedColumnFormula>
    </tableColumn>
    <tableColumn id="3" xr3:uid="{4260C3DF-7438-4302-97C5-1833F28AD5D9}" name="TIES" dataDxfId="884">
      <calculatedColumnFormula>VLOOKUP(A1,team_stats_americas[#All],4,FALSE)</calculatedColumnFormula>
    </tableColumn>
    <tableColumn id="4" xr3:uid="{5FEF1A88-C9BC-4769-B8AB-8F8E6ABC0BDF}" name="MAP" dataDxfId="883">
      <calculatedColumnFormula>VLOOKUP(A1,team_stats_americas[#All],5,FALSE)</calculatedColumnFormula>
    </tableColumn>
    <tableColumn id="5" xr3:uid="{F27D08F2-767E-4039-9127-561BE0DB99F1}" name="RND" dataDxfId="882">
      <calculatedColumnFormula>VLOOKUP(A1,team_stats_americas[#All],6,FALSE)</calculatedColumnFormula>
    </tableColumn>
    <tableColumn id="7" xr3:uid="{91A031C0-E58B-4441-B0F7-4C5E80175833}" name="S.MAPS" dataDxfId="881">
      <calculatedColumnFormula>VLOOKUP(A1,team_stats_americas[#All],7,FALSE)</calculatedColumnFormula>
    </tableColumn>
    <tableColumn id="6" xr3:uid="{576FE8C6-61F0-4839-AE9B-3AD578B9BFAE}" name="Players RATING" dataDxfId="880">
      <calculatedColumnFormula>B14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9A4E14D-0A0A-42A2-AC48-4C26DA8585DD}" name="players2668" displayName="players2668" ref="A25:G30" totalsRowShown="0">
  <autoFilter ref="A25:G30" xr:uid="{C9A4E14D-0A0A-42A2-AC48-4C26DA8585DD}"/>
  <tableColumns count="7">
    <tableColumn id="1" xr3:uid="{C37B66DA-4E95-47DE-82A6-CB97523EE74D}" name="Players" dataDxfId="879">
      <calculatedColumnFormula>VLOOKUP(A18,teams_americas[#All],2,TRUE)</calculatedColumnFormula>
    </tableColumn>
    <tableColumn id="2" xr3:uid="{BB829187-594A-4A6A-9848-7F069F8BF7D4}" name="Rating"/>
    <tableColumn id="3" xr3:uid="{44E5F0A7-F95C-49E4-897E-DA0767043DAD}" name="ACS"/>
    <tableColumn id="5" xr3:uid="{3CE7CC9D-FF4A-4F42-B42A-55C4BF45645B}" name="KAST"/>
    <tableColumn id="6" xr3:uid="{7C27CB59-BEFA-4062-9170-DFD7DCB1C310}" name="HS%"/>
    <tableColumn id="7" xr3:uid="{547F9ACF-A133-4EBE-85FC-C6C13E5E2C59}" name="CL%"/>
    <tableColumn id="4" xr3:uid="{DDCE9A23-9E5D-4180-9FDE-0CA89E4980CF}" name="M.Total" dataDxfId="878">
      <calculatedColumnFormula>AVERAGE(players2668[[#This Row],[Rating]],players2668[[#This Row],[ACS]],players2668[[#This Row],[KAST]],players2668[[#This Row],[HS%]],players2668[[#This Row],[CL%]])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57F3041-03E9-48D5-9488-933679C62B87}" name="team2769" displayName="team2769" ref="A22:G23" totalsRowShown="0" headerRowDxfId="877" tableBorderDxfId="876">
  <autoFilter ref="A22:G23" xr:uid="{B57F3041-03E9-48D5-9488-933679C62B87}"/>
  <tableColumns count="7">
    <tableColumn id="1" xr3:uid="{A80BC4D4-9ECD-4880-A737-9BEB19BE15CC}" name="WINS" dataDxfId="875">
      <calculatedColumnFormula>VLOOKUP(A18,team_stats_americas[#All],2,FALSE)</calculatedColumnFormula>
    </tableColumn>
    <tableColumn id="2" xr3:uid="{A62CD08D-D117-416A-AD31-51B199603868}" name="LOSS" dataDxfId="874">
      <calculatedColumnFormula>VLOOKUP(A18,team_stats_americas[#All],3,FALSE)</calculatedColumnFormula>
    </tableColumn>
    <tableColumn id="3" xr3:uid="{30B049D5-6926-451D-A44B-819EDF13717F}" name="TIES" dataDxfId="873">
      <calculatedColumnFormula>VLOOKUP(A18,team_stats_americas[#All],4,FALSE)</calculatedColumnFormula>
    </tableColumn>
    <tableColumn id="4" xr3:uid="{B4C40F79-5B33-460A-93F4-629F4696328A}" name="MAP" dataDxfId="872">
      <calculatedColumnFormula>VLOOKUP(A18,team_stats_americas[#All],5,FALSE)</calculatedColumnFormula>
    </tableColumn>
    <tableColumn id="5" xr3:uid="{012B7806-BA17-4146-8904-14EF13227522}" name="RND" dataDxfId="871">
      <calculatedColumnFormula>VLOOKUP(A18,team_stats_americas[#All],6,FALSE)</calculatedColumnFormula>
    </tableColumn>
    <tableColumn id="7" xr3:uid="{B7140315-8A4C-4954-B158-02D39582F02F}" name="S.MAPS" dataDxfId="870">
      <calculatedColumnFormula>VLOOKUP(A18,team_stats_americas[#All],7,FALSE)</calculatedColumnFormula>
    </tableColumn>
    <tableColumn id="6" xr3:uid="{747A1CDE-0D79-4759-A7E7-F567FC165A74}" name="Players RATING" dataDxfId="869">
      <calculatedColumnFormula>#REF!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0C47860-1865-486D-9A91-7CA6E4EB2201}" name="players265070" displayName="players265070" ref="A42:G47" totalsRowShown="0">
  <autoFilter ref="A42:G47" xr:uid="{70C47860-1865-486D-9A91-7CA6E4EB2201}"/>
  <tableColumns count="7">
    <tableColumn id="1" xr3:uid="{D779274D-C422-43AD-9143-868F0E5F4824}" name="Players" dataDxfId="868">
      <calculatedColumnFormula>VLOOKUP(A35,teams_americas[#All],2,TRUE)</calculatedColumnFormula>
    </tableColumn>
    <tableColumn id="2" xr3:uid="{36E5A8D8-0AA8-4D43-B1D9-8D086849F23B}" name="Rating"/>
    <tableColumn id="3" xr3:uid="{D9C2DB97-ECD0-45FB-95B2-F521163F1D89}" name="ACS"/>
    <tableColumn id="5" xr3:uid="{14CDF80F-BF23-4D42-933F-846AF9F1B72B}" name="KAST"/>
    <tableColumn id="6" xr3:uid="{EC76921C-C3B1-48EB-A84F-885BF2BB0680}" name="HS%"/>
    <tableColumn id="7" xr3:uid="{633EFACA-9CDC-40C0-BA2D-71E55C031B9F}" name="CL%"/>
    <tableColumn id="4" xr3:uid="{2BC2B37D-6F34-41AF-A2D3-F618CF5E2F57}" name="M.Total" dataDxfId="867">
      <calculatedColumnFormula>AVERAGE(players265070[[#This Row],[Rating]],players265070[[#This Row],[ACS]],players265070[[#This Row],[KAST]],players265070[[#This Row],[HS%]],players265070[[#This Row],[CL%]])</calculatedColumnFormula>
    </tableColumn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024877D-9A30-4896-A1EB-7E3E6B8CDB6C}" name="team275171" displayName="team275171" ref="A39:G40" totalsRowShown="0" headerRowDxfId="866" tableBorderDxfId="865">
  <autoFilter ref="A39:G40" xr:uid="{E024877D-9A30-4896-A1EB-7E3E6B8CDB6C}"/>
  <tableColumns count="7">
    <tableColumn id="1" xr3:uid="{DE5EC486-307D-47E4-9DA1-024E92BA556A}" name="WINS" dataDxfId="864">
      <calculatedColumnFormula>VLOOKUP(A35,team_stats_americas[#All],2,FALSE)</calculatedColumnFormula>
    </tableColumn>
    <tableColumn id="2" xr3:uid="{050554A5-5D5F-4F1A-AA55-E0735BAA9615}" name="LOSS" dataDxfId="863">
      <calculatedColumnFormula>VLOOKUP(A35,team_stats_americas[#All],3,FALSE)</calculatedColumnFormula>
    </tableColumn>
    <tableColumn id="3" xr3:uid="{8DC77028-1BBD-48DB-B701-1B9883EBB04E}" name="TIES" dataDxfId="862">
      <calculatedColumnFormula>VLOOKUP(A35,team_stats_americas[#All],4,FALSE)</calculatedColumnFormula>
    </tableColumn>
    <tableColumn id="4" xr3:uid="{9E2B10D6-7DA8-449A-987F-1A6CFEB343C4}" name="MAP" dataDxfId="861">
      <calculatedColumnFormula>VLOOKUP(A35,team_stats_americas[#All],5,FALSE)</calculatedColumnFormula>
    </tableColumn>
    <tableColumn id="5" xr3:uid="{858C0782-3037-44C4-814D-E5C8038EEE1A}" name="RND" dataDxfId="860">
      <calculatedColumnFormula>VLOOKUP(A35,team_stats_americas[#All],6,FALSE)</calculatedColumnFormula>
    </tableColumn>
    <tableColumn id="7" xr3:uid="{05FA3DE4-5BB2-4923-ABFE-A6A7A50B38D2}" name="S.MAPS" dataDxfId="859">
      <calculatedColumnFormula>VLOOKUP(A35,team_stats_americas[#All],7,FALSE)</calculatedColumnFormula>
    </tableColumn>
    <tableColumn id="6" xr3:uid="{A3B3E796-0AD4-45AB-8699-206D8B815909}" name="Players RATING" dataDxfId="858">
      <calculatedColumnFormula>#REF!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5710AA5-E24A-404C-8586-F88647CD9666}" name="playersLEV" displayName="playersLEV" ref="D27:K32" totalsRowShown="0">
  <autoFilter ref="D27:K32" xr:uid="{35710AA5-E24A-404C-8586-F88647CD9666}"/>
  <tableColumns count="8">
    <tableColumn id="1" xr3:uid="{D514FE12-5F78-42A8-BF47-902F483B1918}" name="Players" dataDxfId="1055"/>
    <tableColumn id="2" xr3:uid="{66AD8D96-C7FD-43F7-9084-2F1B48A094D7}" name="Rating" dataDxfId="1054">
      <calculatedColumnFormula>VLOOKUP(D28,player_stats[#All],5,FALSE)</calculatedColumnFormula>
    </tableColumn>
    <tableColumn id="3" xr3:uid="{E5ED0A8E-3F08-42A7-A086-5A16B776614A}" name="ACS" dataDxfId="1053">
      <calculatedColumnFormula>VLOOKUP(D28,player_stats[#All],6,FALSE)</calculatedColumnFormula>
    </tableColumn>
    <tableColumn id="5" xr3:uid="{5F4EA10C-209A-4EC1-BE6A-496F905BC768}" name="KAST" dataDxfId="1052" dataCellStyle="Porcentagem">
      <calculatedColumnFormula>VLOOKUP(D28,player_stats[#All],8,FALSE)</calculatedColumnFormula>
    </tableColumn>
    <tableColumn id="6" xr3:uid="{D26A8489-7DC1-42D6-AF9E-B9C0D577C975}" name="HS%" dataDxfId="1051" dataCellStyle="Porcentagem">
      <calculatedColumnFormula>VLOOKUP(D28,player_stats[#All],14,FALSE)</calculatedColumnFormula>
    </tableColumn>
    <tableColumn id="7" xr3:uid="{688A156B-A02A-42EC-8229-BE1D41B4AFF0}" name="CL%" dataCellStyle="Porcentagem">
      <calculatedColumnFormula>VLOOKUP(D28,player_stats[#All],15,FALSE)</calculatedColumnFormula>
    </tableColumn>
    <tableColumn id="4" xr3:uid="{30559526-D6D0-4055-930D-2BDCFD9E0037}" name="FK" dataDxfId="1050"/>
    <tableColumn id="8" xr3:uid="{AB17C78D-165E-4DDE-A21D-F7A435E9B865}" name="FD" dataDxfId="104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18C3636-2097-4C1C-B198-431CDC06472D}" name="players265272" displayName="players265272" ref="A59:G64" totalsRowShown="0">
  <autoFilter ref="A59:G64" xr:uid="{618C3636-2097-4C1C-B198-431CDC06472D}"/>
  <tableColumns count="7">
    <tableColumn id="1" xr3:uid="{CDF8086D-A9F7-4631-9956-806101FF7304}" name="Players" dataDxfId="857">
      <calculatedColumnFormula>VLOOKUP(A52,teams_americas[#All],2,TRUE)</calculatedColumnFormula>
    </tableColumn>
    <tableColumn id="2" xr3:uid="{C2F73CC4-ED8C-43A7-A855-2EA90BDDC5E9}" name="Rating"/>
    <tableColumn id="3" xr3:uid="{7C261D8D-05CE-4341-8DCC-998D3BD8A9AA}" name="ACS"/>
    <tableColumn id="5" xr3:uid="{311AEB1A-3C5B-4F89-884D-51C8FF1B8824}" name="KAST"/>
    <tableColumn id="6" xr3:uid="{D6C53A79-01C5-4150-ADEE-35D5ADD8887F}" name="HS%"/>
    <tableColumn id="7" xr3:uid="{FB010BAE-82B2-4585-9303-B18BAC41111F}" name="CL%"/>
    <tableColumn id="4" xr3:uid="{EA47F302-C023-450E-878B-E282D0D5EB33}" name="M.Total" dataDxfId="856">
      <calculatedColumnFormula>AVERAGE(players265272[[#This Row],[Rating]],players265272[[#This Row],[ACS]],players265272[[#This Row],[KAST]],players265272[[#This Row],[HS%]],players265272[[#This Row],[CL%]])</calculatedColumnFormula>
    </tableColumn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41EB630-5EA5-4001-9689-5ACE379FB8C6}" name="team275373" displayName="team275373" ref="A56:G57" totalsRowShown="0" headerRowDxfId="855" tableBorderDxfId="854">
  <autoFilter ref="A56:G57" xr:uid="{C41EB630-5EA5-4001-9689-5ACE379FB8C6}"/>
  <tableColumns count="7">
    <tableColumn id="1" xr3:uid="{F3EDD88A-D492-4A2D-A487-91D188ACFDC3}" name="WINS" dataDxfId="853">
      <calculatedColumnFormula>VLOOKUP(A52,team_stats_americas[#All],2,FALSE)</calculatedColumnFormula>
    </tableColumn>
    <tableColumn id="2" xr3:uid="{F63400AF-70C0-4A44-B0F3-188694D67539}" name="LOSS" dataDxfId="852">
      <calculatedColumnFormula>VLOOKUP(A52,team_stats_americas[#All],3,FALSE)</calculatedColumnFormula>
    </tableColumn>
    <tableColumn id="3" xr3:uid="{A79BC124-9B39-4B80-95EE-EF4ACCE9BAE9}" name="TIES" dataDxfId="851">
      <calculatedColumnFormula>VLOOKUP(A52,team_stats_americas[#All],4,FALSE)</calculatedColumnFormula>
    </tableColumn>
    <tableColumn id="4" xr3:uid="{E039D064-61A1-423B-8506-5461F5D5B6FA}" name="MAP" dataDxfId="850">
      <calculatedColumnFormula>VLOOKUP(A52,team_stats_americas[#All],5,FALSE)</calculatedColumnFormula>
    </tableColumn>
    <tableColumn id="5" xr3:uid="{9D794D5E-2363-47E2-89CB-3B78F3068E9A}" name="RND" dataDxfId="849">
      <calculatedColumnFormula>VLOOKUP(A52,team_stats_americas[#All],6,FALSE)</calculatedColumnFormula>
    </tableColumn>
    <tableColumn id="7" xr3:uid="{95997B5F-985C-49EF-BEE0-4DA751049625}" name="S.MAPS" dataDxfId="848">
      <calculatedColumnFormula>VLOOKUP(A52,team_stats_americas[#All],7,FALSE)</calculatedColumnFormula>
    </tableColumn>
    <tableColumn id="6" xr3:uid="{AEDE8974-0812-48AE-BBA6-44464D2474A1}" name="Players RATING" dataDxfId="847">
      <calculatedColumnFormula>#REF!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BDD1A69-C435-4349-B1AB-01A6822D8EF1}" name="players265474" displayName="players265474" ref="A76:G81" totalsRowShown="0">
  <autoFilter ref="A76:G81" xr:uid="{5BDD1A69-C435-4349-B1AB-01A6822D8EF1}"/>
  <tableColumns count="7">
    <tableColumn id="1" xr3:uid="{4D72DE2B-EF1F-4205-AFE2-2BDE2FAD5A38}" name="Players" dataDxfId="846">
      <calculatedColumnFormula>VLOOKUP(A69,teams_americas[#All],2,TRUE)</calculatedColumnFormula>
    </tableColumn>
    <tableColumn id="2" xr3:uid="{CE411FB6-92F3-4EAD-A27F-B660EE12CDE6}" name="Rating"/>
    <tableColumn id="3" xr3:uid="{EAB4A37D-0131-4303-91C6-963CA76412DA}" name="ACS"/>
    <tableColumn id="5" xr3:uid="{EF976FFA-F3F7-4299-B3E0-7AA128ED2CB4}" name="KAST"/>
    <tableColumn id="6" xr3:uid="{F44F4849-B8CD-49C9-B4DE-C0EC5DCE76F6}" name="HS%"/>
    <tableColumn id="7" xr3:uid="{82BD4CA4-2907-4F5A-AFD7-CF7AD78D4E6A}" name="CL%"/>
    <tableColumn id="4" xr3:uid="{92BB4FBE-6357-4C7F-A728-6C574DD8D64F}" name="M.Total" dataDxfId="845">
      <calculatedColumnFormula>AVERAGE(players265474[[#This Row],[Rating]],players265474[[#This Row],[ACS]],players265474[[#This Row],[KAST]],players265474[[#This Row],[HS%]],players265474[[#This Row],[CL%]])</calculatedColumnFormula>
    </tableColumn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5DB2AAA-4C5C-474D-BE1F-CD8FEBE2436D}" name="team275575" displayName="team275575" ref="A73:G74" totalsRowShown="0" headerRowDxfId="844" tableBorderDxfId="843">
  <autoFilter ref="A73:G74" xr:uid="{B5DB2AAA-4C5C-474D-BE1F-CD8FEBE2436D}"/>
  <tableColumns count="7">
    <tableColumn id="1" xr3:uid="{5E1B3AF9-AC75-4D37-B708-3E1B1A09FDD2}" name="WINS" dataDxfId="842">
      <calculatedColumnFormula>VLOOKUP(A69,team_stats_americas[#All],2,FALSE)</calculatedColumnFormula>
    </tableColumn>
    <tableColumn id="2" xr3:uid="{F833910B-5928-480C-B146-3CA2D443510A}" name="LOSS" dataDxfId="841">
      <calculatedColumnFormula>VLOOKUP(A69,team_stats_americas[#All],3,FALSE)</calculatedColumnFormula>
    </tableColumn>
    <tableColumn id="3" xr3:uid="{C8C20E53-DBA2-442C-92BD-75676A0172A8}" name="TIES" dataDxfId="840">
      <calculatedColumnFormula>VLOOKUP(A69,team_stats_americas[#All],4,FALSE)</calculatedColumnFormula>
    </tableColumn>
    <tableColumn id="4" xr3:uid="{C2F863AB-16F2-4EEF-B3DA-32BB4529B72D}" name="MAP" dataDxfId="839">
      <calculatedColumnFormula>VLOOKUP(A69,team_stats_americas[#All],5,FALSE)</calculatedColumnFormula>
    </tableColumn>
    <tableColumn id="5" xr3:uid="{04575EEA-4E99-46E7-B3A8-DF6A09528372}" name="RND" dataDxfId="838">
      <calculatedColumnFormula>VLOOKUP(A69,team_stats_americas[#All],6,FALSE)</calculatedColumnFormula>
    </tableColumn>
    <tableColumn id="7" xr3:uid="{0056ED66-8DD4-4A03-BB2D-DDAAE909FFA1}" name="S.MAPS" dataDxfId="837">
      <calculatedColumnFormula>VLOOKUP(A69,team_stats_americas[#All],7,FALSE)</calculatedColumnFormula>
    </tableColumn>
    <tableColumn id="6" xr3:uid="{34000993-AFC2-4A99-A116-390CAE354AAD}" name="Players RATING" dataDxfId="836">
      <calculatedColumnFormula>#REF!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181288-6D97-4497-AAF8-D3B77A1F3302}" name="players5676" displayName="players5676" ref="I8:O13" totalsRowShown="0">
  <autoFilter ref="I8:O13" xr:uid="{38181288-6D97-4497-AAF8-D3B77A1F3302}"/>
  <tableColumns count="7">
    <tableColumn id="1" xr3:uid="{5779151B-CCCB-4760-B558-CE36DF89152E}" name="Players" dataDxfId="835"/>
    <tableColumn id="2" xr3:uid="{3CDF8158-989C-46FA-9B4E-0B3D3AB38532}" name="Rating" dataDxfId="834"/>
    <tableColumn id="3" xr3:uid="{53A01222-CA6F-419C-BFDD-031E3758F172}" name="ACS"/>
    <tableColumn id="5" xr3:uid="{A4F7E6B1-8D0A-4B2E-A06A-5CB0A1DFE48E}" name="KAST"/>
    <tableColumn id="6" xr3:uid="{A3E86E2E-CC83-4149-998A-421FBDC7BC10}" name="HS%"/>
    <tableColumn id="7" xr3:uid="{C8289E9E-58A8-4D66-87E1-1ACCDDBEBC32}" name="CL%"/>
    <tableColumn id="4" xr3:uid="{596B9986-3E97-44A6-AA24-F006E30971EF}" name="M.Total" dataDxfId="833">
      <calculatedColumnFormula>AVERAGE(players5676[[#This Row],[Rating]],players5676[[#This Row],[ACS]],players5676[[#This Row],[KAST]],players5676[[#This Row],[HS%]],players5676[[#This Row],[CL%]])</calculatedColumnFormula>
    </tableColumn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A21926E-6E47-4572-98AD-4B80CD57D85A}" name="team5777" displayName="team5777" ref="I5:O6" totalsRowShown="0" headerRowDxfId="832" dataDxfId="831" tableBorderDxfId="830">
  <autoFilter ref="I5:O6" xr:uid="{EA21926E-6E47-4572-98AD-4B80CD57D85A}"/>
  <tableColumns count="7">
    <tableColumn id="1" xr3:uid="{780158EE-460B-47A9-84CF-553B63070828}" name="WINS" dataDxfId="829">
      <calculatedColumnFormula>VLOOKUP(I1,team_stats_americas[#All],2,FALSE)</calculatedColumnFormula>
    </tableColumn>
    <tableColumn id="2" xr3:uid="{B8A2AF07-85E6-487F-BF9E-AE9FFCD79D1D}" name="LOSS" dataDxfId="828">
      <calculatedColumnFormula>VLOOKUP(I1,team_stats_americas[#All],3,FALSE)</calculatedColumnFormula>
    </tableColumn>
    <tableColumn id="3" xr3:uid="{AAFF3C7C-99CC-40BC-BB2B-4ECC21E768FA}" name="TIES" dataDxfId="827">
      <calculatedColumnFormula>VLOOKUP(I1,team_stats_americas[#All],4,FALSE)</calculatedColumnFormula>
    </tableColumn>
    <tableColumn id="4" xr3:uid="{51D8F18A-98CC-4D3C-96E9-0EAE467907D2}" name="MAP" dataDxfId="826">
      <calculatedColumnFormula>VLOOKUP(I1,team_stats_americas[#All],5,FALSE)</calculatedColumnFormula>
    </tableColumn>
    <tableColumn id="5" xr3:uid="{CA440AB7-F3B0-4C93-BACA-7DDD234AB98F}" name="RND" dataDxfId="825">
      <calculatedColumnFormula>VLOOKUP(I1,team_stats_americas[#All],6,FALSE)</calculatedColumnFormula>
    </tableColumn>
    <tableColumn id="7" xr3:uid="{1643E016-B68C-46D7-83A4-6BADEC938412}" name="S.MAPS" dataDxfId="824">
      <calculatedColumnFormula>VLOOKUP(I1,team_stats_americas[#All],7,FALSE)</calculatedColumnFormula>
    </tableColumn>
    <tableColumn id="6" xr3:uid="{F0245CBF-8EA5-4685-A367-170B47B80767}" name="Players RATING" dataDxfId="823">
      <calculatedColumnFormula>J14</calculatedColumn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4B8429D-6943-4BB6-B463-5C29CBDCA7ED}" name="players265878" displayName="players265878" ref="I25:O30" totalsRowShown="0">
  <autoFilter ref="I25:O30" xr:uid="{74B8429D-6943-4BB6-B463-5C29CBDCA7ED}"/>
  <tableColumns count="7">
    <tableColumn id="1" xr3:uid="{3C7DCE73-E29A-4862-8AD5-04CA66FD4133}" name="Players" dataDxfId="822">
      <calculatedColumnFormula>VLOOKUP(I18,teams_americas[#All],2,TRUE)</calculatedColumnFormula>
    </tableColumn>
    <tableColumn id="2" xr3:uid="{0E4C4EDE-6BF3-4567-8F52-AC95D9035BDA}" name="Rating"/>
    <tableColumn id="3" xr3:uid="{E7E7E2E9-952D-4B1E-9F3A-8B66CC6F4065}" name="ACS"/>
    <tableColumn id="5" xr3:uid="{BE773349-F255-4B8A-BD25-676DADED438C}" name="KAST"/>
    <tableColumn id="6" xr3:uid="{A265E545-8974-4219-AC9F-CE648735DF07}" name="HS%"/>
    <tableColumn id="7" xr3:uid="{1575B6EB-98C3-4A99-ACB7-B5EB8DEC4C00}" name="CL%"/>
    <tableColumn id="4" xr3:uid="{11174221-1028-4E84-8861-FB1AD504EE4B}" name="M.Total" dataDxfId="821">
      <calculatedColumnFormula>AVERAGE(players265878[[#This Row],[Rating]],players265878[[#This Row],[ACS]],players265878[[#This Row],[KAST]],players265878[[#This Row],[HS%]],players265878[[#This Row],[CL%]])</calculatedColumnFormula>
    </tableColumn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1936D89D-7A4A-482C-8CB3-55459F2257F5}" name="team275979" displayName="team275979" ref="I22:O23" totalsRowShown="0" headerRowDxfId="820" tableBorderDxfId="819">
  <autoFilter ref="I22:O23" xr:uid="{1936D89D-7A4A-482C-8CB3-55459F2257F5}"/>
  <tableColumns count="7">
    <tableColumn id="1" xr3:uid="{9DE1BC69-397E-4A9A-B93D-4E2B006BAA1C}" name="WINS" dataDxfId="818">
      <calculatedColumnFormula>VLOOKUP(I18,team_stats_americas[#All],2,FALSE)</calculatedColumnFormula>
    </tableColumn>
    <tableColumn id="2" xr3:uid="{F44D90B4-22FF-41A2-ADED-510C7B3BF5D8}" name="LOSS" dataDxfId="817">
      <calculatedColumnFormula>VLOOKUP(I18,team_stats_americas[#All],3,FALSE)</calculatedColumnFormula>
    </tableColumn>
    <tableColumn id="3" xr3:uid="{CB790ADA-D40A-4728-9859-80259455B033}" name="TIES" dataDxfId="816">
      <calculatedColumnFormula>VLOOKUP(I18,team_stats_americas[#All],4,FALSE)</calculatedColumnFormula>
    </tableColumn>
    <tableColumn id="4" xr3:uid="{198B59B8-2B32-41B9-BB1F-C79EEC1EABF5}" name="MAP" dataDxfId="815">
      <calculatedColumnFormula>VLOOKUP(I18,team_stats_americas[#All],5,FALSE)</calculatedColumnFormula>
    </tableColumn>
    <tableColumn id="5" xr3:uid="{F0F18057-97FB-415B-9A66-F5F2FA346825}" name="RND" dataDxfId="814">
      <calculatedColumnFormula>VLOOKUP(I18,team_stats_americas[#All],6,FALSE)</calculatedColumnFormula>
    </tableColumn>
    <tableColumn id="7" xr3:uid="{74A9490A-44DC-41D1-9350-4EC8382183B5}" name="S.MAPS" dataDxfId="813">
      <calculatedColumnFormula>VLOOKUP(I18,team_stats_americas[#All],7,FALSE)</calculatedColumnFormula>
    </tableColumn>
    <tableColumn id="6" xr3:uid="{635A3C84-733F-482A-AE66-C829C4098B23}" name="Players RATING" dataDxfId="812">
      <calculatedColumnFormula>#REF!</calculatedColumnFormula>
    </tableColumn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C4A4274-E3B3-4155-A79E-C075E5FF175A}" name="players26506080" displayName="players26506080" ref="I42:O47" totalsRowShown="0">
  <autoFilter ref="I42:O47" xr:uid="{EC4A4274-E3B3-4155-A79E-C075E5FF175A}"/>
  <tableColumns count="7">
    <tableColumn id="1" xr3:uid="{D7446554-4E0F-432E-870B-B49E8ACFDA3B}" name="Players" dataDxfId="811">
      <calculatedColumnFormula>VLOOKUP(I35,teams_americas[#All],2,TRUE)</calculatedColumnFormula>
    </tableColumn>
    <tableColumn id="2" xr3:uid="{4F5BF47D-7307-4C23-8A1A-8B9BCAF6E89E}" name="Rating"/>
    <tableColumn id="3" xr3:uid="{36811B73-7482-4909-A490-8402EF8B2BBB}" name="ACS"/>
    <tableColumn id="5" xr3:uid="{208B9BC4-AEF4-4AD7-BB53-76137FF6898C}" name="KAST"/>
    <tableColumn id="6" xr3:uid="{C86F2E4F-B073-498F-A68D-83F822F66781}" name="HS%"/>
    <tableColumn id="7" xr3:uid="{CFA177A6-8378-438F-AEFE-2F15145EFB22}" name="CL%"/>
    <tableColumn id="4" xr3:uid="{A8A38B9C-8ED3-4E1A-80FB-37665FF3030D}" name="M.Total" dataDxfId="810">
      <calculatedColumnFormula>AVERAGE(players26506080[[#This Row],[Rating]],players26506080[[#This Row],[ACS]],players26506080[[#This Row],[KAST]],players26506080[[#This Row],[HS%]],players26506080[[#This Row],[CL%]])</calculatedColumnFormula>
    </tableColumn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5CD9D816-34E5-4C14-B2ED-33CAD450E57B}" name="team27516181" displayName="team27516181" ref="I39:O40" totalsRowShown="0" headerRowDxfId="809" tableBorderDxfId="808">
  <autoFilter ref="I39:O40" xr:uid="{5CD9D816-34E5-4C14-B2ED-33CAD450E57B}"/>
  <tableColumns count="7">
    <tableColumn id="1" xr3:uid="{83320724-2A09-4840-A636-AC20B81F351F}" name="WINS" dataDxfId="807">
      <calculatedColumnFormula>VLOOKUP(I35,team_stats_americas[#All],2,FALSE)</calculatedColumnFormula>
    </tableColumn>
    <tableColumn id="2" xr3:uid="{A77D04B0-91B8-4CD9-9971-BEEDA91C04F0}" name="LOSS" dataDxfId="806">
      <calculatedColumnFormula>VLOOKUP(I35,team_stats_americas[#All],3,FALSE)</calculatedColumnFormula>
    </tableColumn>
    <tableColumn id="3" xr3:uid="{0458AF1F-A4AB-466B-AE85-6DEAC0FFDAA4}" name="TIES" dataDxfId="805">
      <calculatedColumnFormula>VLOOKUP(I35,team_stats_americas[#All],4,FALSE)</calculatedColumnFormula>
    </tableColumn>
    <tableColumn id="4" xr3:uid="{2D01309A-8552-4D11-9B57-2382C33D07B0}" name="MAP" dataDxfId="804">
      <calculatedColumnFormula>VLOOKUP(I35,team_stats_americas[#All],5,FALSE)</calculatedColumnFormula>
    </tableColumn>
    <tableColumn id="5" xr3:uid="{056DA330-49E5-4C1B-BF8E-E5315D9C55FA}" name="RND" dataDxfId="803">
      <calculatedColumnFormula>VLOOKUP(I35,team_stats_americas[#All],6,FALSE)</calculatedColumnFormula>
    </tableColumn>
    <tableColumn id="7" xr3:uid="{09AA1925-93FD-4348-BB99-BF0D5C2C0634}" name="S.MAPS" dataDxfId="802">
      <calculatedColumnFormula>VLOOKUP(I35,team_stats_americas[#All],7,FALSE)</calculatedColumnFormula>
    </tableColumn>
    <tableColumn id="6" xr3:uid="{CD572AF9-3F4A-4C22-B756-C1BF7D19E856}" name="Players RATING" dataDxfId="801">
      <calculatedColumnFormula>#REF!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C10A66B-3098-4007-8EAC-1F046F79C638}" name="teamLEV" displayName="teamLEV" ref="D24:K25" totalsRowShown="0" headerRowDxfId="1048" tableBorderDxfId="1047">
  <autoFilter ref="D24:K25" xr:uid="{4C10A66B-3098-4007-8EAC-1F046F79C638}"/>
  <tableColumns count="8">
    <tableColumn id="1" xr3:uid="{5A36C784-255D-42EE-8AD7-21CCE71D7667}" name="WINS" dataDxfId="1046">
      <calculatedColumnFormula>VLOOKUP(D20,team_stats_americas[#All],2,FALSE)</calculatedColumnFormula>
    </tableColumn>
    <tableColumn id="2" xr3:uid="{1C315C33-93F2-447F-A0C6-CAB42E007E38}" name="LOSS" dataDxfId="1045">
      <calculatedColumnFormula>VLOOKUP(D20,team_stats_americas[#All],3,FALSE)</calculatedColumnFormula>
    </tableColumn>
    <tableColumn id="3" xr3:uid="{023BCFAA-5543-40FF-B696-65699DDFCF61}" name="TIES" dataDxfId="1044">
      <calculatedColumnFormula>VLOOKUP(D20,team_stats_americas[#All],4,FALSE)</calculatedColumnFormula>
    </tableColumn>
    <tableColumn id="4" xr3:uid="{8AB72B41-66BC-4296-A9F1-95EDF66A5801}" name="MAP" dataDxfId="1043">
      <calculatedColumnFormula>VLOOKUP(D20,team_stats_americas[#All],5,FALSE)</calculatedColumnFormula>
    </tableColumn>
    <tableColumn id="5" xr3:uid="{2B3C0B26-0271-43BA-B62C-0DDB2974BD0C}" name="RND" dataDxfId="1042">
      <calculatedColumnFormula>VLOOKUP(D20,team_stats_americas[#All],6,FALSE)</calculatedColumnFormula>
    </tableColumn>
    <tableColumn id="7" xr3:uid="{A87C5929-2810-4CB9-A170-87D90163BB61}" name="S.MAPS" dataDxfId="1041">
      <calculatedColumnFormula>VLOOKUP(D20,team_stats_americas[#All],7,FALSE)</calculatedColumnFormula>
    </tableColumn>
    <tableColumn id="6" xr3:uid="{E2ED77EA-A731-4A3D-AA41-00830A210124}" name="Players RATING" dataDxfId="1040">
      <calculatedColumnFormula>E33</calculatedColumnFormula>
    </tableColumn>
    <tableColumn id="8" xr3:uid="{552356EB-D4D9-406F-A84D-45EC986643DC}" name="KAST" dataDxfId="1039" dataCellStyle="Porcentagem">
      <calculatedColumnFormula>G33</calculatedColumnFormula>
    </tableColumn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686C96A-5B83-4E18-BEE5-7E635B5C2C9D}" name="players26526282" displayName="players26526282" ref="I59:O64" totalsRowShown="0">
  <autoFilter ref="I59:O64" xr:uid="{B686C96A-5B83-4E18-BEE5-7E635B5C2C9D}"/>
  <tableColumns count="7">
    <tableColumn id="1" xr3:uid="{FE58CFD5-7709-4063-A860-FF26EA5B3A45}" name="Players" dataDxfId="800">
      <calculatedColumnFormula>VLOOKUP(I52,teams_americas[#All],2,TRUE)</calculatedColumnFormula>
    </tableColumn>
    <tableColumn id="2" xr3:uid="{32A1E1A7-193C-4842-B0C5-38FFD6749823}" name="Rating"/>
    <tableColumn id="3" xr3:uid="{0AB59B8E-6D7C-43DE-A35E-54A360AF9F98}" name="ACS"/>
    <tableColumn id="5" xr3:uid="{A75DCDCD-1FB6-4CEC-A7EF-7AAA9A756540}" name="KAST"/>
    <tableColumn id="6" xr3:uid="{22D2EF70-8729-4FA4-B95D-EC561A620BD2}" name="HS%"/>
    <tableColumn id="7" xr3:uid="{DE3345C6-AEF7-4338-849D-B5AF6AF49C2D}" name="CL%"/>
    <tableColumn id="4" xr3:uid="{0B3EBD6B-2A3C-4E0C-8D8B-4157AD1C8C70}" name="M.Total" dataDxfId="799">
      <calculatedColumnFormula>AVERAGE(players26526282[[#This Row],[Rating]],players26526282[[#This Row],[ACS]],players26526282[[#This Row],[KAST]],players26526282[[#This Row],[HS%]],players26526282[[#This Row],[CL%]])</calculatedColumnFormula>
    </tableColumn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F7626ED-1F6D-4D59-885B-F5173673BEFF}" name="team27536383" displayName="team27536383" ref="I56:O57" totalsRowShown="0" headerRowDxfId="798" tableBorderDxfId="797">
  <autoFilter ref="I56:O57" xr:uid="{0F7626ED-1F6D-4D59-885B-F5173673BEFF}"/>
  <tableColumns count="7">
    <tableColumn id="1" xr3:uid="{0CE33C1E-F9AE-43D3-9349-D83C3F4480C2}" name="WINS" dataDxfId="796">
      <calculatedColumnFormula>VLOOKUP(I52,team_stats_americas[#All],2,FALSE)</calculatedColumnFormula>
    </tableColumn>
    <tableColumn id="2" xr3:uid="{A9332DE3-0CBC-462E-8BD8-0C4167F5AF98}" name="LOSS" dataDxfId="795">
      <calculatedColumnFormula>VLOOKUP(I52,team_stats_americas[#All],3,FALSE)</calculatedColumnFormula>
    </tableColumn>
    <tableColumn id="3" xr3:uid="{41B1FE34-E234-4C2D-AC31-18F46B7A6644}" name="TIES" dataDxfId="794">
      <calculatedColumnFormula>VLOOKUP(I52,team_stats_americas[#All],4,FALSE)</calculatedColumnFormula>
    </tableColumn>
    <tableColumn id="4" xr3:uid="{1CE7272E-8A68-412D-BB98-AD4BB72F997F}" name="MAP" dataDxfId="793">
      <calculatedColumnFormula>VLOOKUP(I52,team_stats_americas[#All],5,FALSE)</calculatedColumnFormula>
    </tableColumn>
    <tableColumn id="5" xr3:uid="{AE4BE5F2-DFA5-4D44-998C-F11888907C5A}" name="RND" dataDxfId="792">
      <calculatedColumnFormula>VLOOKUP(I52,team_stats_americas[#All],6,FALSE)</calculatedColumnFormula>
    </tableColumn>
    <tableColumn id="7" xr3:uid="{4C5A4DA8-BB79-47C7-9516-6586FB3EACA1}" name="S.MAPS" dataDxfId="791">
      <calculatedColumnFormula>VLOOKUP(I52,team_stats_americas[#All],7,FALSE)</calculatedColumnFormula>
    </tableColumn>
    <tableColumn id="6" xr3:uid="{989C338A-16BE-4853-8F3A-C676F9424E18}" name="Players RATING" dataDxfId="790">
      <calculatedColumnFormula>#REF!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BF49E63-5455-46C2-807D-DDD9A3A811F0}" name="playersC9" displayName="playersC9" ref="D44:K49" totalsRowShown="0">
  <autoFilter ref="D44:K49" xr:uid="{7BF49E63-5455-46C2-807D-DDD9A3A811F0}"/>
  <tableColumns count="8">
    <tableColumn id="1" xr3:uid="{1A14978B-DE48-48F3-97C6-41618E6BC404}" name="Players" dataDxfId="1038"/>
    <tableColumn id="2" xr3:uid="{1D7A931A-4C10-456E-A0C6-CBABE502D9D5}" name="Rating" dataDxfId="1037">
      <calculatedColumnFormula>VLOOKUP(D45,player_stats[#All],5,FALSE)</calculatedColumnFormula>
    </tableColumn>
    <tableColumn id="3" xr3:uid="{B6B7185E-32DA-416F-92AF-A964459A027D}" name="ACS" dataDxfId="1036">
      <calculatedColumnFormula>VLOOKUP(D45,player_stats[#All],6,FALSE)</calculatedColumnFormula>
    </tableColumn>
    <tableColumn id="5" xr3:uid="{7DD5B8B3-678E-4FC5-AC69-2179563113D4}" name="KAST" dataDxfId="1035" dataCellStyle="Porcentagem">
      <calculatedColumnFormula>VLOOKUP(D45,player_stats[#All],8,FALSE)</calculatedColumnFormula>
    </tableColumn>
    <tableColumn id="6" xr3:uid="{B5953503-BB5A-404A-BB0C-A8EA33FE6C59}" name="HS%" dataDxfId="1034" dataCellStyle="Porcentagem">
      <calculatedColumnFormula>VLOOKUP(D45,player_stats[#All],14,FALSE)</calculatedColumnFormula>
    </tableColumn>
    <tableColumn id="7" xr3:uid="{AEAB9F4F-F455-431E-816F-844BF9789A8E}" name="CL%" dataCellStyle="Porcentagem">
      <calculatedColumnFormula>VLOOKUP(D45,player_stats[#All],15,FALSE)</calculatedColumnFormula>
    </tableColumn>
    <tableColumn id="4" xr3:uid="{269B923B-D4ED-4296-A277-5B492B3A8386}" name="FK" dataDxfId="1033"/>
    <tableColumn id="8" xr3:uid="{D30DCA36-E405-409B-BECF-1B80AF2D8C3E}" name="FD" dataDxfId="103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30FECA6-D265-4B38-A510-741478DF6094}" name="teamC9" displayName="teamC9" ref="D41:K42" totalsRowShown="0" headerRowDxfId="1031" tableBorderDxfId="1030">
  <autoFilter ref="D41:K42" xr:uid="{330FECA6-D265-4B38-A510-741478DF6094}"/>
  <tableColumns count="8">
    <tableColumn id="1" xr3:uid="{39783B94-E594-41A6-8ED8-2A60B95DBEF9}" name="WINS" dataDxfId="1029">
      <calculatedColumnFormula>VLOOKUP(D37,team_stats_americas[#All],2,FALSE)</calculatedColumnFormula>
    </tableColumn>
    <tableColumn id="2" xr3:uid="{3D2538C0-C950-47D0-883A-5937E4A76D1D}" name="LOSS" dataDxfId="1028">
      <calculatedColumnFormula>VLOOKUP(D37,team_stats_americas[#All],3,FALSE)</calculatedColumnFormula>
    </tableColumn>
    <tableColumn id="3" xr3:uid="{E15FF677-6AD1-40DF-A075-5A66272F1E18}" name="TIES" dataDxfId="1027">
      <calculatedColumnFormula>VLOOKUP(D37,team_stats_americas[#All],4,FALSE)</calculatedColumnFormula>
    </tableColumn>
    <tableColumn id="4" xr3:uid="{4C178ABA-C54F-41E6-A737-58A5666D0AEA}" name="MAP" dataDxfId="1026">
      <calculatedColumnFormula>VLOOKUP(D37,team_stats_americas[#All],5,FALSE)</calculatedColumnFormula>
    </tableColumn>
    <tableColumn id="5" xr3:uid="{C3A4D6DC-DE7D-4DC4-8053-214020276E62}" name="RND" dataDxfId="1025">
      <calculatedColumnFormula>VLOOKUP(D37,team_stats_americas[#All],6,FALSE)</calculatedColumnFormula>
    </tableColumn>
    <tableColumn id="7" xr3:uid="{B0E42EB9-CBFA-4DD4-9FBC-BFF70D601CC8}" name="S.MAPS" dataDxfId="1024">
      <calculatedColumnFormula>VLOOKUP(D37,team_stats_americas[#All],7,FALSE)</calculatedColumnFormula>
    </tableColumn>
    <tableColumn id="6" xr3:uid="{3AF35886-6C8A-4B81-BD7B-857063B44A71}" name="Players RATING" dataDxfId="1023">
      <calculatedColumnFormula>E50</calculatedColumnFormula>
    </tableColumn>
    <tableColumn id="8" xr3:uid="{DD9EC1E1-D84D-44A3-B7B4-B02CA82A982B}" name="KAST" dataDxfId="1022" dataCellStyle="Porcentagem">
      <calculatedColumnFormula>G50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E0C6197-6D2B-49EB-B2FC-AA50085C774E}" name="playersFUR" displayName="playersFUR" ref="D61:K66" totalsRowShown="0">
  <autoFilter ref="D61:K66" xr:uid="{9E0C6197-6D2B-49EB-B2FC-AA50085C774E}"/>
  <sortState xmlns:xlrd2="http://schemas.microsoft.com/office/spreadsheetml/2017/richdata2" ref="D62:J66">
    <sortCondition descending="1" ref="E61:E66"/>
  </sortState>
  <tableColumns count="8">
    <tableColumn id="1" xr3:uid="{6D41507F-8CA4-4C68-9E46-156E642AF31B}" name="Players" dataDxfId="1021"/>
    <tableColumn id="2" xr3:uid="{0E207048-54F7-4629-AACF-11C7FD4C222F}" name="Rating" dataDxfId="1020">
      <calculatedColumnFormula>VLOOKUP(D62,player_stats[#All],5,FALSE)</calculatedColumnFormula>
    </tableColumn>
    <tableColumn id="3" xr3:uid="{F9A2C6FA-9281-49CD-BBF7-72F22AC55AAF}" name="ACS" dataDxfId="1019">
      <calculatedColumnFormula>VLOOKUP(D62,player_stats[#All],6,FALSE)</calculatedColumnFormula>
    </tableColumn>
    <tableColumn id="5" xr3:uid="{1F089457-6CFE-409E-B1EC-CAF79F43B5B5}" name="KAST" dataDxfId="1018" dataCellStyle="Porcentagem">
      <calculatedColumnFormula>VLOOKUP(D62,player_stats[#All],8,FALSE)</calculatedColumnFormula>
    </tableColumn>
    <tableColumn id="6" xr3:uid="{F6160C51-DDB2-4CC4-8131-22ED97B1CB36}" name="HS%" dataDxfId="1017" dataCellStyle="Porcentagem">
      <calculatedColumnFormula>VLOOKUP(D62,player_stats[#All],14,FALSE)</calculatedColumnFormula>
    </tableColumn>
    <tableColumn id="7" xr3:uid="{C72969E9-7804-49A2-B06D-E23D8AA97370}" name="CL%" dataCellStyle="Porcentagem">
      <calculatedColumnFormula>VLOOKUP(D62,player_stats[#All],15,FALSE)</calculatedColumnFormula>
    </tableColumn>
    <tableColumn id="4" xr3:uid="{A26B5918-2CB8-42B5-A028-B6039E00A817}" name="FK" dataDxfId="1016"/>
    <tableColumn id="8" xr3:uid="{EC66AA5C-0B5E-44B4-A506-7487DC016D62}" name="FD" dataDxfId="101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DBBE07-060D-449E-A85A-18CB170AB972}" name="teamFUR" displayName="teamFUR" ref="D58:K59" totalsRowShown="0" headerRowDxfId="1014" tableBorderDxfId="1013">
  <autoFilter ref="D58:K59" xr:uid="{F2DBBE07-060D-449E-A85A-18CB170AB972}"/>
  <tableColumns count="8">
    <tableColumn id="1" xr3:uid="{746E40C8-3555-4735-93F3-CA6DE6142946}" name="WINS" dataDxfId="1012">
      <calculatedColumnFormula>VLOOKUP(D54,team_stats_americas[#All],2,FALSE)</calculatedColumnFormula>
    </tableColumn>
    <tableColumn id="2" xr3:uid="{55902019-35C4-4AD5-930B-3DC668C3C1C9}" name="LOSS" dataDxfId="1011">
      <calculatedColumnFormula>VLOOKUP(D54,team_stats_americas[#All],3,FALSE)</calculatedColumnFormula>
    </tableColumn>
    <tableColumn id="3" xr3:uid="{F884A63C-9C6D-4055-865D-D65AC71090B4}" name="TIES" dataDxfId="1010">
      <calculatedColumnFormula>VLOOKUP(D54,team_stats_americas[#All],4,FALSE)</calculatedColumnFormula>
    </tableColumn>
    <tableColumn id="4" xr3:uid="{C503A291-728E-44F0-B381-630DF70FFEB8}" name="MAP" dataDxfId="1009">
      <calculatedColumnFormula>VLOOKUP(D54,team_stats_americas[#All],5,FALSE)</calculatedColumnFormula>
    </tableColumn>
    <tableColumn id="5" xr3:uid="{A11F3BA3-4C4E-4621-8EAF-906311FFE173}" name="RND" dataDxfId="1008">
      <calculatedColumnFormula>VLOOKUP(D54,team_stats_americas[#All],6,FALSE)</calculatedColumnFormula>
    </tableColumn>
    <tableColumn id="7" xr3:uid="{4707E870-6C37-48EB-8C8D-9ED3187AF3E6}" name="S.MAPS" dataDxfId="1007">
      <calculatedColumnFormula>VLOOKUP(D54,team_stats_americas[#All],7,FALSE)</calculatedColumnFormula>
    </tableColumn>
    <tableColumn id="6" xr3:uid="{DD56FDCC-F1B0-4786-BBA2-416D8AB85D95}" name="Players RATING" dataDxfId="1006">
      <calculatedColumnFormula>E67</calculatedColumnFormula>
    </tableColumn>
    <tableColumn id="8" xr3:uid="{D1BA29A4-FF53-4230-A933-E377CACD2CA5}" name="KAST" dataDxfId="1005" dataCellStyle="Porcentagem">
      <calculatedColumnFormula>G67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04B7C37-9303-409C-B726-5CFB7C894846}" name="players100T" displayName="players100T" ref="D78:K83" totalsRowShown="0">
  <autoFilter ref="D78:K83" xr:uid="{E04B7C37-9303-409C-B726-5CFB7C894846}"/>
  <tableColumns count="8">
    <tableColumn id="1" xr3:uid="{0B360217-25F3-4BD5-AF2E-7BB1BBC3AB11}" name="Players" dataDxfId="1004"/>
    <tableColumn id="2" xr3:uid="{32A9DF0D-4D08-4492-8E8D-EB04D17F1770}" name="Rating" dataDxfId="1003">
      <calculatedColumnFormula>VLOOKUP(D79,player_stats[#All],5,FALSE)</calculatedColumnFormula>
    </tableColumn>
    <tableColumn id="3" xr3:uid="{B911673A-E8F9-44A7-9E1B-88EBF7BFD994}" name="ACS" dataDxfId="1002">
      <calculatedColumnFormula>VLOOKUP(D79,player_stats[#All],6,FALSE)</calculatedColumnFormula>
    </tableColumn>
    <tableColumn id="5" xr3:uid="{CF29A537-2DDF-47EF-8BE8-919DFB0FF5F5}" name="KAST" dataDxfId="1001" dataCellStyle="Porcentagem">
      <calculatedColumnFormula>VLOOKUP(D79,player_stats[#All],8,FALSE)</calculatedColumnFormula>
    </tableColumn>
    <tableColumn id="6" xr3:uid="{E64359A1-8C86-4F5B-B2F7-8DE5C50E846B}" name="HS%" dataDxfId="1000" dataCellStyle="Porcentagem">
      <calculatedColumnFormula>VLOOKUP(D79,player_stats[#All],14,FALSE)</calculatedColumnFormula>
    </tableColumn>
    <tableColumn id="7" xr3:uid="{4BC85C33-ECC7-4414-970C-A1AD8EAC16BB}" name="CL%" dataCellStyle="Porcentagem">
      <calculatedColumnFormula>VLOOKUP(D79,player_stats[#All],15,FALSE)</calculatedColumnFormula>
    </tableColumn>
    <tableColumn id="4" xr3:uid="{C39BAE21-4C4D-49DB-8A65-92843EB17F67}" name="FK" dataDxfId="999"/>
    <tableColumn id="8" xr3:uid="{55A248E2-1C8F-4BF7-9729-0419581AD8F1}" name="FD" dataDxfId="99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18" Type="http://schemas.openxmlformats.org/officeDocument/2006/relationships/table" Target="../tables/table4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17" Type="http://schemas.openxmlformats.org/officeDocument/2006/relationships/table" Target="../tables/table40.xml"/><Relationship Id="rId2" Type="http://schemas.openxmlformats.org/officeDocument/2006/relationships/table" Target="../tables/table25.xml"/><Relationship Id="rId16" Type="http://schemas.openxmlformats.org/officeDocument/2006/relationships/table" Target="../tables/table39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5" Type="http://schemas.openxmlformats.org/officeDocument/2006/relationships/table" Target="../tables/table3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Relationship Id="rId1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7610-5726-4364-A19E-8C3313598210}">
  <dimension ref="A3:AW77"/>
  <sheetViews>
    <sheetView showGridLines="0" tabSelected="1" zoomScaleNormal="100" workbookViewId="0">
      <selection activeCell="I13" sqref="I13"/>
    </sheetView>
  </sheetViews>
  <sheetFormatPr defaultRowHeight="15" x14ac:dyDescent="0.25"/>
  <cols>
    <col min="1" max="1" width="9.7109375" customWidth="1"/>
    <col min="2" max="2" width="11.140625" style="21" bestFit="1" customWidth="1"/>
    <col min="3" max="3" width="6.5703125" style="21" bestFit="1" customWidth="1"/>
    <col min="4" max="4" width="5" style="21" bestFit="1" customWidth="1"/>
    <col min="5" max="5" width="5.42578125" style="21" bestFit="1" customWidth="1"/>
    <col min="6" max="7" width="4.5703125" style="21" bestFit="1" customWidth="1"/>
    <col min="8" max="8" width="3.140625" style="21" bestFit="1" customWidth="1"/>
    <col min="9" max="9" width="3.28515625" style="21" bestFit="1" customWidth="1"/>
    <col min="10" max="10" width="9.7109375" style="52" customWidth="1"/>
    <col min="11" max="11" width="14.5703125" style="36" bestFit="1" customWidth="1"/>
    <col min="12" max="12" width="6.5703125" style="40" bestFit="1" customWidth="1"/>
    <col min="13" max="13" width="6.7109375" style="35" customWidth="1"/>
    <col min="14" max="14" width="14.5703125" style="35" bestFit="1" customWidth="1"/>
    <col min="15" max="15" width="5.42578125" style="40" bestFit="1" customWidth="1"/>
    <col min="16" max="16" width="6.7109375" style="35" customWidth="1"/>
    <col min="17" max="17" width="14.5703125" style="35" bestFit="1" customWidth="1"/>
    <col min="18" max="18" width="8.140625" style="35" bestFit="1" customWidth="1"/>
    <col min="19" max="19" width="6.7109375" style="35" customWidth="1"/>
    <col min="20" max="20" width="14.5703125" style="35" bestFit="1" customWidth="1"/>
    <col min="21" max="21" width="10.5703125" style="35" bestFit="1" customWidth="1"/>
    <col min="22" max="22" width="6.7109375" style="35" customWidth="1"/>
    <col min="23" max="23" width="14.5703125" style="35" bestFit="1" customWidth="1"/>
    <col min="24" max="24" width="12.85546875" style="35" bestFit="1" customWidth="1"/>
    <col min="25" max="25" width="6.7109375" style="35" customWidth="1"/>
    <col min="26" max="26" width="14.5703125" style="35" bestFit="1" customWidth="1"/>
    <col min="27" max="27" width="5" style="35" bestFit="1" customWidth="1"/>
    <col min="28" max="28" width="6.7109375" style="35" customWidth="1"/>
    <col min="29" max="29" width="14.5703125" style="35" bestFit="1" customWidth="1"/>
    <col min="30" max="30" width="12" style="35" bestFit="1" customWidth="1"/>
    <col min="31" max="31" width="6.7109375" style="35" customWidth="1"/>
    <col min="32" max="32" width="14.5703125" style="35" bestFit="1" customWidth="1"/>
    <col min="33" max="33" width="5.5703125" style="35" bestFit="1" customWidth="1"/>
    <col min="34" max="34" width="6.7109375" style="35" customWidth="1"/>
    <col min="35" max="35" width="14.5703125" style="35" bestFit="1" customWidth="1"/>
    <col min="36" max="36" width="8.5703125" style="35" bestFit="1" customWidth="1"/>
    <col min="37" max="37" width="6.7109375" style="35" customWidth="1"/>
    <col min="38" max="38" width="25.85546875" style="35" bestFit="1" customWidth="1"/>
    <col min="39" max="39" width="5.5703125" style="35" bestFit="1" customWidth="1"/>
    <col min="40" max="41" width="9.140625" style="35"/>
    <col min="42" max="42" width="9.140625" style="35" customWidth="1"/>
    <col min="43" max="43" width="9.140625" style="35"/>
    <col min="44" max="49" width="9.140625" style="1"/>
  </cols>
  <sheetData>
    <row r="3" spans="1:49" s="47" customFormat="1" ht="16.5" thickBot="1" x14ac:dyDescent="0.3">
      <c r="B3" s="54" t="s">
        <v>165</v>
      </c>
      <c r="C3" s="54"/>
      <c r="D3" s="54"/>
      <c r="E3" s="54"/>
      <c r="F3" s="54"/>
      <c r="G3" s="54"/>
      <c r="H3" s="54"/>
      <c r="I3" s="54"/>
      <c r="J3" s="50"/>
      <c r="K3" s="53" t="s">
        <v>164</v>
      </c>
      <c r="L3" s="53"/>
      <c r="M3" s="48"/>
      <c r="N3" s="53" t="s">
        <v>157</v>
      </c>
      <c r="O3" s="53"/>
      <c r="P3" s="48"/>
      <c r="Q3" s="53" t="s">
        <v>158</v>
      </c>
      <c r="R3" s="53"/>
      <c r="S3" s="48"/>
      <c r="T3" s="53" t="s">
        <v>159</v>
      </c>
      <c r="U3" s="53"/>
      <c r="V3" s="48"/>
      <c r="W3" s="53" t="s">
        <v>160</v>
      </c>
      <c r="X3" s="53"/>
      <c r="Y3" s="48"/>
      <c r="Z3" s="53" t="s">
        <v>161</v>
      </c>
      <c r="AA3" s="53"/>
      <c r="AB3" s="48"/>
      <c r="AC3" s="53" t="s">
        <v>166</v>
      </c>
      <c r="AD3" s="53"/>
      <c r="AE3" s="48"/>
      <c r="AF3" s="53" t="s">
        <v>167</v>
      </c>
      <c r="AG3" s="53"/>
      <c r="AH3" s="48"/>
      <c r="AI3" s="53" t="s">
        <v>162</v>
      </c>
      <c r="AJ3" s="53"/>
      <c r="AK3" s="48"/>
      <c r="AL3" s="53" t="s">
        <v>163</v>
      </c>
      <c r="AM3" s="53"/>
      <c r="AN3" s="48"/>
      <c r="AO3" s="48"/>
      <c r="AP3" s="48"/>
      <c r="AQ3" s="48"/>
      <c r="AR3" s="49"/>
      <c r="AS3" s="49"/>
      <c r="AT3" s="49"/>
      <c r="AU3" s="49"/>
      <c r="AV3" s="49"/>
      <c r="AW3" s="49"/>
    </row>
    <row r="5" spans="1:49" s="43" customFormat="1" x14ac:dyDescent="0.25">
      <c r="B5" s="40" t="s">
        <v>25</v>
      </c>
      <c r="C5" s="40" t="s">
        <v>4</v>
      </c>
      <c r="D5" s="40" t="s">
        <v>0</v>
      </c>
      <c r="E5" s="40" t="s">
        <v>1</v>
      </c>
      <c r="F5" s="40" t="s">
        <v>153</v>
      </c>
      <c r="G5" s="40" t="s">
        <v>32</v>
      </c>
      <c r="H5" s="40" t="s">
        <v>37</v>
      </c>
      <c r="I5" s="40" t="s">
        <v>38</v>
      </c>
      <c r="J5" s="51"/>
      <c r="K5" s="40" t="s">
        <v>151</v>
      </c>
      <c r="L5" s="40" t="s">
        <v>4</v>
      </c>
      <c r="M5" s="40"/>
      <c r="N5" s="40" t="s">
        <v>151</v>
      </c>
      <c r="O5" s="40" t="s">
        <v>1</v>
      </c>
      <c r="P5" s="40"/>
      <c r="Q5" s="40" t="s">
        <v>151</v>
      </c>
      <c r="R5" s="40" t="s">
        <v>155</v>
      </c>
      <c r="S5" s="40"/>
      <c r="T5" s="40" t="s">
        <v>151</v>
      </c>
      <c r="U5" s="40" t="s">
        <v>154</v>
      </c>
      <c r="V5" s="40"/>
      <c r="W5" s="40" t="s">
        <v>151</v>
      </c>
      <c r="X5" s="40" t="s">
        <v>156</v>
      </c>
      <c r="Y5" s="40"/>
      <c r="Z5" s="40" t="s">
        <v>151</v>
      </c>
      <c r="AA5" s="40" t="s">
        <v>0</v>
      </c>
      <c r="AB5" s="40"/>
      <c r="AC5" s="40" t="s">
        <v>45</v>
      </c>
      <c r="AD5" s="40" t="s">
        <v>13</v>
      </c>
      <c r="AE5" s="40"/>
      <c r="AF5" s="40" t="s">
        <v>151</v>
      </c>
      <c r="AG5" s="40" t="s">
        <v>14</v>
      </c>
      <c r="AH5" s="40"/>
      <c r="AI5" s="40" t="s">
        <v>151</v>
      </c>
      <c r="AJ5" s="40" t="s">
        <v>152</v>
      </c>
      <c r="AK5" s="40"/>
      <c r="AL5" s="44" t="s">
        <v>151</v>
      </c>
      <c r="AM5" s="44" t="s">
        <v>46</v>
      </c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 x14ac:dyDescent="0.25">
      <c r="A6">
        <v>1</v>
      </c>
      <c r="B6" s="40" t="s">
        <v>24</v>
      </c>
      <c r="C6" s="66">
        <v>129</v>
      </c>
      <c r="D6" s="66">
        <v>2617</v>
      </c>
      <c r="E6" s="41">
        <v>0.8</v>
      </c>
      <c r="F6" s="41">
        <v>0.25</v>
      </c>
      <c r="G6" s="41">
        <v>0.22</v>
      </c>
      <c r="H6" s="66">
        <v>49</v>
      </c>
      <c r="I6" s="66">
        <v>26</v>
      </c>
      <c r="K6" s="36" t="s">
        <v>18</v>
      </c>
      <c r="L6" s="66"/>
      <c r="N6" s="36" t="s">
        <v>18</v>
      </c>
      <c r="O6" s="66"/>
      <c r="Q6" s="36" t="s">
        <v>127</v>
      </c>
      <c r="R6" s="64"/>
      <c r="T6" s="36" t="s">
        <v>129</v>
      </c>
      <c r="U6" s="38"/>
      <c r="W6" s="36" t="s">
        <v>128</v>
      </c>
      <c r="X6" s="64"/>
      <c r="Z6" s="36" t="s">
        <v>18</v>
      </c>
      <c r="AA6" s="64"/>
      <c r="AC6" s="36" t="s">
        <v>102</v>
      </c>
      <c r="AD6" s="64"/>
      <c r="AF6" s="36" t="s">
        <v>128</v>
      </c>
      <c r="AG6" s="64"/>
      <c r="AI6" s="36" t="s">
        <v>102</v>
      </c>
      <c r="AJ6" s="37"/>
      <c r="AL6" s="39" t="s">
        <v>52</v>
      </c>
      <c r="AM6" s="65">
        <v>5</v>
      </c>
    </row>
    <row r="7" spans="1:49" x14ac:dyDescent="0.25">
      <c r="A7">
        <v>2</v>
      </c>
      <c r="B7" s="40" t="s">
        <v>70</v>
      </c>
      <c r="C7" s="66">
        <v>122</v>
      </c>
      <c r="D7" s="66">
        <v>2577</v>
      </c>
      <c r="E7" s="41">
        <v>0.75</v>
      </c>
      <c r="F7" s="41">
        <v>0.21</v>
      </c>
      <c r="G7" s="41">
        <v>0.32</v>
      </c>
      <c r="H7" s="66">
        <v>57</v>
      </c>
      <c r="I7" s="66">
        <v>36</v>
      </c>
      <c r="K7" s="45" t="s">
        <v>24</v>
      </c>
      <c r="L7" s="66">
        <v>129</v>
      </c>
      <c r="N7" s="45" t="s">
        <v>24</v>
      </c>
      <c r="O7" s="41">
        <v>0.8</v>
      </c>
      <c r="Q7" s="45" t="s">
        <v>94</v>
      </c>
      <c r="R7" s="64">
        <v>33</v>
      </c>
      <c r="T7" s="45" t="s">
        <v>71</v>
      </c>
      <c r="U7" s="38">
        <v>23</v>
      </c>
      <c r="W7" s="45" t="s">
        <v>83</v>
      </c>
      <c r="X7" s="64">
        <v>109</v>
      </c>
      <c r="Z7" s="45" t="s">
        <v>24</v>
      </c>
      <c r="AA7" s="64">
        <v>2617</v>
      </c>
      <c r="AC7" s="45" t="s">
        <v>104</v>
      </c>
      <c r="AD7" s="64">
        <v>15</v>
      </c>
      <c r="AF7" s="45" t="s">
        <v>83</v>
      </c>
      <c r="AG7" s="64">
        <v>14</v>
      </c>
      <c r="AI7" s="45" t="s">
        <v>103</v>
      </c>
      <c r="AJ7" s="37">
        <v>0.24</v>
      </c>
      <c r="AL7" s="39" t="s">
        <v>50</v>
      </c>
      <c r="AM7" s="65">
        <v>5</v>
      </c>
    </row>
    <row r="8" spans="1:49" x14ac:dyDescent="0.25">
      <c r="A8">
        <v>3</v>
      </c>
      <c r="B8" s="40" t="s">
        <v>94</v>
      </c>
      <c r="C8" s="66">
        <v>119</v>
      </c>
      <c r="D8" s="66">
        <v>2164</v>
      </c>
      <c r="E8" s="41">
        <v>0.78</v>
      </c>
      <c r="F8" s="41">
        <v>0.28000000000000003</v>
      </c>
      <c r="G8" s="41">
        <v>0.23</v>
      </c>
      <c r="H8" s="66">
        <v>33</v>
      </c>
      <c r="I8" s="66">
        <v>31</v>
      </c>
      <c r="K8" s="45" t="s">
        <v>23</v>
      </c>
      <c r="L8" s="66">
        <v>113</v>
      </c>
      <c r="N8" s="45" t="s">
        <v>22</v>
      </c>
      <c r="O8" s="41">
        <v>0.8</v>
      </c>
      <c r="Q8" s="45" t="s">
        <v>93</v>
      </c>
      <c r="R8" s="64">
        <v>48</v>
      </c>
      <c r="T8" s="45" t="s">
        <v>70</v>
      </c>
      <c r="U8" s="38">
        <v>36</v>
      </c>
      <c r="W8" s="45" t="s">
        <v>81</v>
      </c>
      <c r="X8" s="64">
        <v>119</v>
      </c>
      <c r="Z8" s="45" t="s">
        <v>22</v>
      </c>
      <c r="AA8" s="64">
        <v>2102</v>
      </c>
      <c r="AC8" s="45" t="s">
        <v>103</v>
      </c>
      <c r="AD8" s="64">
        <v>9</v>
      </c>
      <c r="AF8" s="45" t="s">
        <v>81</v>
      </c>
      <c r="AG8" s="64">
        <v>5</v>
      </c>
      <c r="AI8" s="45" t="s">
        <v>106</v>
      </c>
      <c r="AJ8" s="37">
        <v>0.21</v>
      </c>
      <c r="AL8" s="39" t="s">
        <v>53</v>
      </c>
      <c r="AM8" s="65">
        <v>4</v>
      </c>
    </row>
    <row r="9" spans="1:49" x14ac:dyDescent="0.25">
      <c r="A9">
        <v>4</v>
      </c>
      <c r="B9" s="40" t="s">
        <v>107</v>
      </c>
      <c r="C9" s="66">
        <v>115</v>
      </c>
      <c r="D9" s="66">
        <v>2065</v>
      </c>
      <c r="E9" s="41">
        <v>0.79</v>
      </c>
      <c r="F9" s="41">
        <v>0.28000000000000003</v>
      </c>
      <c r="G9" s="41">
        <v>0.28999999999999998</v>
      </c>
      <c r="H9" s="66">
        <v>24</v>
      </c>
      <c r="I9" s="66">
        <v>20</v>
      </c>
      <c r="K9" s="45" t="s">
        <v>22</v>
      </c>
      <c r="L9" s="66">
        <v>109</v>
      </c>
      <c r="N9" s="45" t="s">
        <v>23</v>
      </c>
      <c r="O9" s="41">
        <v>0.76</v>
      </c>
      <c r="Q9" s="45" t="s">
        <v>91</v>
      </c>
      <c r="R9" s="64">
        <v>15</v>
      </c>
      <c r="T9" s="45" t="s">
        <v>72</v>
      </c>
      <c r="U9" s="38">
        <v>16</v>
      </c>
      <c r="W9" s="45" t="s">
        <v>82</v>
      </c>
      <c r="X9" s="64">
        <v>94</v>
      </c>
      <c r="Z9" s="45" t="s">
        <v>23</v>
      </c>
      <c r="AA9" s="64">
        <v>2306</v>
      </c>
      <c r="AC9" s="45" t="s">
        <v>106</v>
      </c>
      <c r="AD9" s="64">
        <v>6</v>
      </c>
      <c r="AF9" s="45" t="s">
        <v>82</v>
      </c>
      <c r="AG9" s="64">
        <v>1</v>
      </c>
      <c r="AI9" s="45" t="s">
        <v>107</v>
      </c>
      <c r="AJ9" s="37">
        <v>0.28999999999999998</v>
      </c>
      <c r="AL9" s="39" t="s">
        <v>57</v>
      </c>
      <c r="AM9" s="65">
        <v>3</v>
      </c>
    </row>
    <row r="10" spans="1:49" x14ac:dyDescent="0.25">
      <c r="A10">
        <v>5</v>
      </c>
      <c r="B10" s="40" t="s">
        <v>91</v>
      </c>
      <c r="C10" s="66">
        <v>114</v>
      </c>
      <c r="D10" s="66">
        <v>1908</v>
      </c>
      <c r="E10" s="41">
        <v>0.78</v>
      </c>
      <c r="F10" s="41">
        <v>0.2</v>
      </c>
      <c r="G10" s="41">
        <v>0.1</v>
      </c>
      <c r="H10" s="66">
        <v>15</v>
      </c>
      <c r="I10" s="66">
        <v>17</v>
      </c>
      <c r="K10" s="45" t="s">
        <v>21</v>
      </c>
      <c r="L10" s="66">
        <v>102</v>
      </c>
      <c r="N10" s="45" t="s">
        <v>20</v>
      </c>
      <c r="O10" s="41">
        <v>0.74</v>
      </c>
      <c r="Q10" s="45" t="s">
        <v>95</v>
      </c>
      <c r="R10" s="64">
        <v>28</v>
      </c>
      <c r="T10" s="45" t="s">
        <v>69</v>
      </c>
      <c r="U10" s="38">
        <v>23</v>
      </c>
      <c r="W10" s="45" t="s">
        <v>79</v>
      </c>
      <c r="X10" s="64">
        <v>99</v>
      </c>
      <c r="Z10" s="45" t="s">
        <v>20</v>
      </c>
      <c r="AA10" s="64">
        <v>1931</v>
      </c>
      <c r="AC10" s="45" t="s">
        <v>107</v>
      </c>
      <c r="AD10" s="64">
        <v>9</v>
      </c>
      <c r="AF10" s="45" t="s">
        <v>79</v>
      </c>
      <c r="AG10" s="64">
        <v>12</v>
      </c>
      <c r="AI10" s="45" t="s">
        <v>105</v>
      </c>
      <c r="AJ10" s="37">
        <v>0.25</v>
      </c>
      <c r="AL10" s="39" t="s">
        <v>51</v>
      </c>
      <c r="AM10" s="65">
        <v>3</v>
      </c>
    </row>
    <row r="11" spans="1:49" x14ac:dyDescent="0.25">
      <c r="A11">
        <v>6</v>
      </c>
      <c r="B11" s="40" t="s">
        <v>81</v>
      </c>
      <c r="C11" s="66">
        <v>113</v>
      </c>
      <c r="D11" s="66">
        <v>2000</v>
      </c>
      <c r="E11" s="41">
        <v>0.79</v>
      </c>
      <c r="F11" s="41">
        <v>0.28000000000000003</v>
      </c>
      <c r="G11" s="41">
        <v>0.11</v>
      </c>
      <c r="H11" s="66">
        <v>14</v>
      </c>
      <c r="I11" s="66">
        <v>16</v>
      </c>
      <c r="K11" s="45" t="s">
        <v>20</v>
      </c>
      <c r="L11" s="66">
        <v>97</v>
      </c>
      <c r="N11" s="45" t="s">
        <v>21</v>
      </c>
      <c r="O11" s="41">
        <v>0.82</v>
      </c>
      <c r="Q11" s="45" t="s">
        <v>92</v>
      </c>
      <c r="R11" s="64">
        <v>62</v>
      </c>
      <c r="T11" s="45" t="s">
        <v>67</v>
      </c>
      <c r="U11" s="38">
        <v>25</v>
      </c>
      <c r="W11" s="45" t="s">
        <v>80</v>
      </c>
      <c r="X11" s="64">
        <v>93</v>
      </c>
      <c r="Z11" s="45" t="s">
        <v>21</v>
      </c>
      <c r="AA11" s="64">
        <v>1701</v>
      </c>
      <c r="AC11" s="45" t="s">
        <v>105</v>
      </c>
      <c r="AD11" s="64">
        <v>18</v>
      </c>
      <c r="AF11" s="45" t="s">
        <v>80</v>
      </c>
      <c r="AG11" s="64">
        <v>8</v>
      </c>
      <c r="AI11" s="36" t="s">
        <v>129</v>
      </c>
      <c r="AJ11" s="37"/>
      <c r="AL11" s="39" t="s">
        <v>54</v>
      </c>
      <c r="AM11" s="65">
        <v>3</v>
      </c>
    </row>
    <row r="12" spans="1:49" x14ac:dyDescent="0.25">
      <c r="A12">
        <v>7</v>
      </c>
      <c r="B12" s="40" t="s">
        <v>116</v>
      </c>
      <c r="C12" s="66">
        <v>113</v>
      </c>
      <c r="D12" s="66">
        <v>2266</v>
      </c>
      <c r="E12" s="41">
        <v>0.7</v>
      </c>
      <c r="F12" s="41">
        <v>0.31</v>
      </c>
      <c r="G12" s="41">
        <v>0.21</v>
      </c>
      <c r="H12" s="66">
        <v>21</v>
      </c>
      <c r="I12" s="66">
        <v>18</v>
      </c>
      <c r="K12" s="36" t="s">
        <v>127</v>
      </c>
      <c r="L12" s="66"/>
      <c r="N12" s="36" t="s">
        <v>102</v>
      </c>
      <c r="O12" s="66"/>
      <c r="Q12" s="36" t="s">
        <v>130</v>
      </c>
      <c r="R12" s="64"/>
      <c r="T12" s="36" t="s">
        <v>102</v>
      </c>
      <c r="U12" s="38"/>
      <c r="W12" s="36" t="s">
        <v>131</v>
      </c>
      <c r="X12" s="64"/>
      <c r="Z12" s="36" t="s">
        <v>129</v>
      </c>
      <c r="AA12" s="64"/>
      <c r="AC12" s="36" t="s">
        <v>18</v>
      </c>
      <c r="AD12" s="64"/>
      <c r="AF12" s="36" t="s">
        <v>18</v>
      </c>
      <c r="AG12" s="64"/>
      <c r="AI12" s="45" t="s">
        <v>71</v>
      </c>
      <c r="AJ12" s="37">
        <v>0.21</v>
      </c>
      <c r="AL12" s="39" t="s">
        <v>55</v>
      </c>
      <c r="AM12" s="65">
        <v>2</v>
      </c>
    </row>
    <row r="13" spans="1:49" x14ac:dyDescent="0.25">
      <c r="A13">
        <v>8</v>
      </c>
      <c r="B13" s="40" t="s">
        <v>23</v>
      </c>
      <c r="C13" s="66">
        <v>113</v>
      </c>
      <c r="D13" s="66">
        <v>2306</v>
      </c>
      <c r="E13" s="41">
        <v>0.76</v>
      </c>
      <c r="F13" s="41">
        <v>0.24</v>
      </c>
      <c r="G13" s="41">
        <v>0.14000000000000001</v>
      </c>
      <c r="H13" s="66">
        <v>32</v>
      </c>
      <c r="I13" s="66">
        <v>24</v>
      </c>
      <c r="K13" s="45" t="s">
        <v>94</v>
      </c>
      <c r="L13" s="66">
        <v>119</v>
      </c>
      <c r="N13" s="45" t="s">
        <v>104</v>
      </c>
      <c r="O13" s="41">
        <v>0.73</v>
      </c>
      <c r="Q13" s="45" t="s">
        <v>60</v>
      </c>
      <c r="R13" s="64">
        <v>40</v>
      </c>
      <c r="T13" s="45" t="s">
        <v>104</v>
      </c>
      <c r="U13" s="38">
        <v>33</v>
      </c>
      <c r="W13" s="45" t="s">
        <v>75</v>
      </c>
      <c r="X13" s="64">
        <v>92</v>
      </c>
      <c r="Z13" s="45" t="s">
        <v>71</v>
      </c>
      <c r="AA13" s="64">
        <v>2101</v>
      </c>
      <c r="AC13" s="45" t="s">
        <v>24</v>
      </c>
      <c r="AD13" s="64">
        <v>17</v>
      </c>
      <c r="AF13" s="45" t="s">
        <v>24</v>
      </c>
      <c r="AG13" s="64">
        <v>9</v>
      </c>
      <c r="AI13" s="45" t="s">
        <v>70</v>
      </c>
      <c r="AJ13" s="37">
        <v>0.32</v>
      </c>
      <c r="AL13" s="39" t="s">
        <v>58</v>
      </c>
      <c r="AM13" s="65">
        <v>2</v>
      </c>
    </row>
    <row r="14" spans="1:49" x14ac:dyDescent="0.25">
      <c r="A14">
        <v>9</v>
      </c>
      <c r="B14" s="40" t="s">
        <v>105</v>
      </c>
      <c r="C14" s="66">
        <v>112</v>
      </c>
      <c r="D14" s="66">
        <v>2283</v>
      </c>
      <c r="E14" s="41">
        <v>0.79</v>
      </c>
      <c r="F14" s="41">
        <v>0.2</v>
      </c>
      <c r="G14" s="41">
        <v>0.25</v>
      </c>
      <c r="H14" s="66">
        <v>49</v>
      </c>
      <c r="I14" s="66">
        <v>34</v>
      </c>
      <c r="K14" s="45" t="s">
        <v>91</v>
      </c>
      <c r="L14" s="66">
        <v>114</v>
      </c>
      <c r="N14" s="45" t="s">
        <v>103</v>
      </c>
      <c r="O14" s="41">
        <v>0.77</v>
      </c>
      <c r="Q14" s="45" t="s">
        <v>63</v>
      </c>
      <c r="R14" s="64">
        <v>24</v>
      </c>
      <c r="T14" s="45" t="s">
        <v>103</v>
      </c>
      <c r="U14" s="38">
        <v>16</v>
      </c>
      <c r="W14" s="45" t="s">
        <v>73</v>
      </c>
      <c r="X14" s="64">
        <v>105</v>
      </c>
      <c r="Z14" s="45" t="s">
        <v>70</v>
      </c>
      <c r="AA14" s="64">
        <v>2577</v>
      </c>
      <c r="AC14" s="45" t="s">
        <v>22</v>
      </c>
      <c r="AD14" s="64">
        <v>11</v>
      </c>
      <c r="AF14" s="45" t="s">
        <v>22</v>
      </c>
      <c r="AG14" s="64">
        <v>8</v>
      </c>
      <c r="AI14" s="45" t="s">
        <v>72</v>
      </c>
      <c r="AJ14" s="37">
        <v>0.21</v>
      </c>
      <c r="AL14" s="39" t="s">
        <v>56</v>
      </c>
      <c r="AM14" s="65">
        <v>2</v>
      </c>
    </row>
    <row r="15" spans="1:49" x14ac:dyDescent="0.25">
      <c r="A15">
        <v>10</v>
      </c>
      <c r="B15" s="40" t="s">
        <v>22</v>
      </c>
      <c r="C15" s="66">
        <v>109</v>
      </c>
      <c r="D15" s="66">
        <v>2102</v>
      </c>
      <c r="E15" s="41">
        <v>0.8</v>
      </c>
      <c r="F15" s="41">
        <v>0.21</v>
      </c>
      <c r="G15" s="41">
        <v>0.26</v>
      </c>
      <c r="H15" s="66">
        <v>32</v>
      </c>
      <c r="I15" s="66">
        <v>23</v>
      </c>
      <c r="K15" s="45" t="s">
        <v>93</v>
      </c>
      <c r="L15" s="66">
        <v>108</v>
      </c>
      <c r="N15" s="45" t="s">
        <v>106</v>
      </c>
      <c r="O15" s="41">
        <v>0.71</v>
      </c>
      <c r="Q15" s="45" t="s">
        <v>64</v>
      </c>
      <c r="R15" s="64">
        <v>51</v>
      </c>
      <c r="T15" s="45" t="s">
        <v>106</v>
      </c>
      <c r="U15" s="38">
        <v>22</v>
      </c>
      <c r="W15" s="45" t="s">
        <v>74</v>
      </c>
      <c r="X15" s="64">
        <v>85</v>
      </c>
      <c r="Z15" s="45" t="s">
        <v>72</v>
      </c>
      <c r="AA15" s="64">
        <v>1848</v>
      </c>
      <c r="AC15" s="45" t="s">
        <v>23</v>
      </c>
      <c r="AD15" s="64">
        <v>11</v>
      </c>
      <c r="AF15" s="45" t="s">
        <v>23</v>
      </c>
      <c r="AG15" s="64">
        <v>9</v>
      </c>
      <c r="AI15" s="45" t="s">
        <v>69</v>
      </c>
      <c r="AJ15" s="37">
        <v>0.16</v>
      </c>
      <c r="AL15" s="39" t="s">
        <v>59</v>
      </c>
      <c r="AM15" s="65">
        <v>0</v>
      </c>
    </row>
    <row r="16" spans="1:49" x14ac:dyDescent="0.25">
      <c r="A16">
        <v>11</v>
      </c>
      <c r="B16" s="40" t="s">
        <v>103</v>
      </c>
      <c r="C16" s="66">
        <v>109</v>
      </c>
      <c r="D16" s="66">
        <v>2102</v>
      </c>
      <c r="E16" s="41">
        <v>0.77</v>
      </c>
      <c r="F16" s="41">
        <v>0.23</v>
      </c>
      <c r="G16" s="41">
        <v>0.24</v>
      </c>
      <c r="H16" s="66">
        <v>25</v>
      </c>
      <c r="I16" s="66">
        <v>16</v>
      </c>
      <c r="K16" s="45" t="s">
        <v>95</v>
      </c>
      <c r="L16" s="66">
        <v>102</v>
      </c>
      <c r="N16" s="45" t="s">
        <v>107</v>
      </c>
      <c r="O16" s="41">
        <v>0.79</v>
      </c>
      <c r="Q16" s="45" t="s">
        <v>62</v>
      </c>
      <c r="R16" s="64">
        <v>20</v>
      </c>
      <c r="T16" s="45" t="s">
        <v>107</v>
      </c>
      <c r="U16" s="38">
        <v>20</v>
      </c>
      <c r="W16" s="45" t="s">
        <v>78</v>
      </c>
      <c r="X16" s="64">
        <v>106</v>
      </c>
      <c r="Z16" s="45" t="s">
        <v>69</v>
      </c>
      <c r="AA16" s="64">
        <v>1995</v>
      </c>
      <c r="AC16" s="45" t="s">
        <v>20</v>
      </c>
      <c r="AD16" s="64">
        <v>11</v>
      </c>
      <c r="AF16" s="45" t="s">
        <v>20</v>
      </c>
      <c r="AG16" s="64">
        <v>12</v>
      </c>
      <c r="AI16" s="45" t="s">
        <v>67</v>
      </c>
      <c r="AJ16" s="37">
        <v>0.21</v>
      </c>
      <c r="AL16" s="39" t="s">
        <v>150</v>
      </c>
      <c r="AM16" s="65">
        <v>29</v>
      </c>
    </row>
    <row r="17" spans="1:36" x14ac:dyDescent="0.25">
      <c r="A17">
        <v>12</v>
      </c>
      <c r="B17" s="40" t="s">
        <v>72</v>
      </c>
      <c r="C17" s="66">
        <v>108</v>
      </c>
      <c r="D17" s="66">
        <v>1848</v>
      </c>
      <c r="E17" s="41">
        <v>0.79</v>
      </c>
      <c r="F17" s="41">
        <v>0.24</v>
      </c>
      <c r="G17" s="41">
        <v>0.21</v>
      </c>
      <c r="H17" s="66">
        <v>20</v>
      </c>
      <c r="I17" s="66">
        <v>16</v>
      </c>
      <c r="K17" s="45" t="s">
        <v>92</v>
      </c>
      <c r="L17" s="66">
        <v>101</v>
      </c>
      <c r="N17" s="45" t="s">
        <v>105</v>
      </c>
      <c r="O17" s="41">
        <v>0.79</v>
      </c>
      <c r="Q17" s="45" t="s">
        <v>61</v>
      </c>
      <c r="R17" s="64">
        <v>29</v>
      </c>
      <c r="T17" s="45" t="s">
        <v>105</v>
      </c>
      <c r="U17" s="38">
        <v>34</v>
      </c>
      <c r="W17" s="45" t="s">
        <v>77</v>
      </c>
      <c r="X17" s="64">
        <v>92</v>
      </c>
      <c r="Z17" s="45" t="s">
        <v>67</v>
      </c>
      <c r="AA17" s="64">
        <v>1944</v>
      </c>
      <c r="AC17" s="45" t="s">
        <v>21</v>
      </c>
      <c r="AD17" s="64">
        <v>5</v>
      </c>
      <c r="AF17" s="45" t="s">
        <v>21</v>
      </c>
      <c r="AG17" s="64">
        <v>6</v>
      </c>
      <c r="AI17" s="36" t="s">
        <v>18</v>
      </c>
      <c r="AJ17" s="37"/>
    </row>
    <row r="18" spans="1:36" x14ac:dyDescent="0.25">
      <c r="A18">
        <v>13</v>
      </c>
      <c r="B18" s="40" t="s">
        <v>93</v>
      </c>
      <c r="C18" s="66">
        <v>108</v>
      </c>
      <c r="D18" s="66">
        <v>2136</v>
      </c>
      <c r="E18" s="41">
        <v>0.74</v>
      </c>
      <c r="F18" s="41">
        <v>0.25</v>
      </c>
      <c r="G18" s="41">
        <v>7.0000000000000007E-2</v>
      </c>
      <c r="H18" s="66">
        <v>48</v>
      </c>
      <c r="I18" s="66">
        <v>31</v>
      </c>
      <c r="K18" s="36" t="s">
        <v>102</v>
      </c>
      <c r="L18" s="66"/>
      <c r="N18" s="36" t="s">
        <v>129</v>
      </c>
      <c r="O18" s="66"/>
      <c r="Q18" s="36" t="s">
        <v>131</v>
      </c>
      <c r="R18" s="64"/>
      <c r="T18" s="36" t="s">
        <v>18</v>
      </c>
      <c r="U18" s="38"/>
      <c r="W18" s="45" t="s">
        <v>76</v>
      </c>
      <c r="X18" s="64">
        <v>81</v>
      </c>
      <c r="Z18" s="36" t="s">
        <v>102</v>
      </c>
      <c r="AA18" s="64"/>
      <c r="AC18" s="36" t="s">
        <v>127</v>
      </c>
      <c r="AD18" s="64"/>
      <c r="AF18" s="36" t="s">
        <v>129</v>
      </c>
      <c r="AG18" s="64"/>
      <c r="AI18" s="45" t="s">
        <v>24</v>
      </c>
      <c r="AJ18" s="37">
        <v>0.22</v>
      </c>
    </row>
    <row r="19" spans="1:36" x14ac:dyDescent="0.25">
      <c r="A19">
        <v>14</v>
      </c>
      <c r="B19" s="40" t="s">
        <v>60</v>
      </c>
      <c r="C19" s="66">
        <v>105</v>
      </c>
      <c r="D19" s="66">
        <v>2125</v>
      </c>
      <c r="E19" s="41">
        <v>0.73</v>
      </c>
      <c r="F19" s="41">
        <v>0.19</v>
      </c>
      <c r="G19" s="41">
        <v>0.17</v>
      </c>
      <c r="H19" s="66">
        <v>40</v>
      </c>
      <c r="I19" s="66">
        <v>42</v>
      </c>
      <c r="K19" s="45" t="s">
        <v>107</v>
      </c>
      <c r="L19" s="66">
        <v>115</v>
      </c>
      <c r="N19" s="45" t="s">
        <v>71</v>
      </c>
      <c r="O19" s="41">
        <v>0.78</v>
      </c>
      <c r="Q19" s="45" t="s">
        <v>75</v>
      </c>
      <c r="R19" s="64">
        <v>5</v>
      </c>
      <c r="T19" s="45" t="s">
        <v>24</v>
      </c>
      <c r="U19" s="38">
        <v>26</v>
      </c>
      <c r="W19" s="36" t="s">
        <v>127</v>
      </c>
      <c r="X19" s="64"/>
      <c r="Z19" s="45" t="s">
        <v>104</v>
      </c>
      <c r="AA19" s="64">
        <v>2026</v>
      </c>
      <c r="AC19" s="45" t="s">
        <v>94</v>
      </c>
      <c r="AD19" s="64">
        <v>9</v>
      </c>
      <c r="AF19" s="45" t="s">
        <v>71</v>
      </c>
      <c r="AG19" s="64">
        <v>8</v>
      </c>
      <c r="AI19" s="45" t="s">
        <v>22</v>
      </c>
      <c r="AJ19" s="37">
        <v>0.26</v>
      </c>
    </row>
    <row r="20" spans="1:36" x14ac:dyDescent="0.25">
      <c r="A20">
        <v>15</v>
      </c>
      <c r="B20" s="40" t="s">
        <v>67</v>
      </c>
      <c r="C20" s="66">
        <v>105</v>
      </c>
      <c r="D20" s="66">
        <v>1944</v>
      </c>
      <c r="E20" s="41">
        <v>0.72</v>
      </c>
      <c r="F20" s="41">
        <v>0.18</v>
      </c>
      <c r="G20" s="41">
        <v>0.21</v>
      </c>
      <c r="H20" s="66">
        <v>22</v>
      </c>
      <c r="I20" s="66">
        <v>25</v>
      </c>
      <c r="K20" s="45" t="s">
        <v>105</v>
      </c>
      <c r="L20" s="66">
        <v>112</v>
      </c>
      <c r="N20" s="45" t="s">
        <v>70</v>
      </c>
      <c r="O20" s="41">
        <v>0.75</v>
      </c>
      <c r="Q20" s="45" t="s">
        <v>73</v>
      </c>
      <c r="R20" s="64">
        <v>38</v>
      </c>
      <c r="T20" s="45" t="s">
        <v>22</v>
      </c>
      <c r="U20" s="38">
        <v>23</v>
      </c>
      <c r="W20" s="45" t="s">
        <v>94</v>
      </c>
      <c r="X20" s="64">
        <v>122</v>
      </c>
      <c r="Z20" s="45" t="s">
        <v>103</v>
      </c>
      <c r="AA20" s="64">
        <v>2102</v>
      </c>
      <c r="AC20" s="45" t="s">
        <v>93</v>
      </c>
      <c r="AD20" s="64">
        <v>14</v>
      </c>
      <c r="AF20" s="45" t="s">
        <v>70</v>
      </c>
      <c r="AG20" s="64">
        <v>13</v>
      </c>
      <c r="AI20" s="45" t="s">
        <v>23</v>
      </c>
      <c r="AJ20" s="37">
        <v>0.14000000000000001</v>
      </c>
    </row>
    <row r="21" spans="1:36" x14ac:dyDescent="0.25">
      <c r="A21">
        <v>16</v>
      </c>
      <c r="B21" s="40" t="s">
        <v>120</v>
      </c>
      <c r="C21" s="66">
        <v>105</v>
      </c>
      <c r="D21" s="66">
        <v>2353</v>
      </c>
      <c r="E21" s="41">
        <v>0.72</v>
      </c>
      <c r="F21" s="41">
        <v>0.23</v>
      </c>
      <c r="G21" s="41">
        <v>0.22</v>
      </c>
      <c r="H21" s="66">
        <v>40</v>
      </c>
      <c r="I21" s="66">
        <v>45</v>
      </c>
      <c r="K21" s="45" t="s">
        <v>103</v>
      </c>
      <c r="L21" s="66">
        <v>109</v>
      </c>
      <c r="N21" s="45" t="s">
        <v>72</v>
      </c>
      <c r="O21" s="41">
        <v>0.79</v>
      </c>
      <c r="Q21" s="45" t="s">
        <v>74</v>
      </c>
      <c r="R21" s="64">
        <v>24</v>
      </c>
      <c r="T21" s="45" t="s">
        <v>23</v>
      </c>
      <c r="U21" s="38">
        <v>24</v>
      </c>
      <c r="W21" s="45" t="s">
        <v>93</v>
      </c>
      <c r="X21" s="64">
        <v>107</v>
      </c>
      <c r="Z21" s="45" t="s">
        <v>106</v>
      </c>
      <c r="AA21" s="64">
        <v>1785</v>
      </c>
      <c r="AC21" s="45" t="s">
        <v>91</v>
      </c>
      <c r="AD21" s="64">
        <v>4</v>
      </c>
      <c r="AF21" s="45" t="s">
        <v>72</v>
      </c>
      <c r="AG21" s="64">
        <v>6</v>
      </c>
      <c r="AI21" s="45" t="s">
        <v>20</v>
      </c>
      <c r="AJ21" s="37">
        <v>0.16</v>
      </c>
    </row>
    <row r="22" spans="1:36" x14ac:dyDescent="0.25">
      <c r="A22">
        <v>17</v>
      </c>
      <c r="B22" s="40" t="s">
        <v>75</v>
      </c>
      <c r="C22" s="66">
        <v>105</v>
      </c>
      <c r="D22" s="66">
        <v>1867</v>
      </c>
      <c r="E22" s="41">
        <v>0.74</v>
      </c>
      <c r="F22" s="41">
        <v>0.2</v>
      </c>
      <c r="G22" s="41">
        <v>0.17</v>
      </c>
      <c r="H22" s="66">
        <v>5</v>
      </c>
      <c r="I22" s="66">
        <v>4</v>
      </c>
      <c r="K22" s="45" t="s">
        <v>104</v>
      </c>
      <c r="L22" s="66">
        <v>99</v>
      </c>
      <c r="N22" s="45" t="s">
        <v>69</v>
      </c>
      <c r="O22" s="41">
        <v>0.74</v>
      </c>
      <c r="Q22" s="45" t="s">
        <v>78</v>
      </c>
      <c r="R22" s="64">
        <v>39</v>
      </c>
      <c r="T22" s="45" t="s">
        <v>20</v>
      </c>
      <c r="U22" s="38">
        <v>34</v>
      </c>
      <c r="W22" s="45" t="s">
        <v>91</v>
      </c>
      <c r="X22" s="64">
        <v>117</v>
      </c>
      <c r="Z22" s="45" t="s">
        <v>107</v>
      </c>
      <c r="AA22" s="64">
        <v>2065</v>
      </c>
      <c r="AC22" s="45" t="s">
        <v>95</v>
      </c>
      <c r="AD22" s="64">
        <v>8</v>
      </c>
      <c r="AF22" s="45" t="s">
        <v>69</v>
      </c>
      <c r="AG22" s="64">
        <v>8</v>
      </c>
      <c r="AI22" s="45" t="s">
        <v>21</v>
      </c>
      <c r="AJ22" s="37">
        <v>0.2</v>
      </c>
    </row>
    <row r="23" spans="1:36" x14ac:dyDescent="0.25">
      <c r="A23">
        <v>18</v>
      </c>
      <c r="B23" s="40" t="s">
        <v>83</v>
      </c>
      <c r="C23" s="66">
        <v>105</v>
      </c>
      <c r="D23" s="66">
        <v>2299</v>
      </c>
      <c r="E23" s="41">
        <v>0.71</v>
      </c>
      <c r="F23" s="41">
        <v>0.26</v>
      </c>
      <c r="G23" s="41">
        <v>0.17</v>
      </c>
      <c r="H23" s="66">
        <v>69</v>
      </c>
      <c r="I23" s="66">
        <v>44</v>
      </c>
      <c r="K23" s="45" t="s">
        <v>106</v>
      </c>
      <c r="L23" s="66">
        <v>89</v>
      </c>
      <c r="N23" s="45" t="s">
        <v>67</v>
      </c>
      <c r="O23" s="41">
        <v>0.72</v>
      </c>
      <c r="Q23" s="45" t="s">
        <v>77</v>
      </c>
      <c r="R23" s="64">
        <v>23</v>
      </c>
      <c r="T23" s="45" t="s">
        <v>21</v>
      </c>
      <c r="U23" s="38">
        <v>18</v>
      </c>
      <c r="W23" s="45" t="s">
        <v>95</v>
      </c>
      <c r="X23" s="64">
        <v>10</v>
      </c>
      <c r="Z23" s="45" t="s">
        <v>105</v>
      </c>
      <c r="AA23" s="64">
        <v>2283</v>
      </c>
      <c r="AC23" s="45" t="s">
        <v>92</v>
      </c>
      <c r="AD23" s="64">
        <v>18</v>
      </c>
      <c r="AF23" s="45" t="s">
        <v>67</v>
      </c>
      <c r="AG23" s="64">
        <v>9</v>
      </c>
      <c r="AI23" s="36" t="s">
        <v>126</v>
      </c>
      <c r="AJ23" s="37"/>
    </row>
    <row r="24" spans="1:36" x14ac:dyDescent="0.25">
      <c r="A24">
        <v>19</v>
      </c>
      <c r="B24" s="40" t="s">
        <v>69</v>
      </c>
      <c r="C24" s="66">
        <v>103</v>
      </c>
      <c r="D24" s="66">
        <v>1995</v>
      </c>
      <c r="E24" s="41">
        <v>0.74</v>
      </c>
      <c r="F24" s="41">
        <v>0.24</v>
      </c>
      <c r="G24" s="41">
        <v>0.16</v>
      </c>
      <c r="H24" s="66">
        <v>25</v>
      </c>
      <c r="I24" s="66">
        <v>23</v>
      </c>
      <c r="K24" s="36" t="s">
        <v>128</v>
      </c>
      <c r="L24" s="66"/>
      <c r="N24" s="36" t="s">
        <v>127</v>
      </c>
      <c r="O24" s="66"/>
      <c r="Q24" s="45" t="s">
        <v>76</v>
      </c>
      <c r="R24" s="64">
        <v>29</v>
      </c>
      <c r="T24" s="36" t="s">
        <v>84</v>
      </c>
      <c r="U24" s="38"/>
      <c r="W24" s="45" t="s">
        <v>92</v>
      </c>
      <c r="X24" s="64">
        <v>102</v>
      </c>
      <c r="Z24" s="36" t="s">
        <v>127</v>
      </c>
      <c r="AA24" s="64"/>
      <c r="AC24" s="36" t="s">
        <v>128</v>
      </c>
      <c r="AD24" s="64"/>
      <c r="AF24" s="36" t="s">
        <v>102</v>
      </c>
      <c r="AG24" s="64"/>
      <c r="AI24" s="45" t="s">
        <v>119</v>
      </c>
      <c r="AJ24" s="37">
        <v>0.21</v>
      </c>
    </row>
    <row r="25" spans="1:36" x14ac:dyDescent="0.25">
      <c r="A25">
        <v>20</v>
      </c>
      <c r="B25" s="40" t="s">
        <v>73</v>
      </c>
      <c r="C25" s="66">
        <v>103</v>
      </c>
      <c r="D25" s="66">
        <v>2148</v>
      </c>
      <c r="E25" s="41">
        <v>0.68</v>
      </c>
      <c r="F25" s="41">
        <v>0.23</v>
      </c>
      <c r="G25" s="41">
        <v>0.14000000000000001</v>
      </c>
      <c r="H25" s="66">
        <v>38</v>
      </c>
      <c r="I25" s="66">
        <v>43</v>
      </c>
      <c r="K25" s="45" t="s">
        <v>81</v>
      </c>
      <c r="L25" s="66">
        <v>113</v>
      </c>
      <c r="N25" s="45" t="s">
        <v>94</v>
      </c>
      <c r="O25" s="41">
        <v>0.78</v>
      </c>
      <c r="Q25" s="36" t="s">
        <v>18</v>
      </c>
      <c r="R25" s="64"/>
      <c r="T25" s="45" t="s">
        <v>89</v>
      </c>
      <c r="U25" s="38">
        <v>25</v>
      </c>
      <c r="W25" s="36" t="s">
        <v>129</v>
      </c>
      <c r="X25" s="64"/>
      <c r="Z25" s="45" t="s">
        <v>94</v>
      </c>
      <c r="AA25" s="64">
        <v>2164</v>
      </c>
      <c r="AC25" s="45" t="s">
        <v>83</v>
      </c>
      <c r="AD25" s="64">
        <v>23</v>
      </c>
      <c r="AF25" s="45" t="s">
        <v>104</v>
      </c>
      <c r="AG25" s="64">
        <v>12</v>
      </c>
      <c r="AI25" s="45" t="s">
        <v>116</v>
      </c>
      <c r="AJ25" s="37">
        <v>0.21</v>
      </c>
    </row>
    <row r="26" spans="1:36" x14ac:dyDescent="0.25">
      <c r="A26">
        <v>21</v>
      </c>
      <c r="B26" s="40" t="s">
        <v>95</v>
      </c>
      <c r="C26" s="66">
        <v>102</v>
      </c>
      <c r="D26" s="66">
        <v>1891</v>
      </c>
      <c r="E26" s="41">
        <v>0.72</v>
      </c>
      <c r="F26" s="41">
        <v>0.2</v>
      </c>
      <c r="G26" s="41">
        <v>0.09</v>
      </c>
      <c r="H26" s="66">
        <v>28</v>
      </c>
      <c r="I26" s="66">
        <v>20</v>
      </c>
      <c r="K26" s="45" t="s">
        <v>83</v>
      </c>
      <c r="L26" s="66">
        <v>105</v>
      </c>
      <c r="N26" s="45" t="s">
        <v>93</v>
      </c>
      <c r="O26" s="41">
        <v>0.74</v>
      </c>
      <c r="Q26" s="45" t="s">
        <v>24</v>
      </c>
      <c r="R26" s="64">
        <v>49</v>
      </c>
      <c r="T26" s="45" t="s">
        <v>87</v>
      </c>
      <c r="U26" s="38">
        <v>61</v>
      </c>
      <c r="W26" s="45" t="s">
        <v>71</v>
      </c>
      <c r="X26" s="64">
        <v>107</v>
      </c>
      <c r="Z26" s="45" t="s">
        <v>93</v>
      </c>
      <c r="AA26" s="64">
        <v>2136</v>
      </c>
      <c r="AC26" s="45" t="s">
        <v>81</v>
      </c>
      <c r="AD26" s="64">
        <v>5</v>
      </c>
      <c r="AF26" s="45" t="s">
        <v>103</v>
      </c>
      <c r="AG26" s="64">
        <v>6</v>
      </c>
      <c r="AI26" s="45" t="s">
        <v>118</v>
      </c>
      <c r="AJ26" s="37">
        <v>0.12</v>
      </c>
    </row>
    <row r="27" spans="1:36" x14ac:dyDescent="0.25">
      <c r="A27">
        <v>22</v>
      </c>
      <c r="B27" s="40" t="s">
        <v>64</v>
      </c>
      <c r="C27" s="66">
        <v>102</v>
      </c>
      <c r="D27" s="66">
        <v>2016</v>
      </c>
      <c r="E27" s="41">
        <v>0.71</v>
      </c>
      <c r="F27" s="41">
        <v>0.2</v>
      </c>
      <c r="G27" s="41">
        <v>0.11</v>
      </c>
      <c r="H27" s="66">
        <v>51</v>
      </c>
      <c r="I27" s="66">
        <v>57</v>
      </c>
      <c r="K27" s="45" t="s">
        <v>79</v>
      </c>
      <c r="L27" s="66">
        <v>97</v>
      </c>
      <c r="N27" s="45" t="s">
        <v>91</v>
      </c>
      <c r="O27" s="41">
        <v>0.78</v>
      </c>
      <c r="Q27" s="45" t="s">
        <v>22</v>
      </c>
      <c r="R27" s="64">
        <v>32</v>
      </c>
      <c r="T27" s="45" t="s">
        <v>88</v>
      </c>
      <c r="U27" s="38">
        <v>23</v>
      </c>
      <c r="W27" s="45" t="s">
        <v>70</v>
      </c>
      <c r="X27" s="64">
        <v>131</v>
      </c>
      <c r="Z27" s="45" t="s">
        <v>91</v>
      </c>
      <c r="AA27" s="64">
        <v>1908</v>
      </c>
      <c r="AC27" s="45" t="s">
        <v>82</v>
      </c>
      <c r="AD27" s="64">
        <v>7</v>
      </c>
      <c r="AF27" s="45" t="s">
        <v>106</v>
      </c>
      <c r="AG27" s="64">
        <v>8</v>
      </c>
      <c r="AI27" s="45" t="s">
        <v>117</v>
      </c>
      <c r="AJ27" s="37">
        <v>0.15</v>
      </c>
    </row>
    <row r="28" spans="1:36" x14ac:dyDescent="0.25">
      <c r="A28">
        <v>23</v>
      </c>
      <c r="B28" s="40" t="s">
        <v>21</v>
      </c>
      <c r="C28" s="66">
        <v>102</v>
      </c>
      <c r="D28" s="66">
        <v>1701</v>
      </c>
      <c r="E28" s="41">
        <v>0.82</v>
      </c>
      <c r="F28" s="41">
        <v>0.25</v>
      </c>
      <c r="G28" s="41">
        <v>0.2</v>
      </c>
      <c r="H28" s="66">
        <v>13</v>
      </c>
      <c r="I28" s="66">
        <v>18</v>
      </c>
      <c r="K28" s="45" t="s">
        <v>82</v>
      </c>
      <c r="L28" s="66">
        <v>97</v>
      </c>
      <c r="N28" s="45" t="s">
        <v>95</v>
      </c>
      <c r="O28" s="41">
        <v>0.72</v>
      </c>
      <c r="Q28" s="45" t="s">
        <v>23</v>
      </c>
      <c r="R28" s="64">
        <v>32</v>
      </c>
      <c r="T28" s="45" t="s">
        <v>86</v>
      </c>
      <c r="U28" s="38">
        <v>21</v>
      </c>
      <c r="W28" s="45" t="s">
        <v>72</v>
      </c>
      <c r="X28" s="64">
        <v>101</v>
      </c>
      <c r="Z28" s="45" t="s">
        <v>95</v>
      </c>
      <c r="AA28" s="64">
        <v>1891</v>
      </c>
      <c r="AC28" s="45" t="s">
        <v>79</v>
      </c>
      <c r="AD28" s="64">
        <v>8</v>
      </c>
      <c r="AF28" s="45" t="s">
        <v>107</v>
      </c>
      <c r="AG28" s="64">
        <v>7</v>
      </c>
      <c r="AI28" s="45" t="s">
        <v>115</v>
      </c>
      <c r="AJ28" s="37">
        <v>0.13</v>
      </c>
    </row>
    <row r="29" spans="1:36" x14ac:dyDescent="0.25">
      <c r="A29">
        <v>24</v>
      </c>
      <c r="B29" s="40" t="s">
        <v>92</v>
      </c>
      <c r="C29" s="66">
        <v>101</v>
      </c>
      <c r="D29" s="66">
        <v>1967</v>
      </c>
      <c r="E29" s="41">
        <v>0.7</v>
      </c>
      <c r="F29" s="41">
        <v>0.19</v>
      </c>
      <c r="G29" s="41">
        <v>0.08</v>
      </c>
      <c r="H29" s="66">
        <v>62</v>
      </c>
      <c r="I29" s="66">
        <v>65</v>
      </c>
      <c r="K29" s="45" t="s">
        <v>80</v>
      </c>
      <c r="L29" s="66">
        <v>93</v>
      </c>
      <c r="N29" s="45" t="s">
        <v>92</v>
      </c>
      <c r="O29" s="41">
        <v>0.7</v>
      </c>
      <c r="Q29" s="45" t="s">
        <v>20</v>
      </c>
      <c r="R29" s="64">
        <v>31</v>
      </c>
      <c r="T29" s="45" t="s">
        <v>85</v>
      </c>
      <c r="U29" s="38">
        <v>16</v>
      </c>
      <c r="W29" s="45" t="s">
        <v>69</v>
      </c>
      <c r="X29" s="64">
        <v>10</v>
      </c>
      <c r="Z29" s="45" t="s">
        <v>92</v>
      </c>
      <c r="AA29" s="64">
        <v>1967</v>
      </c>
      <c r="AC29" s="45" t="s">
        <v>80</v>
      </c>
      <c r="AD29" s="64">
        <v>8</v>
      </c>
      <c r="AF29" s="45" t="s">
        <v>105</v>
      </c>
      <c r="AG29" s="64">
        <v>12</v>
      </c>
      <c r="AI29" s="45" t="s">
        <v>120</v>
      </c>
      <c r="AJ29" s="37">
        <v>0.22</v>
      </c>
    </row>
    <row r="30" spans="1:36" x14ac:dyDescent="0.25">
      <c r="A30">
        <v>25</v>
      </c>
      <c r="B30" s="40" t="s">
        <v>78</v>
      </c>
      <c r="C30" s="66">
        <v>101</v>
      </c>
      <c r="D30" s="66">
        <v>2045</v>
      </c>
      <c r="E30" s="41">
        <v>0.68</v>
      </c>
      <c r="F30" s="41">
        <v>0.28999999999999998</v>
      </c>
      <c r="G30" s="41">
        <v>0.09</v>
      </c>
      <c r="H30" s="66">
        <v>39</v>
      </c>
      <c r="I30" s="66">
        <v>34</v>
      </c>
      <c r="K30" s="36" t="s">
        <v>130</v>
      </c>
      <c r="L30" s="66"/>
      <c r="N30" s="36" t="s">
        <v>128</v>
      </c>
      <c r="O30" s="66"/>
      <c r="Q30" s="45" t="s">
        <v>21</v>
      </c>
      <c r="R30" s="64">
        <v>13</v>
      </c>
      <c r="T30" s="36" t="s">
        <v>128</v>
      </c>
      <c r="U30" s="38"/>
      <c r="W30" s="45" t="s">
        <v>67</v>
      </c>
      <c r="X30" s="64">
        <v>108</v>
      </c>
      <c r="Z30" s="36" t="s">
        <v>128</v>
      </c>
      <c r="AA30" s="64"/>
      <c r="AC30" s="36" t="s">
        <v>130</v>
      </c>
      <c r="AD30" s="64"/>
      <c r="AF30" s="36" t="s">
        <v>96</v>
      </c>
      <c r="AG30" s="64"/>
      <c r="AI30" s="36" t="s">
        <v>130</v>
      </c>
      <c r="AJ30" s="37"/>
    </row>
    <row r="31" spans="1:36" x14ac:dyDescent="0.25">
      <c r="A31">
        <v>26</v>
      </c>
      <c r="B31" s="40" t="s">
        <v>63</v>
      </c>
      <c r="C31" s="66">
        <v>101</v>
      </c>
      <c r="D31" s="66">
        <v>2024</v>
      </c>
      <c r="E31" s="41">
        <v>0.74</v>
      </c>
      <c r="F31" s="41">
        <v>0.28000000000000003</v>
      </c>
      <c r="G31" s="41">
        <v>0.42</v>
      </c>
      <c r="H31" s="66">
        <v>24</v>
      </c>
      <c r="I31" s="66">
        <v>25</v>
      </c>
      <c r="K31" s="45" t="s">
        <v>60</v>
      </c>
      <c r="L31" s="66">
        <v>105</v>
      </c>
      <c r="N31" s="45" t="s">
        <v>83</v>
      </c>
      <c r="O31" s="41">
        <v>0.71</v>
      </c>
      <c r="Q31" s="36" t="s">
        <v>102</v>
      </c>
      <c r="R31" s="64"/>
      <c r="T31" s="45" t="s">
        <v>83</v>
      </c>
      <c r="U31" s="38">
        <v>44</v>
      </c>
      <c r="W31" s="36" t="s">
        <v>84</v>
      </c>
      <c r="X31" s="64"/>
      <c r="Z31" s="45" t="s">
        <v>83</v>
      </c>
      <c r="AA31" s="64">
        <v>2299</v>
      </c>
      <c r="AC31" s="45" t="s">
        <v>60</v>
      </c>
      <c r="AD31" s="64">
        <v>12</v>
      </c>
      <c r="AF31" s="45" t="s">
        <v>97</v>
      </c>
      <c r="AG31" s="64">
        <v>8</v>
      </c>
      <c r="AI31" s="45" t="s">
        <v>60</v>
      </c>
      <c r="AJ31" s="37">
        <v>0.17</v>
      </c>
    </row>
    <row r="32" spans="1:36" x14ac:dyDescent="0.25">
      <c r="A32">
        <v>27</v>
      </c>
      <c r="B32" s="40" t="s">
        <v>104</v>
      </c>
      <c r="C32" s="66">
        <v>99</v>
      </c>
      <c r="D32" s="66">
        <v>2026</v>
      </c>
      <c r="E32" s="41">
        <v>0.73</v>
      </c>
      <c r="F32" s="41">
        <v>0.18</v>
      </c>
      <c r="G32" s="41"/>
      <c r="H32" s="66">
        <v>41</v>
      </c>
      <c r="I32" s="66">
        <v>33</v>
      </c>
      <c r="K32" s="45" t="s">
        <v>64</v>
      </c>
      <c r="L32" s="66">
        <v>102</v>
      </c>
      <c r="N32" s="45" t="s">
        <v>81</v>
      </c>
      <c r="O32" s="41">
        <v>0.79</v>
      </c>
      <c r="Q32" s="45" t="s">
        <v>104</v>
      </c>
      <c r="R32" s="64">
        <v>41</v>
      </c>
      <c r="T32" s="45" t="s">
        <v>81</v>
      </c>
      <c r="U32" s="38">
        <v>16</v>
      </c>
      <c r="W32" s="45" t="s">
        <v>89</v>
      </c>
      <c r="X32" s="64">
        <v>81</v>
      </c>
      <c r="Z32" s="45" t="s">
        <v>81</v>
      </c>
      <c r="AA32" s="64">
        <v>2000</v>
      </c>
      <c r="AC32" s="45" t="s">
        <v>63</v>
      </c>
      <c r="AD32" s="64">
        <v>7</v>
      </c>
      <c r="AF32" s="45" t="s">
        <v>100</v>
      </c>
      <c r="AG32" s="64">
        <v>19</v>
      </c>
      <c r="AI32" s="45" t="s">
        <v>63</v>
      </c>
      <c r="AJ32" s="37">
        <v>0.42</v>
      </c>
    </row>
    <row r="33" spans="1:36" x14ac:dyDescent="0.25">
      <c r="A33">
        <v>28</v>
      </c>
      <c r="B33" s="40" t="s">
        <v>117</v>
      </c>
      <c r="C33" s="66">
        <v>99</v>
      </c>
      <c r="D33" s="66">
        <v>2061</v>
      </c>
      <c r="E33" s="41">
        <v>0.71</v>
      </c>
      <c r="F33" s="41">
        <v>0.32</v>
      </c>
      <c r="G33" s="41">
        <v>0.15</v>
      </c>
      <c r="H33" s="66">
        <v>26</v>
      </c>
      <c r="I33" s="66">
        <v>24</v>
      </c>
      <c r="K33" s="45" t="s">
        <v>63</v>
      </c>
      <c r="L33" s="66">
        <v>101</v>
      </c>
      <c r="N33" s="45" t="s">
        <v>82</v>
      </c>
      <c r="O33" s="41">
        <v>0.71</v>
      </c>
      <c r="Q33" s="45" t="s">
        <v>103</v>
      </c>
      <c r="R33" s="64">
        <v>25</v>
      </c>
      <c r="T33" s="45" t="s">
        <v>82</v>
      </c>
      <c r="U33" s="38">
        <v>30</v>
      </c>
      <c r="W33" s="45" t="s">
        <v>87</v>
      </c>
      <c r="X33" s="64">
        <v>102</v>
      </c>
      <c r="Z33" s="45" t="s">
        <v>82</v>
      </c>
      <c r="AA33" s="64">
        <v>1776</v>
      </c>
      <c r="AC33" s="45" t="s">
        <v>64</v>
      </c>
      <c r="AD33" s="64">
        <v>15</v>
      </c>
      <c r="AF33" s="45" t="s">
        <v>101</v>
      </c>
      <c r="AG33" s="64">
        <v>1</v>
      </c>
      <c r="AI33" s="45" t="s">
        <v>64</v>
      </c>
      <c r="AJ33" s="37">
        <v>0.11</v>
      </c>
    </row>
    <row r="34" spans="1:36" x14ac:dyDescent="0.25">
      <c r="A34">
        <v>29</v>
      </c>
      <c r="B34" s="40" t="s">
        <v>62</v>
      </c>
      <c r="C34" s="66">
        <v>98</v>
      </c>
      <c r="D34" s="66">
        <v>1867</v>
      </c>
      <c r="E34" s="41">
        <v>0.71</v>
      </c>
      <c r="F34" s="41">
        <v>0.31</v>
      </c>
      <c r="G34" s="41">
        <v>0.09</v>
      </c>
      <c r="H34" s="66">
        <v>20</v>
      </c>
      <c r="I34" s="66">
        <v>22</v>
      </c>
      <c r="K34" s="45" t="s">
        <v>62</v>
      </c>
      <c r="L34" s="66">
        <v>98</v>
      </c>
      <c r="N34" s="45" t="s">
        <v>79</v>
      </c>
      <c r="O34" s="41">
        <v>0.74</v>
      </c>
      <c r="Q34" s="45" t="s">
        <v>106</v>
      </c>
      <c r="R34" s="64">
        <v>17</v>
      </c>
      <c r="T34" s="45" t="s">
        <v>79</v>
      </c>
      <c r="U34" s="38">
        <v>35</v>
      </c>
      <c r="W34" s="45" t="s">
        <v>88</v>
      </c>
      <c r="X34" s="64">
        <v>78</v>
      </c>
      <c r="Z34" s="45" t="s">
        <v>79</v>
      </c>
      <c r="AA34" s="64">
        <v>2036</v>
      </c>
      <c r="AC34" s="45" t="s">
        <v>62</v>
      </c>
      <c r="AD34" s="64">
        <v>6</v>
      </c>
      <c r="AF34" s="45" t="s">
        <v>98</v>
      </c>
      <c r="AG34" s="64">
        <v>11</v>
      </c>
      <c r="AI34" s="45" t="s">
        <v>62</v>
      </c>
      <c r="AJ34" s="37">
        <v>0.09</v>
      </c>
    </row>
    <row r="35" spans="1:36" x14ac:dyDescent="0.25">
      <c r="A35">
        <v>30</v>
      </c>
      <c r="B35" s="40" t="s">
        <v>86</v>
      </c>
      <c r="C35" s="66">
        <v>98</v>
      </c>
      <c r="D35" s="66">
        <v>1948</v>
      </c>
      <c r="E35" s="41">
        <v>0.73</v>
      </c>
      <c r="F35" s="41">
        <v>0.32</v>
      </c>
      <c r="G35" s="41">
        <v>0.11</v>
      </c>
      <c r="H35" s="66">
        <v>22</v>
      </c>
      <c r="I35" s="66">
        <v>21</v>
      </c>
      <c r="K35" s="45" t="s">
        <v>61</v>
      </c>
      <c r="L35" s="66">
        <v>92</v>
      </c>
      <c r="N35" s="45" t="s">
        <v>80</v>
      </c>
      <c r="O35" s="41">
        <v>0.69</v>
      </c>
      <c r="Q35" s="45" t="s">
        <v>107</v>
      </c>
      <c r="R35" s="64">
        <v>24</v>
      </c>
      <c r="T35" s="45" t="s">
        <v>80</v>
      </c>
      <c r="U35" s="38">
        <v>25</v>
      </c>
      <c r="W35" s="45" t="s">
        <v>86</v>
      </c>
      <c r="X35" s="64">
        <v>93</v>
      </c>
      <c r="Z35" s="45" t="s">
        <v>80</v>
      </c>
      <c r="AA35" s="64">
        <v>1804</v>
      </c>
      <c r="AC35" s="45" t="s">
        <v>61</v>
      </c>
      <c r="AD35" s="64">
        <v>9</v>
      </c>
      <c r="AF35" s="45" t="s">
        <v>99</v>
      </c>
      <c r="AG35" s="64">
        <v>6</v>
      </c>
      <c r="AI35" s="45" t="s">
        <v>61</v>
      </c>
      <c r="AJ35" s="37">
        <v>0.06</v>
      </c>
    </row>
    <row r="36" spans="1:36" x14ac:dyDescent="0.25">
      <c r="A36">
        <v>31</v>
      </c>
      <c r="B36" s="40" t="s">
        <v>101</v>
      </c>
      <c r="C36" s="66">
        <v>98</v>
      </c>
      <c r="D36" s="66">
        <v>1953</v>
      </c>
      <c r="E36" s="41">
        <v>0.74</v>
      </c>
      <c r="F36" s="41">
        <v>0.28000000000000003</v>
      </c>
      <c r="G36" s="41">
        <v>0.11</v>
      </c>
      <c r="H36" s="66">
        <v>30</v>
      </c>
      <c r="I36" s="66">
        <v>33</v>
      </c>
      <c r="K36" s="36" t="s">
        <v>126</v>
      </c>
      <c r="L36" s="66"/>
      <c r="N36" s="36" t="s">
        <v>130</v>
      </c>
      <c r="O36" s="66"/>
      <c r="Q36" s="45" t="s">
        <v>105</v>
      </c>
      <c r="R36" s="64">
        <v>49</v>
      </c>
      <c r="T36" s="36" t="s">
        <v>127</v>
      </c>
      <c r="U36" s="38"/>
      <c r="W36" s="45" t="s">
        <v>85</v>
      </c>
      <c r="X36" s="64">
        <v>95</v>
      </c>
      <c r="Z36" s="36" t="s">
        <v>126</v>
      </c>
      <c r="AA36" s="64"/>
      <c r="AC36" s="36" t="s">
        <v>126</v>
      </c>
      <c r="AD36" s="64"/>
      <c r="AF36" s="36" t="s">
        <v>127</v>
      </c>
      <c r="AG36" s="64"/>
      <c r="AI36" s="36" t="s">
        <v>84</v>
      </c>
      <c r="AJ36" s="37"/>
    </row>
    <row r="37" spans="1:36" x14ac:dyDescent="0.25">
      <c r="A37">
        <v>32</v>
      </c>
      <c r="B37" s="40" t="s">
        <v>20</v>
      </c>
      <c r="C37" s="66">
        <v>97</v>
      </c>
      <c r="D37" s="66">
        <v>1931</v>
      </c>
      <c r="E37" s="41">
        <v>0.74</v>
      </c>
      <c r="F37" s="41">
        <v>0.21</v>
      </c>
      <c r="G37" s="41">
        <v>0.16</v>
      </c>
      <c r="H37" s="66">
        <v>31</v>
      </c>
      <c r="I37" s="66">
        <v>34</v>
      </c>
      <c r="K37" s="45" t="s">
        <v>116</v>
      </c>
      <c r="L37" s="66">
        <v>113</v>
      </c>
      <c r="N37" s="45" t="s">
        <v>60</v>
      </c>
      <c r="O37" s="41">
        <v>0.73</v>
      </c>
      <c r="Q37" s="36" t="s">
        <v>128</v>
      </c>
      <c r="R37" s="64"/>
      <c r="T37" s="45" t="s">
        <v>94</v>
      </c>
      <c r="U37" s="38">
        <v>31</v>
      </c>
      <c r="W37" s="36" t="s">
        <v>18</v>
      </c>
      <c r="X37" s="64"/>
      <c r="Z37" s="45" t="s">
        <v>119</v>
      </c>
      <c r="AA37" s="64">
        <v>1542</v>
      </c>
      <c r="AC37" s="45" t="s">
        <v>119</v>
      </c>
      <c r="AD37" s="64">
        <v>5</v>
      </c>
      <c r="AF37" s="45" t="s">
        <v>94</v>
      </c>
      <c r="AG37" s="64">
        <v>9</v>
      </c>
      <c r="AI37" s="45" t="s">
        <v>89</v>
      </c>
      <c r="AJ37" s="37">
        <v>0.18</v>
      </c>
    </row>
    <row r="38" spans="1:36" x14ac:dyDescent="0.25">
      <c r="A38">
        <v>33</v>
      </c>
      <c r="B38" s="40" t="s">
        <v>100</v>
      </c>
      <c r="C38" s="66">
        <v>97</v>
      </c>
      <c r="D38" s="66">
        <v>2131</v>
      </c>
      <c r="E38" s="41">
        <v>0.66</v>
      </c>
      <c r="F38" s="41">
        <v>0.26</v>
      </c>
      <c r="G38" s="41">
        <v>7.0000000000000007E-2</v>
      </c>
      <c r="H38" s="66">
        <v>53</v>
      </c>
      <c r="I38" s="66">
        <v>63</v>
      </c>
      <c r="K38" s="45" t="s">
        <v>120</v>
      </c>
      <c r="L38" s="66">
        <v>105</v>
      </c>
      <c r="N38" s="45" t="s">
        <v>63</v>
      </c>
      <c r="O38" s="41">
        <v>0.74</v>
      </c>
      <c r="Q38" s="45" t="s">
        <v>83</v>
      </c>
      <c r="R38" s="64">
        <v>69</v>
      </c>
      <c r="T38" s="45" t="s">
        <v>93</v>
      </c>
      <c r="U38" s="38">
        <v>31</v>
      </c>
      <c r="W38" s="45" t="s">
        <v>24</v>
      </c>
      <c r="X38" s="64">
        <v>16</v>
      </c>
      <c r="Z38" s="45" t="s">
        <v>116</v>
      </c>
      <c r="AA38" s="64">
        <v>2266</v>
      </c>
      <c r="AC38" s="45" t="s">
        <v>116</v>
      </c>
      <c r="AD38" s="64">
        <v>15</v>
      </c>
      <c r="AF38" s="45" t="s">
        <v>93</v>
      </c>
      <c r="AG38" s="64">
        <v>9</v>
      </c>
      <c r="AI38" s="45" t="s">
        <v>87</v>
      </c>
      <c r="AJ38" s="37">
        <v>0.2</v>
      </c>
    </row>
    <row r="39" spans="1:36" x14ac:dyDescent="0.25">
      <c r="A39">
        <v>34</v>
      </c>
      <c r="B39" s="40" t="s">
        <v>82</v>
      </c>
      <c r="C39" s="66">
        <v>97</v>
      </c>
      <c r="D39" s="66">
        <v>1776</v>
      </c>
      <c r="E39" s="41">
        <v>0.71</v>
      </c>
      <c r="F39" s="41">
        <v>0.28000000000000003</v>
      </c>
      <c r="G39" s="41">
        <v>0.26</v>
      </c>
      <c r="H39" s="66">
        <v>22</v>
      </c>
      <c r="I39" s="66">
        <v>30</v>
      </c>
      <c r="K39" s="45" t="s">
        <v>117</v>
      </c>
      <c r="L39" s="66">
        <v>99</v>
      </c>
      <c r="N39" s="45" t="s">
        <v>64</v>
      </c>
      <c r="O39" s="41">
        <v>0.71</v>
      </c>
      <c r="Q39" s="45" t="s">
        <v>81</v>
      </c>
      <c r="R39" s="64">
        <v>14</v>
      </c>
      <c r="T39" s="45" t="s">
        <v>91</v>
      </c>
      <c r="U39" s="38">
        <v>17</v>
      </c>
      <c r="W39" s="45" t="s">
        <v>22</v>
      </c>
      <c r="X39" s="64">
        <v>113</v>
      </c>
      <c r="Z39" s="45" t="s">
        <v>118</v>
      </c>
      <c r="AA39" s="64">
        <v>1793</v>
      </c>
      <c r="AC39" s="45" t="s">
        <v>118</v>
      </c>
      <c r="AD39" s="64">
        <v>4</v>
      </c>
      <c r="AF39" s="45" t="s">
        <v>91</v>
      </c>
      <c r="AG39" s="64">
        <v>5</v>
      </c>
      <c r="AI39" s="45" t="s">
        <v>86</v>
      </c>
      <c r="AJ39" s="37">
        <v>0.11</v>
      </c>
    </row>
    <row r="40" spans="1:36" x14ac:dyDescent="0.25">
      <c r="A40">
        <v>35</v>
      </c>
      <c r="B40" s="40" t="s">
        <v>85</v>
      </c>
      <c r="C40" s="66">
        <v>97</v>
      </c>
      <c r="D40" s="66">
        <v>1942</v>
      </c>
      <c r="E40" s="41">
        <v>0.71</v>
      </c>
      <c r="F40" s="41">
        <v>0.19</v>
      </c>
      <c r="G40" s="41">
        <v>0.13</v>
      </c>
      <c r="H40" s="66">
        <v>29</v>
      </c>
      <c r="I40" s="66">
        <v>16</v>
      </c>
      <c r="K40" s="45" t="s">
        <v>118</v>
      </c>
      <c r="L40" s="66">
        <v>93</v>
      </c>
      <c r="N40" s="45" t="s">
        <v>62</v>
      </c>
      <c r="O40" s="41">
        <v>0.71</v>
      </c>
      <c r="Q40" s="45" t="s">
        <v>82</v>
      </c>
      <c r="R40" s="64">
        <v>22</v>
      </c>
      <c r="T40" s="45" t="s">
        <v>95</v>
      </c>
      <c r="U40" s="38">
        <v>20</v>
      </c>
      <c r="W40" s="45" t="s">
        <v>23</v>
      </c>
      <c r="X40" s="64">
        <v>127</v>
      </c>
      <c r="Z40" s="45" t="s">
        <v>117</v>
      </c>
      <c r="AA40" s="64">
        <v>2061</v>
      </c>
      <c r="AC40" s="45" t="s">
        <v>117</v>
      </c>
      <c r="AD40" s="64">
        <v>8</v>
      </c>
      <c r="AF40" s="45" t="s">
        <v>95</v>
      </c>
      <c r="AG40" s="64">
        <v>6</v>
      </c>
      <c r="AI40" s="45" t="s">
        <v>85</v>
      </c>
      <c r="AJ40" s="37">
        <v>0.13</v>
      </c>
    </row>
    <row r="41" spans="1:36" x14ac:dyDescent="0.25">
      <c r="A41">
        <v>36</v>
      </c>
      <c r="B41" s="40" t="s">
        <v>79</v>
      </c>
      <c r="C41" s="66">
        <v>97</v>
      </c>
      <c r="D41" s="66">
        <v>2036</v>
      </c>
      <c r="E41" s="41">
        <v>0.74</v>
      </c>
      <c r="F41" s="41">
        <v>0.19</v>
      </c>
      <c r="G41" s="41">
        <v>0.03</v>
      </c>
      <c r="H41" s="66">
        <v>25</v>
      </c>
      <c r="I41" s="66">
        <v>35</v>
      </c>
      <c r="K41" s="45" t="s">
        <v>115</v>
      </c>
      <c r="L41" s="66">
        <v>82</v>
      </c>
      <c r="N41" s="45" t="s">
        <v>61</v>
      </c>
      <c r="O41" s="41">
        <v>0.7</v>
      </c>
      <c r="Q41" s="45" t="s">
        <v>79</v>
      </c>
      <c r="R41" s="64">
        <v>25</v>
      </c>
      <c r="T41" s="45" t="s">
        <v>92</v>
      </c>
      <c r="U41" s="38">
        <v>65</v>
      </c>
      <c r="W41" s="45" t="s">
        <v>20</v>
      </c>
      <c r="X41" s="64">
        <v>87</v>
      </c>
      <c r="Z41" s="45" t="s">
        <v>115</v>
      </c>
      <c r="AA41" s="64">
        <v>1786</v>
      </c>
      <c r="AC41" s="45" t="s">
        <v>115</v>
      </c>
      <c r="AD41" s="64">
        <v>12</v>
      </c>
      <c r="AF41" s="45" t="s">
        <v>92</v>
      </c>
      <c r="AG41" s="64">
        <v>19</v>
      </c>
      <c r="AI41" s="36" t="s">
        <v>128</v>
      </c>
      <c r="AJ41" s="37"/>
    </row>
    <row r="42" spans="1:36" x14ac:dyDescent="0.25">
      <c r="A42">
        <v>37</v>
      </c>
      <c r="B42" s="40" t="s">
        <v>99</v>
      </c>
      <c r="C42" s="66">
        <v>94</v>
      </c>
      <c r="D42" s="66">
        <v>1775</v>
      </c>
      <c r="E42" s="41">
        <v>0.73</v>
      </c>
      <c r="F42" s="41">
        <v>0.22</v>
      </c>
      <c r="G42" s="41">
        <v>0.12</v>
      </c>
      <c r="H42" s="66">
        <v>18</v>
      </c>
      <c r="I42" s="66">
        <v>20</v>
      </c>
      <c r="K42" s="45" t="s">
        <v>119</v>
      </c>
      <c r="L42" s="66">
        <v>79</v>
      </c>
      <c r="N42" s="36" t="s">
        <v>131</v>
      </c>
      <c r="O42" s="66"/>
      <c r="Q42" s="45" t="s">
        <v>80</v>
      </c>
      <c r="R42" s="64">
        <v>24</v>
      </c>
      <c r="T42" s="36" t="s">
        <v>130</v>
      </c>
      <c r="U42" s="38"/>
      <c r="W42" s="45" t="s">
        <v>21</v>
      </c>
      <c r="X42" s="64">
        <v>101</v>
      </c>
      <c r="Z42" s="45" t="s">
        <v>120</v>
      </c>
      <c r="AA42" s="64">
        <v>2353</v>
      </c>
      <c r="AC42" s="45" t="s">
        <v>120</v>
      </c>
      <c r="AD42" s="64">
        <v>13</v>
      </c>
      <c r="AF42" s="36" t="s">
        <v>84</v>
      </c>
      <c r="AG42" s="64"/>
      <c r="AI42" s="45" t="s">
        <v>83</v>
      </c>
      <c r="AJ42" s="37">
        <v>0.17</v>
      </c>
    </row>
    <row r="43" spans="1:36" x14ac:dyDescent="0.25">
      <c r="A43">
        <v>38</v>
      </c>
      <c r="B43" s="40" t="s">
        <v>74</v>
      </c>
      <c r="C43" s="66">
        <v>94</v>
      </c>
      <c r="D43" s="66">
        <v>1728</v>
      </c>
      <c r="E43" s="41">
        <v>0.71</v>
      </c>
      <c r="F43" s="41">
        <v>0.23</v>
      </c>
      <c r="G43" s="41">
        <v>0.16</v>
      </c>
      <c r="H43" s="66">
        <v>24</v>
      </c>
      <c r="I43" s="66">
        <v>35</v>
      </c>
      <c r="K43" s="36" t="s">
        <v>96</v>
      </c>
      <c r="L43" s="66"/>
      <c r="N43" s="45" t="s">
        <v>75</v>
      </c>
      <c r="O43" s="41">
        <v>0.74</v>
      </c>
      <c r="Q43" s="36" t="s">
        <v>96</v>
      </c>
      <c r="R43" s="64"/>
      <c r="T43" s="45" t="s">
        <v>60</v>
      </c>
      <c r="U43" s="38">
        <v>42</v>
      </c>
      <c r="W43" s="36" t="s">
        <v>130</v>
      </c>
      <c r="X43" s="64"/>
      <c r="Z43" s="36" t="s">
        <v>130</v>
      </c>
      <c r="AA43" s="64"/>
      <c r="AC43" s="36" t="s">
        <v>129</v>
      </c>
      <c r="AD43" s="64"/>
      <c r="AF43" s="45" t="s">
        <v>89</v>
      </c>
      <c r="AG43" s="64">
        <v>9</v>
      </c>
      <c r="AI43" s="45" t="s">
        <v>81</v>
      </c>
      <c r="AJ43" s="37">
        <v>0.11</v>
      </c>
    </row>
    <row r="44" spans="1:36" x14ac:dyDescent="0.25">
      <c r="A44">
        <v>39</v>
      </c>
      <c r="B44" s="40" t="s">
        <v>89</v>
      </c>
      <c r="C44" s="66">
        <v>93</v>
      </c>
      <c r="D44" s="66">
        <v>1706</v>
      </c>
      <c r="E44" s="41">
        <v>0.7</v>
      </c>
      <c r="F44" s="41">
        <v>0.2</v>
      </c>
      <c r="G44" s="41">
        <v>0.18</v>
      </c>
      <c r="H44" s="66">
        <v>19</v>
      </c>
      <c r="I44" s="66">
        <v>25</v>
      </c>
      <c r="K44" s="45" t="s">
        <v>101</v>
      </c>
      <c r="L44" s="66">
        <v>98</v>
      </c>
      <c r="N44" s="45" t="s">
        <v>73</v>
      </c>
      <c r="O44" s="41">
        <v>0.68</v>
      </c>
      <c r="Q44" s="45" t="s">
        <v>97</v>
      </c>
      <c r="R44" s="64">
        <v>27</v>
      </c>
      <c r="T44" s="45" t="s">
        <v>63</v>
      </c>
      <c r="U44" s="38">
        <v>25</v>
      </c>
      <c r="W44" s="45" t="s">
        <v>60</v>
      </c>
      <c r="X44" s="64">
        <v>10</v>
      </c>
      <c r="Z44" s="45" t="s">
        <v>60</v>
      </c>
      <c r="AA44" s="64">
        <v>2125</v>
      </c>
      <c r="AC44" s="45" t="s">
        <v>71</v>
      </c>
      <c r="AD44" s="64">
        <v>1</v>
      </c>
      <c r="AF44" s="45" t="s">
        <v>87</v>
      </c>
      <c r="AG44" s="64">
        <v>22</v>
      </c>
      <c r="AI44" s="45" t="s">
        <v>82</v>
      </c>
      <c r="AJ44" s="37">
        <v>0.26</v>
      </c>
    </row>
    <row r="45" spans="1:36" x14ac:dyDescent="0.25">
      <c r="A45">
        <v>40</v>
      </c>
      <c r="B45" s="40" t="s">
        <v>118</v>
      </c>
      <c r="C45" s="66">
        <v>93</v>
      </c>
      <c r="D45" s="66">
        <v>1793</v>
      </c>
      <c r="E45" s="41">
        <v>0.7</v>
      </c>
      <c r="F45" s="41">
        <v>0.23</v>
      </c>
      <c r="G45" s="41">
        <v>0.12</v>
      </c>
      <c r="H45" s="66">
        <v>14</v>
      </c>
      <c r="I45" s="66">
        <v>26</v>
      </c>
      <c r="K45" s="45" t="s">
        <v>100</v>
      </c>
      <c r="L45" s="66">
        <v>97</v>
      </c>
      <c r="N45" s="45" t="s">
        <v>74</v>
      </c>
      <c r="O45" s="41">
        <v>0.71</v>
      </c>
      <c r="Q45" s="45" t="s">
        <v>100</v>
      </c>
      <c r="R45" s="64">
        <v>53</v>
      </c>
      <c r="T45" s="45" t="s">
        <v>64</v>
      </c>
      <c r="U45" s="38">
        <v>57</v>
      </c>
      <c r="W45" s="45" t="s">
        <v>63</v>
      </c>
      <c r="X45" s="64">
        <v>98</v>
      </c>
      <c r="Z45" s="45" t="s">
        <v>63</v>
      </c>
      <c r="AA45" s="64">
        <v>2024</v>
      </c>
      <c r="AC45" s="45" t="s">
        <v>70</v>
      </c>
      <c r="AD45" s="64">
        <v>21</v>
      </c>
      <c r="AF45" s="45" t="s">
        <v>88</v>
      </c>
      <c r="AG45" s="64">
        <v>8</v>
      </c>
      <c r="AI45" s="45" t="s">
        <v>79</v>
      </c>
      <c r="AJ45" s="37">
        <v>0.03</v>
      </c>
    </row>
    <row r="46" spans="1:36" x14ac:dyDescent="0.25">
      <c r="A46">
        <v>41</v>
      </c>
      <c r="B46" s="40" t="s">
        <v>80</v>
      </c>
      <c r="C46" s="66">
        <v>93</v>
      </c>
      <c r="D46" s="66">
        <v>1804</v>
      </c>
      <c r="E46" s="41">
        <v>0.69</v>
      </c>
      <c r="F46" s="41">
        <v>0.25</v>
      </c>
      <c r="G46" s="41">
        <v>0.16</v>
      </c>
      <c r="H46" s="66">
        <v>24</v>
      </c>
      <c r="I46" s="66">
        <v>25</v>
      </c>
      <c r="K46" s="45" t="s">
        <v>99</v>
      </c>
      <c r="L46" s="66">
        <v>94</v>
      </c>
      <c r="N46" s="45" t="s">
        <v>78</v>
      </c>
      <c r="O46" s="41">
        <v>0.68</v>
      </c>
      <c r="Q46" s="45" t="s">
        <v>101</v>
      </c>
      <c r="R46" s="64">
        <v>30</v>
      </c>
      <c r="T46" s="45" t="s">
        <v>62</v>
      </c>
      <c r="U46" s="38">
        <v>22</v>
      </c>
      <c r="W46" s="45" t="s">
        <v>64</v>
      </c>
      <c r="X46" s="64">
        <v>95</v>
      </c>
      <c r="Z46" s="45" t="s">
        <v>64</v>
      </c>
      <c r="AA46" s="64">
        <v>2016</v>
      </c>
      <c r="AC46" s="45" t="s">
        <v>72</v>
      </c>
      <c r="AD46" s="64">
        <v>7</v>
      </c>
      <c r="AF46" s="45" t="s">
        <v>86</v>
      </c>
      <c r="AG46" s="64">
        <v>7</v>
      </c>
      <c r="AI46" s="45" t="s">
        <v>80</v>
      </c>
      <c r="AJ46" s="37">
        <v>0.16</v>
      </c>
    </row>
    <row r="47" spans="1:36" x14ac:dyDescent="0.25">
      <c r="A47">
        <v>42</v>
      </c>
      <c r="B47" s="40" t="s">
        <v>87</v>
      </c>
      <c r="C47" s="66">
        <v>92</v>
      </c>
      <c r="D47" s="66">
        <v>2244</v>
      </c>
      <c r="E47" s="41">
        <v>0.65</v>
      </c>
      <c r="F47" s="41">
        <v>0.25</v>
      </c>
      <c r="G47" s="41">
        <v>0.2</v>
      </c>
      <c r="H47" s="66">
        <v>50</v>
      </c>
      <c r="I47" s="66">
        <v>61</v>
      </c>
      <c r="K47" s="45" t="s">
        <v>98</v>
      </c>
      <c r="L47" s="66">
        <v>88</v>
      </c>
      <c r="N47" s="45" t="s">
        <v>77</v>
      </c>
      <c r="O47" s="41">
        <v>0.74</v>
      </c>
      <c r="Q47" s="45" t="s">
        <v>98</v>
      </c>
      <c r="R47" s="64">
        <v>25</v>
      </c>
      <c r="T47" s="45" t="s">
        <v>61</v>
      </c>
      <c r="U47" s="38">
        <v>23</v>
      </c>
      <c r="W47" s="45" t="s">
        <v>62</v>
      </c>
      <c r="X47" s="64">
        <v>91</v>
      </c>
      <c r="Z47" s="45" t="s">
        <v>62</v>
      </c>
      <c r="AA47" s="64">
        <v>1867</v>
      </c>
      <c r="AC47" s="45" t="s">
        <v>69</v>
      </c>
      <c r="AD47" s="64">
        <v>9</v>
      </c>
      <c r="AF47" s="45" t="s">
        <v>85</v>
      </c>
      <c r="AG47" s="64">
        <v>6</v>
      </c>
      <c r="AI47" s="36" t="s">
        <v>131</v>
      </c>
      <c r="AJ47" s="37"/>
    </row>
    <row r="48" spans="1:36" x14ac:dyDescent="0.25">
      <c r="A48">
        <v>43</v>
      </c>
      <c r="B48" s="40" t="s">
        <v>61</v>
      </c>
      <c r="C48" s="66">
        <v>92</v>
      </c>
      <c r="D48" s="66">
        <v>1798</v>
      </c>
      <c r="E48" s="41">
        <v>0.7</v>
      </c>
      <c r="F48" s="41">
        <v>0.21</v>
      </c>
      <c r="G48" s="41">
        <v>0.06</v>
      </c>
      <c r="H48" s="66">
        <v>29</v>
      </c>
      <c r="I48" s="66">
        <v>23</v>
      </c>
      <c r="K48" s="45" t="s">
        <v>97</v>
      </c>
      <c r="L48" s="66">
        <v>87</v>
      </c>
      <c r="N48" s="45" t="s">
        <v>76</v>
      </c>
      <c r="O48" s="41">
        <v>0.71</v>
      </c>
      <c r="Q48" s="45" t="s">
        <v>99</v>
      </c>
      <c r="R48" s="64">
        <v>18</v>
      </c>
      <c r="T48" s="36" t="s">
        <v>126</v>
      </c>
      <c r="U48" s="38"/>
      <c r="W48" s="45" t="s">
        <v>61</v>
      </c>
      <c r="X48" s="64">
        <v>88</v>
      </c>
      <c r="Z48" s="45" t="s">
        <v>61</v>
      </c>
      <c r="AA48" s="64">
        <v>1798</v>
      </c>
      <c r="AC48" s="45" t="s">
        <v>67</v>
      </c>
      <c r="AD48" s="64">
        <v>8</v>
      </c>
      <c r="AF48" s="36" t="s">
        <v>130</v>
      </c>
      <c r="AG48" s="64"/>
      <c r="AI48" s="45" t="s">
        <v>75</v>
      </c>
      <c r="AJ48" s="37">
        <v>0.17</v>
      </c>
    </row>
    <row r="49" spans="1:36" x14ac:dyDescent="0.25">
      <c r="A49">
        <v>44</v>
      </c>
      <c r="B49" s="40" t="s">
        <v>106</v>
      </c>
      <c r="C49" s="66">
        <v>89</v>
      </c>
      <c r="D49" s="66">
        <v>1785</v>
      </c>
      <c r="E49" s="41">
        <v>0.71</v>
      </c>
      <c r="F49" s="41">
        <v>0.18</v>
      </c>
      <c r="G49" s="41">
        <v>0.21</v>
      </c>
      <c r="H49" s="66">
        <v>17</v>
      </c>
      <c r="I49" s="66">
        <v>22</v>
      </c>
      <c r="K49" s="36" t="s">
        <v>84</v>
      </c>
      <c r="L49" s="66"/>
      <c r="N49" s="36" t="s">
        <v>96</v>
      </c>
      <c r="O49" s="66"/>
      <c r="Q49" s="36" t="s">
        <v>129</v>
      </c>
      <c r="R49" s="64"/>
      <c r="T49" s="45" t="s">
        <v>119</v>
      </c>
      <c r="U49" s="38">
        <v>24</v>
      </c>
      <c r="W49" s="36" t="s">
        <v>96</v>
      </c>
      <c r="X49" s="64"/>
      <c r="Z49" s="36" t="s">
        <v>131</v>
      </c>
      <c r="AA49" s="64"/>
      <c r="AC49" s="36" t="s">
        <v>131</v>
      </c>
      <c r="AD49" s="64"/>
      <c r="AF49" s="45" t="s">
        <v>60</v>
      </c>
      <c r="AG49" s="64">
        <v>13</v>
      </c>
      <c r="AI49" s="45" t="s">
        <v>73</v>
      </c>
      <c r="AJ49" s="37">
        <v>0.14000000000000001</v>
      </c>
    </row>
    <row r="50" spans="1:36" x14ac:dyDescent="0.25">
      <c r="A50">
        <v>45</v>
      </c>
      <c r="B50" s="40" t="s">
        <v>76</v>
      </c>
      <c r="C50" s="66">
        <v>88</v>
      </c>
      <c r="D50" s="66">
        <v>1946</v>
      </c>
      <c r="E50" s="41">
        <v>0.71</v>
      </c>
      <c r="F50" s="41">
        <v>0.19</v>
      </c>
      <c r="G50" s="41">
        <v>0.08</v>
      </c>
      <c r="H50" s="66">
        <v>29</v>
      </c>
      <c r="I50" s="66">
        <v>49</v>
      </c>
      <c r="K50" s="45" t="s">
        <v>86</v>
      </c>
      <c r="L50" s="66">
        <v>98</v>
      </c>
      <c r="N50" s="45" t="s">
        <v>97</v>
      </c>
      <c r="O50" s="41">
        <v>0.7</v>
      </c>
      <c r="Q50" s="45" t="s">
        <v>71</v>
      </c>
      <c r="R50" s="64">
        <v>27</v>
      </c>
      <c r="T50" s="45" t="s">
        <v>116</v>
      </c>
      <c r="U50" s="38">
        <v>18</v>
      </c>
      <c r="W50" s="45" t="s">
        <v>97</v>
      </c>
      <c r="X50" s="64">
        <v>87</v>
      </c>
      <c r="Z50" s="45" t="s">
        <v>75</v>
      </c>
      <c r="AA50" s="64">
        <v>1867</v>
      </c>
      <c r="AC50" s="45" t="s">
        <v>75</v>
      </c>
      <c r="AD50" s="64">
        <v>7</v>
      </c>
      <c r="AF50" s="45" t="s">
        <v>63</v>
      </c>
      <c r="AG50" s="64">
        <v>8</v>
      </c>
      <c r="AI50" s="45" t="s">
        <v>74</v>
      </c>
      <c r="AJ50" s="37">
        <v>0.16</v>
      </c>
    </row>
    <row r="51" spans="1:36" x14ac:dyDescent="0.25">
      <c r="A51">
        <v>46</v>
      </c>
      <c r="B51" s="40" t="s">
        <v>98</v>
      </c>
      <c r="C51" s="66">
        <v>88</v>
      </c>
      <c r="D51" s="66">
        <v>1813</v>
      </c>
      <c r="E51" s="41">
        <v>0.65</v>
      </c>
      <c r="F51" s="41">
        <v>0.23</v>
      </c>
      <c r="G51" s="41">
        <v>0.11</v>
      </c>
      <c r="H51" s="66">
        <v>25</v>
      </c>
      <c r="I51" s="66">
        <v>38</v>
      </c>
      <c r="K51" s="45" t="s">
        <v>85</v>
      </c>
      <c r="L51" s="66">
        <v>97</v>
      </c>
      <c r="N51" s="45" t="s">
        <v>100</v>
      </c>
      <c r="O51" s="41">
        <v>0.66</v>
      </c>
      <c r="Q51" s="45" t="s">
        <v>70</v>
      </c>
      <c r="R51" s="64">
        <v>57</v>
      </c>
      <c r="T51" s="45" t="s">
        <v>118</v>
      </c>
      <c r="U51" s="38">
        <v>26</v>
      </c>
      <c r="W51" s="45" t="s">
        <v>100</v>
      </c>
      <c r="X51" s="64">
        <v>10</v>
      </c>
      <c r="Z51" s="45" t="s">
        <v>73</v>
      </c>
      <c r="AA51" s="64">
        <v>2148</v>
      </c>
      <c r="AC51" s="45" t="s">
        <v>73</v>
      </c>
      <c r="AD51" s="64">
        <v>11</v>
      </c>
      <c r="AF51" s="45" t="s">
        <v>64</v>
      </c>
      <c r="AG51" s="64">
        <v>17</v>
      </c>
      <c r="AI51" s="45" t="s">
        <v>78</v>
      </c>
      <c r="AJ51" s="37">
        <v>0.09</v>
      </c>
    </row>
    <row r="52" spans="1:36" x14ac:dyDescent="0.25">
      <c r="A52">
        <v>47</v>
      </c>
      <c r="B52" s="40" t="s">
        <v>97</v>
      </c>
      <c r="C52" s="66">
        <v>87</v>
      </c>
      <c r="D52" s="66">
        <v>1839</v>
      </c>
      <c r="E52" s="41">
        <v>0.7</v>
      </c>
      <c r="F52" s="41">
        <v>0.28000000000000003</v>
      </c>
      <c r="G52" s="41">
        <v>0.09</v>
      </c>
      <c r="H52" s="66">
        <v>27</v>
      </c>
      <c r="I52" s="66">
        <v>28</v>
      </c>
      <c r="K52" s="45" t="s">
        <v>89</v>
      </c>
      <c r="L52" s="66">
        <v>93</v>
      </c>
      <c r="N52" s="45" t="s">
        <v>101</v>
      </c>
      <c r="O52" s="41">
        <v>0.74</v>
      </c>
      <c r="Q52" s="45" t="s">
        <v>72</v>
      </c>
      <c r="R52" s="64">
        <v>20</v>
      </c>
      <c r="T52" s="45" t="s">
        <v>117</v>
      </c>
      <c r="U52" s="38">
        <v>24</v>
      </c>
      <c r="W52" s="45" t="s">
        <v>101</v>
      </c>
      <c r="X52" s="64">
        <v>98</v>
      </c>
      <c r="Z52" s="45" t="s">
        <v>74</v>
      </c>
      <c r="AA52" s="64">
        <v>1728</v>
      </c>
      <c r="AC52" s="45" t="s">
        <v>74</v>
      </c>
      <c r="AD52" s="64">
        <v>7</v>
      </c>
      <c r="AF52" s="45" t="s">
        <v>62</v>
      </c>
      <c r="AG52" s="64">
        <v>7</v>
      </c>
      <c r="AI52" s="45" t="s">
        <v>77</v>
      </c>
      <c r="AJ52" s="37">
        <v>0.08</v>
      </c>
    </row>
    <row r="53" spans="1:36" x14ac:dyDescent="0.25">
      <c r="A53">
        <v>48</v>
      </c>
      <c r="B53" s="40" t="s">
        <v>88</v>
      </c>
      <c r="C53" s="66">
        <v>84</v>
      </c>
      <c r="D53" s="66">
        <v>1692</v>
      </c>
      <c r="E53" s="41">
        <v>0.69</v>
      </c>
      <c r="F53" s="41">
        <v>0.19</v>
      </c>
      <c r="G53" s="41"/>
      <c r="H53" s="66">
        <v>15</v>
      </c>
      <c r="I53" s="66">
        <v>23</v>
      </c>
      <c r="K53" s="45" t="s">
        <v>87</v>
      </c>
      <c r="L53" s="66">
        <v>92</v>
      </c>
      <c r="N53" s="45" t="s">
        <v>98</v>
      </c>
      <c r="O53" s="41">
        <v>0.65</v>
      </c>
      <c r="Q53" s="45" t="s">
        <v>69</v>
      </c>
      <c r="R53" s="64">
        <v>25</v>
      </c>
      <c r="T53" s="45" t="s">
        <v>115</v>
      </c>
      <c r="U53" s="38">
        <v>43</v>
      </c>
      <c r="W53" s="45" t="s">
        <v>98</v>
      </c>
      <c r="X53" s="64">
        <v>87</v>
      </c>
      <c r="Z53" s="45" t="s">
        <v>78</v>
      </c>
      <c r="AA53" s="64">
        <v>2045</v>
      </c>
      <c r="AC53" s="45" t="s">
        <v>78</v>
      </c>
      <c r="AD53" s="64">
        <v>14</v>
      </c>
      <c r="AF53" s="45" t="s">
        <v>61</v>
      </c>
      <c r="AG53" s="64">
        <v>7</v>
      </c>
      <c r="AI53" s="45" t="s">
        <v>76</v>
      </c>
      <c r="AJ53" s="37">
        <v>0.08</v>
      </c>
    </row>
    <row r="54" spans="1:36" x14ac:dyDescent="0.25">
      <c r="A54">
        <v>49</v>
      </c>
      <c r="B54" s="40" t="s">
        <v>115</v>
      </c>
      <c r="C54" s="66">
        <v>82</v>
      </c>
      <c r="D54" s="66">
        <v>1786</v>
      </c>
      <c r="E54" s="41">
        <v>0.64</v>
      </c>
      <c r="F54" s="41">
        <v>0.2</v>
      </c>
      <c r="G54" s="41">
        <v>0.13</v>
      </c>
      <c r="H54" s="66">
        <v>21</v>
      </c>
      <c r="I54" s="66">
        <v>43</v>
      </c>
      <c r="K54" s="45" t="s">
        <v>88</v>
      </c>
      <c r="L54" s="66">
        <v>84</v>
      </c>
      <c r="N54" s="45" t="s">
        <v>99</v>
      </c>
      <c r="O54" s="41">
        <v>0.73</v>
      </c>
      <c r="Q54" s="45" t="s">
        <v>67</v>
      </c>
      <c r="R54" s="64">
        <v>22</v>
      </c>
      <c r="T54" s="45" t="s">
        <v>120</v>
      </c>
      <c r="U54" s="38">
        <v>45</v>
      </c>
      <c r="W54" s="45" t="s">
        <v>99</v>
      </c>
      <c r="X54" s="64">
        <v>91</v>
      </c>
      <c r="Z54" s="45" t="s">
        <v>77</v>
      </c>
      <c r="AA54" s="64">
        <v>1968</v>
      </c>
      <c r="AC54" s="45" t="s">
        <v>77</v>
      </c>
      <c r="AD54" s="64">
        <v>7</v>
      </c>
      <c r="AF54" s="36" t="s">
        <v>131</v>
      </c>
      <c r="AG54" s="64"/>
      <c r="AI54" s="36" t="s">
        <v>127</v>
      </c>
      <c r="AJ54" s="37"/>
    </row>
    <row r="55" spans="1:36" x14ac:dyDescent="0.25">
      <c r="A55">
        <v>50</v>
      </c>
      <c r="B55" s="40" t="s">
        <v>119</v>
      </c>
      <c r="C55" s="66">
        <v>79</v>
      </c>
      <c r="D55" s="66">
        <v>1542</v>
      </c>
      <c r="E55" s="41">
        <v>0.69</v>
      </c>
      <c r="F55" s="41">
        <v>0.23</v>
      </c>
      <c r="G55" s="41">
        <v>0.21</v>
      </c>
      <c r="H55" s="66">
        <v>16</v>
      </c>
      <c r="I55" s="66">
        <v>24</v>
      </c>
      <c r="K55" s="36" t="s">
        <v>129</v>
      </c>
      <c r="L55" s="66"/>
      <c r="N55" s="36" t="s">
        <v>84</v>
      </c>
      <c r="O55" s="66"/>
      <c r="Q55" s="36" t="s">
        <v>126</v>
      </c>
      <c r="R55" s="64"/>
      <c r="T55" s="36" t="s">
        <v>96</v>
      </c>
      <c r="U55" s="38"/>
      <c r="W55" s="36" t="s">
        <v>126</v>
      </c>
      <c r="X55" s="64"/>
      <c r="Z55" s="45" t="s">
        <v>76</v>
      </c>
      <c r="AA55" s="64">
        <v>1946</v>
      </c>
      <c r="AC55" s="45" t="s">
        <v>76</v>
      </c>
      <c r="AD55" s="64">
        <v>8</v>
      </c>
      <c r="AF55" s="45" t="s">
        <v>75</v>
      </c>
      <c r="AG55" s="64">
        <v>6</v>
      </c>
      <c r="AI55" s="45" t="s">
        <v>94</v>
      </c>
      <c r="AJ55" s="37">
        <v>0.23</v>
      </c>
    </row>
    <row r="56" spans="1:36" x14ac:dyDescent="0.25">
      <c r="A56">
        <v>51</v>
      </c>
      <c r="B56" s="40" t="s">
        <v>71</v>
      </c>
      <c r="C56" s="66">
        <v>11</v>
      </c>
      <c r="D56" s="66">
        <v>2101</v>
      </c>
      <c r="E56" s="41">
        <v>0.78</v>
      </c>
      <c r="F56" s="41">
        <v>0.28000000000000003</v>
      </c>
      <c r="G56" s="41">
        <v>0.21</v>
      </c>
      <c r="H56" s="66">
        <v>27</v>
      </c>
      <c r="I56" s="66">
        <v>23</v>
      </c>
      <c r="K56" s="45" t="s">
        <v>70</v>
      </c>
      <c r="L56" s="66">
        <v>122</v>
      </c>
      <c r="N56" s="45" t="s">
        <v>89</v>
      </c>
      <c r="O56" s="41">
        <v>0.7</v>
      </c>
      <c r="Q56" s="45" t="s">
        <v>119</v>
      </c>
      <c r="R56" s="64">
        <v>16</v>
      </c>
      <c r="T56" s="45" t="s">
        <v>97</v>
      </c>
      <c r="U56" s="38">
        <v>28</v>
      </c>
      <c r="W56" s="45" t="s">
        <v>119</v>
      </c>
      <c r="X56" s="64">
        <v>71</v>
      </c>
      <c r="Z56" s="36" t="s">
        <v>84</v>
      </c>
      <c r="AA56" s="64"/>
      <c r="AC56" s="36" t="s">
        <v>96</v>
      </c>
      <c r="AD56" s="64"/>
      <c r="AF56" s="45" t="s">
        <v>73</v>
      </c>
      <c r="AG56" s="64">
        <v>12</v>
      </c>
      <c r="AI56" s="45" t="s">
        <v>93</v>
      </c>
      <c r="AJ56" s="37">
        <v>7.0000000000000007E-2</v>
      </c>
    </row>
    <row r="57" spans="1:36" x14ac:dyDescent="0.25">
      <c r="A57">
        <v>52</v>
      </c>
      <c r="B57" s="40" t="s">
        <v>77</v>
      </c>
      <c r="C57" s="66">
        <v>10</v>
      </c>
      <c r="D57" s="66">
        <v>1968</v>
      </c>
      <c r="E57" s="41">
        <v>0.74</v>
      </c>
      <c r="F57" s="41">
        <v>0.23</v>
      </c>
      <c r="G57" s="41">
        <v>0.08</v>
      </c>
      <c r="H57" s="66">
        <v>23</v>
      </c>
      <c r="I57" s="66">
        <v>23</v>
      </c>
      <c r="K57" s="45" t="s">
        <v>72</v>
      </c>
      <c r="L57" s="66">
        <v>108</v>
      </c>
      <c r="N57" s="45" t="s">
        <v>87</v>
      </c>
      <c r="O57" s="41">
        <v>0.65</v>
      </c>
      <c r="Q57" s="45" t="s">
        <v>116</v>
      </c>
      <c r="R57" s="64">
        <v>21</v>
      </c>
      <c r="T57" s="45" t="s">
        <v>100</v>
      </c>
      <c r="U57" s="38">
        <v>63</v>
      </c>
      <c r="W57" s="45" t="s">
        <v>116</v>
      </c>
      <c r="X57" s="64">
        <v>115</v>
      </c>
      <c r="Z57" s="45" t="s">
        <v>89</v>
      </c>
      <c r="AA57" s="64">
        <v>1706</v>
      </c>
      <c r="AC57" s="45" t="s">
        <v>97</v>
      </c>
      <c r="AD57" s="64">
        <v>8</v>
      </c>
      <c r="AF57" s="45" t="s">
        <v>74</v>
      </c>
      <c r="AG57" s="64">
        <v>1</v>
      </c>
      <c r="AI57" s="45" t="s">
        <v>91</v>
      </c>
      <c r="AJ57" s="37">
        <v>0.1</v>
      </c>
    </row>
    <row r="58" spans="1:36" x14ac:dyDescent="0.25">
      <c r="B58"/>
      <c r="C58"/>
      <c r="D58"/>
      <c r="E58"/>
      <c r="F58"/>
      <c r="G58"/>
      <c r="H58"/>
      <c r="I58"/>
      <c r="K58" s="45" t="s">
        <v>67</v>
      </c>
      <c r="L58" s="66">
        <v>105</v>
      </c>
      <c r="N58" s="45" t="s">
        <v>88</v>
      </c>
      <c r="O58" s="41">
        <v>0.69</v>
      </c>
      <c r="Q58" s="45" t="s">
        <v>118</v>
      </c>
      <c r="R58" s="64">
        <v>14</v>
      </c>
      <c r="T58" s="45" t="s">
        <v>101</v>
      </c>
      <c r="U58" s="38">
        <v>33</v>
      </c>
      <c r="W58" s="45" t="s">
        <v>118</v>
      </c>
      <c r="X58" s="64">
        <v>92</v>
      </c>
      <c r="Z58" s="45" t="s">
        <v>87</v>
      </c>
      <c r="AA58" s="64">
        <v>2244</v>
      </c>
      <c r="AC58" s="45" t="s">
        <v>100</v>
      </c>
      <c r="AD58" s="64">
        <v>16</v>
      </c>
      <c r="AF58" s="45" t="s">
        <v>78</v>
      </c>
      <c r="AG58" s="64">
        <v>12</v>
      </c>
      <c r="AI58" s="45" t="s">
        <v>95</v>
      </c>
      <c r="AJ58" s="37">
        <v>0.09</v>
      </c>
    </row>
    <row r="59" spans="1:36" x14ac:dyDescent="0.25">
      <c r="K59" s="45" t="s">
        <v>69</v>
      </c>
      <c r="L59" s="66">
        <v>103</v>
      </c>
      <c r="N59" s="45" t="s">
        <v>86</v>
      </c>
      <c r="O59" s="41">
        <v>0.73</v>
      </c>
      <c r="Q59" s="45" t="s">
        <v>117</v>
      </c>
      <c r="R59" s="64">
        <v>26</v>
      </c>
      <c r="T59" s="45" t="s">
        <v>98</v>
      </c>
      <c r="U59" s="38">
        <v>38</v>
      </c>
      <c r="W59" s="45" t="s">
        <v>117</v>
      </c>
      <c r="X59" s="64">
        <v>101</v>
      </c>
      <c r="Z59" s="45" t="s">
        <v>88</v>
      </c>
      <c r="AA59" s="64">
        <v>1692</v>
      </c>
      <c r="AC59" s="45" t="s">
        <v>101</v>
      </c>
      <c r="AD59" s="64">
        <v>9</v>
      </c>
      <c r="AF59" s="45" t="s">
        <v>77</v>
      </c>
      <c r="AG59" s="64">
        <v>7</v>
      </c>
      <c r="AI59" s="45" t="s">
        <v>92</v>
      </c>
      <c r="AJ59" s="37">
        <v>0.08</v>
      </c>
    </row>
    <row r="60" spans="1:36" x14ac:dyDescent="0.25">
      <c r="K60" s="45" t="s">
        <v>71</v>
      </c>
      <c r="L60" s="66">
        <v>11</v>
      </c>
      <c r="N60" s="45" t="s">
        <v>85</v>
      </c>
      <c r="O60" s="41">
        <v>0.71</v>
      </c>
      <c r="Q60" s="45" t="s">
        <v>115</v>
      </c>
      <c r="R60" s="64">
        <v>21</v>
      </c>
      <c r="T60" s="45" t="s">
        <v>99</v>
      </c>
      <c r="U60" s="38">
        <v>20</v>
      </c>
      <c r="W60" s="45" t="s">
        <v>115</v>
      </c>
      <c r="X60" s="64">
        <v>9</v>
      </c>
      <c r="Z60" s="45" t="s">
        <v>86</v>
      </c>
      <c r="AA60" s="64">
        <v>1948</v>
      </c>
      <c r="AC60" s="45" t="s">
        <v>98</v>
      </c>
      <c r="AD60" s="64">
        <v>7</v>
      </c>
      <c r="AF60" s="45" t="s">
        <v>76</v>
      </c>
      <c r="AG60" s="64">
        <v>14</v>
      </c>
      <c r="AI60" s="36" t="s">
        <v>96</v>
      </c>
      <c r="AJ60" s="37"/>
    </row>
    <row r="61" spans="1:36" x14ac:dyDescent="0.25">
      <c r="K61" s="36" t="s">
        <v>131</v>
      </c>
      <c r="L61" s="66"/>
      <c r="N61" s="36" t="s">
        <v>126</v>
      </c>
      <c r="O61" s="66"/>
      <c r="Q61" s="45" t="s">
        <v>120</v>
      </c>
      <c r="R61" s="64">
        <v>40</v>
      </c>
      <c r="T61" s="36" t="s">
        <v>131</v>
      </c>
      <c r="U61" s="38"/>
      <c r="W61" s="45" t="s">
        <v>120</v>
      </c>
      <c r="X61" s="64">
        <v>11</v>
      </c>
      <c r="Z61" s="45" t="s">
        <v>85</v>
      </c>
      <c r="AA61" s="64">
        <v>1942</v>
      </c>
      <c r="AC61" s="45" t="s">
        <v>99</v>
      </c>
      <c r="AD61" s="64">
        <v>5</v>
      </c>
      <c r="AF61" s="36" t="s">
        <v>126</v>
      </c>
      <c r="AG61" s="64"/>
      <c r="AI61" s="45" t="s">
        <v>97</v>
      </c>
      <c r="AJ61" s="37">
        <v>0.09</v>
      </c>
    </row>
    <row r="62" spans="1:36" x14ac:dyDescent="0.25">
      <c r="K62" s="45" t="s">
        <v>75</v>
      </c>
      <c r="L62" s="66">
        <v>105</v>
      </c>
      <c r="N62" s="45" t="s">
        <v>119</v>
      </c>
      <c r="O62" s="41">
        <v>0.69</v>
      </c>
      <c r="Q62" s="36" t="s">
        <v>84</v>
      </c>
      <c r="R62" s="64"/>
      <c r="T62" s="45" t="s">
        <v>75</v>
      </c>
      <c r="U62" s="38">
        <v>4</v>
      </c>
      <c r="W62" s="36" t="s">
        <v>102</v>
      </c>
      <c r="X62" s="64"/>
      <c r="Z62" s="36" t="s">
        <v>96</v>
      </c>
      <c r="AA62" s="64"/>
      <c r="AC62" s="36" t="s">
        <v>84</v>
      </c>
      <c r="AD62" s="64"/>
      <c r="AF62" s="45" t="s">
        <v>119</v>
      </c>
      <c r="AG62" s="64">
        <v>8</v>
      </c>
      <c r="AI62" s="45" t="s">
        <v>100</v>
      </c>
      <c r="AJ62" s="37">
        <v>7.0000000000000007E-2</v>
      </c>
    </row>
    <row r="63" spans="1:36" x14ac:dyDescent="0.25">
      <c r="K63" s="45" t="s">
        <v>73</v>
      </c>
      <c r="L63" s="66">
        <v>103</v>
      </c>
      <c r="N63" s="45" t="s">
        <v>116</v>
      </c>
      <c r="O63" s="41">
        <v>0.7</v>
      </c>
      <c r="Q63" s="45" t="s">
        <v>89</v>
      </c>
      <c r="R63" s="64">
        <v>19</v>
      </c>
      <c r="T63" s="45" t="s">
        <v>73</v>
      </c>
      <c r="U63" s="38">
        <v>43</v>
      </c>
      <c r="W63" s="45" t="s">
        <v>104</v>
      </c>
      <c r="X63" s="64">
        <v>99</v>
      </c>
      <c r="Z63" s="45" t="s">
        <v>97</v>
      </c>
      <c r="AA63" s="64">
        <v>1839</v>
      </c>
      <c r="AC63" s="45" t="s">
        <v>89</v>
      </c>
      <c r="AD63" s="64">
        <v>7</v>
      </c>
      <c r="AF63" s="45" t="s">
        <v>116</v>
      </c>
      <c r="AG63" s="64">
        <v>13</v>
      </c>
      <c r="AI63" s="45" t="s">
        <v>101</v>
      </c>
      <c r="AJ63" s="37">
        <v>0.11</v>
      </c>
    </row>
    <row r="64" spans="1:36" x14ac:dyDescent="0.25">
      <c r="K64" s="45" t="s">
        <v>78</v>
      </c>
      <c r="L64" s="66">
        <v>101</v>
      </c>
      <c r="N64" s="45" t="s">
        <v>118</v>
      </c>
      <c r="O64" s="41">
        <v>0.7</v>
      </c>
      <c r="Q64" s="45" t="s">
        <v>87</v>
      </c>
      <c r="R64" s="64">
        <v>50</v>
      </c>
      <c r="T64" s="45" t="s">
        <v>74</v>
      </c>
      <c r="U64" s="38">
        <v>35</v>
      </c>
      <c r="W64" s="45" t="s">
        <v>103</v>
      </c>
      <c r="X64" s="64">
        <v>113</v>
      </c>
      <c r="Z64" s="45" t="s">
        <v>100</v>
      </c>
      <c r="AA64" s="64">
        <v>2131</v>
      </c>
      <c r="AC64" s="45" t="s">
        <v>87</v>
      </c>
      <c r="AD64" s="64">
        <v>18</v>
      </c>
      <c r="AF64" s="45" t="s">
        <v>118</v>
      </c>
      <c r="AG64" s="64">
        <v>8</v>
      </c>
      <c r="AI64" s="45" t="s">
        <v>98</v>
      </c>
      <c r="AJ64" s="37">
        <v>0.11</v>
      </c>
    </row>
    <row r="65" spans="11:36" x14ac:dyDescent="0.25">
      <c r="K65" s="45" t="s">
        <v>74</v>
      </c>
      <c r="L65" s="66">
        <v>94</v>
      </c>
      <c r="N65" s="45" t="s">
        <v>117</v>
      </c>
      <c r="O65" s="41">
        <v>0.71</v>
      </c>
      <c r="Q65" s="45" t="s">
        <v>88</v>
      </c>
      <c r="R65" s="64">
        <v>15</v>
      </c>
      <c r="T65" s="45" t="s">
        <v>78</v>
      </c>
      <c r="U65" s="38">
        <v>34</v>
      </c>
      <c r="W65" s="45" t="s">
        <v>106</v>
      </c>
      <c r="X65" s="64">
        <v>81</v>
      </c>
      <c r="Z65" s="45" t="s">
        <v>101</v>
      </c>
      <c r="AA65" s="64">
        <v>1953</v>
      </c>
      <c r="AC65" s="45" t="s">
        <v>88</v>
      </c>
      <c r="AD65" s="64">
        <v>5</v>
      </c>
      <c r="AF65" s="45" t="s">
        <v>117</v>
      </c>
      <c r="AG65" s="64">
        <v>8</v>
      </c>
      <c r="AI65" s="45" t="s">
        <v>99</v>
      </c>
      <c r="AJ65" s="37">
        <v>0.12</v>
      </c>
    </row>
    <row r="66" spans="11:36" x14ac:dyDescent="0.25">
      <c r="K66" s="45" t="s">
        <v>76</v>
      </c>
      <c r="L66" s="66">
        <v>88</v>
      </c>
      <c r="N66" s="45" t="s">
        <v>115</v>
      </c>
      <c r="O66" s="41">
        <v>0.64</v>
      </c>
      <c r="Q66" s="45" t="s">
        <v>86</v>
      </c>
      <c r="R66" s="64">
        <v>22</v>
      </c>
      <c r="T66" s="45" t="s">
        <v>77</v>
      </c>
      <c r="U66" s="38">
        <v>23</v>
      </c>
      <c r="W66" s="45" t="s">
        <v>107</v>
      </c>
      <c r="X66" s="64">
        <v>12</v>
      </c>
      <c r="Z66" s="45" t="s">
        <v>98</v>
      </c>
      <c r="AA66" s="64">
        <v>1813</v>
      </c>
      <c r="AC66" s="45" t="s">
        <v>86</v>
      </c>
      <c r="AD66" s="64">
        <v>8</v>
      </c>
      <c r="AF66" s="45" t="s">
        <v>115</v>
      </c>
      <c r="AG66" s="64">
        <v>24</v>
      </c>
      <c r="AI66" s="36" t="s">
        <v>150</v>
      </c>
      <c r="AJ66" s="37">
        <v>0.16220000000000001</v>
      </c>
    </row>
    <row r="67" spans="11:36" x14ac:dyDescent="0.25">
      <c r="K67" s="45" t="s">
        <v>77</v>
      </c>
      <c r="L67" s="66">
        <v>10</v>
      </c>
      <c r="N67" s="45" t="s">
        <v>120</v>
      </c>
      <c r="O67" s="41">
        <v>0.72</v>
      </c>
      <c r="Q67" s="45" t="s">
        <v>85</v>
      </c>
      <c r="R67" s="64">
        <v>29</v>
      </c>
      <c r="T67" s="45" t="s">
        <v>76</v>
      </c>
      <c r="U67" s="38">
        <v>49</v>
      </c>
      <c r="W67" s="45" t="s">
        <v>105</v>
      </c>
      <c r="X67" s="64">
        <v>11</v>
      </c>
      <c r="Z67" s="45" t="s">
        <v>99</v>
      </c>
      <c r="AA67" s="64">
        <v>1775</v>
      </c>
      <c r="AC67" s="45" t="s">
        <v>85</v>
      </c>
      <c r="AD67" s="64">
        <v>1</v>
      </c>
      <c r="AF67" s="45" t="s">
        <v>120</v>
      </c>
      <c r="AG67" s="64">
        <v>14</v>
      </c>
      <c r="AI67"/>
      <c r="AJ67"/>
    </row>
    <row r="68" spans="11:36" x14ac:dyDescent="0.25">
      <c r="K68" s="46" t="s">
        <v>150</v>
      </c>
      <c r="L68" s="42">
        <v>97.5</v>
      </c>
      <c r="N68" s="36" t="s">
        <v>150</v>
      </c>
      <c r="O68" s="41">
        <v>0.72730769230769232</v>
      </c>
      <c r="Q68" s="36" t="s">
        <v>150</v>
      </c>
      <c r="R68" s="64">
        <v>1552</v>
      </c>
      <c r="T68" s="36" t="s">
        <v>150</v>
      </c>
      <c r="U68" s="38">
        <v>1552</v>
      </c>
      <c r="W68" s="36" t="s">
        <v>150</v>
      </c>
      <c r="X68" s="64">
        <v>83.711538461538467</v>
      </c>
      <c r="Z68" s="36" t="s">
        <v>150</v>
      </c>
      <c r="AA68" s="64">
        <v>1995</v>
      </c>
      <c r="AC68" s="36" t="s">
        <v>150</v>
      </c>
      <c r="AD68" s="64">
        <v>9.7307692307692299</v>
      </c>
      <c r="AF68" s="36" t="s">
        <v>150</v>
      </c>
      <c r="AG68" s="64">
        <v>497</v>
      </c>
      <c r="AI68"/>
      <c r="AJ68"/>
    </row>
    <row r="69" spans="11:36" x14ac:dyDescent="0.25">
      <c r="L69" s="42"/>
      <c r="N69" s="36"/>
      <c r="O69" s="41"/>
      <c r="Q69" s="36"/>
      <c r="T69" s="36"/>
      <c r="U69" s="38"/>
    </row>
    <row r="70" spans="11:36" x14ac:dyDescent="0.25">
      <c r="L70" s="42"/>
      <c r="N70" s="36"/>
      <c r="O70" s="41"/>
      <c r="Q70" s="36"/>
      <c r="T70" s="36"/>
      <c r="U70" s="38"/>
    </row>
    <row r="71" spans="11:36" x14ac:dyDescent="0.25">
      <c r="L71" s="42"/>
      <c r="N71" s="36"/>
      <c r="O71" s="41"/>
      <c r="Q71" s="36"/>
      <c r="T71" s="36"/>
      <c r="U71" s="38"/>
    </row>
    <row r="72" spans="11:36" x14ac:dyDescent="0.25">
      <c r="L72" s="42"/>
      <c r="N72" s="36"/>
      <c r="O72" s="41"/>
      <c r="Q72" s="36"/>
      <c r="T72" s="36"/>
      <c r="U72" s="38"/>
    </row>
    <row r="73" spans="11:36" x14ac:dyDescent="0.25">
      <c r="L73" s="42"/>
      <c r="N73" s="36"/>
      <c r="O73" s="41"/>
      <c r="Q73" s="36"/>
      <c r="T73" s="36"/>
      <c r="U73" s="38"/>
    </row>
    <row r="74" spans="11:36" x14ac:dyDescent="0.25">
      <c r="L74" s="42"/>
      <c r="N74" s="36"/>
      <c r="O74" s="41"/>
      <c r="Q74" s="36"/>
      <c r="T74" s="36"/>
      <c r="U74" s="38"/>
    </row>
    <row r="75" spans="11:36" x14ac:dyDescent="0.25">
      <c r="L75" s="42"/>
      <c r="N75" s="36"/>
      <c r="O75" s="41"/>
      <c r="Q75" s="36"/>
      <c r="T75" s="36"/>
      <c r="U75" s="38"/>
    </row>
    <row r="76" spans="11:36" x14ac:dyDescent="0.25">
      <c r="L76" s="42"/>
      <c r="N76" s="36"/>
      <c r="O76" s="41"/>
      <c r="Q76" s="36"/>
      <c r="T76" s="36"/>
      <c r="U76" s="38"/>
    </row>
    <row r="77" spans="11:36" x14ac:dyDescent="0.25">
      <c r="L77" s="42"/>
      <c r="N77" s="36"/>
      <c r="O77" s="41"/>
      <c r="Q77" s="36"/>
      <c r="T77" s="36"/>
      <c r="U77" s="38"/>
    </row>
  </sheetData>
  <mergeCells count="11">
    <mergeCell ref="AL3:AM3"/>
    <mergeCell ref="B3:I3"/>
    <mergeCell ref="N3:O3"/>
    <mergeCell ref="Q3:R3"/>
    <mergeCell ref="AI3:AJ3"/>
    <mergeCell ref="AC3:AD3"/>
    <mergeCell ref="Z3:AA3"/>
    <mergeCell ref="W3:X3"/>
    <mergeCell ref="T3:U3"/>
    <mergeCell ref="AF3:AG3"/>
    <mergeCell ref="K3:L3"/>
  </mergeCell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opLeftCell="E1" zoomScale="70" zoomScaleNormal="70" workbookViewId="0">
      <selection activeCell="N25" sqref="N25"/>
    </sheetView>
  </sheetViews>
  <sheetFormatPr defaultRowHeight="15" x14ac:dyDescent="0.25"/>
  <cols>
    <col min="1" max="3" width="9.140625" style="1"/>
    <col min="4" max="9" width="15.7109375" customWidth="1"/>
    <col min="10" max="10" width="26.28515625" style="1" bestFit="1" customWidth="1"/>
    <col min="11" max="11" width="15.7109375" style="5" customWidth="1"/>
    <col min="12" max="18" width="15.7109375" style="1" customWidth="1"/>
    <col min="19" max="19" width="26.28515625" style="1" bestFit="1" customWidth="1"/>
    <col min="20" max="20" width="15.7109375" style="1" customWidth="1"/>
  </cols>
  <sheetData>
    <row r="1" spans="1:20" s="1" customFormat="1" x14ac:dyDescent="0.25">
      <c r="K1" s="5"/>
    </row>
    <row r="2" spans="1:20" s="1" customFormat="1" x14ac:dyDescent="0.25">
      <c r="K2" s="5"/>
    </row>
    <row r="3" spans="1:20" ht="15" customHeight="1" x14ac:dyDescent="0.25">
      <c r="D3" s="55" t="s">
        <v>50</v>
      </c>
      <c r="E3" s="56"/>
      <c r="F3" s="56"/>
      <c r="G3" s="56"/>
      <c r="H3" s="56"/>
      <c r="I3" s="56"/>
      <c r="J3" s="56"/>
      <c r="K3" s="56"/>
      <c r="M3" s="55" t="s">
        <v>55</v>
      </c>
      <c r="N3" s="56"/>
      <c r="O3" s="56"/>
      <c r="P3" s="56"/>
      <c r="Q3" s="56"/>
      <c r="R3" s="56"/>
      <c r="S3" s="56"/>
      <c r="T3" s="56"/>
    </row>
    <row r="4" spans="1:20" ht="15" customHeight="1" x14ac:dyDescent="0.25">
      <c r="D4" s="55"/>
      <c r="E4" s="56"/>
      <c r="F4" s="56"/>
      <c r="G4" s="56"/>
      <c r="H4" s="56"/>
      <c r="I4" s="56"/>
      <c r="J4" s="56"/>
      <c r="K4" s="56"/>
      <c r="M4" s="55"/>
      <c r="N4" s="56"/>
      <c r="O4" s="56"/>
      <c r="P4" s="56"/>
      <c r="Q4" s="56"/>
      <c r="R4" s="56"/>
      <c r="S4" s="56"/>
      <c r="T4" s="56"/>
    </row>
    <row r="5" spans="1:20" ht="15" customHeight="1" x14ac:dyDescent="0.25">
      <c r="D5" s="55"/>
      <c r="E5" s="56"/>
      <c r="F5" s="56"/>
      <c r="G5" s="56"/>
      <c r="H5" s="56"/>
      <c r="I5" s="56"/>
      <c r="J5" s="56"/>
      <c r="K5" s="56"/>
      <c r="M5" s="55"/>
      <c r="N5" s="56"/>
      <c r="O5" s="56"/>
      <c r="P5" s="56"/>
      <c r="Q5" s="56"/>
      <c r="R5" s="56"/>
      <c r="S5" s="56"/>
      <c r="T5" s="56"/>
    </row>
    <row r="6" spans="1:20" s="1" customFormat="1" ht="7.5" customHeight="1" x14ac:dyDescent="0.25">
      <c r="D6" s="12"/>
      <c r="E6" s="12"/>
      <c r="F6" s="12"/>
      <c r="G6" s="12"/>
      <c r="H6" s="12"/>
      <c r="I6" s="12"/>
      <c r="K6" s="5"/>
      <c r="M6" s="12"/>
      <c r="N6" s="12"/>
      <c r="O6" s="12"/>
      <c r="P6" s="12"/>
      <c r="Q6" s="12"/>
      <c r="R6" s="12"/>
    </row>
    <row r="7" spans="1:20" s="21" customFormat="1" ht="15" customHeight="1" x14ac:dyDescent="0.25">
      <c r="A7" s="6"/>
      <c r="B7" s="6"/>
      <c r="C7" s="6"/>
      <c r="D7" s="7" t="s">
        <v>6</v>
      </c>
      <c r="E7" s="19" t="s">
        <v>7</v>
      </c>
      <c r="F7" s="19" t="s">
        <v>8</v>
      </c>
      <c r="G7" s="19" t="s">
        <v>5</v>
      </c>
      <c r="H7" s="19" t="s">
        <v>2</v>
      </c>
      <c r="I7" s="20" t="s">
        <v>10</v>
      </c>
      <c r="J7" s="20" t="s">
        <v>149</v>
      </c>
      <c r="K7" s="19" t="s">
        <v>1</v>
      </c>
      <c r="L7" s="6"/>
      <c r="M7" s="7" t="s">
        <v>6</v>
      </c>
      <c r="N7" s="19" t="s">
        <v>7</v>
      </c>
      <c r="O7" s="19" t="s">
        <v>8</v>
      </c>
      <c r="P7" s="19" t="s">
        <v>5</v>
      </c>
      <c r="Q7" s="19" t="s">
        <v>2</v>
      </c>
      <c r="R7" s="20" t="s">
        <v>10</v>
      </c>
      <c r="S7" s="20" t="s">
        <v>11</v>
      </c>
      <c r="T7" s="19" t="s">
        <v>1</v>
      </c>
    </row>
    <row r="8" spans="1:20" s="18" customFormat="1" ht="15" customHeight="1" x14ac:dyDescent="0.25">
      <c r="A8" s="5"/>
      <c r="B8" s="5"/>
      <c r="C8" s="5"/>
      <c r="D8" s="11">
        <f>VLOOKUP(D3,team_stats_americas[#All],2,FALSE)</f>
        <v>5</v>
      </c>
      <c r="E8" s="15">
        <f>VLOOKUP(D3,team_stats_americas[#All],3,FALSE)</f>
        <v>0</v>
      </c>
      <c r="F8" s="15">
        <f>VLOOKUP(D3,team_stats_americas[#All],4,FALSE)</f>
        <v>0</v>
      </c>
      <c r="G8" s="16">
        <f>VLOOKUP(D3,team_stats_americas[#All],5,FALSE)</f>
        <v>45026</v>
      </c>
      <c r="H8" s="15" t="str">
        <f>VLOOKUP(D3,team_stats_americas[#All],6,FALSE)</f>
        <v>157/125</v>
      </c>
      <c r="I8" s="17">
        <f>VLOOKUP(D3,team_stats_americas[#All],7,FALSE)</f>
        <v>32</v>
      </c>
      <c r="J8" s="30">
        <f>E16</f>
        <v>110</v>
      </c>
      <c r="K8" s="31">
        <f>G16</f>
        <v>0.78400000000000003</v>
      </c>
      <c r="L8" s="5"/>
      <c r="M8" s="11">
        <f>VLOOKUP(M3,team_stats_americas[#All],2,FALSE)</f>
        <v>2</v>
      </c>
      <c r="N8" s="15">
        <f>VLOOKUP(M3,team_stats_americas[#All],3,FALSE)</f>
        <v>4</v>
      </c>
      <c r="O8" s="15">
        <f>VLOOKUP(M3,team_stats_americas[#All],4,FALSE)</f>
        <v>0</v>
      </c>
      <c r="P8" s="16">
        <f>VLOOKUP(M3,team_stats_americas[#All],5,FALSE)</f>
        <v>45175</v>
      </c>
      <c r="Q8" s="15" t="str">
        <f>VLOOKUP(M3,team_stats_americas[#All],6,FALSE)</f>
        <v>148/170</v>
      </c>
      <c r="R8" s="17">
        <f>VLOOKUP(M3,team_stats_americas[#All],7,FALSE)</f>
        <v>-22</v>
      </c>
      <c r="S8" s="25">
        <f>N16</f>
        <v>97.8</v>
      </c>
      <c r="T8" s="31">
        <f>P16</f>
        <v>0.70399999999999996</v>
      </c>
    </row>
    <row r="9" spans="1:20" ht="15" customHeight="1" x14ac:dyDescent="0.25">
      <c r="D9" s="5"/>
      <c r="E9" s="4"/>
      <c r="F9" s="4"/>
      <c r="G9" s="4"/>
      <c r="H9" s="4"/>
      <c r="I9" s="4"/>
      <c r="M9" s="5"/>
      <c r="N9" s="4"/>
      <c r="O9" s="4"/>
      <c r="P9" s="4"/>
      <c r="Q9" s="4"/>
      <c r="R9" s="4"/>
    </row>
    <row r="10" spans="1:20" x14ac:dyDescent="0.25">
      <c r="D10" s="3" t="s">
        <v>3</v>
      </c>
      <c r="E10" t="s">
        <v>4</v>
      </c>
      <c r="F10" t="s">
        <v>0</v>
      </c>
      <c r="G10" t="s">
        <v>1</v>
      </c>
      <c r="H10" t="s">
        <v>16</v>
      </c>
      <c r="I10" t="s">
        <v>15</v>
      </c>
      <c r="J10" s="2" t="s">
        <v>37</v>
      </c>
      <c r="K10" s="18" t="s">
        <v>38</v>
      </c>
      <c r="M10" s="3" t="s">
        <v>3</v>
      </c>
      <c r="N10" t="s">
        <v>4</v>
      </c>
      <c r="O10" t="s">
        <v>0</v>
      </c>
      <c r="P10" t="s">
        <v>1</v>
      </c>
      <c r="Q10" t="s">
        <v>16</v>
      </c>
      <c r="R10" t="s">
        <v>15</v>
      </c>
      <c r="S10" s="2" t="s">
        <v>37</v>
      </c>
      <c r="T10" t="s">
        <v>38</v>
      </c>
    </row>
    <row r="11" spans="1:20" x14ac:dyDescent="0.25">
      <c r="D11" s="3" t="s">
        <v>20</v>
      </c>
      <c r="E11" s="23">
        <f>VLOOKUP(D11,player_stats[#All],5,FALSE)</f>
        <v>97</v>
      </c>
      <c r="F11" s="23">
        <f>VLOOKUP(D11,player_stats[#All],6,FALSE)</f>
        <v>1931</v>
      </c>
      <c r="G11" s="27">
        <f>VLOOKUP(D11,player_stats[#All],8,FALSE)</f>
        <v>0.74</v>
      </c>
      <c r="H11" s="27">
        <f>VLOOKUP(D11,player_stats[#All],14,FALSE)</f>
        <v>0.21</v>
      </c>
      <c r="I11" s="27">
        <f>VLOOKUP(D11,player_stats[#All],15,FALSE)</f>
        <v>0.16</v>
      </c>
      <c r="J11" s="2"/>
      <c r="K11" s="34"/>
      <c r="M11" s="3" t="s">
        <v>120</v>
      </c>
      <c r="N11" s="23">
        <f>VLOOKUP(M11,player_stats[#All],5,FALSE)</f>
        <v>105</v>
      </c>
      <c r="O11" s="23">
        <f>VLOOKUP(M11,player_stats[#All],6,FALSE)</f>
        <v>2353</v>
      </c>
      <c r="P11" s="27">
        <f>VLOOKUP(M11,player_stats[#All],8,FALSE)</f>
        <v>0.72</v>
      </c>
      <c r="Q11" s="27">
        <f>VLOOKUP(M11,player_stats[#All],14,FALSE)</f>
        <v>0.23</v>
      </c>
      <c r="R11" s="27">
        <f>VLOOKUP(M11,player_stats[#All],15,FALSE)</f>
        <v>0.22</v>
      </c>
      <c r="S11" s="2"/>
      <c r="T11"/>
    </row>
    <row r="12" spans="1:20" x14ac:dyDescent="0.25">
      <c r="D12" s="3" t="s">
        <v>21</v>
      </c>
      <c r="E12" s="23">
        <f>VLOOKUP(D12,player_stats[#All],5,FALSE)</f>
        <v>102</v>
      </c>
      <c r="F12" s="23">
        <f>VLOOKUP(D12,player_stats[#All],6,FALSE)</f>
        <v>1701</v>
      </c>
      <c r="G12" s="27">
        <f>VLOOKUP(D12,player_stats[#All],8,FALSE)</f>
        <v>0.82</v>
      </c>
      <c r="H12" s="27">
        <f>VLOOKUP(D12,player_stats[#All],14,FALSE)</f>
        <v>0.25</v>
      </c>
      <c r="I12" s="27">
        <f>VLOOKUP(D12,player_stats[#All],15,FALSE)</f>
        <v>0.2</v>
      </c>
      <c r="J12" s="2"/>
      <c r="K12" s="34"/>
      <c r="M12" s="3" t="s">
        <v>116</v>
      </c>
      <c r="N12" s="23">
        <f>VLOOKUP(M12,player_stats[#All],5,FALSE)</f>
        <v>113</v>
      </c>
      <c r="O12" s="23">
        <f>VLOOKUP(M12,player_stats[#All],6,FALSE)</f>
        <v>2266</v>
      </c>
      <c r="P12" s="27">
        <f>VLOOKUP(M12,player_stats[#All],8,FALSE)</f>
        <v>0.7</v>
      </c>
      <c r="Q12" s="27">
        <f>VLOOKUP(M12,player_stats[#All],14,FALSE)</f>
        <v>0.31</v>
      </c>
      <c r="R12" s="27">
        <f>VLOOKUP(M12,player_stats[#All],15,FALSE)</f>
        <v>0.21</v>
      </c>
      <c r="S12" s="2"/>
      <c r="T12"/>
    </row>
    <row r="13" spans="1:20" x14ac:dyDescent="0.25">
      <c r="D13" s="3" t="s">
        <v>22</v>
      </c>
      <c r="E13" s="23">
        <f>VLOOKUP(D13,player_stats[#All],5,FALSE)</f>
        <v>109</v>
      </c>
      <c r="F13" s="23">
        <f>VLOOKUP(D13,player_stats[#All],6,FALSE)</f>
        <v>2102</v>
      </c>
      <c r="G13" s="27">
        <f>VLOOKUP(D13,player_stats[#All],8,FALSE)</f>
        <v>0.8</v>
      </c>
      <c r="H13" s="27">
        <f>VLOOKUP(D13,player_stats[#All],14,FALSE)</f>
        <v>0.21</v>
      </c>
      <c r="I13" s="27">
        <f>VLOOKUP(D13,player_stats[#All],15,FALSE)</f>
        <v>0.26</v>
      </c>
      <c r="J13" s="2"/>
      <c r="K13" s="34"/>
      <c r="M13" s="3" t="s">
        <v>117</v>
      </c>
      <c r="N13" s="23">
        <f>VLOOKUP(M13,player_stats[#All],5,FALSE)</f>
        <v>99</v>
      </c>
      <c r="O13" s="23">
        <f>VLOOKUP(M13,player_stats[#All],6,FALSE)</f>
        <v>2061</v>
      </c>
      <c r="P13" s="27">
        <f>VLOOKUP(M13,player_stats[#All],8,FALSE)</f>
        <v>0.71</v>
      </c>
      <c r="Q13" s="27">
        <f>VLOOKUP(M13,player_stats[#All],14,FALSE)</f>
        <v>0.32</v>
      </c>
      <c r="R13" s="27">
        <f>VLOOKUP(M13,player_stats[#All],15,FALSE)</f>
        <v>0.15</v>
      </c>
      <c r="S13" s="2"/>
      <c r="T13"/>
    </row>
    <row r="14" spans="1:20" x14ac:dyDescent="0.25">
      <c r="D14" s="3" t="s">
        <v>23</v>
      </c>
      <c r="E14" s="23">
        <f>VLOOKUP(D14,player_stats[#All],5,FALSE)</f>
        <v>113</v>
      </c>
      <c r="F14" s="23">
        <f>VLOOKUP(D14,player_stats[#All],6,FALSE)</f>
        <v>2306</v>
      </c>
      <c r="G14" s="27">
        <f>VLOOKUP(D14,player_stats[#All],8,FALSE)</f>
        <v>0.76</v>
      </c>
      <c r="H14" s="27">
        <f>VLOOKUP(D14,player_stats[#All],14,FALSE)</f>
        <v>0.24</v>
      </c>
      <c r="I14" s="27">
        <f>VLOOKUP(D14,player_stats[#All],15,FALSE)</f>
        <v>0.14000000000000001</v>
      </c>
      <c r="J14" s="2"/>
      <c r="K14" s="34"/>
      <c r="M14" s="3" t="s">
        <v>118</v>
      </c>
      <c r="N14" s="23">
        <f>VLOOKUP(M14,player_stats[#All],5,FALSE)</f>
        <v>93</v>
      </c>
      <c r="O14" s="23">
        <f>VLOOKUP(M14,player_stats[#All],6,FALSE)</f>
        <v>1793</v>
      </c>
      <c r="P14" s="27">
        <f>VLOOKUP(M14,player_stats[#All],8,FALSE)</f>
        <v>0.7</v>
      </c>
      <c r="Q14" s="27">
        <f>VLOOKUP(M14,player_stats[#All],14,FALSE)</f>
        <v>0.23</v>
      </c>
      <c r="R14" s="27">
        <f>VLOOKUP(M14,player_stats[#All],15,FALSE)</f>
        <v>0.12</v>
      </c>
      <c r="S14" s="2"/>
      <c r="T14"/>
    </row>
    <row r="15" spans="1:20" ht="15.75" thickBot="1" x14ac:dyDescent="0.3">
      <c r="D15" s="3" t="s">
        <v>24</v>
      </c>
      <c r="E15" s="23">
        <f>VLOOKUP(D15,player_stats[#All],5,FALSE)</f>
        <v>129</v>
      </c>
      <c r="F15" s="23">
        <f>VLOOKUP(D15,player_stats[#All],6,FALSE)</f>
        <v>2617</v>
      </c>
      <c r="G15" s="27">
        <f>VLOOKUP(D15,player_stats[#All],8,FALSE)</f>
        <v>0.8</v>
      </c>
      <c r="H15" s="27">
        <f>VLOOKUP(D15,player_stats[#All],14,FALSE)</f>
        <v>0.25</v>
      </c>
      <c r="I15" s="27">
        <f>VLOOKUP(D15,player_stats[#All],15,FALSE)</f>
        <v>0.22</v>
      </c>
      <c r="J15" s="2"/>
      <c r="K15" s="34"/>
      <c r="M15" s="3" t="s">
        <v>119</v>
      </c>
      <c r="N15" s="23">
        <f>VLOOKUP(M15,player_stats[#All],5,FALSE)</f>
        <v>79</v>
      </c>
      <c r="O15" s="23">
        <f>VLOOKUP(M15,player_stats[#All],6,FALSE)</f>
        <v>1542</v>
      </c>
      <c r="P15" s="27">
        <f>VLOOKUP(M15,player_stats[#All],8,FALSE)</f>
        <v>0.69</v>
      </c>
      <c r="Q15" s="27">
        <f>VLOOKUP(M15,player_stats[#All],14,FALSE)</f>
        <v>0.23</v>
      </c>
      <c r="R15" s="27">
        <f>VLOOKUP(M15,player_stats[#All],15,FALSE)</f>
        <v>0.21</v>
      </c>
      <c r="S15" s="2"/>
      <c r="T15"/>
    </row>
    <row r="16" spans="1:20" x14ac:dyDescent="0.25">
      <c r="D16" s="10" t="s">
        <v>17</v>
      </c>
      <c r="E16" s="26">
        <f>AVERAGE(playersLOUD[Rating])</f>
        <v>110</v>
      </c>
      <c r="F16" s="13">
        <f>AVERAGE(playersLOUD[ACS])</f>
        <v>2131.4</v>
      </c>
      <c r="G16" s="28">
        <f>AVERAGE(playersLOUD[KAST])</f>
        <v>0.78400000000000003</v>
      </c>
      <c r="H16" s="28">
        <f>AVERAGE(playersLOUD[HS%])</f>
        <v>0.23199999999999998</v>
      </c>
      <c r="I16" s="28">
        <f>AVERAGE(playersLOUD[CL%])</f>
        <v>0.19600000000000001</v>
      </c>
      <c r="J16" s="10"/>
      <c r="K16" s="32"/>
      <c r="M16" s="10" t="s">
        <v>17</v>
      </c>
      <c r="N16" s="24">
        <f>AVERAGE(playersSEN[Rating])</f>
        <v>97.8</v>
      </c>
      <c r="O16" s="13">
        <f>AVERAGE(playersSEN[ACS])</f>
        <v>2003</v>
      </c>
      <c r="P16" s="28">
        <f>AVERAGE(playersSEN[KAST])</f>
        <v>0.70399999999999996</v>
      </c>
      <c r="Q16" s="28">
        <f>AVERAGE(playersSEN[HS%])</f>
        <v>0.26400000000000001</v>
      </c>
      <c r="R16" s="28">
        <f>AVERAGE(playersSEN[CL%])</f>
        <v>0.182</v>
      </c>
      <c r="S16" s="10"/>
      <c r="T16" s="10"/>
    </row>
    <row r="17" spans="4:20" s="1" customFormat="1" x14ac:dyDescent="0.25">
      <c r="K17" s="5"/>
    </row>
    <row r="18" spans="4:20" s="1" customFormat="1" x14ac:dyDescent="0.25">
      <c r="K18" s="5"/>
    </row>
    <row r="19" spans="4:20" s="1" customFormat="1" x14ac:dyDescent="0.25">
      <c r="K19" s="5"/>
    </row>
    <row r="20" spans="4:20" s="1" customFormat="1" ht="23.25" customHeight="1" x14ac:dyDescent="0.25">
      <c r="D20" s="55" t="s">
        <v>51</v>
      </c>
      <c r="E20" s="56"/>
      <c r="F20" s="56"/>
      <c r="G20" s="56"/>
      <c r="H20" s="56"/>
      <c r="I20" s="56"/>
      <c r="J20" s="56"/>
      <c r="K20" s="56"/>
      <c r="M20" s="55" t="s">
        <v>56</v>
      </c>
      <c r="N20" s="56"/>
      <c r="O20" s="56"/>
      <c r="P20" s="56"/>
      <c r="Q20" s="56"/>
      <c r="R20" s="56"/>
      <c r="S20" s="56"/>
      <c r="T20" s="56"/>
    </row>
    <row r="21" spans="4:20" s="1" customFormat="1" x14ac:dyDescent="0.25">
      <c r="D21" s="55"/>
      <c r="E21" s="56"/>
      <c r="F21" s="56"/>
      <c r="G21" s="56"/>
      <c r="H21" s="56"/>
      <c r="I21" s="56"/>
      <c r="J21" s="56"/>
      <c r="K21" s="56"/>
      <c r="M21" s="55"/>
      <c r="N21" s="56"/>
      <c r="O21" s="56"/>
      <c r="P21" s="56"/>
      <c r="Q21" s="56"/>
      <c r="R21" s="56"/>
      <c r="S21" s="56"/>
      <c r="T21" s="56"/>
    </row>
    <row r="22" spans="4:20" s="1" customFormat="1" x14ac:dyDescent="0.25">
      <c r="D22" s="55"/>
      <c r="E22" s="56"/>
      <c r="F22" s="56"/>
      <c r="G22" s="56"/>
      <c r="H22" s="56"/>
      <c r="I22" s="56"/>
      <c r="J22" s="56"/>
      <c r="K22" s="56"/>
      <c r="M22" s="55"/>
      <c r="N22" s="56"/>
      <c r="O22" s="56"/>
      <c r="P22" s="56"/>
      <c r="Q22" s="56"/>
      <c r="R22" s="56"/>
      <c r="S22" s="56"/>
      <c r="T22" s="56"/>
    </row>
    <row r="23" spans="4:20" s="1" customFormat="1" ht="23.25" x14ac:dyDescent="0.25">
      <c r="D23" s="12"/>
      <c r="E23" s="12"/>
      <c r="F23" s="12"/>
      <c r="G23" s="12"/>
      <c r="H23" s="12"/>
      <c r="I23" s="12"/>
      <c r="K23" s="5"/>
      <c r="M23" s="12"/>
      <c r="N23" s="12"/>
      <c r="O23" s="12"/>
      <c r="P23" s="12"/>
      <c r="Q23" s="12"/>
      <c r="R23" s="12"/>
    </row>
    <row r="24" spans="4:20" s="1" customFormat="1" x14ac:dyDescent="0.25">
      <c r="D24" s="7" t="s">
        <v>6</v>
      </c>
      <c r="E24" s="8" t="s">
        <v>7</v>
      </c>
      <c r="F24" s="8" t="s">
        <v>8</v>
      </c>
      <c r="G24" s="8" t="s">
        <v>5</v>
      </c>
      <c r="H24" s="8" t="s">
        <v>2</v>
      </c>
      <c r="I24" s="9" t="s">
        <v>10</v>
      </c>
      <c r="J24" s="9" t="s">
        <v>11</v>
      </c>
      <c r="K24" s="19" t="s">
        <v>1</v>
      </c>
      <c r="M24" s="7" t="s">
        <v>6</v>
      </c>
      <c r="N24" s="8" t="s">
        <v>7</v>
      </c>
      <c r="O24" s="8" t="s">
        <v>8</v>
      </c>
      <c r="P24" s="8" t="s">
        <v>5</v>
      </c>
      <c r="Q24" s="8" t="s">
        <v>2</v>
      </c>
      <c r="R24" s="9" t="s">
        <v>10</v>
      </c>
      <c r="S24" s="9" t="s">
        <v>11</v>
      </c>
      <c r="T24" s="8" t="s">
        <v>1</v>
      </c>
    </row>
    <row r="25" spans="4:20" s="1" customFormat="1" x14ac:dyDescent="0.25">
      <c r="D25" s="11">
        <f>VLOOKUP(D20,team_stats_americas[#All],2,FALSE)</f>
        <v>3</v>
      </c>
      <c r="E25" s="15">
        <f>VLOOKUP(D20,team_stats_americas[#All],3,FALSE)</f>
        <v>3</v>
      </c>
      <c r="F25" s="15">
        <f>VLOOKUP(D20,team_stats_americas[#All],4,FALSE)</f>
        <v>0</v>
      </c>
      <c r="G25" s="16">
        <f>VLOOKUP(D20,team_stats_americas[#All],5,FALSE)</f>
        <v>45116</v>
      </c>
      <c r="H25" s="15" t="str">
        <f>VLOOKUP(D20,team_stats_americas[#All],6,FALSE)</f>
        <v>188/163</v>
      </c>
      <c r="I25" s="17">
        <f>VLOOKUP(D20,team_stats_americas[#All],7,FALSE)</f>
        <v>25</v>
      </c>
      <c r="J25" s="25">
        <f>E33</f>
        <v>108.8</v>
      </c>
      <c r="K25" s="33">
        <f>G33</f>
        <v>0.74399999999999999</v>
      </c>
      <c r="M25" s="11">
        <f>VLOOKUP(M20,team_stats_americas[#All],2,FALSE)</f>
        <v>2</v>
      </c>
      <c r="N25" s="15">
        <f>VLOOKUP(M20,team_stats_americas[#All],3,FALSE)</f>
        <v>4</v>
      </c>
      <c r="O25" s="15">
        <f>VLOOKUP(M20,team_stats_americas[#All],4,FALSE)</f>
        <v>0</v>
      </c>
      <c r="P25" s="16">
        <f>VLOOKUP(M20,team_stats_americas[#All],5,FALSE)</f>
        <v>45204</v>
      </c>
      <c r="Q25" s="15" t="str">
        <f>VLOOKUP(M20,team_stats_americas[#All],6,FALSE)</f>
        <v>144/191</v>
      </c>
      <c r="R25" s="17">
        <f>VLOOKUP(M20,team_stats_americas[#All],7,FALSE)</f>
        <v>-47</v>
      </c>
      <c r="S25" s="25">
        <f>N33</f>
        <v>92.8</v>
      </c>
      <c r="T25" s="33">
        <f>P33</f>
        <v>0.69600000000000006</v>
      </c>
    </row>
    <row r="26" spans="4:20" s="1" customFormat="1" x14ac:dyDescent="0.25">
      <c r="D26" s="5"/>
      <c r="E26" s="4"/>
      <c r="F26" s="4"/>
      <c r="G26" s="4"/>
      <c r="H26" s="4"/>
      <c r="I26" s="4"/>
      <c r="K26" s="5"/>
      <c r="M26" s="5"/>
      <c r="N26" s="4"/>
      <c r="O26" s="4"/>
      <c r="P26" s="4"/>
      <c r="Q26" s="4"/>
      <c r="R26" s="4"/>
    </row>
    <row r="27" spans="4:20" s="1" customFormat="1" x14ac:dyDescent="0.25">
      <c r="D27" s="3" t="s">
        <v>3</v>
      </c>
      <c r="E27" t="s">
        <v>4</v>
      </c>
      <c r="F27" t="s">
        <v>0</v>
      </c>
      <c r="G27" t="s">
        <v>1</v>
      </c>
      <c r="H27" t="s">
        <v>16</v>
      </c>
      <c r="I27" t="s">
        <v>15</v>
      </c>
      <c r="J27" s="2" t="s">
        <v>37</v>
      </c>
      <c r="K27" s="18" t="s">
        <v>38</v>
      </c>
      <c r="M27" s="3" t="s">
        <v>3</v>
      </c>
      <c r="N27" t="s">
        <v>4</v>
      </c>
      <c r="O27" t="s">
        <v>0</v>
      </c>
      <c r="P27" t="s">
        <v>1</v>
      </c>
      <c r="Q27" t="s">
        <v>16</v>
      </c>
      <c r="R27" t="s">
        <v>15</v>
      </c>
      <c r="S27" s="2" t="s">
        <v>37</v>
      </c>
      <c r="T27" t="s">
        <v>38</v>
      </c>
    </row>
    <row r="28" spans="4:20" s="1" customFormat="1" x14ac:dyDescent="0.25">
      <c r="D28" s="3" t="s">
        <v>91</v>
      </c>
      <c r="E28" s="23">
        <f>VLOOKUP(D28,player_stats[#All],5,FALSE)</f>
        <v>114</v>
      </c>
      <c r="F28" s="23">
        <f>VLOOKUP(D28,player_stats[#All],6,FALSE)</f>
        <v>1908</v>
      </c>
      <c r="G28" s="27">
        <f>VLOOKUP(D28,player_stats[#All],8,FALSE)</f>
        <v>0.78</v>
      </c>
      <c r="H28" s="27">
        <f>VLOOKUP(D28,player_stats[#All],14,FALSE)</f>
        <v>0.2</v>
      </c>
      <c r="I28" s="27">
        <f>VLOOKUP(D28,player_stats[#All],15,FALSE)</f>
        <v>0.1</v>
      </c>
      <c r="J28" s="2"/>
      <c r="K28" s="18"/>
      <c r="M28" s="3" t="s">
        <v>97</v>
      </c>
      <c r="N28" s="23">
        <f>VLOOKUP(M28,player_stats[#All],5,FALSE)</f>
        <v>87</v>
      </c>
      <c r="O28" s="23">
        <f>VLOOKUP(M28,player_stats[#All],6,FALSE)</f>
        <v>1839</v>
      </c>
      <c r="P28" s="27">
        <f>VLOOKUP(M28,player_stats[#All],8,FALSE)</f>
        <v>0.7</v>
      </c>
      <c r="Q28" s="27">
        <f>VLOOKUP(M28,player_stats[#All],14,FALSE)</f>
        <v>0.28000000000000003</v>
      </c>
      <c r="R28" s="27">
        <f>VLOOKUP(M28,player_stats[#All],15,FALSE)</f>
        <v>0.09</v>
      </c>
      <c r="S28" s="2"/>
      <c r="T28"/>
    </row>
    <row r="29" spans="4:20" s="1" customFormat="1" x14ac:dyDescent="0.25">
      <c r="D29" s="3" t="s">
        <v>92</v>
      </c>
      <c r="E29" s="23">
        <f>VLOOKUP(D29,player_stats[#All],5,FALSE)</f>
        <v>101</v>
      </c>
      <c r="F29" s="23">
        <f>VLOOKUP(D29,player_stats[#All],6,FALSE)</f>
        <v>1967</v>
      </c>
      <c r="G29" s="27">
        <f>VLOOKUP(D29,player_stats[#All],8,FALSE)</f>
        <v>0.7</v>
      </c>
      <c r="H29" s="27">
        <f>VLOOKUP(D29,player_stats[#All],14,FALSE)</f>
        <v>0.19</v>
      </c>
      <c r="I29" s="27">
        <f>VLOOKUP(D29,player_stats[#All],15,FALSE)</f>
        <v>0.08</v>
      </c>
      <c r="J29" s="2"/>
      <c r="K29" s="18"/>
      <c r="M29" s="3" t="s">
        <v>98</v>
      </c>
      <c r="N29" s="23">
        <f>VLOOKUP(M29,player_stats[#All],5,FALSE)</f>
        <v>88</v>
      </c>
      <c r="O29" s="23">
        <f>VLOOKUP(M29,player_stats[#All],6,FALSE)</f>
        <v>1813</v>
      </c>
      <c r="P29" s="27">
        <f>VLOOKUP(M29,player_stats[#All],8,FALSE)</f>
        <v>0.65</v>
      </c>
      <c r="Q29" s="27">
        <f>VLOOKUP(M29,player_stats[#All],14,FALSE)</f>
        <v>0.23</v>
      </c>
      <c r="R29" s="27">
        <f>VLOOKUP(M29,player_stats[#All],15,FALSE)</f>
        <v>0.11</v>
      </c>
      <c r="S29" s="2"/>
      <c r="T29"/>
    </row>
    <row r="30" spans="4:20" s="1" customFormat="1" x14ac:dyDescent="0.25">
      <c r="D30" s="3" t="s">
        <v>93</v>
      </c>
      <c r="E30" s="23">
        <f>VLOOKUP(D30,player_stats[#All],5,FALSE)</f>
        <v>108</v>
      </c>
      <c r="F30" s="23">
        <f>VLOOKUP(D30,player_stats[#All],6,FALSE)</f>
        <v>2136</v>
      </c>
      <c r="G30" s="27">
        <f>VLOOKUP(D30,player_stats[#All],8,FALSE)</f>
        <v>0.74</v>
      </c>
      <c r="H30" s="27">
        <f>VLOOKUP(D30,player_stats[#All],14,FALSE)</f>
        <v>0.25</v>
      </c>
      <c r="I30" s="27">
        <f>VLOOKUP(D30,player_stats[#All],15,FALSE)</f>
        <v>7.0000000000000007E-2</v>
      </c>
      <c r="J30" s="2"/>
      <c r="K30" s="18"/>
      <c r="M30" s="3" t="s">
        <v>99</v>
      </c>
      <c r="N30" s="23">
        <f>VLOOKUP(M30,player_stats[#All],5,FALSE)</f>
        <v>94</v>
      </c>
      <c r="O30" s="23">
        <f>VLOOKUP(M30,player_stats[#All],6,FALSE)</f>
        <v>1775</v>
      </c>
      <c r="P30" s="27">
        <f>VLOOKUP(M30,player_stats[#All],8,FALSE)</f>
        <v>0.73</v>
      </c>
      <c r="Q30" s="27">
        <f>VLOOKUP(M30,player_stats[#All],14,FALSE)</f>
        <v>0.22</v>
      </c>
      <c r="R30" s="27">
        <f>VLOOKUP(M30,player_stats[#All],15,FALSE)</f>
        <v>0.12</v>
      </c>
      <c r="S30" s="2"/>
      <c r="T30"/>
    </row>
    <row r="31" spans="4:20" s="1" customFormat="1" x14ac:dyDescent="0.25">
      <c r="D31" s="3" t="s">
        <v>94</v>
      </c>
      <c r="E31" s="23">
        <f>VLOOKUP(D31,player_stats[#All],5,FALSE)</f>
        <v>119</v>
      </c>
      <c r="F31" s="23">
        <f>VLOOKUP(D31,player_stats[#All],6,FALSE)</f>
        <v>2164</v>
      </c>
      <c r="G31" s="27">
        <f>VLOOKUP(D31,player_stats[#All],8,FALSE)</f>
        <v>0.78</v>
      </c>
      <c r="H31" s="27">
        <f>VLOOKUP(D31,player_stats[#All],14,FALSE)</f>
        <v>0.28000000000000003</v>
      </c>
      <c r="I31" s="27">
        <f>VLOOKUP(D31,player_stats[#All],15,FALSE)</f>
        <v>0.23</v>
      </c>
      <c r="J31" s="2"/>
      <c r="K31" s="18"/>
      <c r="M31" s="3" t="s">
        <v>100</v>
      </c>
      <c r="N31" s="23">
        <f>VLOOKUP(M31,player_stats[#All],5,FALSE)</f>
        <v>97</v>
      </c>
      <c r="O31" s="23">
        <f>VLOOKUP(M31,player_stats[#All],6,FALSE)</f>
        <v>2131</v>
      </c>
      <c r="P31" s="27">
        <f>VLOOKUP(M31,player_stats[#All],8,FALSE)</f>
        <v>0.66</v>
      </c>
      <c r="Q31" s="27">
        <f>VLOOKUP(M31,player_stats[#All],14,FALSE)</f>
        <v>0.26</v>
      </c>
      <c r="R31" s="27">
        <f>VLOOKUP(M31,player_stats[#All],15,FALSE)</f>
        <v>7.0000000000000007E-2</v>
      </c>
      <c r="S31" s="2"/>
      <c r="T31"/>
    </row>
    <row r="32" spans="4:20" s="1" customFormat="1" ht="15.75" thickBot="1" x14ac:dyDescent="0.3">
      <c r="D32" s="3" t="s">
        <v>95</v>
      </c>
      <c r="E32" s="23">
        <f>VLOOKUP(D32,player_stats[#All],5,FALSE)</f>
        <v>102</v>
      </c>
      <c r="F32" s="23">
        <f>VLOOKUP(D32,player_stats[#All],6,FALSE)</f>
        <v>1891</v>
      </c>
      <c r="G32" s="27">
        <f>VLOOKUP(D32,player_stats[#All],8,FALSE)</f>
        <v>0.72</v>
      </c>
      <c r="H32" s="27">
        <f>VLOOKUP(D32,player_stats[#All],14,FALSE)</f>
        <v>0.2</v>
      </c>
      <c r="I32" s="27">
        <f>VLOOKUP(D32,player_stats[#All],15,FALSE)</f>
        <v>0.09</v>
      </c>
      <c r="J32" s="2"/>
      <c r="K32" s="18"/>
      <c r="M32" s="3" t="s">
        <v>101</v>
      </c>
      <c r="N32" s="23">
        <f>VLOOKUP(M32,player_stats[#All],5,FALSE)</f>
        <v>98</v>
      </c>
      <c r="O32" s="23">
        <f>VLOOKUP(M32,player_stats[#All],6,FALSE)</f>
        <v>1953</v>
      </c>
      <c r="P32" s="27">
        <f>VLOOKUP(M32,player_stats[#All],8,FALSE)</f>
        <v>0.74</v>
      </c>
      <c r="Q32" s="27">
        <f>VLOOKUP(M32,player_stats[#All],14,FALSE)</f>
        <v>0.28000000000000003</v>
      </c>
      <c r="R32" s="27">
        <f>VLOOKUP(M32,player_stats[#All],15,FALSE)</f>
        <v>0.11</v>
      </c>
      <c r="S32" s="2"/>
      <c r="T32"/>
    </row>
    <row r="33" spans="4:20" s="1" customFormat="1" x14ac:dyDescent="0.25">
      <c r="D33" s="10" t="s">
        <v>17</v>
      </c>
      <c r="E33" s="13">
        <f>AVERAGE(playersLEV[Rating])</f>
        <v>108.8</v>
      </c>
      <c r="F33" s="13">
        <f>AVERAGE(playersLEV[ACS])</f>
        <v>2013.2</v>
      </c>
      <c r="G33" s="28">
        <f>AVERAGE(playersLEV[KAST])</f>
        <v>0.74399999999999999</v>
      </c>
      <c r="H33" s="28">
        <f>AVERAGE(playersLEV[HS%])</f>
        <v>0.22400000000000003</v>
      </c>
      <c r="I33" s="28">
        <f>AVERAGE(playersLEV[CL%])</f>
        <v>0.11399999999999999</v>
      </c>
      <c r="J33" s="10"/>
      <c r="K33" s="32"/>
      <c r="M33" s="10" t="s">
        <v>17</v>
      </c>
      <c r="N33" s="13">
        <f>AVERAGE(playersMIBR[Rating])</f>
        <v>92.8</v>
      </c>
      <c r="O33" s="13">
        <f>AVERAGE(playersMIBR[ACS])</f>
        <v>1902.2</v>
      </c>
      <c r="P33" s="28">
        <f>AVERAGE(playersMIBR[KAST])</f>
        <v>0.69600000000000006</v>
      </c>
      <c r="Q33" s="28">
        <f>AVERAGE(playersMIBR[HS%])</f>
        <v>0.254</v>
      </c>
      <c r="R33" s="28">
        <f>AVERAGE(playersMIBR[CL%])</f>
        <v>0.1</v>
      </c>
      <c r="S33" s="10"/>
      <c r="T33" s="10"/>
    </row>
    <row r="34" spans="4:20" s="1" customFormat="1" x14ac:dyDescent="0.25">
      <c r="K34" s="5"/>
    </row>
    <row r="35" spans="4:20" s="1" customFormat="1" x14ac:dyDescent="0.25">
      <c r="K35" s="5"/>
    </row>
    <row r="36" spans="4:20" s="1" customFormat="1" x14ac:dyDescent="0.25">
      <c r="K36" s="5"/>
    </row>
    <row r="37" spans="4:20" s="1" customFormat="1" ht="23.25" customHeight="1" x14ac:dyDescent="0.25">
      <c r="D37" s="55" t="s">
        <v>52</v>
      </c>
      <c r="E37" s="56"/>
      <c r="F37" s="56"/>
      <c r="G37" s="56"/>
      <c r="H37" s="56"/>
      <c r="I37" s="56"/>
      <c r="J37" s="56"/>
      <c r="K37" s="56"/>
      <c r="M37" s="55" t="s">
        <v>57</v>
      </c>
      <c r="N37" s="56"/>
      <c r="O37" s="56"/>
      <c r="P37" s="56"/>
      <c r="Q37" s="56"/>
      <c r="R37" s="56"/>
      <c r="S37" s="56"/>
      <c r="T37" s="56"/>
    </row>
    <row r="38" spans="4:20" s="1" customFormat="1" x14ac:dyDescent="0.25">
      <c r="D38" s="55"/>
      <c r="E38" s="56"/>
      <c r="F38" s="56"/>
      <c r="G38" s="56"/>
      <c r="H38" s="56"/>
      <c r="I38" s="56"/>
      <c r="J38" s="56"/>
      <c r="K38" s="56"/>
      <c r="M38" s="55"/>
      <c r="N38" s="56"/>
      <c r="O38" s="56"/>
      <c r="P38" s="56"/>
      <c r="Q38" s="56"/>
      <c r="R38" s="56"/>
      <c r="S38" s="56"/>
      <c r="T38" s="56"/>
    </row>
    <row r="39" spans="4:20" s="1" customFormat="1" x14ac:dyDescent="0.25">
      <c r="D39" s="55"/>
      <c r="E39" s="56"/>
      <c r="F39" s="56"/>
      <c r="G39" s="56"/>
      <c r="H39" s="56"/>
      <c r="I39" s="56"/>
      <c r="J39" s="56"/>
      <c r="K39" s="56"/>
      <c r="M39" s="55"/>
      <c r="N39" s="56"/>
      <c r="O39" s="56"/>
      <c r="P39" s="56"/>
      <c r="Q39" s="56"/>
      <c r="R39" s="56"/>
      <c r="S39" s="56"/>
      <c r="T39" s="56"/>
    </row>
    <row r="40" spans="4:20" s="1" customFormat="1" ht="23.25" x14ac:dyDescent="0.25">
      <c r="D40" s="12"/>
      <c r="E40" s="12"/>
      <c r="F40" s="12"/>
      <c r="G40" s="12"/>
      <c r="H40" s="12"/>
      <c r="I40" s="12"/>
      <c r="K40" s="5"/>
      <c r="M40" s="12"/>
      <c r="N40" s="12"/>
      <c r="O40" s="12"/>
      <c r="P40" s="12"/>
      <c r="Q40" s="12"/>
      <c r="R40" s="12"/>
    </row>
    <row r="41" spans="4:20" s="1" customFormat="1" x14ac:dyDescent="0.25">
      <c r="D41" s="7" t="s">
        <v>6</v>
      </c>
      <c r="E41" s="8" t="s">
        <v>7</v>
      </c>
      <c r="F41" s="8" t="s">
        <v>8</v>
      </c>
      <c r="G41" s="8" t="s">
        <v>5</v>
      </c>
      <c r="H41" s="8" t="s">
        <v>2</v>
      </c>
      <c r="I41" s="9" t="s">
        <v>10</v>
      </c>
      <c r="J41" s="9" t="s">
        <v>11</v>
      </c>
      <c r="K41" s="8" t="s">
        <v>1</v>
      </c>
      <c r="M41" s="7" t="s">
        <v>6</v>
      </c>
      <c r="N41" s="8" t="s">
        <v>7</v>
      </c>
      <c r="O41" s="8" t="s">
        <v>8</v>
      </c>
      <c r="P41" s="8" t="s">
        <v>5</v>
      </c>
      <c r="Q41" s="8" t="s">
        <v>2</v>
      </c>
      <c r="R41" s="9" t="s">
        <v>10</v>
      </c>
      <c r="S41" s="9" t="s">
        <v>11</v>
      </c>
      <c r="T41" s="8" t="s">
        <v>1</v>
      </c>
    </row>
    <row r="42" spans="4:20" s="1" customFormat="1" x14ac:dyDescent="0.25">
      <c r="D42" s="11">
        <f>VLOOKUP(D37,team_stats_americas[#All],2,FALSE)</f>
        <v>5</v>
      </c>
      <c r="E42" s="15">
        <f>VLOOKUP(D37,team_stats_americas[#All],3,FALSE)</f>
        <v>1</v>
      </c>
      <c r="F42" s="15">
        <f>VLOOKUP(D37,team_stats_americas[#All],4,FALSE)</f>
        <v>0</v>
      </c>
      <c r="G42" s="16">
        <f>VLOOKUP(D37,team_stats_americas[#All],5,FALSE)</f>
        <v>44996</v>
      </c>
      <c r="H42" s="15" t="str">
        <f>VLOOKUP(D37,team_stats_americas[#All],6,FALSE)</f>
        <v>167/128</v>
      </c>
      <c r="I42" s="17">
        <f>VLOOKUP(D37,team_stats_americas[#All],7,FALSE)</f>
        <v>39</v>
      </c>
      <c r="J42" s="25">
        <f>E50</f>
        <v>89.8</v>
      </c>
      <c r="K42" s="33">
        <f>G50</f>
        <v>0.75600000000000001</v>
      </c>
      <c r="M42" s="11">
        <f>VLOOKUP(M37,team_stats_americas[#All],2,FALSE)</f>
        <v>3</v>
      </c>
      <c r="N42" s="15">
        <f>VLOOKUP(M37,team_stats_americas[#All],3,FALSE)</f>
        <v>3</v>
      </c>
      <c r="O42" s="15">
        <f>VLOOKUP(M37,team_stats_americas[#All],4,FALSE)</f>
        <v>0</v>
      </c>
      <c r="P42" s="16">
        <f>VLOOKUP(M37,team_stats_americas[#All],5,FALSE)</f>
        <v>45085</v>
      </c>
      <c r="Q42" s="15" t="str">
        <f>VLOOKUP(M37,team_stats_americas[#All],6,FALSE)</f>
        <v>162/139</v>
      </c>
      <c r="R42" s="17">
        <f>VLOOKUP(M37,team_stats_americas[#All],7,FALSE)</f>
        <v>23</v>
      </c>
      <c r="S42" s="25">
        <f>N50</f>
        <v>104.8</v>
      </c>
      <c r="T42" s="33">
        <f>P50</f>
        <v>0.75800000000000001</v>
      </c>
    </row>
    <row r="43" spans="4:20" s="1" customFormat="1" x14ac:dyDescent="0.25">
      <c r="D43" s="5"/>
      <c r="E43" s="4"/>
      <c r="F43" s="4"/>
      <c r="G43" s="4"/>
      <c r="H43" s="4"/>
      <c r="I43" s="4"/>
      <c r="K43" s="5"/>
      <c r="M43" s="5"/>
      <c r="N43" s="4"/>
      <c r="O43" s="4"/>
      <c r="P43" s="4"/>
      <c r="Q43" s="4"/>
      <c r="R43" s="4"/>
    </row>
    <row r="44" spans="4:20" s="1" customFormat="1" x14ac:dyDescent="0.25">
      <c r="D44" s="3" t="s">
        <v>3</v>
      </c>
      <c r="E44" t="s">
        <v>4</v>
      </c>
      <c r="F44" t="s">
        <v>0</v>
      </c>
      <c r="G44" t="s">
        <v>1</v>
      </c>
      <c r="H44" t="s">
        <v>16</v>
      </c>
      <c r="I44" t="s">
        <v>15</v>
      </c>
      <c r="J44" s="2" t="s">
        <v>37</v>
      </c>
      <c r="K44" s="18" t="s">
        <v>38</v>
      </c>
      <c r="M44" s="3" t="s">
        <v>3</v>
      </c>
      <c r="N44" t="s">
        <v>4</v>
      </c>
      <c r="O44" t="s">
        <v>0</v>
      </c>
      <c r="P44" t="s">
        <v>1</v>
      </c>
      <c r="Q44" t="s">
        <v>16</v>
      </c>
      <c r="R44" t="s">
        <v>15</v>
      </c>
      <c r="S44" s="2" t="s">
        <v>37</v>
      </c>
      <c r="T44" t="s">
        <v>38</v>
      </c>
    </row>
    <row r="45" spans="4:20" s="1" customFormat="1" x14ac:dyDescent="0.25">
      <c r="D45" s="3" t="s">
        <v>67</v>
      </c>
      <c r="E45" s="23">
        <f>VLOOKUP(D45,player_stats[#All],5,FALSE)</f>
        <v>105</v>
      </c>
      <c r="F45" s="23">
        <f>VLOOKUP(D45,player_stats[#All],6,FALSE)</f>
        <v>1944</v>
      </c>
      <c r="G45" s="27">
        <f>VLOOKUP(D45,player_stats[#All],8,FALSE)</f>
        <v>0.72</v>
      </c>
      <c r="H45" s="27">
        <f>VLOOKUP(D45,player_stats[#All],14,FALSE)</f>
        <v>0.18</v>
      </c>
      <c r="I45" s="27">
        <f>VLOOKUP(D45,player_stats[#All],15,FALSE)</f>
        <v>0.21</v>
      </c>
      <c r="J45" s="2"/>
      <c r="K45" s="18"/>
      <c r="M45" s="3" t="s">
        <v>103</v>
      </c>
      <c r="N45" s="23">
        <f>VLOOKUP(M45,player_stats[#All],5,FALSE)</f>
        <v>109</v>
      </c>
      <c r="O45" s="23">
        <f>VLOOKUP(M45,player_stats[#All],6,FALSE)</f>
        <v>2102</v>
      </c>
      <c r="P45" s="27">
        <f>VLOOKUP(M45,player_stats[#All],8,FALSE)</f>
        <v>0.77</v>
      </c>
      <c r="Q45" s="27">
        <f>VLOOKUP(M45,player_stats[#All],14,FALSE)</f>
        <v>0.23</v>
      </c>
      <c r="R45" s="27">
        <f>VLOOKUP(M45,player_stats[#All],15,FALSE)</f>
        <v>0.24</v>
      </c>
      <c r="S45" s="2"/>
      <c r="T45"/>
    </row>
    <row r="46" spans="4:20" s="1" customFormat="1" x14ac:dyDescent="0.25">
      <c r="D46" t="s">
        <v>72</v>
      </c>
      <c r="E46" s="23">
        <f>VLOOKUP(D46,player_stats[#All],5,FALSE)</f>
        <v>108</v>
      </c>
      <c r="F46" s="23">
        <f>VLOOKUP(D46,player_stats[#All],6,FALSE)</f>
        <v>1848</v>
      </c>
      <c r="G46" s="27">
        <f>VLOOKUP(D46,player_stats[#All],8,FALSE)</f>
        <v>0.79</v>
      </c>
      <c r="H46" s="27">
        <f>VLOOKUP(D46,player_stats[#All],14,FALSE)</f>
        <v>0.24</v>
      </c>
      <c r="I46" s="27">
        <f>VLOOKUP(D46,player_stats[#All],15,FALSE)</f>
        <v>0.21</v>
      </c>
      <c r="J46" s="2"/>
      <c r="K46" s="18"/>
      <c r="M46" s="3" t="s">
        <v>104</v>
      </c>
      <c r="N46" s="23">
        <f>VLOOKUP(M46,player_stats[#All],5,FALSE)</f>
        <v>99</v>
      </c>
      <c r="O46" s="23">
        <f>VLOOKUP(M46,player_stats[#All],6,FALSE)</f>
        <v>2026</v>
      </c>
      <c r="P46" s="27">
        <f>VLOOKUP(M46,player_stats[#All],8,FALSE)</f>
        <v>0.73</v>
      </c>
      <c r="Q46" s="27">
        <f>VLOOKUP(M46,player_stats[#All],14,FALSE)</f>
        <v>0.18</v>
      </c>
      <c r="R46" s="27">
        <f>VLOOKUP(M46,player_stats[#All],15,FALSE)</f>
        <v>0</v>
      </c>
      <c r="S46" s="2"/>
      <c r="T46"/>
    </row>
    <row r="47" spans="4:20" s="1" customFormat="1" x14ac:dyDescent="0.25">
      <c r="D47" s="3" t="s">
        <v>69</v>
      </c>
      <c r="E47" s="23">
        <f>VLOOKUP(D47,player_stats[#All],5,FALSE)</f>
        <v>103</v>
      </c>
      <c r="F47" s="23">
        <f>VLOOKUP(D47,player_stats[#All],6,FALSE)</f>
        <v>1995</v>
      </c>
      <c r="G47" s="27">
        <f>VLOOKUP(D47,player_stats[#All],8,FALSE)</f>
        <v>0.74</v>
      </c>
      <c r="H47" s="27">
        <f>VLOOKUP(D47,player_stats[#All],14,FALSE)</f>
        <v>0.24</v>
      </c>
      <c r="I47" s="27">
        <f>VLOOKUP(D47,player_stats[#All],15,FALSE)</f>
        <v>0.16</v>
      </c>
      <c r="J47" s="2"/>
      <c r="K47" s="18"/>
      <c r="M47" s="3" t="s">
        <v>105</v>
      </c>
      <c r="N47" s="23">
        <f>VLOOKUP(M47,player_stats[#All],5,FALSE)</f>
        <v>112</v>
      </c>
      <c r="O47" s="23">
        <f>VLOOKUP(M47,player_stats[#All],6,FALSE)</f>
        <v>2283</v>
      </c>
      <c r="P47" s="27">
        <f>VLOOKUP(M47,player_stats[#All],8,FALSE)</f>
        <v>0.79</v>
      </c>
      <c r="Q47" s="27">
        <f>VLOOKUP(M47,player_stats[#All],14,FALSE)</f>
        <v>0.2</v>
      </c>
      <c r="R47" s="27">
        <f>VLOOKUP(M47,player_stats[#All],15,FALSE)</f>
        <v>0.25</v>
      </c>
      <c r="S47" s="2"/>
      <c r="T47"/>
    </row>
    <row r="48" spans="4:20" s="1" customFormat="1" x14ac:dyDescent="0.25">
      <c r="D48" s="3" t="s">
        <v>70</v>
      </c>
      <c r="E48" s="23">
        <f>VLOOKUP(D48,player_stats[#All],5,FALSE)</f>
        <v>122</v>
      </c>
      <c r="F48" s="23">
        <f>VLOOKUP(D48,player_stats[#All],6,FALSE)</f>
        <v>2577</v>
      </c>
      <c r="G48" s="27">
        <f>VLOOKUP(D48,player_stats[#All],8,FALSE)</f>
        <v>0.75</v>
      </c>
      <c r="H48" s="27">
        <f>VLOOKUP(D48,player_stats[#All],14,FALSE)</f>
        <v>0.21</v>
      </c>
      <c r="I48" s="27">
        <f>VLOOKUP(D48,player_stats[#All],15,FALSE)</f>
        <v>0.32</v>
      </c>
      <c r="J48" s="2"/>
      <c r="K48" s="18"/>
      <c r="M48" s="3" t="s">
        <v>106</v>
      </c>
      <c r="N48" s="23">
        <f>VLOOKUP(M48,player_stats[#All],5,FALSE)</f>
        <v>89</v>
      </c>
      <c r="O48" s="23">
        <f>VLOOKUP(M48,player_stats[#All],6,FALSE)</f>
        <v>1785</v>
      </c>
      <c r="P48" s="27">
        <f>VLOOKUP(M48,player_stats[#All],8,FALSE)</f>
        <v>0.71</v>
      </c>
      <c r="Q48" s="27">
        <f>VLOOKUP(M48,player_stats[#All],14,FALSE)</f>
        <v>0.18</v>
      </c>
      <c r="R48" s="27">
        <f>VLOOKUP(M48,player_stats[#All],15,FALSE)</f>
        <v>0.21</v>
      </c>
      <c r="S48" s="2"/>
      <c r="T48"/>
    </row>
    <row r="49" spans="4:20" s="1" customFormat="1" ht="15.75" thickBot="1" x14ac:dyDescent="0.3">
      <c r="D49" s="3" t="s">
        <v>71</v>
      </c>
      <c r="E49" s="23">
        <f>VLOOKUP(D49,player_stats[#All],5,FALSE)</f>
        <v>11</v>
      </c>
      <c r="F49" s="23">
        <f>VLOOKUP(D49,player_stats[#All],6,FALSE)</f>
        <v>2101</v>
      </c>
      <c r="G49" s="27">
        <f>VLOOKUP(D49,player_stats[#All],8,FALSE)</f>
        <v>0.78</v>
      </c>
      <c r="H49" s="27">
        <f>VLOOKUP(D49,player_stats[#All],14,FALSE)</f>
        <v>0.28000000000000003</v>
      </c>
      <c r="I49" s="27">
        <f>VLOOKUP(D49,player_stats[#All],15,FALSE)</f>
        <v>0.21</v>
      </c>
      <c r="J49" s="2"/>
      <c r="K49" s="18"/>
      <c r="M49" s="3" t="s">
        <v>107</v>
      </c>
      <c r="N49" s="23">
        <f>VLOOKUP(M49,player_stats[#All],5,FALSE)</f>
        <v>115</v>
      </c>
      <c r="O49" s="23">
        <f>VLOOKUP(M49,player_stats[#All],6,FALSE)</f>
        <v>2065</v>
      </c>
      <c r="P49" s="27">
        <f>VLOOKUP(M49,player_stats[#All],8,FALSE)</f>
        <v>0.79</v>
      </c>
      <c r="Q49" s="27">
        <f>VLOOKUP(M49,player_stats[#All],14,FALSE)</f>
        <v>0.28000000000000003</v>
      </c>
      <c r="R49" s="27">
        <f>VLOOKUP(M49,player_stats[#All],15,FALSE)</f>
        <v>0.28999999999999998</v>
      </c>
      <c r="S49" s="2"/>
      <c r="T49"/>
    </row>
    <row r="50" spans="4:20" s="1" customFormat="1" x14ac:dyDescent="0.25">
      <c r="D50" s="10" t="s">
        <v>17</v>
      </c>
      <c r="E50" s="13">
        <f>AVERAGE(playersC9[Rating])</f>
        <v>89.8</v>
      </c>
      <c r="F50" s="13">
        <f>AVERAGE(playersC9[ACS])</f>
        <v>2093</v>
      </c>
      <c r="G50" s="28">
        <f>AVERAGE(playersC9[KAST])</f>
        <v>0.75600000000000001</v>
      </c>
      <c r="H50" s="28">
        <f>AVERAGE(playersC9[HS%])</f>
        <v>0.22999999999999998</v>
      </c>
      <c r="I50" s="28">
        <f>AVERAGE(playersC9[CL%])</f>
        <v>0.22199999999999998</v>
      </c>
      <c r="J50" s="10"/>
      <c r="K50" s="32"/>
      <c r="M50" s="10" t="s">
        <v>17</v>
      </c>
      <c r="N50" s="13">
        <f>AVERAGE(playersNRG[Rating])</f>
        <v>104.8</v>
      </c>
      <c r="O50" s="13">
        <f>AVERAGE(playersNRG[ACS])</f>
        <v>2052.1999999999998</v>
      </c>
      <c r="P50" s="28">
        <f>AVERAGE(playersNRG[KAST])</f>
        <v>0.75800000000000001</v>
      </c>
      <c r="Q50" s="28">
        <f>AVERAGE(playersNRG[HS%])</f>
        <v>0.21400000000000002</v>
      </c>
      <c r="R50" s="28">
        <f>AVERAGE(playersNRG[CL%])</f>
        <v>0.19800000000000001</v>
      </c>
      <c r="S50" s="10"/>
      <c r="T50" s="10"/>
    </row>
    <row r="51" spans="4:20" s="1" customFormat="1" x14ac:dyDescent="0.25">
      <c r="K51" s="5"/>
    </row>
    <row r="52" spans="4:20" s="1" customFormat="1" x14ac:dyDescent="0.25">
      <c r="K52" s="5"/>
    </row>
    <row r="53" spans="4:20" s="1" customFormat="1" x14ac:dyDescent="0.25">
      <c r="K53" s="5"/>
    </row>
    <row r="54" spans="4:20" s="1" customFormat="1" ht="23.25" customHeight="1" x14ac:dyDescent="0.25">
      <c r="D54" s="55" t="s">
        <v>53</v>
      </c>
      <c r="E54" s="56"/>
      <c r="F54" s="56"/>
      <c r="G54" s="56"/>
      <c r="H54" s="56"/>
      <c r="I54" s="56"/>
      <c r="J54" s="56"/>
      <c r="K54" s="56"/>
      <c r="M54" s="55" t="s">
        <v>58</v>
      </c>
      <c r="N54" s="56"/>
      <c r="O54" s="56"/>
      <c r="P54" s="56"/>
      <c r="Q54" s="56"/>
      <c r="R54" s="56"/>
      <c r="S54" s="56"/>
      <c r="T54" s="56"/>
    </row>
    <row r="55" spans="4:20" s="1" customFormat="1" x14ac:dyDescent="0.25">
      <c r="D55" s="55"/>
      <c r="E55" s="56"/>
      <c r="F55" s="56"/>
      <c r="G55" s="56"/>
      <c r="H55" s="56"/>
      <c r="I55" s="56"/>
      <c r="J55" s="56"/>
      <c r="K55" s="56"/>
      <c r="M55" s="55"/>
      <c r="N55" s="56"/>
      <c r="O55" s="56"/>
      <c r="P55" s="56"/>
      <c r="Q55" s="56"/>
      <c r="R55" s="56"/>
      <c r="S55" s="56"/>
      <c r="T55" s="56"/>
    </row>
    <row r="56" spans="4:20" s="1" customFormat="1" x14ac:dyDescent="0.25">
      <c r="D56" s="55"/>
      <c r="E56" s="56"/>
      <c r="F56" s="56"/>
      <c r="G56" s="56"/>
      <c r="H56" s="56"/>
      <c r="I56" s="56"/>
      <c r="J56" s="56"/>
      <c r="K56" s="56"/>
      <c r="M56" s="55"/>
      <c r="N56" s="56"/>
      <c r="O56" s="56"/>
      <c r="P56" s="56"/>
      <c r="Q56" s="56"/>
      <c r="R56" s="56"/>
      <c r="S56" s="56"/>
      <c r="T56" s="56"/>
    </row>
    <row r="57" spans="4:20" s="1" customFormat="1" ht="23.25" x14ac:dyDescent="0.25">
      <c r="D57" s="12"/>
      <c r="E57" s="12"/>
      <c r="F57" s="12"/>
      <c r="G57" s="12"/>
      <c r="H57" s="12"/>
      <c r="I57" s="12"/>
      <c r="K57" s="5"/>
      <c r="M57" s="12"/>
      <c r="N57" s="12"/>
      <c r="O57" s="12"/>
      <c r="P57" s="12"/>
      <c r="Q57" s="12"/>
      <c r="R57" s="12"/>
    </row>
    <row r="58" spans="4:20" s="1" customFormat="1" x14ac:dyDescent="0.25">
      <c r="D58" s="7" t="s">
        <v>6</v>
      </c>
      <c r="E58" s="8" t="s">
        <v>7</v>
      </c>
      <c r="F58" s="8" t="s">
        <v>8</v>
      </c>
      <c r="G58" s="8" t="s">
        <v>5</v>
      </c>
      <c r="H58" s="8" t="s">
        <v>2</v>
      </c>
      <c r="I58" s="9" t="s">
        <v>10</v>
      </c>
      <c r="J58" s="9" t="s">
        <v>11</v>
      </c>
      <c r="K58" s="8" t="s">
        <v>1</v>
      </c>
      <c r="M58" s="7" t="s">
        <v>6</v>
      </c>
      <c r="N58" s="8" t="s">
        <v>7</v>
      </c>
      <c r="O58" s="8" t="s">
        <v>8</v>
      </c>
      <c r="P58" s="8" t="s">
        <v>5</v>
      </c>
      <c r="Q58" s="8" t="s">
        <v>2</v>
      </c>
      <c r="R58" s="9" t="s">
        <v>10</v>
      </c>
      <c r="S58" s="9" t="s">
        <v>11</v>
      </c>
      <c r="T58" s="8" t="s">
        <v>1</v>
      </c>
    </row>
    <row r="59" spans="4:20" s="1" customFormat="1" x14ac:dyDescent="0.25">
      <c r="D59" s="11">
        <f>VLOOKUP(D54,team_stats_americas[#All],2,FALSE)</f>
        <v>4</v>
      </c>
      <c r="E59" s="15">
        <f>VLOOKUP(D54,team_stats_americas[#All],3,FALSE)</f>
        <v>2</v>
      </c>
      <c r="F59" s="15">
        <f>VLOOKUP(D54,team_stats_americas[#All],4,FALSE)</f>
        <v>0</v>
      </c>
      <c r="G59" s="16">
        <f>VLOOKUP(D54,team_stats_americas[#All],5,FALSE)</f>
        <v>45085</v>
      </c>
      <c r="H59" s="15" t="str">
        <f>VLOOKUP(D54,team_stats_americas[#All],6,FALSE)</f>
        <v>154/150</v>
      </c>
      <c r="I59" s="17">
        <f>VLOOKUP(D54,team_stats_americas[#All],7,FALSE)</f>
        <v>4</v>
      </c>
      <c r="J59" s="25">
        <f>E67</f>
        <v>101</v>
      </c>
      <c r="K59" s="33">
        <f>G67</f>
        <v>0.72799999999999998</v>
      </c>
      <c r="M59" s="11">
        <f>VLOOKUP(M54,team_stats_americas[#All],2,FALSE)</f>
        <v>2</v>
      </c>
      <c r="N59" s="15">
        <f>VLOOKUP(M54,team_stats_americas[#All],3,FALSE)</f>
        <v>4</v>
      </c>
      <c r="O59" s="15">
        <f>VLOOKUP(M54,team_stats_americas[#All],4,FALSE)</f>
        <v>0</v>
      </c>
      <c r="P59" s="16">
        <f>VLOOKUP(M54,team_stats_americas[#All],5,FALSE)</f>
        <v>45205</v>
      </c>
      <c r="Q59" s="15" t="str">
        <f>VLOOKUP(M54,team_stats_americas[#All],6,FALSE)</f>
        <v>166/180</v>
      </c>
      <c r="R59" s="17">
        <f>VLOOKUP(M54,team_stats_americas[#All],7,FALSE)</f>
        <v>-14</v>
      </c>
      <c r="S59" s="25">
        <f>N67</f>
        <v>80</v>
      </c>
      <c r="T59" s="33">
        <f>P67</f>
        <v>0.71599999999999997</v>
      </c>
    </row>
    <row r="60" spans="4:20" s="1" customFormat="1" x14ac:dyDescent="0.25">
      <c r="D60" s="5"/>
      <c r="E60" s="4"/>
      <c r="F60" s="4"/>
      <c r="G60" s="4"/>
      <c r="H60" s="4"/>
      <c r="I60" s="4"/>
      <c r="K60" s="5"/>
      <c r="M60" s="5"/>
      <c r="N60" s="4"/>
      <c r="O60" s="4"/>
      <c r="P60" s="4"/>
      <c r="Q60" s="4"/>
      <c r="R60" s="4"/>
    </row>
    <row r="61" spans="4:20" s="1" customFormat="1" x14ac:dyDescent="0.25">
      <c r="D61" s="3" t="s">
        <v>3</v>
      </c>
      <c r="E61" t="s">
        <v>4</v>
      </c>
      <c r="F61" t="s">
        <v>0</v>
      </c>
      <c r="G61" t="s">
        <v>1</v>
      </c>
      <c r="H61" t="s">
        <v>16</v>
      </c>
      <c r="I61" t="s">
        <v>15</v>
      </c>
      <c r="J61" s="2" t="s">
        <v>37</v>
      </c>
      <c r="K61" s="18" t="s">
        <v>38</v>
      </c>
      <c r="M61" s="3" t="s">
        <v>3</v>
      </c>
      <c r="N61" t="s">
        <v>4</v>
      </c>
      <c r="O61" t="s">
        <v>0</v>
      </c>
      <c r="P61" t="s">
        <v>1</v>
      </c>
      <c r="Q61" t="s">
        <v>16</v>
      </c>
      <c r="R61" t="s">
        <v>15</v>
      </c>
      <c r="S61" s="2" t="s">
        <v>37</v>
      </c>
      <c r="T61" t="s">
        <v>38</v>
      </c>
    </row>
    <row r="62" spans="4:20" s="1" customFormat="1" x14ac:dyDescent="0.25">
      <c r="D62" s="3" t="s">
        <v>81</v>
      </c>
      <c r="E62" s="23">
        <f>VLOOKUP(D62,player_stats[#All],5,FALSE)</f>
        <v>113</v>
      </c>
      <c r="F62" s="23">
        <f>VLOOKUP(D62,player_stats[#All],6,FALSE)</f>
        <v>2000</v>
      </c>
      <c r="G62" s="27">
        <f>VLOOKUP(D62,player_stats[#All],8,FALSE)</f>
        <v>0.79</v>
      </c>
      <c r="H62" s="27">
        <f>VLOOKUP(D62,player_stats[#All],14,FALSE)</f>
        <v>0.28000000000000003</v>
      </c>
      <c r="I62" s="27">
        <f>VLOOKUP(D62,player_stats[#All],15,FALSE)</f>
        <v>0.11</v>
      </c>
      <c r="J62" s="2"/>
      <c r="K62" s="18"/>
      <c r="M62" s="3" t="s">
        <v>73</v>
      </c>
      <c r="N62" s="23">
        <f>VLOOKUP(M62,player_stats[#All],5,FALSE)</f>
        <v>103</v>
      </c>
      <c r="O62" s="23">
        <f>VLOOKUP(M62,player_stats[#All],6,FALSE)</f>
        <v>2148</v>
      </c>
      <c r="P62" s="27">
        <f>VLOOKUP(M62,player_stats[#All],8,FALSE)</f>
        <v>0.68</v>
      </c>
      <c r="Q62" s="27">
        <f>VLOOKUP(M62,player_stats[#All],14,FALSE)</f>
        <v>0.23</v>
      </c>
      <c r="R62" s="27">
        <f>VLOOKUP(M62,player_stats[#All],15,FALSE)</f>
        <v>0.14000000000000001</v>
      </c>
      <c r="S62" s="2"/>
      <c r="T62"/>
    </row>
    <row r="63" spans="4:20" s="1" customFormat="1" x14ac:dyDescent="0.25">
      <c r="D63" s="3" t="s">
        <v>83</v>
      </c>
      <c r="E63" s="23">
        <f>VLOOKUP(D63,player_stats[#All],5,FALSE)</f>
        <v>105</v>
      </c>
      <c r="F63" s="23">
        <f>VLOOKUP(D63,player_stats[#All],6,FALSE)</f>
        <v>2299</v>
      </c>
      <c r="G63" s="27">
        <f>VLOOKUP(D63,player_stats[#All],8,FALSE)</f>
        <v>0.71</v>
      </c>
      <c r="H63" s="27">
        <f>VLOOKUP(D63,player_stats[#All],14,FALSE)</f>
        <v>0.26</v>
      </c>
      <c r="I63" s="27">
        <f>VLOOKUP(D63,player_stats[#All],15,FALSE)</f>
        <v>0.17</v>
      </c>
      <c r="J63" s="2"/>
      <c r="K63" s="18"/>
      <c r="M63" s="3" t="s">
        <v>74</v>
      </c>
      <c r="N63" s="23">
        <f>VLOOKUP(M63,player_stats[#All],5,FALSE)</f>
        <v>94</v>
      </c>
      <c r="O63" s="23">
        <f>VLOOKUP(M63,player_stats[#All],6,FALSE)</f>
        <v>1728</v>
      </c>
      <c r="P63" s="27">
        <f>VLOOKUP(M63,player_stats[#All],8,FALSE)</f>
        <v>0.71</v>
      </c>
      <c r="Q63" s="27">
        <f>VLOOKUP(M63,player_stats[#All],14,FALSE)</f>
        <v>0.23</v>
      </c>
      <c r="R63" s="27">
        <f>VLOOKUP(M63,player_stats[#All],15,FALSE)</f>
        <v>0.16</v>
      </c>
      <c r="S63" s="2"/>
      <c r="T63"/>
    </row>
    <row r="64" spans="4:20" s="1" customFormat="1" x14ac:dyDescent="0.25">
      <c r="D64" s="3" t="s">
        <v>82</v>
      </c>
      <c r="E64" s="23">
        <f>VLOOKUP(D64,player_stats[#All],5,FALSE)</f>
        <v>97</v>
      </c>
      <c r="F64" s="23">
        <f>VLOOKUP(D64,player_stats[#All],6,FALSE)</f>
        <v>1776</v>
      </c>
      <c r="G64" s="27">
        <f>VLOOKUP(D64,player_stats[#All],8,FALSE)</f>
        <v>0.71</v>
      </c>
      <c r="H64" s="27">
        <f>VLOOKUP(D64,player_stats[#All],14,FALSE)</f>
        <v>0.28000000000000003</v>
      </c>
      <c r="I64" s="27">
        <f>VLOOKUP(D64,player_stats[#All],15,FALSE)</f>
        <v>0.26</v>
      </c>
      <c r="J64" s="2"/>
      <c r="K64" s="18"/>
      <c r="M64" s="3" t="s">
        <v>75</v>
      </c>
      <c r="N64" s="23">
        <f>VLOOKUP(M64,player_stats[#All],5,FALSE)</f>
        <v>105</v>
      </c>
      <c r="O64" s="23">
        <f>VLOOKUP(M64,player_stats[#All],6,FALSE)</f>
        <v>1867</v>
      </c>
      <c r="P64" s="27">
        <f>VLOOKUP(M64,player_stats[#All],8,FALSE)</f>
        <v>0.74</v>
      </c>
      <c r="Q64" s="27">
        <f>VLOOKUP(M64,player_stats[#All],14,FALSE)</f>
        <v>0.2</v>
      </c>
      <c r="R64" s="27">
        <f>VLOOKUP(M64,player_stats[#All],15,FALSE)</f>
        <v>0.17</v>
      </c>
      <c r="S64" s="2"/>
      <c r="T64"/>
    </row>
    <row r="65" spans="4:20" s="1" customFormat="1" x14ac:dyDescent="0.25">
      <c r="D65" s="3" t="s">
        <v>80</v>
      </c>
      <c r="E65" s="23">
        <f>VLOOKUP(D65,player_stats[#All],5,FALSE)</f>
        <v>93</v>
      </c>
      <c r="F65" s="23">
        <f>VLOOKUP(D65,player_stats[#All],6,FALSE)</f>
        <v>1804</v>
      </c>
      <c r="G65" s="27">
        <f>VLOOKUP(D65,player_stats[#All],8,FALSE)</f>
        <v>0.69</v>
      </c>
      <c r="H65" s="27">
        <f>VLOOKUP(D65,player_stats[#All],14,FALSE)</f>
        <v>0.25</v>
      </c>
      <c r="I65" s="27">
        <f>VLOOKUP(D65,player_stats[#All],15,FALSE)</f>
        <v>0.16</v>
      </c>
      <c r="J65" s="2"/>
      <c r="K65" s="18"/>
      <c r="M65" s="3" t="s">
        <v>76</v>
      </c>
      <c r="N65" s="23">
        <f>VLOOKUP(M65,player_stats[#All],5,FALSE)</f>
        <v>88</v>
      </c>
      <c r="O65" s="23">
        <f>VLOOKUP(M65,player_stats[#All],6,FALSE)</f>
        <v>1946</v>
      </c>
      <c r="P65" s="27">
        <f>VLOOKUP(M65,player_stats[#All],8,FALSE)</f>
        <v>0.71</v>
      </c>
      <c r="Q65" s="27">
        <f>VLOOKUP(M65,player_stats[#All],14,FALSE)</f>
        <v>0.19</v>
      </c>
      <c r="R65" s="27">
        <f>VLOOKUP(M65,player_stats[#All],15,FALSE)</f>
        <v>0.08</v>
      </c>
      <c r="S65" s="2"/>
      <c r="T65"/>
    </row>
    <row r="66" spans="4:20" s="1" customFormat="1" ht="15.75" thickBot="1" x14ac:dyDescent="0.3">
      <c r="D66" s="3" t="s">
        <v>79</v>
      </c>
      <c r="E66" s="23">
        <f>VLOOKUP(D66,player_stats[#All],5,FALSE)</f>
        <v>97</v>
      </c>
      <c r="F66" s="23">
        <f>VLOOKUP(D66,player_stats[#All],6,FALSE)</f>
        <v>2036</v>
      </c>
      <c r="G66" s="27">
        <f>VLOOKUP(D66,player_stats[#All],8,FALSE)</f>
        <v>0.74</v>
      </c>
      <c r="H66" s="27">
        <f>VLOOKUP(D66,player_stats[#All],14,FALSE)</f>
        <v>0.19</v>
      </c>
      <c r="I66" s="27">
        <f>VLOOKUP(D66,player_stats[#All],15,FALSE)</f>
        <v>0.03</v>
      </c>
      <c r="J66" s="2"/>
      <c r="K66" s="18"/>
      <c r="M66" s="3" t="s">
        <v>77</v>
      </c>
      <c r="N66" s="23">
        <f>VLOOKUP(M66,player_stats[#All],5,FALSE)</f>
        <v>10</v>
      </c>
      <c r="O66" s="23">
        <f>VLOOKUP(M66,player_stats[#All],6,FALSE)</f>
        <v>1968</v>
      </c>
      <c r="P66" s="27">
        <f>VLOOKUP(M66,player_stats[#All],8,FALSE)</f>
        <v>0.74</v>
      </c>
      <c r="Q66" s="27">
        <f>VLOOKUP(M66,player_stats[#All],14,FALSE)</f>
        <v>0.23</v>
      </c>
      <c r="R66" s="27">
        <f>VLOOKUP(M66,player_stats[#All],15,FALSE)</f>
        <v>0.08</v>
      </c>
      <c r="S66" s="2"/>
      <c r="T66"/>
    </row>
    <row r="67" spans="4:20" s="1" customFormat="1" x14ac:dyDescent="0.25">
      <c r="D67" s="10" t="s">
        <v>17</v>
      </c>
      <c r="E67" s="13">
        <f>AVERAGE(playersFUR[Rating])</f>
        <v>101</v>
      </c>
      <c r="F67" s="13">
        <f>AVERAGE(playersFUR[ACS])</f>
        <v>1983</v>
      </c>
      <c r="G67" s="28">
        <f>AVERAGE(playersFUR[KAST])</f>
        <v>0.72799999999999998</v>
      </c>
      <c r="H67" s="28">
        <f>AVERAGE(playersFUR[HS%])</f>
        <v>0.252</v>
      </c>
      <c r="I67" s="28">
        <f>AVERAGE(playersFUR[CL%])</f>
        <v>0.14600000000000002</v>
      </c>
      <c r="J67" s="10"/>
      <c r="K67" s="32"/>
      <c r="M67" s="10" t="s">
        <v>17</v>
      </c>
      <c r="N67" s="13">
        <f>AVERAGE(playersEG[Rating])</f>
        <v>80</v>
      </c>
      <c r="O67" s="13">
        <f>AVERAGE(playersEG[ACS])</f>
        <v>1931.4</v>
      </c>
      <c r="P67" s="28">
        <f>AVERAGE(playersEG[KAST])</f>
        <v>0.71599999999999997</v>
      </c>
      <c r="Q67" s="28">
        <f>AVERAGE(playersEG[HS%])</f>
        <v>0.21600000000000003</v>
      </c>
      <c r="R67" s="28">
        <f>AVERAGE(playersEG[CL%])</f>
        <v>0.126</v>
      </c>
      <c r="S67" s="10"/>
      <c r="T67" s="10"/>
    </row>
    <row r="68" spans="4:20" s="1" customFormat="1" x14ac:dyDescent="0.25">
      <c r="K68" s="5"/>
    </row>
    <row r="69" spans="4:20" s="1" customFormat="1" x14ac:dyDescent="0.25">
      <c r="K69" s="5"/>
    </row>
    <row r="70" spans="4:20" s="1" customFormat="1" x14ac:dyDescent="0.25">
      <c r="K70" s="5"/>
    </row>
    <row r="71" spans="4:20" s="1" customFormat="1" ht="15" customHeight="1" x14ac:dyDescent="0.25">
      <c r="D71" s="55" t="s">
        <v>54</v>
      </c>
      <c r="E71" s="56"/>
      <c r="F71" s="56"/>
      <c r="G71" s="56"/>
      <c r="H71" s="56"/>
      <c r="I71" s="56"/>
      <c r="J71" s="56"/>
      <c r="K71" s="56"/>
      <c r="M71" s="55" t="s">
        <v>59</v>
      </c>
      <c r="N71" s="56"/>
      <c r="O71" s="56"/>
      <c r="P71" s="56"/>
      <c r="Q71" s="56"/>
      <c r="R71" s="56"/>
      <c r="S71" s="56"/>
      <c r="T71" s="56"/>
    </row>
    <row r="72" spans="4:20" s="1" customFormat="1" ht="15" customHeight="1" x14ac:dyDescent="0.25">
      <c r="D72" s="55"/>
      <c r="E72" s="56"/>
      <c r="F72" s="56"/>
      <c r="G72" s="56"/>
      <c r="H72" s="56"/>
      <c r="I72" s="56"/>
      <c r="J72" s="56"/>
      <c r="K72" s="56"/>
      <c r="M72" s="55"/>
      <c r="N72" s="56"/>
      <c r="O72" s="56"/>
      <c r="P72" s="56"/>
      <c r="Q72" s="56"/>
      <c r="R72" s="56"/>
      <c r="S72" s="56"/>
      <c r="T72" s="56"/>
    </row>
    <row r="73" spans="4:20" s="1" customFormat="1" ht="15.75" customHeight="1" x14ac:dyDescent="0.25">
      <c r="D73" s="55"/>
      <c r="E73" s="56"/>
      <c r="F73" s="56"/>
      <c r="G73" s="56"/>
      <c r="H73" s="56"/>
      <c r="I73" s="56"/>
      <c r="J73" s="56"/>
      <c r="K73" s="56"/>
      <c r="M73" s="55"/>
      <c r="N73" s="56"/>
      <c r="O73" s="56"/>
      <c r="P73" s="56"/>
      <c r="Q73" s="56"/>
      <c r="R73" s="56"/>
      <c r="S73" s="56"/>
      <c r="T73" s="56"/>
    </row>
    <row r="74" spans="4:20" s="1" customFormat="1" ht="23.25" x14ac:dyDescent="0.25">
      <c r="D74" s="12"/>
      <c r="E74" s="12"/>
      <c r="F74" s="12"/>
      <c r="G74" s="12"/>
      <c r="H74" s="12"/>
      <c r="I74" s="12"/>
      <c r="K74" s="5"/>
      <c r="M74" s="12"/>
      <c r="N74" s="12"/>
      <c r="O74" s="12"/>
      <c r="P74" s="12"/>
      <c r="Q74" s="12"/>
      <c r="R74" s="12"/>
    </row>
    <row r="75" spans="4:20" s="1" customFormat="1" x14ac:dyDescent="0.25">
      <c r="D75" s="7" t="s">
        <v>6</v>
      </c>
      <c r="E75" s="8" t="s">
        <v>7</v>
      </c>
      <c r="F75" s="8" t="s">
        <v>8</v>
      </c>
      <c r="G75" s="8" t="s">
        <v>5</v>
      </c>
      <c r="H75" s="8" t="s">
        <v>2</v>
      </c>
      <c r="I75" s="9" t="s">
        <v>10</v>
      </c>
      <c r="J75" s="9" t="s">
        <v>11</v>
      </c>
      <c r="K75" s="8" t="s">
        <v>1</v>
      </c>
      <c r="M75" s="7" t="s">
        <v>6</v>
      </c>
      <c r="N75" s="8" t="s">
        <v>7</v>
      </c>
      <c r="O75" s="8" t="s">
        <v>8</v>
      </c>
      <c r="P75" s="8" t="s">
        <v>5</v>
      </c>
      <c r="Q75" s="8" t="s">
        <v>2</v>
      </c>
      <c r="R75" s="9" t="s">
        <v>10</v>
      </c>
      <c r="S75" s="9" t="s">
        <v>11</v>
      </c>
      <c r="T75" s="8" t="s">
        <v>1</v>
      </c>
    </row>
    <row r="76" spans="4:20" s="1" customFormat="1" x14ac:dyDescent="0.25">
      <c r="D76" s="11">
        <f>VLOOKUP(D71,team_stats_americas[#All],2,FALSE)</f>
        <v>3</v>
      </c>
      <c r="E76" s="15">
        <f>VLOOKUP(D71,team_stats_americas[#All],3,FALSE)</f>
        <v>3</v>
      </c>
      <c r="F76" s="15">
        <f>VLOOKUP(D71,team_stats_americas[#All],4,FALSE)</f>
        <v>0</v>
      </c>
      <c r="G76" s="16">
        <f>VLOOKUP(D71,team_stats_americas[#All],5,FALSE)</f>
        <v>45145</v>
      </c>
      <c r="H76" s="15" t="str">
        <f>VLOOKUP(D71,team_stats_americas[#All],6,FALSE)</f>
        <v>161/172</v>
      </c>
      <c r="I76" s="17">
        <f>VLOOKUP(D71,team_stats_americas[#All],7,FALSE)</f>
        <v>-11</v>
      </c>
      <c r="J76" s="25">
        <f>E84</f>
        <v>99.6</v>
      </c>
      <c r="K76" s="33">
        <f>G84</f>
        <v>0.71799999999999997</v>
      </c>
      <c r="M76" s="11">
        <f>VLOOKUP(M71,team_stats_americas[#All],2,FALSE)</f>
        <v>0</v>
      </c>
      <c r="N76" s="15">
        <f>VLOOKUP(M71,team_stats_americas[#All],3,FALSE)</f>
        <v>5</v>
      </c>
      <c r="O76" s="15">
        <f>VLOOKUP(M71,team_stats_americas[#All],4,FALSE)</f>
        <v>0</v>
      </c>
      <c r="P76" s="16">
        <f>VLOOKUP(M71,team_stats_americas[#All],5,FALSE)</f>
        <v>45202</v>
      </c>
      <c r="Q76" s="15" t="str">
        <f>VLOOKUP(M71,team_stats_americas[#All],6,FALSE)</f>
        <v>126/155</v>
      </c>
      <c r="R76" s="17">
        <f>VLOOKUP(M71,team_stats_americas[#All],7,FALSE)</f>
        <v>-29</v>
      </c>
      <c r="S76" s="25">
        <f>N84</f>
        <v>92.8</v>
      </c>
      <c r="T76" s="33">
        <f>P84</f>
        <v>0.69599999999999995</v>
      </c>
    </row>
    <row r="77" spans="4:20" s="1" customFormat="1" x14ac:dyDescent="0.25">
      <c r="D77" s="5"/>
      <c r="E77" s="4"/>
      <c r="F77" s="4"/>
      <c r="G77" s="4"/>
      <c r="H77" s="4"/>
      <c r="I77" s="4"/>
      <c r="K77" s="5"/>
      <c r="M77" s="5"/>
      <c r="N77" s="4"/>
      <c r="O77" s="4"/>
      <c r="P77" s="4"/>
      <c r="Q77" s="4"/>
      <c r="R77" s="4"/>
    </row>
    <row r="78" spans="4:20" s="1" customFormat="1" x14ac:dyDescent="0.25">
      <c r="D78" s="3" t="s">
        <v>3</v>
      </c>
      <c r="E78" t="s">
        <v>4</v>
      </c>
      <c r="F78" t="s">
        <v>0</v>
      </c>
      <c r="G78" t="s">
        <v>1</v>
      </c>
      <c r="H78" t="s">
        <v>16</v>
      </c>
      <c r="I78" t="s">
        <v>15</v>
      </c>
      <c r="J78" s="2" t="s">
        <v>37</v>
      </c>
      <c r="K78" s="18" t="s">
        <v>38</v>
      </c>
      <c r="M78" s="3" t="s">
        <v>3</v>
      </c>
      <c r="N78" t="s">
        <v>4</v>
      </c>
      <c r="O78" t="s">
        <v>0</v>
      </c>
      <c r="P78" t="s">
        <v>1</v>
      </c>
      <c r="Q78" t="s">
        <v>16</v>
      </c>
      <c r="R78" t="s">
        <v>15</v>
      </c>
      <c r="S78" s="2" t="s">
        <v>37</v>
      </c>
      <c r="T78" t="s">
        <v>38</v>
      </c>
    </row>
    <row r="79" spans="4:20" s="1" customFormat="1" x14ac:dyDescent="0.25">
      <c r="D79" s="3" t="s">
        <v>60</v>
      </c>
      <c r="E79" s="23">
        <f>VLOOKUP(D79,player_stats[#All],5,FALSE)</f>
        <v>105</v>
      </c>
      <c r="F79" s="23">
        <f>VLOOKUP(D79,player_stats[#All],6,FALSE)</f>
        <v>2125</v>
      </c>
      <c r="G79" s="27">
        <f>VLOOKUP(D79,player_stats[#All],8,FALSE)</f>
        <v>0.73</v>
      </c>
      <c r="H79" s="27">
        <f>VLOOKUP(D79,player_stats[#All],14,FALSE)</f>
        <v>0.19</v>
      </c>
      <c r="I79" s="27">
        <f>VLOOKUP(D79,player_stats[#All],15,FALSE)</f>
        <v>0.17</v>
      </c>
      <c r="J79" s="2"/>
      <c r="K79" s="18"/>
      <c r="M79" s="3" t="s">
        <v>85</v>
      </c>
      <c r="N79" s="23">
        <f>VLOOKUP(M79,player_stats[#All],5,FALSE)</f>
        <v>97</v>
      </c>
      <c r="O79" s="23">
        <f>VLOOKUP(M79,player_stats[#All],6,FALSE)</f>
        <v>1942</v>
      </c>
      <c r="P79" s="27">
        <f>VLOOKUP(M79,player_stats[#All],8,FALSE)</f>
        <v>0.71</v>
      </c>
      <c r="Q79" s="27">
        <f>VLOOKUP(M79,player_stats[#All],14,FALSE)</f>
        <v>0.19</v>
      </c>
      <c r="R79" s="27">
        <f>VLOOKUP(M79,player_stats[#All],15,FALSE)</f>
        <v>0.13</v>
      </c>
      <c r="S79" s="2"/>
      <c r="T79"/>
    </row>
    <row r="80" spans="4:20" s="1" customFormat="1" x14ac:dyDescent="0.25">
      <c r="D80" s="3" t="s">
        <v>61</v>
      </c>
      <c r="E80" s="23">
        <f>VLOOKUP(D80,player_stats[#All],5,FALSE)</f>
        <v>92</v>
      </c>
      <c r="F80" s="23">
        <f>VLOOKUP(D80,player_stats[#All],6,FALSE)</f>
        <v>1798</v>
      </c>
      <c r="G80" s="27">
        <f>VLOOKUP(D80,player_stats[#All],8,FALSE)</f>
        <v>0.7</v>
      </c>
      <c r="H80" s="27">
        <f>VLOOKUP(D80,player_stats[#All],14,FALSE)</f>
        <v>0.21</v>
      </c>
      <c r="I80" s="27">
        <f>VLOOKUP(D80,player_stats[#All],15,FALSE)</f>
        <v>0.06</v>
      </c>
      <c r="J80" s="2"/>
      <c r="K80" s="18"/>
      <c r="M80" s="3" t="s">
        <v>86</v>
      </c>
      <c r="N80" s="23">
        <f>VLOOKUP(M80,player_stats[#All],5,FALSE)</f>
        <v>98</v>
      </c>
      <c r="O80" s="23">
        <f>VLOOKUP(M80,player_stats[#All],6,FALSE)</f>
        <v>1948</v>
      </c>
      <c r="P80" s="27">
        <f>VLOOKUP(M80,player_stats[#All],8,FALSE)</f>
        <v>0.73</v>
      </c>
      <c r="Q80" s="27">
        <f>VLOOKUP(M80,player_stats[#All],14,FALSE)</f>
        <v>0.32</v>
      </c>
      <c r="R80" s="27">
        <f>VLOOKUP(M80,player_stats[#All],15,FALSE)</f>
        <v>0.11</v>
      </c>
      <c r="S80" s="2"/>
      <c r="T80"/>
    </row>
    <row r="81" spans="4:20" s="1" customFormat="1" x14ac:dyDescent="0.25">
      <c r="D81" s="3" t="s">
        <v>62</v>
      </c>
      <c r="E81" s="23">
        <f>VLOOKUP(D81,player_stats[#All],5,FALSE)</f>
        <v>98</v>
      </c>
      <c r="F81" s="23">
        <f>VLOOKUP(D81,player_stats[#All],6,FALSE)</f>
        <v>1867</v>
      </c>
      <c r="G81" s="27">
        <f>VLOOKUP(D81,player_stats[#All],8,FALSE)</f>
        <v>0.71</v>
      </c>
      <c r="H81" s="27">
        <f>VLOOKUP(D81,player_stats[#All],14,FALSE)</f>
        <v>0.31</v>
      </c>
      <c r="I81" s="27">
        <f>VLOOKUP(D81,player_stats[#All],15,FALSE)</f>
        <v>0.09</v>
      </c>
      <c r="J81" s="2"/>
      <c r="K81" s="18"/>
      <c r="M81" s="3" t="s">
        <v>87</v>
      </c>
      <c r="N81" s="23">
        <f>VLOOKUP(M81,player_stats[#All],5,FALSE)</f>
        <v>92</v>
      </c>
      <c r="O81" s="23">
        <f>VLOOKUP(M81,player_stats[#All],6,FALSE)</f>
        <v>2244</v>
      </c>
      <c r="P81" s="27">
        <f>VLOOKUP(M81,player_stats[#All],8,FALSE)</f>
        <v>0.65</v>
      </c>
      <c r="Q81" s="27">
        <f>VLOOKUP(M81,player_stats[#All],14,FALSE)</f>
        <v>0.25</v>
      </c>
      <c r="R81" s="27">
        <f>VLOOKUP(M81,player_stats[#All],15,FALSE)</f>
        <v>0.2</v>
      </c>
      <c r="S81" s="2"/>
      <c r="T81"/>
    </row>
    <row r="82" spans="4:20" s="1" customFormat="1" x14ac:dyDescent="0.25">
      <c r="D82" s="3" t="s">
        <v>63</v>
      </c>
      <c r="E82" s="23">
        <f>VLOOKUP(D82,player_stats[#All],5,FALSE)</f>
        <v>101</v>
      </c>
      <c r="F82" s="23">
        <f>VLOOKUP(D82,player_stats[#All],6,FALSE)</f>
        <v>2024</v>
      </c>
      <c r="G82" s="27">
        <f>VLOOKUP(D82,player_stats[#All],8,FALSE)</f>
        <v>0.74</v>
      </c>
      <c r="H82" s="27">
        <f>VLOOKUP(D82,player_stats[#All],14,FALSE)</f>
        <v>0.28000000000000003</v>
      </c>
      <c r="I82" s="27">
        <f>VLOOKUP(D82,player_stats[#All],15,FALSE)</f>
        <v>0.42</v>
      </c>
      <c r="J82" s="2"/>
      <c r="K82" s="18"/>
      <c r="M82" s="3" t="s">
        <v>88</v>
      </c>
      <c r="N82" s="23">
        <f>VLOOKUP(M82,player_stats[#All],5,FALSE)</f>
        <v>84</v>
      </c>
      <c r="O82" s="23">
        <f>VLOOKUP(M82,player_stats[#All],6,FALSE)</f>
        <v>1692</v>
      </c>
      <c r="P82" s="27">
        <f>VLOOKUP(M82,player_stats[#All],8,FALSE)</f>
        <v>0.69</v>
      </c>
      <c r="Q82" s="27">
        <f>VLOOKUP(M82,player_stats[#All],14,FALSE)</f>
        <v>0.19</v>
      </c>
      <c r="R82" s="27">
        <f>VLOOKUP(M82,player_stats[#All],15,FALSE)</f>
        <v>0</v>
      </c>
      <c r="S82" s="2"/>
      <c r="T82"/>
    </row>
    <row r="83" spans="4:20" s="1" customFormat="1" ht="15.75" thickBot="1" x14ac:dyDescent="0.3">
      <c r="D83" s="3" t="s">
        <v>64</v>
      </c>
      <c r="E83" s="23">
        <f>VLOOKUP(D83,player_stats[#All],5,FALSE)</f>
        <v>102</v>
      </c>
      <c r="F83" s="23">
        <f>VLOOKUP(D83,player_stats[#All],6,FALSE)</f>
        <v>2016</v>
      </c>
      <c r="G83" s="27">
        <f>VLOOKUP(D83,player_stats[#All],8,FALSE)</f>
        <v>0.71</v>
      </c>
      <c r="H83" s="27">
        <f>VLOOKUP(D83,player_stats[#All],14,FALSE)</f>
        <v>0.2</v>
      </c>
      <c r="I83" s="27">
        <f>VLOOKUP(D83,player_stats[#All],15,FALSE)</f>
        <v>0.11</v>
      </c>
      <c r="J83" s="2"/>
      <c r="K83" s="18"/>
      <c r="M83" s="3" t="s">
        <v>89</v>
      </c>
      <c r="N83" s="23">
        <f>VLOOKUP(M83,player_stats[#All],5,FALSE)</f>
        <v>93</v>
      </c>
      <c r="O83" s="23">
        <f>VLOOKUP(M83,player_stats[#All],6,FALSE)</f>
        <v>1706</v>
      </c>
      <c r="P83" s="27">
        <f>VLOOKUP(M83,player_stats[#All],8,FALSE)</f>
        <v>0.7</v>
      </c>
      <c r="Q83" s="27">
        <f>VLOOKUP(M83,player_stats[#All],14,FALSE)</f>
        <v>0.2</v>
      </c>
      <c r="R83" s="27">
        <f>VLOOKUP(M83,player_stats[#All],15,FALSE)</f>
        <v>0.18</v>
      </c>
      <c r="S83" s="2"/>
      <c r="T83"/>
    </row>
    <row r="84" spans="4:20" s="1" customFormat="1" x14ac:dyDescent="0.25">
      <c r="D84" s="10" t="s">
        <v>17</v>
      </c>
      <c r="E84" s="13">
        <f>AVERAGE(players100T[Rating])</f>
        <v>99.6</v>
      </c>
      <c r="F84" s="13">
        <f>AVERAGE(players100T[ACS])</f>
        <v>1966</v>
      </c>
      <c r="G84" s="28">
        <f>AVERAGE(players100T[KAST])</f>
        <v>0.71799999999999997</v>
      </c>
      <c r="H84" s="28">
        <f>AVERAGE(players100T[HS%])</f>
        <v>0.23799999999999999</v>
      </c>
      <c r="I84" s="28">
        <f>AVERAGE(players100T[CL%])</f>
        <v>0.16999999999999998</v>
      </c>
      <c r="J84" s="10"/>
      <c r="K84" s="32"/>
      <c r="M84" s="10" t="s">
        <v>17</v>
      </c>
      <c r="N84" s="13">
        <f>AVERAGE(playersKRU[Rating])</f>
        <v>92.8</v>
      </c>
      <c r="O84" s="13">
        <f>AVERAGE(playersKRU[ACS])</f>
        <v>1906.4</v>
      </c>
      <c r="P84" s="28">
        <f>AVERAGE(playersKRU[KAST])</f>
        <v>0.69599999999999995</v>
      </c>
      <c r="Q84" s="28">
        <f>AVERAGE(playersKRU[HS%])</f>
        <v>0.22999999999999998</v>
      </c>
      <c r="R84" s="28">
        <f>AVERAGE(playersKRU[CL%])</f>
        <v>0.124</v>
      </c>
      <c r="S84" s="29"/>
      <c r="T84" s="29"/>
    </row>
    <row r="85" spans="4:20" s="1" customFormat="1" x14ac:dyDescent="0.25">
      <c r="K85" s="5"/>
    </row>
    <row r="86" spans="4:20" s="1" customFormat="1" x14ac:dyDescent="0.25">
      <c r="K86" s="5"/>
    </row>
    <row r="87" spans="4:20" s="1" customFormat="1" x14ac:dyDescent="0.25">
      <c r="K87" s="5"/>
    </row>
    <row r="88" spans="4:20" s="1" customFormat="1" x14ac:dyDescent="0.25">
      <c r="K88" s="5"/>
    </row>
    <row r="89" spans="4:20" s="1" customFormat="1" x14ac:dyDescent="0.25">
      <c r="K89" s="5"/>
    </row>
    <row r="90" spans="4:20" s="1" customFormat="1" x14ac:dyDescent="0.25">
      <c r="K90" s="5"/>
    </row>
    <row r="91" spans="4:20" s="1" customFormat="1" x14ac:dyDescent="0.25">
      <c r="K91" s="5"/>
    </row>
    <row r="92" spans="4:20" s="1" customFormat="1" x14ac:dyDescent="0.25">
      <c r="K92" s="5"/>
    </row>
    <row r="93" spans="4:20" s="1" customFormat="1" x14ac:dyDescent="0.25">
      <c r="K93" s="5"/>
    </row>
    <row r="94" spans="4:20" s="1" customFormat="1" x14ac:dyDescent="0.25">
      <c r="K94" s="5"/>
    </row>
    <row r="95" spans="4:20" s="1" customFormat="1" x14ac:dyDescent="0.25">
      <c r="K95" s="5"/>
    </row>
    <row r="96" spans="4:20" s="1" customFormat="1" x14ac:dyDescent="0.25">
      <c r="K96" s="5"/>
    </row>
    <row r="97" spans="11:11" s="1" customFormat="1" x14ac:dyDescent="0.25">
      <c r="K97" s="5"/>
    </row>
    <row r="98" spans="11:11" s="1" customFormat="1" x14ac:dyDescent="0.25">
      <c r="K98" s="5"/>
    </row>
    <row r="99" spans="11:11" s="1" customFormat="1" x14ac:dyDescent="0.25">
      <c r="K99" s="5"/>
    </row>
    <row r="100" spans="11:11" s="1" customFormat="1" x14ac:dyDescent="0.25">
      <c r="K100" s="5"/>
    </row>
    <row r="101" spans="11:11" s="1" customFormat="1" x14ac:dyDescent="0.25">
      <c r="K101" s="5"/>
    </row>
    <row r="102" spans="11:11" s="1" customFormat="1" x14ac:dyDescent="0.25">
      <c r="K102" s="5"/>
    </row>
    <row r="103" spans="11:11" s="1" customFormat="1" x14ac:dyDescent="0.25">
      <c r="K103" s="5"/>
    </row>
    <row r="104" spans="11:11" s="1" customFormat="1" x14ac:dyDescent="0.25">
      <c r="K104" s="5"/>
    </row>
    <row r="105" spans="11:11" s="1" customFormat="1" x14ac:dyDescent="0.25">
      <c r="K105" s="5"/>
    </row>
    <row r="106" spans="11:11" s="1" customFormat="1" x14ac:dyDescent="0.25">
      <c r="K106" s="5"/>
    </row>
    <row r="107" spans="11:11" s="1" customFormat="1" x14ac:dyDescent="0.25">
      <c r="K107" s="5"/>
    </row>
    <row r="108" spans="11:11" s="1" customFormat="1" x14ac:dyDescent="0.25">
      <c r="K108" s="5"/>
    </row>
    <row r="109" spans="11:11" s="1" customFormat="1" x14ac:dyDescent="0.25">
      <c r="K109" s="5"/>
    </row>
    <row r="110" spans="11:11" s="1" customFormat="1" x14ac:dyDescent="0.25">
      <c r="K110" s="5"/>
    </row>
    <row r="111" spans="11:11" s="1" customFormat="1" x14ac:dyDescent="0.25">
      <c r="K111" s="5"/>
    </row>
    <row r="112" spans="11:11" s="1" customFormat="1" x14ac:dyDescent="0.25">
      <c r="K112" s="5"/>
    </row>
    <row r="113" spans="11:11" s="1" customFormat="1" x14ac:dyDescent="0.25">
      <c r="K113" s="5"/>
    </row>
    <row r="114" spans="11:11" s="1" customFormat="1" x14ac:dyDescent="0.25">
      <c r="K114" s="5"/>
    </row>
    <row r="115" spans="11:11" s="1" customFormat="1" x14ac:dyDescent="0.25">
      <c r="K115" s="5"/>
    </row>
    <row r="116" spans="11:11" s="1" customFormat="1" x14ac:dyDescent="0.25">
      <c r="K116" s="5"/>
    </row>
    <row r="117" spans="11:11" s="1" customFormat="1" x14ac:dyDescent="0.25">
      <c r="K117" s="5"/>
    </row>
    <row r="118" spans="11:11" s="1" customFormat="1" x14ac:dyDescent="0.25">
      <c r="K118" s="5"/>
    </row>
    <row r="119" spans="11:11" s="1" customFormat="1" x14ac:dyDescent="0.25">
      <c r="K119" s="5"/>
    </row>
    <row r="120" spans="11:11" s="1" customFormat="1" x14ac:dyDescent="0.25">
      <c r="K120" s="5"/>
    </row>
    <row r="121" spans="11:11" s="1" customFormat="1" x14ac:dyDescent="0.25">
      <c r="K121" s="5"/>
    </row>
    <row r="122" spans="11:11" s="1" customFormat="1" x14ac:dyDescent="0.25">
      <c r="K122" s="5"/>
    </row>
    <row r="123" spans="11:11" s="1" customFormat="1" x14ac:dyDescent="0.25">
      <c r="K123" s="5"/>
    </row>
    <row r="124" spans="11:11" s="1" customFormat="1" x14ac:dyDescent="0.25">
      <c r="K124" s="5"/>
    </row>
    <row r="125" spans="11:11" s="1" customFormat="1" x14ac:dyDescent="0.25">
      <c r="K125" s="5"/>
    </row>
    <row r="126" spans="11:11" s="1" customFormat="1" x14ac:dyDescent="0.25">
      <c r="K126" s="5"/>
    </row>
    <row r="127" spans="11:11" s="1" customFormat="1" x14ac:dyDescent="0.25">
      <c r="K127" s="5"/>
    </row>
    <row r="128" spans="11:11" s="1" customFormat="1" x14ac:dyDescent="0.25">
      <c r="K128" s="5"/>
    </row>
    <row r="129" spans="11:11" s="1" customFormat="1" x14ac:dyDescent="0.25">
      <c r="K129" s="5"/>
    </row>
    <row r="130" spans="11:11" s="1" customFormat="1" x14ac:dyDescent="0.25">
      <c r="K130" s="5"/>
    </row>
  </sheetData>
  <mergeCells count="10">
    <mergeCell ref="D71:K73"/>
    <mergeCell ref="M71:T73"/>
    <mergeCell ref="M54:T56"/>
    <mergeCell ref="M37:T39"/>
    <mergeCell ref="M20:T22"/>
    <mergeCell ref="M3:T5"/>
    <mergeCell ref="D3:K5"/>
    <mergeCell ref="D20:K22"/>
    <mergeCell ref="D37:K39"/>
    <mergeCell ref="D54:K56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55A0-61A0-4DD9-A9C3-09A6D6997E5F}">
  <dimension ref="A1:G11"/>
  <sheetViews>
    <sheetView workbookViewId="0">
      <selection activeCell="A10" sqref="A10"/>
    </sheetView>
  </sheetViews>
  <sheetFormatPr defaultRowHeight="15" x14ac:dyDescent="0.25"/>
  <cols>
    <col min="1" max="1" width="25.5703125" bestFit="1" customWidth="1"/>
    <col min="2" max="2" width="7.85546875" bestFit="1" customWidth="1"/>
    <col min="3" max="3" width="7" bestFit="1" customWidth="1"/>
    <col min="4" max="4" width="6.85546875" bestFit="1" customWidth="1"/>
    <col min="5" max="5" width="7.5703125" bestFit="1" customWidth="1"/>
    <col min="6" max="6" width="7.85546875" bestFit="1" customWidth="1"/>
    <col min="7" max="7" width="4.5703125" bestFit="1" customWidth="1"/>
  </cols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5</v>
      </c>
      <c r="F1" t="s">
        <v>2</v>
      </c>
      <c r="G1" t="s">
        <v>49</v>
      </c>
    </row>
    <row r="2" spans="1:7" x14ac:dyDescent="0.25">
      <c r="A2" t="s">
        <v>52</v>
      </c>
      <c r="B2">
        <v>5</v>
      </c>
      <c r="C2">
        <v>1</v>
      </c>
      <c r="D2">
        <v>0</v>
      </c>
      <c r="E2" s="14">
        <v>44996</v>
      </c>
      <c r="F2" t="s">
        <v>168</v>
      </c>
      <c r="G2">
        <v>39</v>
      </c>
    </row>
    <row r="3" spans="1:7" x14ac:dyDescent="0.25">
      <c r="A3" t="s">
        <v>50</v>
      </c>
      <c r="B3">
        <v>5</v>
      </c>
      <c r="C3">
        <v>0</v>
      </c>
      <c r="D3">
        <v>0</v>
      </c>
      <c r="E3" s="14">
        <v>45026</v>
      </c>
      <c r="F3" t="s">
        <v>132</v>
      </c>
      <c r="G3">
        <v>32</v>
      </c>
    </row>
    <row r="4" spans="1:7" x14ac:dyDescent="0.25">
      <c r="A4" t="s">
        <v>53</v>
      </c>
      <c r="B4">
        <v>4</v>
      </c>
      <c r="C4">
        <v>2</v>
      </c>
      <c r="D4">
        <v>0</v>
      </c>
      <c r="E4" s="14">
        <v>45085</v>
      </c>
      <c r="F4" t="s">
        <v>169</v>
      </c>
      <c r="G4">
        <v>4</v>
      </c>
    </row>
    <row r="5" spans="1:7" x14ac:dyDescent="0.25">
      <c r="A5" t="s">
        <v>51</v>
      </c>
      <c r="B5">
        <v>3</v>
      </c>
      <c r="C5">
        <v>3</v>
      </c>
      <c r="D5">
        <v>0</v>
      </c>
      <c r="E5" s="14">
        <v>45116</v>
      </c>
      <c r="F5" t="s">
        <v>170</v>
      </c>
      <c r="G5">
        <v>25</v>
      </c>
    </row>
    <row r="6" spans="1:7" x14ac:dyDescent="0.25">
      <c r="A6" t="s">
        <v>57</v>
      </c>
      <c r="B6">
        <v>3</v>
      </c>
      <c r="C6">
        <v>3</v>
      </c>
      <c r="D6">
        <v>0</v>
      </c>
      <c r="E6" s="14">
        <v>45085</v>
      </c>
      <c r="F6" t="s">
        <v>171</v>
      </c>
      <c r="G6">
        <v>23</v>
      </c>
    </row>
    <row r="7" spans="1:7" x14ac:dyDescent="0.25">
      <c r="A7" t="s">
        <v>54</v>
      </c>
      <c r="B7">
        <v>3</v>
      </c>
      <c r="C7">
        <v>3</v>
      </c>
      <c r="D7">
        <v>0</v>
      </c>
      <c r="E7" s="14">
        <v>45145</v>
      </c>
      <c r="F7" t="s">
        <v>172</v>
      </c>
      <c r="G7">
        <v>-11</v>
      </c>
    </row>
    <row r="8" spans="1:7" x14ac:dyDescent="0.25">
      <c r="A8" t="s">
        <v>55</v>
      </c>
      <c r="B8">
        <v>2</v>
      </c>
      <c r="C8">
        <v>4</v>
      </c>
      <c r="D8">
        <v>0</v>
      </c>
      <c r="E8" s="14">
        <v>45175</v>
      </c>
      <c r="F8" t="s">
        <v>173</v>
      </c>
      <c r="G8">
        <v>-22</v>
      </c>
    </row>
    <row r="9" spans="1:7" x14ac:dyDescent="0.25">
      <c r="A9" t="s">
        <v>58</v>
      </c>
      <c r="B9">
        <v>2</v>
      </c>
      <c r="C9">
        <v>4</v>
      </c>
      <c r="D9">
        <v>0</v>
      </c>
      <c r="E9" s="14">
        <v>45205</v>
      </c>
      <c r="F9" t="s">
        <v>174</v>
      </c>
      <c r="G9">
        <v>-14</v>
      </c>
    </row>
    <row r="10" spans="1:7" x14ac:dyDescent="0.25">
      <c r="A10" t="s">
        <v>56</v>
      </c>
      <c r="B10">
        <v>2</v>
      </c>
      <c r="C10">
        <v>4</v>
      </c>
      <c r="D10">
        <v>0</v>
      </c>
      <c r="E10" s="14">
        <v>45204</v>
      </c>
      <c r="F10" t="s">
        <v>175</v>
      </c>
      <c r="G10">
        <v>-47</v>
      </c>
    </row>
    <row r="11" spans="1:7" x14ac:dyDescent="0.25">
      <c r="A11" t="s">
        <v>59</v>
      </c>
      <c r="B11">
        <v>0</v>
      </c>
      <c r="C11">
        <v>5</v>
      </c>
      <c r="D11">
        <v>0</v>
      </c>
      <c r="E11" s="14">
        <v>45202</v>
      </c>
      <c r="F11" t="s">
        <v>143</v>
      </c>
      <c r="G11">
        <v>-29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CAD9-F4AF-4475-B1B1-9E58BCA94C7B}">
  <dimension ref="A1:V53"/>
  <sheetViews>
    <sheetView workbookViewId="0">
      <selection activeCell="P4" sqref="P4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9.42578125" bestFit="1" customWidth="1"/>
    <col min="4" max="4" width="6.7109375" bestFit="1" customWidth="1"/>
    <col min="5" max="5" width="4.42578125" bestFit="1" customWidth="1"/>
    <col min="6" max="6" width="6.7109375" bestFit="1" customWidth="1"/>
    <col min="7" max="7" width="6.28515625" bestFit="1" customWidth="1"/>
    <col min="8" max="8" width="7.7109375" bestFit="1" customWidth="1"/>
    <col min="9" max="9" width="7" bestFit="1" customWidth="1"/>
    <col min="10" max="10" width="6.7109375" bestFit="1" customWidth="1"/>
    <col min="11" max="11" width="6.85546875" bestFit="1" customWidth="1"/>
    <col min="12" max="12" width="7.7109375" bestFit="1" customWidth="1"/>
    <col min="13" max="13" width="7.85546875" bestFit="1" customWidth="1"/>
    <col min="14" max="14" width="7.140625" bestFit="1" customWidth="1"/>
    <col min="15" max="15" width="6.85546875" style="27" bestFit="1" customWidth="1"/>
    <col min="16" max="16" width="5.85546875" bestFit="1" customWidth="1"/>
    <col min="17" max="17" width="8.28515625" bestFit="1" customWidth="1"/>
    <col min="18" max="18" width="4.42578125" bestFit="1" customWidth="1"/>
    <col min="19" max="20" width="4.5703125" bestFit="1" customWidth="1"/>
    <col min="21" max="21" width="5.42578125" bestFit="1" customWidth="1"/>
    <col min="22" max="22" width="5.5703125" bestFit="1" customWidth="1"/>
    <col min="23" max="23" width="5.42578125" customWidth="1"/>
    <col min="24" max="25" width="5.5703125" bestFit="1" customWidth="1"/>
  </cols>
  <sheetData>
    <row r="1" spans="1:22" x14ac:dyDescent="0.25">
      <c r="A1" t="s">
        <v>25</v>
      </c>
      <c r="B1" t="s">
        <v>45</v>
      </c>
      <c r="C1" t="s">
        <v>26</v>
      </c>
      <c r="D1" t="s">
        <v>27</v>
      </c>
      <c r="E1" t="s">
        <v>28</v>
      </c>
      <c r="F1" t="s">
        <v>0</v>
      </c>
      <c r="G1" t="s">
        <v>29</v>
      </c>
      <c r="H1" t="s">
        <v>1</v>
      </c>
      <c r="I1" t="s">
        <v>12</v>
      </c>
      <c r="J1" t="s">
        <v>30</v>
      </c>
      <c r="K1" t="s">
        <v>31</v>
      </c>
      <c r="L1" t="s">
        <v>13</v>
      </c>
      <c r="M1" t="s">
        <v>14</v>
      </c>
      <c r="N1" t="s">
        <v>16</v>
      </c>
      <c r="O1" s="27" t="s">
        <v>15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25">
      <c r="A2" t="s">
        <v>63</v>
      </c>
      <c r="B2" t="s">
        <v>130</v>
      </c>
      <c r="C2" t="s">
        <v>40</v>
      </c>
      <c r="D2">
        <v>333</v>
      </c>
      <c r="E2" s="23">
        <v>101</v>
      </c>
      <c r="F2">
        <v>2024</v>
      </c>
      <c r="G2">
        <v>98</v>
      </c>
      <c r="H2">
        <v>0.74</v>
      </c>
      <c r="I2">
        <v>1287</v>
      </c>
      <c r="J2">
        <v>7</v>
      </c>
      <c r="K2">
        <v>37</v>
      </c>
      <c r="L2">
        <v>7</v>
      </c>
      <c r="M2">
        <v>8</v>
      </c>
      <c r="N2" s="27">
        <v>0.28000000000000003</v>
      </c>
      <c r="O2" s="27">
        <v>0.42</v>
      </c>
      <c r="P2" t="s">
        <v>190</v>
      </c>
      <c r="Q2">
        <v>25</v>
      </c>
      <c r="R2">
        <v>234</v>
      </c>
      <c r="S2">
        <v>240</v>
      </c>
      <c r="T2">
        <v>123</v>
      </c>
      <c r="U2">
        <v>24</v>
      </c>
      <c r="V2">
        <v>25</v>
      </c>
    </row>
    <row r="3" spans="1:22" x14ac:dyDescent="0.25">
      <c r="A3" t="s">
        <v>70</v>
      </c>
      <c r="B3" t="s">
        <v>129</v>
      </c>
      <c r="C3" t="s">
        <v>40</v>
      </c>
      <c r="D3">
        <v>274</v>
      </c>
      <c r="E3" s="23">
        <v>122</v>
      </c>
      <c r="F3">
        <v>2577</v>
      </c>
      <c r="G3">
        <v>131</v>
      </c>
      <c r="H3">
        <v>0.75</v>
      </c>
      <c r="I3">
        <v>1653</v>
      </c>
      <c r="J3">
        <v>91</v>
      </c>
      <c r="K3">
        <v>26</v>
      </c>
      <c r="L3">
        <v>21</v>
      </c>
      <c r="M3">
        <v>13</v>
      </c>
      <c r="N3" s="27">
        <v>0.21</v>
      </c>
      <c r="O3" s="27">
        <v>0.32</v>
      </c>
      <c r="P3" t="s">
        <v>144</v>
      </c>
      <c r="Q3">
        <v>26</v>
      </c>
      <c r="R3">
        <v>250</v>
      </c>
      <c r="S3">
        <v>191</v>
      </c>
      <c r="T3">
        <v>71</v>
      </c>
      <c r="U3">
        <v>57</v>
      </c>
      <c r="V3">
        <v>36</v>
      </c>
    </row>
    <row r="4" spans="1:22" x14ac:dyDescent="0.25">
      <c r="A4" t="s">
        <v>107</v>
      </c>
      <c r="B4" t="s">
        <v>102</v>
      </c>
      <c r="C4" t="s">
        <v>39</v>
      </c>
      <c r="D4">
        <v>280</v>
      </c>
      <c r="E4" s="23">
        <v>115</v>
      </c>
      <c r="F4">
        <v>2065</v>
      </c>
      <c r="G4">
        <v>12</v>
      </c>
      <c r="H4">
        <v>0.79</v>
      </c>
      <c r="I4">
        <v>1280</v>
      </c>
      <c r="J4">
        <v>76</v>
      </c>
      <c r="K4">
        <v>36</v>
      </c>
      <c r="L4">
        <v>9</v>
      </c>
      <c r="M4">
        <v>7</v>
      </c>
      <c r="N4" s="27">
        <v>0.28000000000000003</v>
      </c>
      <c r="O4" s="27">
        <v>0.28999999999999998</v>
      </c>
      <c r="P4" t="s">
        <v>177</v>
      </c>
      <c r="Q4">
        <v>22</v>
      </c>
      <c r="R4">
        <v>214</v>
      </c>
      <c r="S4">
        <v>178</v>
      </c>
      <c r="T4">
        <v>100</v>
      </c>
      <c r="U4">
        <v>24</v>
      </c>
      <c r="V4">
        <v>20</v>
      </c>
    </row>
    <row r="5" spans="1:22" x14ac:dyDescent="0.25">
      <c r="A5" t="s">
        <v>22</v>
      </c>
      <c r="B5" t="s">
        <v>18</v>
      </c>
      <c r="C5" t="s">
        <v>43</v>
      </c>
      <c r="D5">
        <v>282</v>
      </c>
      <c r="E5" s="23">
        <v>109</v>
      </c>
      <c r="F5">
        <v>2102</v>
      </c>
      <c r="G5">
        <v>113</v>
      </c>
      <c r="H5">
        <v>0.8</v>
      </c>
      <c r="I5">
        <v>1315</v>
      </c>
      <c r="J5">
        <v>77</v>
      </c>
      <c r="K5">
        <v>42</v>
      </c>
      <c r="L5">
        <v>11</v>
      </c>
      <c r="M5">
        <v>8</v>
      </c>
      <c r="N5" s="27">
        <v>0.21</v>
      </c>
      <c r="O5" s="27">
        <v>0.26</v>
      </c>
      <c r="P5" t="s">
        <v>135</v>
      </c>
      <c r="Q5">
        <v>23</v>
      </c>
      <c r="R5">
        <v>216</v>
      </c>
      <c r="S5">
        <v>192</v>
      </c>
      <c r="T5">
        <v>119</v>
      </c>
      <c r="U5">
        <v>32</v>
      </c>
      <c r="V5">
        <v>23</v>
      </c>
    </row>
    <row r="6" spans="1:22" x14ac:dyDescent="0.25">
      <c r="A6" t="s">
        <v>82</v>
      </c>
      <c r="B6" t="s">
        <v>128</v>
      </c>
      <c r="C6" t="s">
        <v>40</v>
      </c>
      <c r="D6">
        <v>304</v>
      </c>
      <c r="E6" s="23">
        <v>97</v>
      </c>
      <c r="F6">
        <v>1776</v>
      </c>
      <c r="G6">
        <v>94</v>
      </c>
      <c r="H6">
        <v>0.71</v>
      </c>
      <c r="I6">
        <v>1200</v>
      </c>
      <c r="J6">
        <v>63</v>
      </c>
      <c r="K6">
        <v>39</v>
      </c>
      <c r="L6">
        <v>7</v>
      </c>
      <c r="M6">
        <v>1</v>
      </c>
      <c r="N6" s="27">
        <v>0.28000000000000003</v>
      </c>
      <c r="O6" s="27">
        <v>0.26</v>
      </c>
      <c r="P6" t="s">
        <v>195</v>
      </c>
      <c r="Q6">
        <v>26</v>
      </c>
      <c r="R6">
        <v>190</v>
      </c>
      <c r="S6">
        <v>202</v>
      </c>
      <c r="T6">
        <v>118</v>
      </c>
      <c r="U6">
        <v>22</v>
      </c>
      <c r="V6">
        <v>30</v>
      </c>
    </row>
    <row r="7" spans="1:22" x14ac:dyDescent="0.25">
      <c r="A7" t="s">
        <v>105</v>
      </c>
      <c r="B7" t="s">
        <v>102</v>
      </c>
      <c r="C7" t="s">
        <v>39</v>
      </c>
      <c r="D7">
        <v>280</v>
      </c>
      <c r="E7" s="23">
        <v>112</v>
      </c>
      <c r="F7">
        <v>2283</v>
      </c>
      <c r="G7">
        <v>11</v>
      </c>
      <c r="H7">
        <v>0.79</v>
      </c>
      <c r="I7">
        <v>1466</v>
      </c>
      <c r="J7">
        <v>76</v>
      </c>
      <c r="K7">
        <v>34</v>
      </c>
      <c r="L7">
        <v>18</v>
      </c>
      <c r="M7">
        <v>12</v>
      </c>
      <c r="N7" s="27">
        <v>0.2</v>
      </c>
      <c r="O7" s="27">
        <v>0.25</v>
      </c>
      <c r="P7" t="s">
        <v>181</v>
      </c>
      <c r="Q7">
        <v>30</v>
      </c>
      <c r="R7">
        <v>213</v>
      </c>
      <c r="S7">
        <v>193</v>
      </c>
      <c r="T7">
        <v>95</v>
      </c>
      <c r="U7">
        <v>49</v>
      </c>
      <c r="V7">
        <v>34</v>
      </c>
    </row>
    <row r="8" spans="1:22" x14ac:dyDescent="0.25">
      <c r="A8" t="s">
        <v>103</v>
      </c>
      <c r="B8" t="s">
        <v>102</v>
      </c>
      <c r="C8" t="s">
        <v>40</v>
      </c>
      <c r="D8">
        <v>280</v>
      </c>
      <c r="E8" s="23">
        <v>109</v>
      </c>
      <c r="F8">
        <v>2102</v>
      </c>
      <c r="G8">
        <v>113</v>
      </c>
      <c r="H8">
        <v>0.77</v>
      </c>
      <c r="I8">
        <v>1371</v>
      </c>
      <c r="J8">
        <v>74</v>
      </c>
      <c r="K8">
        <v>32</v>
      </c>
      <c r="L8">
        <v>9</v>
      </c>
      <c r="M8">
        <v>6</v>
      </c>
      <c r="N8" s="27">
        <v>0.23</v>
      </c>
      <c r="O8" s="27">
        <v>0.24</v>
      </c>
      <c r="P8" t="s">
        <v>183</v>
      </c>
      <c r="Q8">
        <v>24</v>
      </c>
      <c r="R8">
        <v>207</v>
      </c>
      <c r="S8">
        <v>184</v>
      </c>
      <c r="T8">
        <v>89</v>
      </c>
      <c r="U8">
        <v>25</v>
      </c>
      <c r="V8">
        <v>16</v>
      </c>
    </row>
    <row r="9" spans="1:22" x14ac:dyDescent="0.25">
      <c r="A9" t="s">
        <v>94</v>
      </c>
      <c r="B9" t="s">
        <v>127</v>
      </c>
      <c r="C9" t="s">
        <v>43</v>
      </c>
      <c r="D9">
        <v>351</v>
      </c>
      <c r="E9" s="23">
        <v>119</v>
      </c>
      <c r="F9">
        <v>2164</v>
      </c>
      <c r="G9">
        <v>122</v>
      </c>
      <c r="H9">
        <v>0.78</v>
      </c>
      <c r="I9">
        <v>1429</v>
      </c>
      <c r="J9">
        <v>75</v>
      </c>
      <c r="K9">
        <v>4</v>
      </c>
      <c r="L9">
        <v>9</v>
      </c>
      <c r="M9">
        <v>9</v>
      </c>
      <c r="N9" s="27">
        <v>0.28000000000000003</v>
      </c>
      <c r="O9" s="27">
        <v>0.23</v>
      </c>
      <c r="P9" t="s">
        <v>176</v>
      </c>
      <c r="Q9">
        <v>26</v>
      </c>
      <c r="R9">
        <v>262</v>
      </c>
      <c r="S9">
        <v>215</v>
      </c>
      <c r="T9">
        <v>141</v>
      </c>
      <c r="U9">
        <v>33</v>
      </c>
      <c r="V9">
        <v>31</v>
      </c>
    </row>
    <row r="10" spans="1:22" x14ac:dyDescent="0.25">
      <c r="A10" t="s">
        <v>24</v>
      </c>
      <c r="B10" t="s">
        <v>18</v>
      </c>
      <c r="C10" t="s">
        <v>43</v>
      </c>
      <c r="D10">
        <v>282</v>
      </c>
      <c r="E10" s="23">
        <v>129</v>
      </c>
      <c r="F10">
        <v>2617</v>
      </c>
      <c r="G10">
        <v>16</v>
      </c>
      <c r="H10">
        <v>0.8</v>
      </c>
      <c r="I10">
        <v>1667</v>
      </c>
      <c r="J10">
        <v>98</v>
      </c>
      <c r="K10">
        <v>16</v>
      </c>
      <c r="L10">
        <v>17</v>
      </c>
      <c r="M10">
        <v>9</v>
      </c>
      <c r="N10" s="27">
        <v>0.25</v>
      </c>
      <c r="O10" s="27">
        <v>0.22</v>
      </c>
      <c r="P10" t="s">
        <v>133</v>
      </c>
      <c r="Q10">
        <v>28</v>
      </c>
      <c r="R10">
        <v>275</v>
      </c>
      <c r="S10">
        <v>172</v>
      </c>
      <c r="T10">
        <v>45</v>
      </c>
      <c r="U10">
        <v>49</v>
      </c>
      <c r="V10">
        <v>26</v>
      </c>
    </row>
    <row r="11" spans="1:22" x14ac:dyDescent="0.25">
      <c r="A11" t="s">
        <v>120</v>
      </c>
      <c r="B11" t="s">
        <v>126</v>
      </c>
      <c r="C11" t="s">
        <v>40</v>
      </c>
      <c r="D11">
        <v>318</v>
      </c>
      <c r="E11" s="23">
        <v>105</v>
      </c>
      <c r="F11">
        <v>2353</v>
      </c>
      <c r="G11">
        <v>11</v>
      </c>
      <c r="H11">
        <v>0.72</v>
      </c>
      <c r="I11">
        <v>1578</v>
      </c>
      <c r="J11">
        <v>79</v>
      </c>
      <c r="K11">
        <v>27</v>
      </c>
      <c r="L11">
        <v>13</v>
      </c>
      <c r="M11">
        <v>14</v>
      </c>
      <c r="N11" s="27">
        <v>0.23</v>
      </c>
      <c r="O11" s="27">
        <v>0.22</v>
      </c>
      <c r="P11" t="s">
        <v>147</v>
      </c>
      <c r="Q11">
        <v>29</v>
      </c>
      <c r="R11">
        <v>251</v>
      </c>
      <c r="S11">
        <v>228</v>
      </c>
      <c r="T11">
        <v>85</v>
      </c>
      <c r="U11">
        <v>40</v>
      </c>
      <c r="V11">
        <v>45</v>
      </c>
    </row>
    <row r="12" spans="1:22" x14ac:dyDescent="0.25">
      <c r="A12" t="s">
        <v>116</v>
      </c>
      <c r="B12" t="s">
        <v>126</v>
      </c>
      <c r="C12" t="s">
        <v>40</v>
      </c>
      <c r="D12">
        <v>137</v>
      </c>
      <c r="E12" s="23">
        <v>113</v>
      </c>
      <c r="F12">
        <v>2266</v>
      </c>
      <c r="G12">
        <v>115</v>
      </c>
      <c r="H12">
        <v>0.7</v>
      </c>
      <c r="I12">
        <v>1477</v>
      </c>
      <c r="J12">
        <v>82</v>
      </c>
      <c r="K12">
        <v>31</v>
      </c>
      <c r="L12">
        <v>15</v>
      </c>
      <c r="M12">
        <v>13</v>
      </c>
      <c r="N12" s="27">
        <v>0.31</v>
      </c>
      <c r="O12" s="27">
        <v>0.21</v>
      </c>
      <c r="P12" t="s">
        <v>180</v>
      </c>
      <c r="Q12">
        <v>20</v>
      </c>
      <c r="R12">
        <v>112</v>
      </c>
      <c r="S12">
        <v>97</v>
      </c>
      <c r="T12">
        <v>42</v>
      </c>
      <c r="U12">
        <v>21</v>
      </c>
      <c r="V12">
        <v>18</v>
      </c>
    </row>
    <row r="13" spans="1:22" x14ac:dyDescent="0.25">
      <c r="A13" t="s">
        <v>71</v>
      </c>
      <c r="B13" t="s">
        <v>129</v>
      </c>
      <c r="C13" t="s">
        <v>40</v>
      </c>
      <c r="D13">
        <v>274</v>
      </c>
      <c r="E13" s="23">
        <v>11</v>
      </c>
      <c r="F13">
        <v>2101</v>
      </c>
      <c r="G13">
        <v>107</v>
      </c>
      <c r="H13">
        <v>0.78</v>
      </c>
      <c r="I13">
        <v>1370</v>
      </c>
      <c r="J13">
        <v>74</v>
      </c>
      <c r="K13">
        <v>44</v>
      </c>
      <c r="L13">
        <v>1</v>
      </c>
      <c r="M13">
        <v>8</v>
      </c>
      <c r="N13" s="27">
        <v>0.28000000000000003</v>
      </c>
      <c r="O13" s="27">
        <v>0.21</v>
      </c>
      <c r="P13" t="s">
        <v>182</v>
      </c>
      <c r="Q13">
        <v>24</v>
      </c>
      <c r="R13">
        <v>203</v>
      </c>
      <c r="S13">
        <v>189</v>
      </c>
      <c r="T13">
        <v>121</v>
      </c>
      <c r="U13">
        <v>27</v>
      </c>
      <c r="V13">
        <v>23</v>
      </c>
    </row>
    <row r="14" spans="1:22" x14ac:dyDescent="0.25">
      <c r="A14" t="s">
        <v>72</v>
      </c>
      <c r="B14" t="s">
        <v>129</v>
      </c>
      <c r="C14" t="s">
        <v>39</v>
      </c>
      <c r="D14">
        <v>274</v>
      </c>
      <c r="E14" s="23">
        <v>108</v>
      </c>
      <c r="F14">
        <v>1848</v>
      </c>
      <c r="G14">
        <v>101</v>
      </c>
      <c r="H14">
        <v>0.79</v>
      </c>
      <c r="I14">
        <v>1220</v>
      </c>
      <c r="J14">
        <v>66</v>
      </c>
      <c r="K14">
        <v>36</v>
      </c>
      <c r="L14">
        <v>7</v>
      </c>
      <c r="M14">
        <v>6</v>
      </c>
      <c r="N14" s="27">
        <v>0.24</v>
      </c>
      <c r="O14" s="27">
        <v>0.21</v>
      </c>
      <c r="P14" t="s">
        <v>185</v>
      </c>
      <c r="Q14">
        <v>19</v>
      </c>
      <c r="R14">
        <v>180</v>
      </c>
      <c r="S14">
        <v>179</v>
      </c>
      <c r="T14">
        <v>100</v>
      </c>
      <c r="U14">
        <v>20</v>
      </c>
      <c r="V14">
        <v>16</v>
      </c>
    </row>
    <row r="15" spans="1:22" x14ac:dyDescent="0.25">
      <c r="A15" t="s">
        <v>67</v>
      </c>
      <c r="B15" t="s">
        <v>129</v>
      </c>
      <c r="C15" t="s">
        <v>43</v>
      </c>
      <c r="D15">
        <v>274</v>
      </c>
      <c r="E15" s="23">
        <v>105</v>
      </c>
      <c r="F15">
        <v>1944</v>
      </c>
      <c r="G15">
        <v>108</v>
      </c>
      <c r="H15">
        <v>0.72</v>
      </c>
      <c r="I15">
        <v>1307</v>
      </c>
      <c r="J15">
        <v>68</v>
      </c>
      <c r="K15">
        <v>24</v>
      </c>
      <c r="L15">
        <v>8</v>
      </c>
      <c r="M15">
        <v>9</v>
      </c>
      <c r="N15" s="27">
        <v>0.18</v>
      </c>
      <c r="O15" s="27">
        <v>0.21</v>
      </c>
      <c r="P15" t="s">
        <v>187</v>
      </c>
      <c r="Q15">
        <v>22</v>
      </c>
      <c r="R15">
        <v>187</v>
      </c>
      <c r="S15">
        <v>173</v>
      </c>
      <c r="T15">
        <v>66</v>
      </c>
      <c r="U15">
        <v>22</v>
      </c>
      <c r="V15">
        <v>25</v>
      </c>
    </row>
    <row r="16" spans="1:22" x14ac:dyDescent="0.25">
      <c r="A16" t="s">
        <v>106</v>
      </c>
      <c r="B16" t="s">
        <v>102</v>
      </c>
      <c r="C16" t="s">
        <v>39</v>
      </c>
      <c r="D16">
        <v>280</v>
      </c>
      <c r="E16" s="23">
        <v>89</v>
      </c>
      <c r="F16">
        <v>1785</v>
      </c>
      <c r="G16">
        <v>81</v>
      </c>
      <c r="H16">
        <v>0.71</v>
      </c>
      <c r="I16">
        <v>1204</v>
      </c>
      <c r="J16">
        <v>58</v>
      </c>
      <c r="K16">
        <v>36</v>
      </c>
      <c r="L16">
        <v>6</v>
      </c>
      <c r="M16">
        <v>8</v>
      </c>
      <c r="N16" s="27">
        <v>0.18</v>
      </c>
      <c r="O16" s="27">
        <v>0.21</v>
      </c>
      <c r="P16" t="s">
        <v>182</v>
      </c>
      <c r="Q16">
        <v>16</v>
      </c>
      <c r="R16">
        <v>163</v>
      </c>
      <c r="S16">
        <v>202</v>
      </c>
      <c r="T16">
        <v>102</v>
      </c>
      <c r="U16">
        <v>17</v>
      </c>
      <c r="V16">
        <v>22</v>
      </c>
    </row>
    <row r="17" spans="1:22" x14ac:dyDescent="0.25">
      <c r="A17" t="s">
        <v>119</v>
      </c>
      <c r="B17" t="s">
        <v>126</v>
      </c>
      <c r="C17" t="s">
        <v>41</v>
      </c>
      <c r="D17">
        <v>318</v>
      </c>
      <c r="E17" s="23">
        <v>79</v>
      </c>
      <c r="F17">
        <v>1542</v>
      </c>
      <c r="G17">
        <v>71</v>
      </c>
      <c r="H17">
        <v>0.69</v>
      </c>
      <c r="I17">
        <v>1022</v>
      </c>
      <c r="J17">
        <v>53</v>
      </c>
      <c r="K17">
        <v>38</v>
      </c>
      <c r="L17">
        <v>5</v>
      </c>
      <c r="M17">
        <v>8</v>
      </c>
      <c r="N17" s="27">
        <v>0.23</v>
      </c>
      <c r="O17" s="27">
        <v>0.21</v>
      </c>
      <c r="P17" t="s">
        <v>204</v>
      </c>
      <c r="Q17">
        <v>21</v>
      </c>
      <c r="R17">
        <v>169</v>
      </c>
      <c r="S17">
        <v>238</v>
      </c>
      <c r="T17">
        <v>122</v>
      </c>
      <c r="U17">
        <v>16</v>
      </c>
      <c r="V17">
        <v>24</v>
      </c>
    </row>
    <row r="18" spans="1:22" x14ac:dyDescent="0.25">
      <c r="A18" t="s">
        <v>21</v>
      </c>
      <c r="B18" t="s">
        <v>18</v>
      </c>
      <c r="C18" t="s">
        <v>43</v>
      </c>
      <c r="D18">
        <v>282</v>
      </c>
      <c r="E18" s="23">
        <v>102</v>
      </c>
      <c r="F18">
        <v>1701</v>
      </c>
      <c r="G18">
        <v>101</v>
      </c>
      <c r="H18">
        <v>0.82</v>
      </c>
      <c r="I18">
        <v>1101</v>
      </c>
      <c r="J18">
        <v>62</v>
      </c>
      <c r="K18">
        <v>45</v>
      </c>
      <c r="L18">
        <v>5</v>
      </c>
      <c r="M18">
        <v>6</v>
      </c>
      <c r="N18" s="27">
        <v>0.25</v>
      </c>
      <c r="O18" s="27">
        <v>0.2</v>
      </c>
      <c r="P18" t="s">
        <v>137</v>
      </c>
      <c r="Q18">
        <v>21</v>
      </c>
      <c r="R18">
        <v>175</v>
      </c>
      <c r="S18">
        <v>173</v>
      </c>
      <c r="T18">
        <v>127</v>
      </c>
      <c r="U18">
        <v>13</v>
      </c>
      <c r="V18">
        <v>18</v>
      </c>
    </row>
    <row r="19" spans="1:22" x14ac:dyDescent="0.25">
      <c r="A19" t="s">
        <v>87</v>
      </c>
      <c r="B19" t="s">
        <v>84</v>
      </c>
      <c r="C19" t="s">
        <v>43</v>
      </c>
      <c r="D19">
        <v>281</v>
      </c>
      <c r="E19" s="23">
        <v>92</v>
      </c>
      <c r="F19">
        <v>2244</v>
      </c>
      <c r="G19">
        <v>102</v>
      </c>
      <c r="H19">
        <v>0.65</v>
      </c>
      <c r="I19">
        <v>1506</v>
      </c>
      <c r="J19">
        <v>79</v>
      </c>
      <c r="K19">
        <v>18</v>
      </c>
      <c r="L19">
        <v>18</v>
      </c>
      <c r="M19">
        <v>22</v>
      </c>
      <c r="N19" s="27">
        <v>0.25</v>
      </c>
      <c r="O19" s="27">
        <v>0.2</v>
      </c>
      <c r="P19" t="s">
        <v>137</v>
      </c>
      <c r="Q19">
        <v>27</v>
      </c>
      <c r="R19">
        <v>221</v>
      </c>
      <c r="S19">
        <v>216</v>
      </c>
      <c r="T19">
        <v>50</v>
      </c>
      <c r="U19">
        <v>50</v>
      </c>
      <c r="V19">
        <v>61</v>
      </c>
    </row>
    <row r="20" spans="1:22" x14ac:dyDescent="0.25">
      <c r="A20" t="s">
        <v>89</v>
      </c>
      <c r="B20" t="s">
        <v>84</v>
      </c>
      <c r="C20" t="s">
        <v>39</v>
      </c>
      <c r="D20">
        <v>281</v>
      </c>
      <c r="E20" s="23">
        <v>93</v>
      </c>
      <c r="F20">
        <v>1706</v>
      </c>
      <c r="G20">
        <v>81</v>
      </c>
      <c r="H20">
        <v>0.7</v>
      </c>
      <c r="I20">
        <v>1098</v>
      </c>
      <c r="J20">
        <v>58</v>
      </c>
      <c r="K20">
        <v>46</v>
      </c>
      <c r="L20">
        <v>7</v>
      </c>
      <c r="M20">
        <v>9</v>
      </c>
      <c r="N20" s="27">
        <v>0.2</v>
      </c>
      <c r="O20" s="27">
        <v>0.18</v>
      </c>
      <c r="P20" t="s">
        <v>123</v>
      </c>
      <c r="Q20">
        <v>26</v>
      </c>
      <c r="R20">
        <v>163</v>
      </c>
      <c r="S20">
        <v>201</v>
      </c>
      <c r="T20">
        <v>129</v>
      </c>
      <c r="U20">
        <v>19</v>
      </c>
      <c r="V20">
        <v>25</v>
      </c>
    </row>
    <row r="21" spans="1:22" x14ac:dyDescent="0.25">
      <c r="A21" t="s">
        <v>60</v>
      </c>
      <c r="B21" t="s">
        <v>130</v>
      </c>
      <c r="C21" t="s">
        <v>41</v>
      </c>
      <c r="D21">
        <v>333</v>
      </c>
      <c r="E21" s="23">
        <v>105</v>
      </c>
      <c r="F21">
        <v>2125</v>
      </c>
      <c r="G21">
        <v>10</v>
      </c>
      <c r="H21">
        <v>0.73</v>
      </c>
      <c r="I21">
        <v>1425</v>
      </c>
      <c r="J21">
        <v>72</v>
      </c>
      <c r="K21">
        <v>39</v>
      </c>
      <c r="L21">
        <v>12</v>
      </c>
      <c r="M21">
        <v>13</v>
      </c>
      <c r="N21" s="27">
        <v>0.19</v>
      </c>
      <c r="O21" s="27">
        <v>0.17</v>
      </c>
      <c r="P21" t="s">
        <v>186</v>
      </c>
      <c r="Q21">
        <v>27</v>
      </c>
      <c r="R21">
        <v>240</v>
      </c>
      <c r="S21">
        <v>240</v>
      </c>
      <c r="T21">
        <v>131</v>
      </c>
      <c r="U21">
        <v>40</v>
      </c>
      <c r="V21">
        <v>42</v>
      </c>
    </row>
    <row r="22" spans="1:22" x14ac:dyDescent="0.25">
      <c r="A22" t="s">
        <v>75</v>
      </c>
      <c r="B22" t="s">
        <v>131</v>
      </c>
      <c r="C22" t="s">
        <v>43</v>
      </c>
      <c r="D22">
        <v>68</v>
      </c>
      <c r="E22" s="23">
        <v>105</v>
      </c>
      <c r="F22">
        <v>1867</v>
      </c>
      <c r="G22">
        <v>92</v>
      </c>
      <c r="H22">
        <v>0.74</v>
      </c>
      <c r="I22">
        <v>1156</v>
      </c>
      <c r="J22">
        <v>65</v>
      </c>
      <c r="K22">
        <v>51</v>
      </c>
      <c r="L22">
        <v>7</v>
      </c>
      <c r="M22">
        <v>6</v>
      </c>
      <c r="N22" s="27">
        <v>0.2</v>
      </c>
      <c r="O22" s="27">
        <v>0.17</v>
      </c>
      <c r="P22" t="s">
        <v>122</v>
      </c>
      <c r="Q22">
        <v>18</v>
      </c>
      <c r="R22">
        <v>44</v>
      </c>
      <c r="S22">
        <v>48</v>
      </c>
      <c r="T22">
        <v>35</v>
      </c>
      <c r="U22">
        <v>5</v>
      </c>
      <c r="V22">
        <v>4</v>
      </c>
    </row>
    <row r="23" spans="1:22" x14ac:dyDescent="0.25">
      <c r="A23" t="s">
        <v>83</v>
      </c>
      <c r="B23" t="s">
        <v>128</v>
      </c>
      <c r="C23" t="s">
        <v>40</v>
      </c>
      <c r="D23">
        <v>304</v>
      </c>
      <c r="E23" s="23">
        <v>105</v>
      </c>
      <c r="F23">
        <v>2299</v>
      </c>
      <c r="G23">
        <v>109</v>
      </c>
      <c r="H23">
        <v>0.71</v>
      </c>
      <c r="I23">
        <v>1442</v>
      </c>
      <c r="J23">
        <v>79</v>
      </c>
      <c r="K23">
        <v>15</v>
      </c>
      <c r="L23">
        <v>23</v>
      </c>
      <c r="M23">
        <v>14</v>
      </c>
      <c r="N23" s="27">
        <v>0.26</v>
      </c>
      <c r="O23" s="27">
        <v>0.17</v>
      </c>
      <c r="P23" t="s">
        <v>188</v>
      </c>
      <c r="Q23">
        <v>24</v>
      </c>
      <c r="R23">
        <v>240</v>
      </c>
      <c r="S23">
        <v>220</v>
      </c>
      <c r="T23">
        <v>46</v>
      </c>
      <c r="U23">
        <v>69</v>
      </c>
      <c r="V23">
        <v>44</v>
      </c>
    </row>
    <row r="24" spans="1:22" x14ac:dyDescent="0.25">
      <c r="A24" t="s">
        <v>69</v>
      </c>
      <c r="B24" t="s">
        <v>129</v>
      </c>
      <c r="C24" t="s">
        <v>43</v>
      </c>
      <c r="D24">
        <v>274</v>
      </c>
      <c r="E24" s="23">
        <v>103</v>
      </c>
      <c r="F24">
        <v>1995</v>
      </c>
      <c r="G24">
        <v>10</v>
      </c>
      <c r="H24">
        <v>0.74</v>
      </c>
      <c r="I24">
        <v>1315</v>
      </c>
      <c r="J24">
        <v>71</v>
      </c>
      <c r="K24">
        <v>41</v>
      </c>
      <c r="L24">
        <v>9</v>
      </c>
      <c r="M24">
        <v>8</v>
      </c>
      <c r="N24" s="27">
        <v>0.24</v>
      </c>
      <c r="O24" s="27">
        <v>0.16</v>
      </c>
      <c r="P24" t="s">
        <v>136</v>
      </c>
      <c r="Q24">
        <v>24</v>
      </c>
      <c r="R24">
        <v>194</v>
      </c>
      <c r="S24">
        <v>194</v>
      </c>
      <c r="T24">
        <v>111</v>
      </c>
      <c r="U24">
        <v>25</v>
      </c>
      <c r="V24">
        <v>23</v>
      </c>
    </row>
    <row r="25" spans="1:22" x14ac:dyDescent="0.25">
      <c r="A25" t="s">
        <v>20</v>
      </c>
      <c r="B25" t="s">
        <v>18</v>
      </c>
      <c r="C25" t="s">
        <v>39</v>
      </c>
      <c r="D25">
        <v>282</v>
      </c>
      <c r="E25" s="23">
        <v>97</v>
      </c>
      <c r="F25">
        <v>1931</v>
      </c>
      <c r="G25">
        <v>87</v>
      </c>
      <c r="H25">
        <v>0.74</v>
      </c>
      <c r="I25">
        <v>1274</v>
      </c>
      <c r="J25">
        <v>61</v>
      </c>
      <c r="K25">
        <v>41</v>
      </c>
      <c r="L25">
        <v>11</v>
      </c>
      <c r="M25">
        <v>12</v>
      </c>
      <c r="N25" s="27">
        <v>0.21</v>
      </c>
      <c r="O25" s="27">
        <v>0.16</v>
      </c>
      <c r="P25" t="s">
        <v>121</v>
      </c>
      <c r="Q25">
        <v>20</v>
      </c>
      <c r="R25">
        <v>172</v>
      </c>
      <c r="S25">
        <v>197</v>
      </c>
      <c r="T25">
        <v>117</v>
      </c>
      <c r="U25">
        <v>31</v>
      </c>
      <c r="V25">
        <v>34</v>
      </c>
    </row>
    <row r="26" spans="1:22" x14ac:dyDescent="0.25">
      <c r="A26" t="s">
        <v>74</v>
      </c>
      <c r="B26" t="s">
        <v>131</v>
      </c>
      <c r="C26" t="s">
        <v>40</v>
      </c>
      <c r="D26">
        <v>346</v>
      </c>
      <c r="E26" s="23">
        <v>94</v>
      </c>
      <c r="F26">
        <v>1728</v>
      </c>
      <c r="G26">
        <v>85</v>
      </c>
      <c r="H26">
        <v>0.71</v>
      </c>
      <c r="I26">
        <v>1220</v>
      </c>
      <c r="J26">
        <v>58</v>
      </c>
      <c r="K26">
        <v>34</v>
      </c>
      <c r="L26">
        <v>7</v>
      </c>
      <c r="M26">
        <v>1</v>
      </c>
      <c r="N26" s="27">
        <v>0.23</v>
      </c>
      <c r="O26" s="27">
        <v>0.16</v>
      </c>
      <c r="P26" t="s">
        <v>199</v>
      </c>
      <c r="Q26">
        <v>22</v>
      </c>
      <c r="R26">
        <v>201</v>
      </c>
      <c r="S26">
        <v>236</v>
      </c>
      <c r="T26">
        <v>116</v>
      </c>
      <c r="U26">
        <v>24</v>
      </c>
      <c r="V26">
        <v>35</v>
      </c>
    </row>
    <row r="27" spans="1:22" x14ac:dyDescent="0.25">
      <c r="A27" t="s">
        <v>80</v>
      </c>
      <c r="B27" t="s">
        <v>128</v>
      </c>
      <c r="C27" t="s">
        <v>40</v>
      </c>
      <c r="D27">
        <v>304</v>
      </c>
      <c r="E27" s="23">
        <v>93</v>
      </c>
      <c r="F27">
        <v>1804</v>
      </c>
      <c r="G27">
        <v>93</v>
      </c>
      <c r="H27">
        <v>0.69</v>
      </c>
      <c r="I27">
        <v>1192</v>
      </c>
      <c r="J27">
        <v>64</v>
      </c>
      <c r="K27">
        <v>23</v>
      </c>
      <c r="L27">
        <v>8</v>
      </c>
      <c r="M27">
        <v>8</v>
      </c>
      <c r="N27" s="27">
        <v>0.25</v>
      </c>
      <c r="O27" s="27">
        <v>0.16</v>
      </c>
      <c r="P27" t="s">
        <v>200</v>
      </c>
      <c r="Q27">
        <v>21</v>
      </c>
      <c r="R27">
        <v>196</v>
      </c>
      <c r="S27">
        <v>210</v>
      </c>
      <c r="T27">
        <v>69</v>
      </c>
      <c r="U27">
        <v>24</v>
      </c>
      <c r="V27">
        <v>25</v>
      </c>
    </row>
    <row r="28" spans="1:22" x14ac:dyDescent="0.25">
      <c r="A28" t="s">
        <v>117</v>
      </c>
      <c r="B28" t="s">
        <v>126</v>
      </c>
      <c r="C28" t="s">
        <v>42</v>
      </c>
      <c r="D28">
        <v>318</v>
      </c>
      <c r="E28" s="23">
        <v>99</v>
      </c>
      <c r="F28">
        <v>2061</v>
      </c>
      <c r="G28">
        <v>101</v>
      </c>
      <c r="H28">
        <v>0.71</v>
      </c>
      <c r="I28">
        <v>1348</v>
      </c>
      <c r="J28">
        <v>72</v>
      </c>
      <c r="K28">
        <v>36</v>
      </c>
      <c r="L28">
        <v>8</v>
      </c>
      <c r="M28">
        <v>8</v>
      </c>
      <c r="N28" s="27">
        <v>0.32</v>
      </c>
      <c r="O28" s="27">
        <v>0.15</v>
      </c>
      <c r="P28" t="s">
        <v>193</v>
      </c>
      <c r="Q28">
        <v>23</v>
      </c>
      <c r="R28">
        <v>228</v>
      </c>
      <c r="S28">
        <v>226</v>
      </c>
      <c r="T28">
        <v>113</v>
      </c>
      <c r="U28">
        <v>26</v>
      </c>
      <c r="V28">
        <v>24</v>
      </c>
    </row>
    <row r="29" spans="1:22" x14ac:dyDescent="0.25">
      <c r="A29" t="s">
        <v>23</v>
      </c>
      <c r="B29" t="s">
        <v>18</v>
      </c>
      <c r="C29" t="s">
        <v>43</v>
      </c>
      <c r="D29">
        <v>282</v>
      </c>
      <c r="E29" s="23">
        <v>113</v>
      </c>
      <c r="F29">
        <v>2306</v>
      </c>
      <c r="G29">
        <v>127</v>
      </c>
      <c r="H29">
        <v>0.76</v>
      </c>
      <c r="I29">
        <v>1511</v>
      </c>
      <c r="J29">
        <v>79</v>
      </c>
      <c r="K29">
        <v>24</v>
      </c>
      <c r="L29">
        <v>11</v>
      </c>
      <c r="M29">
        <v>9</v>
      </c>
      <c r="N29" s="27">
        <v>0.24</v>
      </c>
      <c r="O29" s="27">
        <v>0.14000000000000001</v>
      </c>
      <c r="P29" t="s">
        <v>134</v>
      </c>
      <c r="Q29">
        <v>23</v>
      </c>
      <c r="R29">
        <v>223</v>
      </c>
      <c r="S29">
        <v>176</v>
      </c>
      <c r="T29">
        <v>69</v>
      </c>
      <c r="U29">
        <v>32</v>
      </c>
      <c r="V29">
        <v>24</v>
      </c>
    </row>
    <row r="30" spans="1:22" x14ac:dyDescent="0.25">
      <c r="A30" t="s">
        <v>73</v>
      </c>
      <c r="B30" t="s">
        <v>131</v>
      </c>
      <c r="C30" t="s">
        <v>43</v>
      </c>
      <c r="D30">
        <v>346</v>
      </c>
      <c r="E30" s="23">
        <v>103</v>
      </c>
      <c r="F30">
        <v>2148</v>
      </c>
      <c r="G30">
        <v>105</v>
      </c>
      <c r="H30">
        <v>0.68</v>
      </c>
      <c r="I30">
        <v>1452</v>
      </c>
      <c r="J30">
        <v>75</v>
      </c>
      <c r="K30">
        <v>21</v>
      </c>
      <c r="L30">
        <v>11</v>
      </c>
      <c r="M30">
        <v>12</v>
      </c>
      <c r="N30" s="27">
        <v>0.23</v>
      </c>
      <c r="O30" s="27">
        <v>0.14000000000000001</v>
      </c>
      <c r="P30" t="s">
        <v>189</v>
      </c>
      <c r="Q30">
        <v>23</v>
      </c>
      <c r="R30">
        <v>261</v>
      </c>
      <c r="S30">
        <v>248</v>
      </c>
      <c r="T30">
        <v>71</v>
      </c>
      <c r="U30">
        <v>38</v>
      </c>
      <c r="V30">
        <v>43</v>
      </c>
    </row>
    <row r="31" spans="1:22" x14ac:dyDescent="0.25">
      <c r="A31" t="s">
        <v>85</v>
      </c>
      <c r="B31" t="s">
        <v>84</v>
      </c>
      <c r="C31" t="s">
        <v>43</v>
      </c>
      <c r="D31">
        <v>281</v>
      </c>
      <c r="E31" s="23">
        <v>97</v>
      </c>
      <c r="F31">
        <v>1942</v>
      </c>
      <c r="G31">
        <v>95</v>
      </c>
      <c r="H31">
        <v>0.71</v>
      </c>
      <c r="I31">
        <v>1325</v>
      </c>
      <c r="J31">
        <v>65</v>
      </c>
      <c r="K31">
        <v>24</v>
      </c>
      <c r="L31">
        <v>1</v>
      </c>
      <c r="M31">
        <v>6</v>
      </c>
      <c r="N31" s="27">
        <v>0.19</v>
      </c>
      <c r="O31" s="27">
        <v>0.13</v>
      </c>
      <c r="P31" t="s">
        <v>146</v>
      </c>
      <c r="Q31">
        <v>20</v>
      </c>
      <c r="R31">
        <v>183</v>
      </c>
      <c r="S31">
        <v>193</v>
      </c>
      <c r="T31">
        <v>67</v>
      </c>
      <c r="U31">
        <v>29</v>
      </c>
      <c r="V31">
        <v>16</v>
      </c>
    </row>
    <row r="32" spans="1:22" x14ac:dyDescent="0.25">
      <c r="A32" t="s">
        <v>115</v>
      </c>
      <c r="B32" t="s">
        <v>126</v>
      </c>
      <c r="C32" t="s">
        <v>43</v>
      </c>
      <c r="D32">
        <v>181</v>
      </c>
      <c r="E32" s="23">
        <v>82</v>
      </c>
      <c r="F32">
        <v>1786</v>
      </c>
      <c r="G32">
        <v>9</v>
      </c>
      <c r="H32">
        <v>0.64</v>
      </c>
      <c r="I32">
        <v>1231</v>
      </c>
      <c r="J32">
        <v>64</v>
      </c>
      <c r="K32">
        <v>18</v>
      </c>
      <c r="L32">
        <v>12</v>
      </c>
      <c r="M32">
        <v>24</v>
      </c>
      <c r="N32" s="27">
        <v>0.2</v>
      </c>
      <c r="O32" s="27">
        <v>0.13</v>
      </c>
      <c r="P32" t="s">
        <v>125</v>
      </c>
      <c r="Q32">
        <v>25</v>
      </c>
      <c r="R32">
        <v>116</v>
      </c>
      <c r="S32">
        <v>129</v>
      </c>
      <c r="T32">
        <v>32</v>
      </c>
      <c r="U32">
        <v>21</v>
      </c>
      <c r="V32">
        <v>43</v>
      </c>
    </row>
    <row r="33" spans="1:22" x14ac:dyDescent="0.25">
      <c r="A33" t="s">
        <v>99</v>
      </c>
      <c r="B33" t="s">
        <v>96</v>
      </c>
      <c r="C33" t="s">
        <v>40</v>
      </c>
      <c r="D33">
        <v>335</v>
      </c>
      <c r="E33" s="23">
        <v>94</v>
      </c>
      <c r="F33">
        <v>1775</v>
      </c>
      <c r="G33">
        <v>91</v>
      </c>
      <c r="H33">
        <v>0.73</v>
      </c>
      <c r="I33">
        <v>1188</v>
      </c>
      <c r="J33">
        <v>64</v>
      </c>
      <c r="K33">
        <v>37</v>
      </c>
      <c r="L33">
        <v>5</v>
      </c>
      <c r="M33">
        <v>6</v>
      </c>
      <c r="N33" s="27">
        <v>0.22</v>
      </c>
      <c r="O33" s="27">
        <v>0.12</v>
      </c>
      <c r="P33" t="s">
        <v>198</v>
      </c>
      <c r="Q33">
        <v>24</v>
      </c>
      <c r="R33">
        <v>214</v>
      </c>
      <c r="S33">
        <v>236</v>
      </c>
      <c r="T33">
        <v>123</v>
      </c>
      <c r="U33">
        <v>18</v>
      </c>
      <c r="V33">
        <v>20</v>
      </c>
    </row>
    <row r="34" spans="1:22" x14ac:dyDescent="0.25">
      <c r="A34" t="s">
        <v>118</v>
      </c>
      <c r="B34" t="s">
        <v>126</v>
      </c>
      <c r="C34" t="s">
        <v>43</v>
      </c>
      <c r="D34">
        <v>318</v>
      </c>
      <c r="E34" s="23">
        <v>93</v>
      </c>
      <c r="F34">
        <v>1793</v>
      </c>
      <c r="G34">
        <v>92</v>
      </c>
      <c r="H34">
        <v>0.7</v>
      </c>
      <c r="I34">
        <v>1240</v>
      </c>
      <c r="J34">
        <v>61</v>
      </c>
      <c r="K34">
        <v>23</v>
      </c>
      <c r="L34">
        <v>4</v>
      </c>
      <c r="M34">
        <v>8</v>
      </c>
      <c r="N34" s="27">
        <v>0.23</v>
      </c>
      <c r="O34" s="27">
        <v>0.12</v>
      </c>
      <c r="P34" t="s">
        <v>201</v>
      </c>
      <c r="Q34">
        <v>22</v>
      </c>
      <c r="R34">
        <v>194</v>
      </c>
      <c r="S34">
        <v>212</v>
      </c>
      <c r="T34">
        <v>72</v>
      </c>
      <c r="U34">
        <v>14</v>
      </c>
      <c r="V34">
        <v>26</v>
      </c>
    </row>
    <row r="35" spans="1:22" x14ac:dyDescent="0.25">
      <c r="A35" t="s">
        <v>81</v>
      </c>
      <c r="B35" t="s">
        <v>128</v>
      </c>
      <c r="C35" t="s">
        <v>39</v>
      </c>
      <c r="D35">
        <v>304</v>
      </c>
      <c r="E35" s="23">
        <v>113</v>
      </c>
      <c r="F35">
        <v>2000</v>
      </c>
      <c r="G35">
        <v>119</v>
      </c>
      <c r="H35">
        <v>0.79</v>
      </c>
      <c r="I35">
        <v>1296</v>
      </c>
      <c r="J35">
        <v>71</v>
      </c>
      <c r="K35">
        <v>3</v>
      </c>
      <c r="L35">
        <v>5</v>
      </c>
      <c r="M35">
        <v>5</v>
      </c>
      <c r="N35" s="27">
        <v>0.28000000000000003</v>
      </c>
      <c r="O35" s="27">
        <v>0.11</v>
      </c>
      <c r="P35" t="s">
        <v>179</v>
      </c>
      <c r="Q35">
        <v>25</v>
      </c>
      <c r="R35">
        <v>217</v>
      </c>
      <c r="S35">
        <v>182</v>
      </c>
      <c r="T35">
        <v>91</v>
      </c>
      <c r="U35">
        <v>14</v>
      </c>
      <c r="V35">
        <v>16</v>
      </c>
    </row>
    <row r="36" spans="1:22" x14ac:dyDescent="0.25">
      <c r="A36" t="s">
        <v>64</v>
      </c>
      <c r="B36" t="s">
        <v>130</v>
      </c>
      <c r="C36" t="s">
        <v>43</v>
      </c>
      <c r="D36">
        <v>333</v>
      </c>
      <c r="E36" s="23">
        <v>102</v>
      </c>
      <c r="F36">
        <v>2016</v>
      </c>
      <c r="G36">
        <v>95</v>
      </c>
      <c r="H36">
        <v>0.71</v>
      </c>
      <c r="I36">
        <v>1316</v>
      </c>
      <c r="J36">
        <v>7</v>
      </c>
      <c r="K36">
        <v>28</v>
      </c>
      <c r="L36">
        <v>15</v>
      </c>
      <c r="M36">
        <v>17</v>
      </c>
      <c r="N36" s="27">
        <v>0.2</v>
      </c>
      <c r="O36" s="27">
        <v>0.11</v>
      </c>
      <c r="P36" t="s">
        <v>145</v>
      </c>
      <c r="Q36">
        <v>23</v>
      </c>
      <c r="R36">
        <v>233</v>
      </c>
      <c r="S36">
        <v>244</v>
      </c>
      <c r="T36">
        <v>92</v>
      </c>
      <c r="U36">
        <v>51</v>
      </c>
      <c r="V36">
        <v>57</v>
      </c>
    </row>
    <row r="37" spans="1:22" x14ac:dyDescent="0.25">
      <c r="A37" t="s">
        <v>86</v>
      </c>
      <c r="B37" t="s">
        <v>84</v>
      </c>
      <c r="C37" t="s">
        <v>40</v>
      </c>
      <c r="D37">
        <v>281</v>
      </c>
      <c r="E37" s="23">
        <v>98</v>
      </c>
      <c r="F37">
        <v>1948</v>
      </c>
      <c r="G37">
        <v>93</v>
      </c>
      <c r="H37">
        <v>0.73</v>
      </c>
      <c r="I37">
        <v>1266</v>
      </c>
      <c r="J37">
        <v>67</v>
      </c>
      <c r="K37">
        <v>36</v>
      </c>
      <c r="L37">
        <v>8</v>
      </c>
      <c r="M37">
        <v>7</v>
      </c>
      <c r="N37" s="27">
        <v>0.32</v>
      </c>
      <c r="O37" s="27">
        <v>0.11</v>
      </c>
      <c r="P37" t="s">
        <v>145</v>
      </c>
      <c r="Q37">
        <v>21</v>
      </c>
      <c r="R37">
        <v>188</v>
      </c>
      <c r="S37">
        <v>203</v>
      </c>
      <c r="T37">
        <v>101</v>
      </c>
      <c r="U37">
        <v>22</v>
      </c>
      <c r="V37">
        <v>21</v>
      </c>
    </row>
    <row r="38" spans="1:22" x14ac:dyDescent="0.25">
      <c r="A38" t="s">
        <v>101</v>
      </c>
      <c r="B38" t="s">
        <v>96</v>
      </c>
      <c r="C38" t="s">
        <v>40</v>
      </c>
      <c r="D38">
        <v>335</v>
      </c>
      <c r="E38" s="23">
        <v>98</v>
      </c>
      <c r="F38">
        <v>1953</v>
      </c>
      <c r="G38">
        <v>98</v>
      </c>
      <c r="H38">
        <v>0.74</v>
      </c>
      <c r="I38">
        <v>1241</v>
      </c>
      <c r="J38">
        <v>7</v>
      </c>
      <c r="K38">
        <v>37</v>
      </c>
      <c r="L38">
        <v>9</v>
      </c>
      <c r="M38">
        <v>1</v>
      </c>
      <c r="N38" s="27">
        <v>0.28000000000000003</v>
      </c>
      <c r="O38" s="27">
        <v>0.11</v>
      </c>
      <c r="P38" t="s">
        <v>179</v>
      </c>
      <c r="Q38">
        <v>30</v>
      </c>
      <c r="R38">
        <v>235</v>
      </c>
      <c r="S38">
        <v>240</v>
      </c>
      <c r="T38">
        <v>125</v>
      </c>
      <c r="U38">
        <v>30</v>
      </c>
      <c r="V38">
        <v>33</v>
      </c>
    </row>
    <row r="39" spans="1:22" x14ac:dyDescent="0.25">
      <c r="A39" t="s">
        <v>98</v>
      </c>
      <c r="B39" t="s">
        <v>96</v>
      </c>
      <c r="C39" t="s">
        <v>43</v>
      </c>
      <c r="D39">
        <v>335</v>
      </c>
      <c r="E39" s="23">
        <v>88</v>
      </c>
      <c r="F39">
        <v>1813</v>
      </c>
      <c r="G39">
        <v>87</v>
      </c>
      <c r="H39">
        <v>0.65</v>
      </c>
      <c r="I39">
        <v>1250</v>
      </c>
      <c r="J39">
        <v>62</v>
      </c>
      <c r="K39">
        <v>35</v>
      </c>
      <c r="L39">
        <v>7</v>
      </c>
      <c r="M39">
        <v>11</v>
      </c>
      <c r="N39" s="27">
        <v>0.23</v>
      </c>
      <c r="O39" s="27">
        <v>0.11</v>
      </c>
      <c r="P39" t="s">
        <v>145</v>
      </c>
      <c r="Q39">
        <v>24</v>
      </c>
      <c r="R39">
        <v>209</v>
      </c>
      <c r="S39">
        <v>240</v>
      </c>
      <c r="T39">
        <v>118</v>
      </c>
      <c r="U39">
        <v>25</v>
      </c>
      <c r="V39">
        <v>38</v>
      </c>
    </row>
    <row r="40" spans="1:22" x14ac:dyDescent="0.25">
      <c r="A40" t="s">
        <v>91</v>
      </c>
      <c r="B40" t="s">
        <v>127</v>
      </c>
      <c r="C40" t="s">
        <v>43</v>
      </c>
      <c r="D40">
        <v>351</v>
      </c>
      <c r="E40" s="23">
        <v>114</v>
      </c>
      <c r="F40">
        <v>1908</v>
      </c>
      <c r="G40">
        <v>117</v>
      </c>
      <c r="H40">
        <v>0.78</v>
      </c>
      <c r="I40">
        <v>1248</v>
      </c>
      <c r="J40">
        <v>67</v>
      </c>
      <c r="K40">
        <v>38</v>
      </c>
      <c r="L40">
        <v>4</v>
      </c>
      <c r="M40">
        <v>5</v>
      </c>
      <c r="N40" s="27">
        <v>0.2</v>
      </c>
      <c r="O40" s="27">
        <v>0.1</v>
      </c>
      <c r="P40" t="s">
        <v>178</v>
      </c>
      <c r="Q40">
        <v>22</v>
      </c>
      <c r="R40">
        <v>234</v>
      </c>
      <c r="S40">
        <v>200</v>
      </c>
      <c r="T40">
        <v>134</v>
      </c>
      <c r="U40">
        <v>15</v>
      </c>
      <c r="V40">
        <v>17</v>
      </c>
    </row>
    <row r="41" spans="1:22" x14ac:dyDescent="0.25">
      <c r="A41" t="s">
        <v>95</v>
      </c>
      <c r="B41" t="s">
        <v>127</v>
      </c>
      <c r="C41" t="s">
        <v>43</v>
      </c>
      <c r="D41">
        <v>351</v>
      </c>
      <c r="E41" s="23">
        <v>102</v>
      </c>
      <c r="F41">
        <v>1891</v>
      </c>
      <c r="G41">
        <v>10</v>
      </c>
      <c r="H41">
        <v>0.72</v>
      </c>
      <c r="I41">
        <v>1278</v>
      </c>
      <c r="J41">
        <v>66</v>
      </c>
      <c r="K41">
        <v>24</v>
      </c>
      <c r="L41">
        <v>8</v>
      </c>
      <c r="M41">
        <v>6</v>
      </c>
      <c r="N41" s="27">
        <v>0.2</v>
      </c>
      <c r="O41" s="27">
        <v>0.09</v>
      </c>
      <c r="P41" t="s">
        <v>124</v>
      </c>
      <c r="Q41">
        <v>23</v>
      </c>
      <c r="R41">
        <v>230</v>
      </c>
      <c r="S41">
        <v>230</v>
      </c>
      <c r="T41">
        <v>84</v>
      </c>
      <c r="U41">
        <v>28</v>
      </c>
      <c r="V41">
        <v>20</v>
      </c>
    </row>
    <row r="42" spans="1:22" x14ac:dyDescent="0.25">
      <c r="A42" t="s">
        <v>78</v>
      </c>
      <c r="B42" t="s">
        <v>131</v>
      </c>
      <c r="C42" t="s">
        <v>43</v>
      </c>
      <c r="D42">
        <v>278</v>
      </c>
      <c r="E42" s="23">
        <v>101</v>
      </c>
      <c r="F42">
        <v>2045</v>
      </c>
      <c r="G42">
        <v>106</v>
      </c>
      <c r="H42">
        <v>0.68</v>
      </c>
      <c r="I42">
        <v>1334</v>
      </c>
      <c r="J42">
        <v>73</v>
      </c>
      <c r="K42">
        <v>13</v>
      </c>
      <c r="L42">
        <v>14</v>
      </c>
      <c r="M42">
        <v>12</v>
      </c>
      <c r="N42" s="27">
        <v>0.28999999999999998</v>
      </c>
      <c r="O42" s="27">
        <v>0.09</v>
      </c>
      <c r="P42" t="s">
        <v>124</v>
      </c>
      <c r="Q42">
        <v>22</v>
      </c>
      <c r="R42">
        <v>203</v>
      </c>
      <c r="S42">
        <v>192</v>
      </c>
      <c r="T42">
        <v>36</v>
      </c>
      <c r="U42">
        <v>39</v>
      </c>
      <c r="V42">
        <v>34</v>
      </c>
    </row>
    <row r="43" spans="1:22" x14ac:dyDescent="0.25">
      <c r="A43" t="s">
        <v>62</v>
      </c>
      <c r="B43" t="s">
        <v>130</v>
      </c>
      <c r="C43" t="s">
        <v>40</v>
      </c>
      <c r="D43">
        <v>333</v>
      </c>
      <c r="E43" s="23">
        <v>98</v>
      </c>
      <c r="F43">
        <v>1867</v>
      </c>
      <c r="G43">
        <v>91</v>
      </c>
      <c r="H43">
        <v>0.71</v>
      </c>
      <c r="I43">
        <v>1293</v>
      </c>
      <c r="J43">
        <v>64</v>
      </c>
      <c r="K43">
        <v>35</v>
      </c>
      <c r="L43">
        <v>6</v>
      </c>
      <c r="M43">
        <v>7</v>
      </c>
      <c r="N43" s="27">
        <v>0.31</v>
      </c>
      <c r="O43" s="27">
        <v>0.09</v>
      </c>
      <c r="P43" t="s">
        <v>194</v>
      </c>
      <c r="Q43">
        <v>23</v>
      </c>
      <c r="R43">
        <v>212</v>
      </c>
      <c r="S43">
        <v>232</v>
      </c>
      <c r="T43">
        <v>116</v>
      </c>
      <c r="U43">
        <v>20</v>
      </c>
      <c r="V43">
        <v>22</v>
      </c>
    </row>
    <row r="44" spans="1:22" x14ac:dyDescent="0.25">
      <c r="A44" t="s">
        <v>97</v>
      </c>
      <c r="B44" t="s">
        <v>96</v>
      </c>
      <c r="C44" t="s">
        <v>43</v>
      </c>
      <c r="D44">
        <v>335</v>
      </c>
      <c r="E44" s="23">
        <v>87</v>
      </c>
      <c r="F44">
        <v>1839</v>
      </c>
      <c r="G44">
        <v>87</v>
      </c>
      <c r="H44">
        <v>0.7</v>
      </c>
      <c r="I44">
        <v>1317</v>
      </c>
      <c r="J44">
        <v>62</v>
      </c>
      <c r="K44">
        <v>2</v>
      </c>
      <c r="L44">
        <v>8</v>
      </c>
      <c r="M44">
        <v>8</v>
      </c>
      <c r="N44" s="27">
        <v>0.28000000000000003</v>
      </c>
      <c r="O44" s="27">
        <v>0.09</v>
      </c>
      <c r="P44" t="s">
        <v>203</v>
      </c>
      <c r="Q44">
        <v>27</v>
      </c>
      <c r="R44">
        <v>208</v>
      </c>
      <c r="S44">
        <v>240</v>
      </c>
      <c r="T44">
        <v>67</v>
      </c>
      <c r="U44">
        <v>27</v>
      </c>
      <c r="V44">
        <v>28</v>
      </c>
    </row>
    <row r="45" spans="1:22" x14ac:dyDescent="0.25">
      <c r="A45" t="s">
        <v>92</v>
      </c>
      <c r="B45" t="s">
        <v>127</v>
      </c>
      <c r="C45" t="s">
        <v>43</v>
      </c>
      <c r="D45">
        <v>351</v>
      </c>
      <c r="E45" s="23">
        <v>101</v>
      </c>
      <c r="F45">
        <v>1967</v>
      </c>
      <c r="G45">
        <v>102</v>
      </c>
      <c r="H45">
        <v>0.7</v>
      </c>
      <c r="I45">
        <v>1227</v>
      </c>
      <c r="J45">
        <v>68</v>
      </c>
      <c r="K45">
        <v>18</v>
      </c>
      <c r="L45">
        <v>18</v>
      </c>
      <c r="M45">
        <v>19</v>
      </c>
      <c r="N45" s="27">
        <v>0.19</v>
      </c>
      <c r="O45" s="27">
        <v>0.08</v>
      </c>
      <c r="P45" t="s">
        <v>44</v>
      </c>
      <c r="Q45">
        <v>19</v>
      </c>
      <c r="R45">
        <v>237</v>
      </c>
      <c r="S45">
        <v>233</v>
      </c>
      <c r="T45">
        <v>62</v>
      </c>
      <c r="U45">
        <v>62</v>
      </c>
      <c r="V45">
        <v>65</v>
      </c>
    </row>
    <row r="46" spans="1:22" x14ac:dyDescent="0.25">
      <c r="A46" t="s">
        <v>77</v>
      </c>
      <c r="B46" t="s">
        <v>131</v>
      </c>
      <c r="C46" t="s">
        <v>43</v>
      </c>
      <c r="D46">
        <v>346</v>
      </c>
      <c r="E46" s="23">
        <v>10</v>
      </c>
      <c r="F46">
        <v>1968</v>
      </c>
      <c r="G46">
        <v>92</v>
      </c>
      <c r="H46">
        <v>0.74</v>
      </c>
      <c r="I46">
        <v>1270</v>
      </c>
      <c r="J46">
        <v>67</v>
      </c>
      <c r="K46">
        <v>46</v>
      </c>
      <c r="L46">
        <v>7</v>
      </c>
      <c r="M46">
        <v>7</v>
      </c>
      <c r="N46" s="27">
        <v>0.23</v>
      </c>
      <c r="O46" s="27">
        <v>0.08</v>
      </c>
      <c r="P46" t="s">
        <v>191</v>
      </c>
      <c r="Q46">
        <v>21</v>
      </c>
      <c r="R46">
        <v>231</v>
      </c>
      <c r="S46">
        <v>250</v>
      </c>
      <c r="T46">
        <v>160</v>
      </c>
      <c r="U46">
        <v>23</v>
      </c>
      <c r="V46">
        <v>23</v>
      </c>
    </row>
    <row r="47" spans="1:22" x14ac:dyDescent="0.25">
      <c r="A47" t="s">
        <v>76</v>
      </c>
      <c r="B47" t="s">
        <v>131</v>
      </c>
      <c r="C47" t="s">
        <v>40</v>
      </c>
      <c r="D47">
        <v>346</v>
      </c>
      <c r="E47" s="23">
        <v>88</v>
      </c>
      <c r="F47">
        <v>1946</v>
      </c>
      <c r="G47">
        <v>81</v>
      </c>
      <c r="H47">
        <v>0.71</v>
      </c>
      <c r="I47">
        <v>1268</v>
      </c>
      <c r="J47">
        <v>65</v>
      </c>
      <c r="K47">
        <v>34</v>
      </c>
      <c r="L47">
        <v>8</v>
      </c>
      <c r="M47">
        <v>14</v>
      </c>
      <c r="N47" s="27">
        <v>0.19</v>
      </c>
      <c r="O47" s="27">
        <v>0.08</v>
      </c>
      <c r="P47" t="s">
        <v>44</v>
      </c>
      <c r="Q47">
        <v>22</v>
      </c>
      <c r="R47">
        <v>224</v>
      </c>
      <c r="S47">
        <v>278</v>
      </c>
      <c r="T47">
        <v>117</v>
      </c>
      <c r="U47">
        <v>29</v>
      </c>
      <c r="V47">
        <v>49</v>
      </c>
    </row>
    <row r="48" spans="1:22" x14ac:dyDescent="0.25">
      <c r="A48" t="s">
        <v>93</v>
      </c>
      <c r="B48" t="s">
        <v>127</v>
      </c>
      <c r="C48" t="s">
        <v>43</v>
      </c>
      <c r="D48">
        <v>351</v>
      </c>
      <c r="E48" s="23">
        <v>108</v>
      </c>
      <c r="F48">
        <v>2136</v>
      </c>
      <c r="G48">
        <v>107</v>
      </c>
      <c r="H48">
        <v>0.74</v>
      </c>
      <c r="I48">
        <v>1358</v>
      </c>
      <c r="J48">
        <v>74</v>
      </c>
      <c r="K48">
        <v>41</v>
      </c>
      <c r="L48">
        <v>14</v>
      </c>
      <c r="M48">
        <v>9</v>
      </c>
      <c r="N48" s="27">
        <v>0.25</v>
      </c>
      <c r="O48" s="27">
        <v>7.0000000000000007E-2</v>
      </c>
      <c r="P48" t="s">
        <v>184</v>
      </c>
      <c r="Q48">
        <v>22</v>
      </c>
      <c r="R48">
        <v>261</v>
      </c>
      <c r="S48">
        <v>245</v>
      </c>
      <c r="T48">
        <v>143</v>
      </c>
      <c r="U48">
        <v>48</v>
      </c>
      <c r="V48">
        <v>31</v>
      </c>
    </row>
    <row r="49" spans="1:22" x14ac:dyDescent="0.25">
      <c r="A49" t="s">
        <v>100</v>
      </c>
      <c r="B49" t="s">
        <v>96</v>
      </c>
      <c r="C49" t="s">
        <v>43</v>
      </c>
      <c r="D49">
        <v>335</v>
      </c>
      <c r="E49" s="23">
        <v>97</v>
      </c>
      <c r="F49">
        <v>2131</v>
      </c>
      <c r="G49">
        <v>10</v>
      </c>
      <c r="H49">
        <v>0.66</v>
      </c>
      <c r="I49">
        <v>1393</v>
      </c>
      <c r="J49">
        <v>74</v>
      </c>
      <c r="K49">
        <v>13</v>
      </c>
      <c r="L49">
        <v>16</v>
      </c>
      <c r="M49">
        <v>19</v>
      </c>
      <c r="N49" s="27">
        <v>0.26</v>
      </c>
      <c r="O49" s="27">
        <v>7.0000000000000007E-2</v>
      </c>
      <c r="P49" t="s">
        <v>197</v>
      </c>
      <c r="Q49">
        <v>23</v>
      </c>
      <c r="R49">
        <v>247</v>
      </c>
      <c r="S49">
        <v>248</v>
      </c>
      <c r="T49">
        <v>42</v>
      </c>
      <c r="U49">
        <v>53</v>
      </c>
      <c r="V49">
        <v>63</v>
      </c>
    </row>
    <row r="50" spans="1:22" x14ac:dyDescent="0.25">
      <c r="A50" t="s">
        <v>61</v>
      </c>
      <c r="B50" t="s">
        <v>130</v>
      </c>
      <c r="C50" t="s">
        <v>43</v>
      </c>
      <c r="D50">
        <v>333</v>
      </c>
      <c r="E50" s="23">
        <v>92</v>
      </c>
      <c r="F50">
        <v>1798</v>
      </c>
      <c r="G50">
        <v>88</v>
      </c>
      <c r="H50">
        <v>0.7</v>
      </c>
      <c r="I50">
        <v>1181</v>
      </c>
      <c r="J50">
        <v>62</v>
      </c>
      <c r="K50">
        <v>21</v>
      </c>
      <c r="L50">
        <v>9</v>
      </c>
      <c r="M50">
        <v>7</v>
      </c>
      <c r="N50" s="27">
        <v>0.21</v>
      </c>
      <c r="O50" s="27">
        <v>0.06</v>
      </c>
      <c r="P50" t="s">
        <v>202</v>
      </c>
      <c r="Q50">
        <v>21</v>
      </c>
      <c r="R50">
        <v>205</v>
      </c>
      <c r="S50">
        <v>234</v>
      </c>
      <c r="T50">
        <v>70</v>
      </c>
      <c r="U50">
        <v>29</v>
      </c>
      <c r="V50">
        <v>23</v>
      </c>
    </row>
    <row r="51" spans="1:22" x14ac:dyDescent="0.25">
      <c r="A51" t="s">
        <v>79</v>
      </c>
      <c r="B51" t="s">
        <v>128</v>
      </c>
      <c r="C51" t="s">
        <v>40</v>
      </c>
      <c r="D51">
        <v>304</v>
      </c>
      <c r="E51" s="23">
        <v>97</v>
      </c>
      <c r="F51">
        <v>2036</v>
      </c>
      <c r="G51">
        <v>99</v>
      </c>
      <c r="H51">
        <v>0.74</v>
      </c>
      <c r="I51">
        <v>1369</v>
      </c>
      <c r="J51">
        <v>69</v>
      </c>
      <c r="K51">
        <v>34</v>
      </c>
      <c r="L51">
        <v>8</v>
      </c>
      <c r="M51">
        <v>12</v>
      </c>
      <c r="N51" s="27">
        <v>0.19</v>
      </c>
      <c r="O51" s="27">
        <v>0.03</v>
      </c>
      <c r="P51" t="s">
        <v>196</v>
      </c>
      <c r="Q51">
        <v>30</v>
      </c>
      <c r="R51">
        <v>211</v>
      </c>
      <c r="S51">
        <v>214</v>
      </c>
      <c r="T51">
        <v>104</v>
      </c>
      <c r="U51">
        <v>25</v>
      </c>
      <c r="V51">
        <v>35</v>
      </c>
    </row>
    <row r="52" spans="1:22" x14ac:dyDescent="0.25">
      <c r="A52" t="s">
        <v>104</v>
      </c>
      <c r="B52" t="s">
        <v>102</v>
      </c>
      <c r="C52" t="s">
        <v>40</v>
      </c>
      <c r="D52">
        <v>280</v>
      </c>
      <c r="E52" s="23">
        <v>99</v>
      </c>
      <c r="F52">
        <v>2026</v>
      </c>
      <c r="G52">
        <v>99</v>
      </c>
      <c r="H52">
        <v>0.73</v>
      </c>
      <c r="I52">
        <v>1333</v>
      </c>
      <c r="J52">
        <v>69</v>
      </c>
      <c r="K52">
        <v>23</v>
      </c>
      <c r="L52">
        <v>15</v>
      </c>
      <c r="M52">
        <v>12</v>
      </c>
      <c r="N52" s="27">
        <v>0.18</v>
      </c>
      <c r="P52" t="s">
        <v>192</v>
      </c>
      <c r="Q52">
        <v>23</v>
      </c>
      <c r="R52">
        <v>194</v>
      </c>
      <c r="S52">
        <v>195</v>
      </c>
      <c r="T52">
        <v>64</v>
      </c>
      <c r="U52">
        <v>41</v>
      </c>
      <c r="V52">
        <v>33</v>
      </c>
    </row>
    <row r="53" spans="1:22" x14ac:dyDescent="0.25">
      <c r="A53" t="s">
        <v>88</v>
      </c>
      <c r="B53" t="s">
        <v>84</v>
      </c>
      <c r="C53" t="s">
        <v>40</v>
      </c>
      <c r="D53">
        <v>281</v>
      </c>
      <c r="E53" s="23">
        <v>84</v>
      </c>
      <c r="F53">
        <v>1692</v>
      </c>
      <c r="G53">
        <v>78</v>
      </c>
      <c r="H53">
        <v>0.69</v>
      </c>
      <c r="I53">
        <v>1044</v>
      </c>
      <c r="J53">
        <v>59</v>
      </c>
      <c r="K53">
        <v>4</v>
      </c>
      <c r="L53">
        <v>5</v>
      </c>
      <c r="M53">
        <v>8</v>
      </c>
      <c r="N53" s="27">
        <v>0.19</v>
      </c>
      <c r="P53" t="s">
        <v>148</v>
      </c>
      <c r="Q53">
        <v>22</v>
      </c>
      <c r="R53">
        <v>165</v>
      </c>
      <c r="S53">
        <v>211</v>
      </c>
      <c r="T53">
        <v>112</v>
      </c>
      <c r="U53">
        <v>15</v>
      </c>
      <c r="V53">
        <v>23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EF0-2588-46EC-9793-40C18AA7434B}">
  <dimension ref="A1:G11"/>
  <sheetViews>
    <sheetView workbookViewId="0">
      <selection activeCell="G3" sqref="G3"/>
    </sheetView>
  </sheetViews>
  <sheetFormatPr defaultRowHeight="15" x14ac:dyDescent="0.25"/>
  <cols>
    <col min="1" max="1" width="9.28515625" bestFit="1" customWidth="1"/>
    <col min="2" max="3" width="9.85546875" bestFit="1" customWidth="1"/>
    <col min="4" max="4" width="10.85546875" bestFit="1" customWidth="1"/>
    <col min="5" max="7" width="9.85546875" bestFit="1" customWidth="1"/>
    <col min="8" max="14" width="12.7109375" bestFit="1" customWidth="1"/>
    <col min="15" max="15" width="12.7109375" customWidth="1"/>
  </cols>
  <sheetData>
    <row r="1" spans="1:7" x14ac:dyDescent="0.25">
      <c r="A1" t="s">
        <v>45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25">
      <c r="A2" t="s">
        <v>138</v>
      </c>
      <c r="B2" t="s">
        <v>139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25">
      <c r="A4" t="s">
        <v>140</v>
      </c>
      <c r="B4" t="s">
        <v>141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</row>
    <row r="5" spans="1:7" x14ac:dyDescent="0.25">
      <c r="A5" t="s">
        <v>19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 t="s">
        <v>65</v>
      </c>
    </row>
    <row r="6" spans="1:7" x14ac:dyDescent="0.25">
      <c r="A6" t="s">
        <v>84</v>
      </c>
      <c r="B6" t="s">
        <v>142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</row>
    <row r="7" spans="1:7" x14ac:dyDescent="0.25">
      <c r="A7" t="s">
        <v>90</v>
      </c>
      <c r="B7" t="s">
        <v>91</v>
      </c>
      <c r="C7" t="s">
        <v>92</v>
      </c>
      <c r="D7" t="s">
        <v>93</v>
      </c>
      <c r="E7" t="s">
        <v>94</v>
      </c>
      <c r="F7" t="s">
        <v>95</v>
      </c>
      <c r="G7" t="s">
        <v>65</v>
      </c>
    </row>
    <row r="8" spans="1:7" x14ac:dyDescent="0.25">
      <c r="A8" t="s">
        <v>18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65</v>
      </c>
    </row>
    <row r="9" spans="1:7" x14ac:dyDescent="0.25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t="s">
        <v>101</v>
      </c>
      <c r="G9" t="s">
        <v>65</v>
      </c>
    </row>
    <row r="10" spans="1:7" x14ac:dyDescent="0.25">
      <c r="A10" t="s">
        <v>102</v>
      </c>
      <c r="B10" t="s">
        <v>142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</row>
    <row r="11" spans="1:7" x14ac:dyDescent="0.25">
      <c r="A11" t="s">
        <v>114</v>
      </c>
      <c r="B11" t="s">
        <v>115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918F-24D1-442D-9592-5E8D88720C5A}">
  <dimension ref="A1:O82"/>
  <sheetViews>
    <sheetView workbookViewId="0">
      <selection activeCell="A9" sqref="A9:A13"/>
    </sheetView>
  </sheetViews>
  <sheetFormatPr defaultRowHeight="15" x14ac:dyDescent="0.25"/>
  <sheetData>
    <row r="1" spans="1:15" ht="15" customHeight="1" x14ac:dyDescent="0.25">
      <c r="A1" s="57" t="s">
        <v>50</v>
      </c>
      <c r="B1" s="58"/>
      <c r="C1" s="58"/>
      <c r="D1" s="58"/>
      <c r="E1" s="58"/>
      <c r="F1" s="58"/>
      <c r="G1" s="59"/>
      <c r="H1" s="1"/>
      <c r="I1" s="57" t="s">
        <v>56</v>
      </c>
      <c r="J1" s="58"/>
      <c r="K1" s="58"/>
      <c r="L1" s="58"/>
      <c r="M1" s="58"/>
      <c r="N1" s="58"/>
      <c r="O1" s="59"/>
    </row>
    <row r="2" spans="1:15" ht="15" customHeight="1" x14ac:dyDescent="0.25">
      <c r="A2" s="55"/>
      <c r="B2" s="56"/>
      <c r="C2" s="56"/>
      <c r="D2" s="56"/>
      <c r="E2" s="56"/>
      <c r="F2" s="56"/>
      <c r="G2" s="60"/>
      <c r="H2" s="1"/>
      <c r="I2" s="55"/>
      <c r="J2" s="56"/>
      <c r="K2" s="56"/>
      <c r="L2" s="56"/>
      <c r="M2" s="56"/>
      <c r="N2" s="56"/>
      <c r="O2" s="60"/>
    </row>
    <row r="3" spans="1:15" ht="15.75" customHeight="1" thickBot="1" x14ac:dyDescent="0.3">
      <c r="A3" s="61"/>
      <c r="B3" s="62"/>
      <c r="C3" s="62"/>
      <c r="D3" s="62"/>
      <c r="E3" s="62"/>
      <c r="F3" s="62"/>
      <c r="G3" s="63"/>
      <c r="H3" s="1"/>
      <c r="I3" s="61"/>
      <c r="J3" s="62"/>
      <c r="K3" s="62"/>
      <c r="L3" s="62"/>
      <c r="M3" s="62"/>
      <c r="N3" s="62"/>
      <c r="O3" s="63"/>
    </row>
    <row r="4" spans="1:15" ht="23.25" x14ac:dyDescent="0.25">
      <c r="A4" s="12"/>
      <c r="B4" s="12"/>
      <c r="C4" s="12"/>
      <c r="D4" s="12"/>
      <c r="E4" s="12"/>
      <c r="F4" s="12"/>
      <c r="G4" s="1"/>
      <c r="H4" s="1"/>
      <c r="I4" s="12"/>
      <c r="J4" s="12"/>
      <c r="K4" s="12"/>
      <c r="L4" s="12"/>
      <c r="M4" s="12"/>
      <c r="N4" s="12"/>
      <c r="O4" s="1"/>
    </row>
    <row r="5" spans="1:15" x14ac:dyDescent="0.25">
      <c r="A5" s="7" t="s">
        <v>6</v>
      </c>
      <c r="B5" s="19" t="s">
        <v>7</v>
      </c>
      <c r="C5" s="19" t="s">
        <v>8</v>
      </c>
      <c r="D5" s="19" t="s">
        <v>5</v>
      </c>
      <c r="E5" s="19" t="s">
        <v>2</v>
      </c>
      <c r="F5" s="20" t="s">
        <v>10</v>
      </c>
      <c r="G5" s="20" t="s">
        <v>11</v>
      </c>
      <c r="H5" s="6"/>
      <c r="I5" s="7" t="s">
        <v>6</v>
      </c>
      <c r="J5" s="19" t="s">
        <v>7</v>
      </c>
      <c r="K5" s="19" t="s">
        <v>8</v>
      </c>
      <c r="L5" s="19" t="s">
        <v>5</v>
      </c>
      <c r="M5" s="19" t="s">
        <v>2</v>
      </c>
      <c r="N5" s="20" t="s">
        <v>10</v>
      </c>
      <c r="O5" s="20" t="s">
        <v>11</v>
      </c>
    </row>
    <row r="6" spans="1:15" x14ac:dyDescent="0.25">
      <c r="A6" s="11">
        <f>VLOOKUP(A1,team_stats_americas[#All],2,FALSE)</f>
        <v>5</v>
      </c>
      <c r="B6" s="15">
        <f>VLOOKUP(A1,team_stats_americas[#All],3,FALSE)</f>
        <v>0</v>
      </c>
      <c r="C6" s="15">
        <f>VLOOKUP(A1,team_stats_americas[#All],4,FALSE)</f>
        <v>0</v>
      </c>
      <c r="D6" s="16">
        <f>VLOOKUP(A1,team_stats_americas[#All],5,FALSE)</f>
        <v>45026</v>
      </c>
      <c r="E6" s="15" t="str">
        <f>VLOOKUP(A1,team_stats_americas[#All],6,FALSE)</f>
        <v>157/125</v>
      </c>
      <c r="F6" s="17">
        <f>VLOOKUP(A1,team_stats_americas[#All],7,FALSE)</f>
        <v>32</v>
      </c>
      <c r="G6" s="25" t="e">
        <f>B14</f>
        <v>#DIV/0!</v>
      </c>
      <c r="H6" s="5"/>
      <c r="I6" s="11">
        <f>VLOOKUP(I1,team_stats_americas[#All],2,FALSE)</f>
        <v>2</v>
      </c>
      <c r="J6" s="15">
        <f>VLOOKUP(I1,team_stats_americas[#All],3,FALSE)</f>
        <v>4</v>
      </c>
      <c r="K6" s="15">
        <f>VLOOKUP(I1,team_stats_americas[#All],4,FALSE)</f>
        <v>0</v>
      </c>
      <c r="L6" s="16">
        <f>VLOOKUP(I1,team_stats_americas[#All],5,FALSE)</f>
        <v>45204</v>
      </c>
      <c r="M6" s="15" t="str">
        <f>VLOOKUP(I1,team_stats_americas[#All],6,FALSE)</f>
        <v>144/191</v>
      </c>
      <c r="N6" s="17">
        <f>VLOOKUP(I1,team_stats_americas[#All],7,FALSE)</f>
        <v>-47</v>
      </c>
      <c r="O6" s="25" t="e">
        <f>J14</f>
        <v>#DIV/0!</v>
      </c>
    </row>
    <row r="7" spans="1:15" x14ac:dyDescent="0.25">
      <c r="A7" s="5"/>
      <c r="B7" s="4"/>
      <c r="C7" s="4"/>
      <c r="D7" s="4"/>
      <c r="E7" s="4"/>
      <c r="F7" s="4"/>
      <c r="G7" s="1"/>
      <c r="H7" s="1"/>
      <c r="I7" s="5"/>
      <c r="J7" s="4"/>
      <c r="K7" s="4"/>
      <c r="L7" s="4"/>
      <c r="M7" s="4"/>
      <c r="N7" s="4"/>
      <c r="O7" s="1"/>
    </row>
    <row r="8" spans="1:15" x14ac:dyDescent="0.25">
      <c r="A8" s="3" t="s">
        <v>3</v>
      </c>
      <c r="B8" t="s">
        <v>4</v>
      </c>
      <c r="C8" t="s">
        <v>0</v>
      </c>
      <c r="D8" t="s">
        <v>1</v>
      </c>
      <c r="E8" t="s">
        <v>16</v>
      </c>
      <c r="F8" t="s">
        <v>15</v>
      </c>
      <c r="G8" s="2" t="s">
        <v>9</v>
      </c>
      <c r="H8" s="1"/>
      <c r="I8" s="3" t="s">
        <v>3</v>
      </c>
      <c r="J8" t="s">
        <v>4</v>
      </c>
      <c r="K8" t="s">
        <v>0</v>
      </c>
      <c r="L8" t="s">
        <v>1</v>
      </c>
      <c r="M8" t="s">
        <v>16</v>
      </c>
      <c r="N8" t="s">
        <v>15</v>
      </c>
      <c r="O8" s="2" t="s">
        <v>9</v>
      </c>
    </row>
    <row r="9" spans="1:15" x14ac:dyDescent="0.25">
      <c r="A9" s="3" t="str">
        <f>VLOOKUP(A1,teams_americas[#All],2,TRUE)</f>
        <v>saadhak</v>
      </c>
      <c r="B9" s="22"/>
      <c r="G9" s="2" t="e">
        <f>AVERAGE(players66[[#This Row],[Rating]],players66[[#This Row],[ACS]],players66[[#This Row],[KAST]],players66[[#This Row],[HS%]],players66[[#This Row],[CL%]])</f>
        <v>#DIV/0!</v>
      </c>
      <c r="H9" s="1"/>
      <c r="I9" s="3" t="str">
        <f>VLOOKUP(I1,teams_americas[#All],2,TRUE)</f>
        <v>frz</v>
      </c>
      <c r="J9" s="22"/>
      <c r="O9" s="2" t="e">
        <f>AVERAGE(players5676[[#This Row],[Rating]],players5676[[#This Row],[ACS]],players5676[[#This Row],[KAST]],players5676[[#This Row],[HS%]],players5676[[#This Row],[CL%]])</f>
        <v>#DIV/0!</v>
      </c>
    </row>
    <row r="10" spans="1:15" x14ac:dyDescent="0.25">
      <c r="A10" s="3" t="str">
        <f>VLOOKUP(A1,teams_americas[#All],3,TRUE)</f>
        <v>tuyz</v>
      </c>
      <c r="B10" s="22"/>
      <c r="G10" s="2" t="e">
        <f>AVERAGE(players66[[#This Row],[Rating]],players66[[#This Row],[ACS]],players66[[#This Row],[KAST]],players66[[#This Row],[HS%]],players66[[#This Row],[CL%]])</f>
        <v>#DIV/0!</v>
      </c>
      <c r="H10" s="1"/>
      <c r="I10" s="3" t="str">
        <f>VLOOKUP(I1,teams_americas[#All],3,TRUE)</f>
        <v>murizzz</v>
      </c>
      <c r="J10" s="22"/>
      <c r="O10" s="2" t="e">
        <f>AVERAGE(players5676[[#This Row],[Rating]],players5676[[#This Row],[ACS]],players5676[[#This Row],[KAST]],players5676[[#This Row],[HS%]],players5676[[#This Row],[CL%]])</f>
        <v>#DIV/0!</v>
      </c>
    </row>
    <row r="11" spans="1:15" x14ac:dyDescent="0.25">
      <c r="A11" s="3" t="str">
        <f>VLOOKUP(A1,teams_americas[#All],4,TRUE)</f>
        <v>cauanzin</v>
      </c>
      <c r="B11" s="22"/>
      <c r="G11" s="2" t="e">
        <f>AVERAGE(players66[[#This Row],[Rating]],players66[[#This Row],[ACS]],players66[[#This Row],[KAST]],players66[[#This Row],[HS%]],players66[[#This Row],[CL%]])</f>
        <v>#DIV/0!</v>
      </c>
      <c r="H11" s="1"/>
      <c r="I11" s="3" t="str">
        <f>VLOOKUP(I1,teams_americas[#All],4,TRUE)</f>
        <v>RgLMeister</v>
      </c>
      <c r="J11" s="22"/>
      <c r="O11" s="2" t="e">
        <f>AVERAGE(players5676[[#This Row],[Rating]],players5676[[#This Row],[ACS]],players5676[[#This Row],[KAST]],players5676[[#This Row],[HS%]],players5676[[#This Row],[CL%]])</f>
        <v>#DIV/0!</v>
      </c>
    </row>
    <row r="12" spans="1:15" x14ac:dyDescent="0.25">
      <c r="A12" s="3" t="str">
        <f>VLOOKUP(A1,teams_americas[#All],5,TRUE)</f>
        <v>Less</v>
      </c>
      <c r="B12" s="22"/>
      <c r="G12" s="2" t="e">
        <f>AVERAGE(players66[[#This Row],[Rating]],players66[[#This Row],[ACS]],players66[[#This Row],[KAST]],players66[[#This Row],[HS%]],players66[[#This Row],[CL%]])</f>
        <v>#DIV/0!</v>
      </c>
      <c r="H12" s="1"/>
      <c r="I12" s="3" t="str">
        <f>VLOOKUP(I1,teams_americas[#All],5,TRUE)</f>
        <v>heat</v>
      </c>
      <c r="J12" s="22"/>
      <c r="O12" s="2" t="e">
        <f>AVERAGE(players5676[[#This Row],[Rating]],players5676[[#This Row],[ACS]],players5676[[#This Row],[KAST]],players5676[[#This Row],[HS%]],players5676[[#This Row],[CL%]])</f>
        <v>#DIV/0!</v>
      </c>
    </row>
    <row r="13" spans="1:15" ht="15.75" thickBot="1" x14ac:dyDescent="0.3">
      <c r="A13" s="3" t="str">
        <f>VLOOKUP(A1,teams_americas[#All],6,TRUE)</f>
        <v>aspas</v>
      </c>
      <c r="B13" s="22"/>
      <c r="G13" s="2" t="e">
        <f>AVERAGE(players66[[#This Row],[Rating]],players66[[#This Row],[ACS]],players66[[#This Row],[KAST]],players66[[#This Row],[HS%]],players66[[#This Row],[CL%]])</f>
        <v>#DIV/0!</v>
      </c>
      <c r="H13" s="1"/>
      <c r="I13" s="3" t="str">
        <f>VLOOKUP(I1,teams_americas[#All],6,TRUE)</f>
        <v>jzz</v>
      </c>
      <c r="J13" s="22"/>
      <c r="O13" s="2" t="e">
        <f>AVERAGE(players5676[[#This Row],[Rating]],players5676[[#This Row],[ACS]],players5676[[#This Row],[KAST]],players5676[[#This Row],[HS%]],players5676[[#This Row],[CL%]])</f>
        <v>#DIV/0!</v>
      </c>
    </row>
    <row r="14" spans="1:15" x14ac:dyDescent="0.25">
      <c r="A14" s="10" t="s">
        <v>17</v>
      </c>
      <c r="B14" s="24" t="e">
        <f>AVERAGE(players66[Rating])</f>
        <v>#DIV/0!</v>
      </c>
      <c r="C14" s="13" t="e">
        <f>AVERAGE(players66[ACS])</f>
        <v>#DIV/0!</v>
      </c>
      <c r="D14" s="13" t="e">
        <f>AVERAGE(players66[KAST])</f>
        <v>#DIV/0!</v>
      </c>
      <c r="E14" s="13" t="e">
        <f>AVERAGE(players66[HS%])</f>
        <v>#DIV/0!</v>
      </c>
      <c r="F14" s="13" t="e">
        <f>AVERAGE(players66[CL%])</f>
        <v>#DIV/0!</v>
      </c>
      <c r="G14" s="10"/>
      <c r="H14" s="1"/>
      <c r="I14" s="10" t="s">
        <v>17</v>
      </c>
      <c r="J14" s="24" t="e">
        <f>AVERAGE(players5676[Rating])</f>
        <v>#DIV/0!</v>
      </c>
      <c r="K14" s="13" t="e">
        <f>AVERAGE(players5676[ACS])</f>
        <v>#DIV/0!</v>
      </c>
      <c r="L14" s="13" t="e">
        <f>AVERAGE(players5676[KAST])</f>
        <v>#DIV/0!</v>
      </c>
      <c r="M14" s="13" t="e">
        <f>AVERAGE(players5676[HS%])</f>
        <v>#DIV/0!</v>
      </c>
      <c r="N14" s="13" t="e">
        <f>AVERAGE(players5676[CL%])</f>
        <v>#DIV/0!</v>
      </c>
      <c r="O14" s="10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57" t="s">
        <v>51</v>
      </c>
      <c r="B18" s="58"/>
      <c r="C18" s="58"/>
      <c r="D18" s="58"/>
      <c r="E18" s="58"/>
      <c r="F18" s="58"/>
      <c r="G18" s="59"/>
      <c r="H18" s="1"/>
      <c r="I18" s="57" t="s">
        <v>57</v>
      </c>
      <c r="J18" s="58"/>
      <c r="K18" s="58"/>
      <c r="L18" s="58"/>
      <c r="M18" s="58"/>
      <c r="N18" s="58"/>
      <c r="O18" s="59"/>
    </row>
    <row r="19" spans="1:15" x14ac:dyDescent="0.25">
      <c r="A19" s="55"/>
      <c r="B19" s="56"/>
      <c r="C19" s="56"/>
      <c r="D19" s="56"/>
      <c r="E19" s="56"/>
      <c r="F19" s="56"/>
      <c r="G19" s="60"/>
      <c r="H19" s="1"/>
      <c r="I19" s="55"/>
      <c r="J19" s="56"/>
      <c r="K19" s="56"/>
      <c r="L19" s="56"/>
      <c r="M19" s="56"/>
      <c r="N19" s="56"/>
      <c r="O19" s="60"/>
    </row>
    <row r="20" spans="1:15" ht="15.75" thickBot="1" x14ac:dyDescent="0.3">
      <c r="A20" s="61"/>
      <c r="B20" s="62"/>
      <c r="C20" s="62"/>
      <c r="D20" s="62"/>
      <c r="E20" s="62"/>
      <c r="F20" s="62"/>
      <c r="G20" s="63"/>
      <c r="H20" s="1"/>
      <c r="I20" s="61"/>
      <c r="J20" s="62"/>
      <c r="K20" s="62"/>
      <c r="L20" s="62"/>
      <c r="M20" s="62"/>
      <c r="N20" s="62"/>
      <c r="O20" s="63"/>
    </row>
    <row r="21" spans="1:15" ht="23.25" x14ac:dyDescent="0.25">
      <c r="A21" s="12"/>
      <c r="B21" s="12"/>
      <c r="C21" s="12"/>
      <c r="D21" s="12"/>
      <c r="E21" s="12"/>
      <c r="F21" s="12"/>
      <c r="G21" s="1"/>
      <c r="H21" s="1"/>
      <c r="I21" s="12"/>
      <c r="J21" s="12"/>
      <c r="K21" s="12"/>
      <c r="L21" s="12"/>
      <c r="M21" s="12"/>
      <c r="N21" s="12"/>
      <c r="O21" s="1"/>
    </row>
    <row r="22" spans="1:15" x14ac:dyDescent="0.25">
      <c r="A22" s="7" t="s">
        <v>6</v>
      </c>
      <c r="B22" s="8" t="s">
        <v>7</v>
      </c>
      <c r="C22" s="8" t="s">
        <v>8</v>
      </c>
      <c r="D22" s="8" t="s">
        <v>5</v>
      </c>
      <c r="E22" s="8" t="s">
        <v>2</v>
      </c>
      <c r="F22" s="9" t="s">
        <v>10</v>
      </c>
      <c r="G22" s="9" t="s">
        <v>11</v>
      </c>
      <c r="H22" s="1"/>
      <c r="I22" s="7" t="s">
        <v>6</v>
      </c>
      <c r="J22" s="8" t="s">
        <v>7</v>
      </c>
      <c r="K22" s="8" t="s">
        <v>8</v>
      </c>
      <c r="L22" s="8" t="s">
        <v>5</v>
      </c>
      <c r="M22" s="8" t="s">
        <v>2</v>
      </c>
      <c r="N22" s="9" t="s">
        <v>10</v>
      </c>
      <c r="O22" s="9" t="s">
        <v>11</v>
      </c>
    </row>
    <row r="23" spans="1:15" x14ac:dyDescent="0.25">
      <c r="A23" s="11">
        <f>VLOOKUP(A18,team_stats_americas[#All],2,FALSE)</f>
        <v>3</v>
      </c>
      <c r="B23" s="15">
        <f>VLOOKUP(A18,team_stats_americas[#All],3,FALSE)</f>
        <v>3</v>
      </c>
      <c r="C23" s="15">
        <f>VLOOKUP(A18,team_stats_americas[#All],4,FALSE)</f>
        <v>0</v>
      </c>
      <c r="D23" s="16">
        <f>VLOOKUP(A18,team_stats_americas[#All],5,FALSE)</f>
        <v>45116</v>
      </c>
      <c r="E23" s="15" t="str">
        <f>VLOOKUP(A18,team_stats_americas[#All],6,FALSE)</f>
        <v>188/163</v>
      </c>
      <c r="F23" s="17">
        <f>VLOOKUP(A18,team_stats_americas[#All],7,FALSE)</f>
        <v>25</v>
      </c>
      <c r="G23" s="25" t="e">
        <f>#REF!</f>
        <v>#REF!</v>
      </c>
      <c r="H23" s="1"/>
      <c r="I23" s="11">
        <f>VLOOKUP(I18,team_stats_americas[#All],2,FALSE)</f>
        <v>3</v>
      </c>
      <c r="J23" s="15">
        <f>VLOOKUP(I18,team_stats_americas[#All],3,FALSE)</f>
        <v>3</v>
      </c>
      <c r="K23" s="15">
        <f>VLOOKUP(I18,team_stats_americas[#All],4,FALSE)</f>
        <v>0</v>
      </c>
      <c r="L23" s="16">
        <f>VLOOKUP(I18,team_stats_americas[#All],5,FALSE)</f>
        <v>45085</v>
      </c>
      <c r="M23" s="15" t="str">
        <f>VLOOKUP(I18,team_stats_americas[#All],6,FALSE)</f>
        <v>162/139</v>
      </c>
      <c r="N23" s="17">
        <f>VLOOKUP(I18,team_stats_americas[#All],7,FALSE)</f>
        <v>23</v>
      </c>
      <c r="O23" s="25" t="e">
        <f>#REF!</f>
        <v>#REF!</v>
      </c>
    </row>
    <row r="24" spans="1:15" x14ac:dyDescent="0.25">
      <c r="A24" s="5"/>
      <c r="B24" s="4"/>
      <c r="C24" s="4"/>
      <c r="D24" s="4"/>
      <c r="E24" s="4"/>
      <c r="F24" s="4"/>
      <c r="G24" s="1"/>
      <c r="H24" s="1"/>
      <c r="I24" s="5"/>
      <c r="J24" s="4"/>
      <c r="K24" s="4"/>
      <c r="L24" s="4"/>
      <c r="M24" s="4"/>
      <c r="N24" s="4"/>
      <c r="O24" s="1"/>
    </row>
    <row r="25" spans="1:15" x14ac:dyDescent="0.25">
      <c r="A25" s="3" t="s">
        <v>3</v>
      </c>
      <c r="B25" t="s">
        <v>4</v>
      </c>
      <c r="C25" t="s">
        <v>0</v>
      </c>
      <c r="D25" t="s">
        <v>1</v>
      </c>
      <c r="E25" t="s">
        <v>16</v>
      </c>
      <c r="F25" t="s">
        <v>15</v>
      </c>
      <c r="G25" s="2" t="s">
        <v>9</v>
      </c>
      <c r="H25" s="1"/>
      <c r="I25" s="3" t="s">
        <v>3</v>
      </c>
      <c r="J25" t="s">
        <v>4</v>
      </c>
      <c r="K25" t="s">
        <v>0</v>
      </c>
      <c r="L25" t="s">
        <v>1</v>
      </c>
      <c r="M25" t="s">
        <v>16</v>
      </c>
      <c r="N25" t="s">
        <v>15</v>
      </c>
      <c r="O25" s="2" t="s">
        <v>9</v>
      </c>
    </row>
    <row r="26" spans="1:15" x14ac:dyDescent="0.25">
      <c r="A26" s="3" t="str">
        <f>VLOOKUP(A18,teams_americas[#All],2,TRUE)</f>
        <v>nzr</v>
      </c>
      <c r="G26" s="2" t="e">
        <f>AVERAGE(players2668[[#This Row],[Rating]],players2668[[#This Row],[ACS]],players2668[[#This Row],[KAST]],players2668[[#This Row],[HS%]],players2668[[#This Row],[CL%]])</f>
        <v>#DIV/0!</v>
      </c>
      <c r="H26" s="1"/>
      <c r="I26" s="3" t="str">
        <f>VLOOKUP(I18,teams_americas[#All],2,TRUE)</f>
        <v>Esports</v>
      </c>
      <c r="O26" s="2" t="e">
        <f>AVERAGE(players265878[[#This Row],[Rating]],players265878[[#This Row],[ACS]],players265878[[#This Row],[KAST]],players265878[[#This Row],[HS%]],players265878[[#This Row],[CL%]])</f>
        <v>#DIV/0!</v>
      </c>
    </row>
    <row r="27" spans="1:15" x14ac:dyDescent="0.25">
      <c r="A27" s="3" t="str">
        <f>VLOOKUP(A18,teams_americas[#All],3,TRUE)</f>
        <v>Tacolilla</v>
      </c>
      <c r="G27" s="2" t="e">
        <f>AVERAGE(players2668[[#This Row],[Rating]],players2668[[#This Row],[ACS]],players2668[[#This Row],[KAST]],players2668[[#This Row],[HS%]],players2668[[#This Row],[CL%]])</f>
        <v>#DIV/0!</v>
      </c>
      <c r="H27" s="1"/>
      <c r="I27" s="3" t="str">
        <f>VLOOKUP(I18,teams_americas[#All],3,TRUE)</f>
        <v>crashies</v>
      </c>
      <c r="O27" s="2" t="e">
        <f>AVERAGE(players265878[[#This Row],[Rating]],players265878[[#This Row],[ACS]],players265878[[#This Row],[KAST]],players265878[[#This Row],[HS%]],players265878[[#This Row],[CL%]])</f>
        <v>#DIV/0!</v>
      </c>
    </row>
    <row r="28" spans="1:15" x14ac:dyDescent="0.25">
      <c r="A28" s="3" t="str">
        <f>VLOOKUP(A18,teams_americas[#All],4,TRUE)</f>
        <v>Mazino</v>
      </c>
      <c r="G28" s="2" t="e">
        <f>AVERAGE(players2668[[#This Row],[Rating]],players2668[[#This Row],[ACS]],players2668[[#This Row],[KAST]],players2668[[#This Row],[HS%]],players2668[[#This Row],[CL%]])</f>
        <v>#DIV/0!</v>
      </c>
      <c r="H28" s="1"/>
      <c r="I28" s="3" t="str">
        <f>VLOOKUP(I18,teams_americas[#All],4,TRUE)</f>
        <v>ardiis</v>
      </c>
      <c r="O28" s="2" t="e">
        <f>AVERAGE(players265878[[#This Row],[Rating]],players265878[[#This Row],[ACS]],players265878[[#This Row],[KAST]],players265878[[#This Row],[HS%]],players265878[[#This Row],[CL%]])</f>
        <v>#DIV/0!</v>
      </c>
    </row>
    <row r="29" spans="1:15" x14ac:dyDescent="0.25">
      <c r="A29" s="3" t="str">
        <f>VLOOKUP(A18,teams_americas[#All],5,TRUE)</f>
        <v>kiNgg</v>
      </c>
      <c r="G29" s="2" t="e">
        <f>AVERAGE(players2668[[#This Row],[Rating]],players2668[[#This Row],[ACS]],players2668[[#This Row],[KAST]],players2668[[#This Row],[HS%]],players2668[[#This Row],[CL%]])</f>
        <v>#DIV/0!</v>
      </c>
      <c r="H29" s="1"/>
      <c r="I29" s="3" t="str">
        <f>VLOOKUP(I18,teams_americas[#All],5,TRUE)</f>
        <v>Victor</v>
      </c>
      <c r="O29" s="2" t="e">
        <f>AVERAGE(players265878[[#This Row],[Rating]],players265878[[#This Row],[ACS]],players265878[[#This Row],[KAST]],players265878[[#This Row],[HS%]],players265878[[#This Row],[CL%]])</f>
        <v>#DIV/0!</v>
      </c>
    </row>
    <row r="30" spans="1:15" ht="15.75" thickBot="1" x14ac:dyDescent="0.3">
      <c r="A30" s="3" t="str">
        <f>VLOOKUP(A18,teams_americas[#All],6,TRUE)</f>
        <v>Shyy</v>
      </c>
      <c r="G30" s="2" t="e">
        <f>AVERAGE(players2668[[#This Row],[Rating]],players2668[[#This Row],[ACS]],players2668[[#This Row],[KAST]],players2668[[#This Row],[HS%]],players2668[[#This Row],[CL%]])</f>
        <v>#DIV/0!</v>
      </c>
      <c r="H30" s="1"/>
      <c r="I30" s="3" t="str">
        <f>VLOOKUP(I18,teams_americas[#All],6,TRUE)</f>
        <v>FNS</v>
      </c>
      <c r="O30" s="2" t="e">
        <f>AVERAGE(players265878[[#This Row],[Rating]],players265878[[#This Row],[ACS]],players265878[[#This Row],[KAST]],players265878[[#This Row],[HS%]],players265878[[#This Row],[CL%]])</f>
        <v>#DIV/0!</v>
      </c>
    </row>
    <row r="31" spans="1:15" x14ac:dyDescent="0.25">
      <c r="A31" s="10" t="s">
        <v>17</v>
      </c>
      <c r="B31" s="13" t="e">
        <f>AVERAGE(players2668[Rating])</f>
        <v>#DIV/0!</v>
      </c>
      <c r="C31" s="13" t="e">
        <f>AVERAGE(players2668[ACS])</f>
        <v>#DIV/0!</v>
      </c>
      <c r="D31" s="13" t="e">
        <f>AVERAGE(players2668[KAST])</f>
        <v>#DIV/0!</v>
      </c>
      <c r="E31" s="13" t="e">
        <f>AVERAGE(players2668[HS%])</f>
        <v>#DIV/0!</v>
      </c>
      <c r="F31" s="13" t="e">
        <f>AVERAGE(players2668[CL%])</f>
        <v>#DIV/0!</v>
      </c>
      <c r="G31" s="10"/>
      <c r="H31" s="1"/>
      <c r="I31" s="10" t="s">
        <v>17</v>
      </c>
      <c r="J31" s="13" t="e">
        <f>AVERAGE(players265878[Rating])</f>
        <v>#DIV/0!</v>
      </c>
      <c r="K31" s="13" t="e">
        <f>AVERAGE(players265878[ACS])</f>
        <v>#DIV/0!</v>
      </c>
      <c r="L31" s="13" t="e">
        <f>AVERAGE(players265878[KAST])</f>
        <v>#DIV/0!</v>
      </c>
      <c r="M31" s="13" t="e">
        <f>AVERAGE(players265878[HS%])</f>
        <v>#DIV/0!</v>
      </c>
      <c r="N31" s="13" t="e">
        <f>AVERAGE(players265878[CL%])</f>
        <v>#DIV/0!</v>
      </c>
      <c r="O31" s="10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57" t="s">
        <v>52</v>
      </c>
      <c r="B35" s="58"/>
      <c r="C35" s="58"/>
      <c r="D35" s="58"/>
      <c r="E35" s="58"/>
      <c r="F35" s="58"/>
      <c r="G35" s="59"/>
      <c r="H35" s="1"/>
      <c r="I35" s="57" t="s">
        <v>58</v>
      </c>
      <c r="J35" s="58"/>
      <c r="K35" s="58"/>
      <c r="L35" s="58"/>
      <c r="M35" s="58"/>
      <c r="N35" s="58"/>
      <c r="O35" s="59"/>
    </row>
    <row r="36" spans="1:15" x14ac:dyDescent="0.25">
      <c r="A36" s="55"/>
      <c r="B36" s="56"/>
      <c r="C36" s="56"/>
      <c r="D36" s="56"/>
      <c r="E36" s="56"/>
      <c r="F36" s="56"/>
      <c r="G36" s="60"/>
      <c r="H36" s="1"/>
      <c r="I36" s="55"/>
      <c r="J36" s="56"/>
      <c r="K36" s="56"/>
      <c r="L36" s="56"/>
      <c r="M36" s="56"/>
      <c r="N36" s="56"/>
      <c r="O36" s="60"/>
    </row>
    <row r="37" spans="1:15" ht="15.75" thickBot="1" x14ac:dyDescent="0.3">
      <c r="A37" s="61"/>
      <c r="B37" s="62"/>
      <c r="C37" s="62"/>
      <c r="D37" s="62"/>
      <c r="E37" s="62"/>
      <c r="F37" s="62"/>
      <c r="G37" s="63"/>
      <c r="H37" s="1"/>
      <c r="I37" s="61"/>
      <c r="J37" s="62"/>
      <c r="K37" s="62"/>
      <c r="L37" s="62"/>
      <c r="M37" s="62"/>
      <c r="N37" s="62"/>
      <c r="O37" s="63"/>
    </row>
    <row r="38" spans="1:15" ht="23.25" x14ac:dyDescent="0.25">
      <c r="A38" s="12"/>
      <c r="B38" s="12"/>
      <c r="C38" s="12"/>
      <c r="D38" s="12"/>
      <c r="E38" s="12"/>
      <c r="F38" s="12"/>
      <c r="G38" s="1"/>
      <c r="H38" s="1"/>
      <c r="I38" s="12"/>
      <c r="J38" s="12"/>
      <c r="K38" s="12"/>
      <c r="L38" s="12"/>
      <c r="M38" s="12"/>
      <c r="N38" s="12"/>
      <c r="O38" s="1"/>
    </row>
    <row r="39" spans="1:15" x14ac:dyDescent="0.25">
      <c r="A39" s="7" t="s">
        <v>6</v>
      </c>
      <c r="B39" s="8" t="s">
        <v>7</v>
      </c>
      <c r="C39" s="8" t="s">
        <v>8</v>
      </c>
      <c r="D39" s="8" t="s">
        <v>5</v>
      </c>
      <c r="E39" s="8" t="s">
        <v>2</v>
      </c>
      <c r="F39" s="9" t="s">
        <v>10</v>
      </c>
      <c r="G39" s="9" t="s">
        <v>11</v>
      </c>
      <c r="H39" s="1"/>
      <c r="I39" s="7" t="s">
        <v>6</v>
      </c>
      <c r="J39" s="8" t="s">
        <v>7</v>
      </c>
      <c r="K39" s="8" t="s">
        <v>8</v>
      </c>
      <c r="L39" s="8" t="s">
        <v>5</v>
      </c>
      <c r="M39" s="8" t="s">
        <v>2</v>
      </c>
      <c r="N39" s="9" t="s">
        <v>10</v>
      </c>
      <c r="O39" s="9" t="s">
        <v>11</v>
      </c>
    </row>
    <row r="40" spans="1:15" x14ac:dyDescent="0.25">
      <c r="A40" s="11">
        <f>VLOOKUP(A35,team_stats_americas[#All],2,FALSE)</f>
        <v>5</v>
      </c>
      <c r="B40" s="15">
        <f>VLOOKUP(A35,team_stats_americas[#All],3,FALSE)</f>
        <v>1</v>
      </c>
      <c r="C40" s="15">
        <f>VLOOKUP(A35,team_stats_americas[#All],4,FALSE)</f>
        <v>0</v>
      </c>
      <c r="D40" s="16">
        <f>VLOOKUP(A35,team_stats_americas[#All],5,FALSE)</f>
        <v>44996</v>
      </c>
      <c r="E40" s="15" t="str">
        <f>VLOOKUP(A35,team_stats_americas[#All],6,FALSE)</f>
        <v>167/128</v>
      </c>
      <c r="F40" s="17">
        <f>VLOOKUP(A35,team_stats_americas[#All],7,FALSE)</f>
        <v>39</v>
      </c>
      <c r="G40" s="25" t="e">
        <f>#REF!</f>
        <v>#REF!</v>
      </c>
      <c r="H40" s="1"/>
      <c r="I40" s="11">
        <f>VLOOKUP(I35,team_stats_americas[#All],2,FALSE)</f>
        <v>2</v>
      </c>
      <c r="J40" s="15">
        <f>VLOOKUP(I35,team_stats_americas[#All],3,FALSE)</f>
        <v>4</v>
      </c>
      <c r="K40" s="15">
        <f>VLOOKUP(I35,team_stats_americas[#All],4,FALSE)</f>
        <v>0</v>
      </c>
      <c r="L40" s="16">
        <f>VLOOKUP(I35,team_stats_americas[#All],5,FALSE)</f>
        <v>45205</v>
      </c>
      <c r="M40" s="15" t="str">
        <f>VLOOKUP(I35,team_stats_americas[#All],6,FALSE)</f>
        <v>166/180</v>
      </c>
      <c r="N40" s="17">
        <f>VLOOKUP(I35,team_stats_americas[#All],7,FALSE)</f>
        <v>-14</v>
      </c>
      <c r="O40" s="25" t="e">
        <f>#REF!</f>
        <v>#REF!</v>
      </c>
    </row>
    <row r="41" spans="1:15" x14ac:dyDescent="0.25">
      <c r="A41" s="5"/>
      <c r="B41" s="4"/>
      <c r="C41" s="4"/>
      <c r="D41" s="4"/>
      <c r="E41" s="4"/>
      <c r="F41" s="4"/>
      <c r="G41" s="1"/>
      <c r="H41" s="1"/>
      <c r="I41" s="5"/>
      <c r="J41" s="4"/>
      <c r="K41" s="4"/>
      <c r="L41" s="4"/>
      <c r="M41" s="4"/>
      <c r="N41" s="4"/>
      <c r="O41" s="1"/>
    </row>
    <row r="42" spans="1:15" x14ac:dyDescent="0.25">
      <c r="A42" s="3" t="s">
        <v>3</v>
      </c>
      <c r="B42" t="s">
        <v>4</v>
      </c>
      <c r="C42" t="s">
        <v>0</v>
      </c>
      <c r="D42" t="s">
        <v>1</v>
      </c>
      <c r="E42" t="s">
        <v>16</v>
      </c>
      <c r="F42" t="s">
        <v>15</v>
      </c>
      <c r="G42" s="2" t="s">
        <v>9</v>
      </c>
      <c r="H42" s="1"/>
      <c r="I42" s="3" t="s">
        <v>3</v>
      </c>
      <c r="J42" t="s">
        <v>4</v>
      </c>
      <c r="K42" t="s">
        <v>0</v>
      </c>
      <c r="L42" t="s">
        <v>1</v>
      </c>
      <c r="M42" t="s">
        <v>16</v>
      </c>
      <c r="N42" t="s">
        <v>15</v>
      </c>
      <c r="O42" s="2" t="s">
        <v>9</v>
      </c>
    </row>
    <row r="43" spans="1:15" x14ac:dyDescent="0.25">
      <c r="A43" s="3" t="str">
        <f>VLOOKUP(A35,teams_americas[#All],2,TRUE)</f>
        <v>Zellsis</v>
      </c>
      <c r="G43" s="2" t="e">
        <f>AVERAGE(players265070[[#This Row],[Rating]],players265070[[#This Row],[ACS]],players265070[[#This Row],[KAST]],players265070[[#This Row],[HS%]],players265070[[#This Row],[CL%]])</f>
        <v>#DIV/0!</v>
      </c>
      <c r="H43" s="1"/>
      <c r="I43" s="3" t="str">
        <f>VLOOKUP(I35,teams_americas[#All],2,TRUE)</f>
        <v>Geniuses</v>
      </c>
      <c r="O43" s="2" t="e">
        <f>AVERAGE(players26506080[[#This Row],[Rating]],players26506080[[#This Row],[ACS]],players26506080[[#This Row],[KAST]],players26506080[[#This Row],[HS%]],players26506080[[#This Row],[CL%]])</f>
        <v>#DIV/0!</v>
      </c>
    </row>
    <row r="44" spans="1:15" x14ac:dyDescent="0.25">
      <c r="A44" s="3" t="str">
        <f>VLOOKUP(A35,teams_americas[#All],3,TRUE)</f>
        <v>qpert</v>
      </c>
      <c r="G44" s="2" t="e">
        <f>AVERAGE(players265070[[#This Row],[Rating]],players265070[[#This Row],[ACS]],players265070[[#This Row],[KAST]],players265070[[#This Row],[HS%]],players265070[[#This Row],[CL%]])</f>
        <v>#DIV/0!</v>
      </c>
      <c r="H44" s="1"/>
      <c r="I44" s="3" t="str">
        <f>VLOOKUP(I35,teams_americas[#All],3,TRUE)</f>
        <v>Boostio</v>
      </c>
      <c r="O44" s="2" t="e">
        <f>AVERAGE(players26506080[[#This Row],[Rating]],players26506080[[#This Row],[ACS]],players26506080[[#This Row],[KAST]],players26506080[[#This Row],[HS%]],players26506080[[#This Row],[CL%]])</f>
        <v>#DIV/0!</v>
      </c>
    </row>
    <row r="45" spans="1:15" x14ac:dyDescent="0.25">
      <c r="A45" s="3" t="str">
        <f>VLOOKUP(A35,teams_americas[#All],4,TRUE)</f>
        <v>Xeppaa</v>
      </c>
      <c r="G45" s="2" t="e">
        <f>AVERAGE(players265070[[#This Row],[Rating]],players265070[[#This Row],[ACS]],players265070[[#This Row],[KAST]],players265070[[#This Row],[HS%]],players265070[[#This Row],[CL%]])</f>
        <v>#DIV/0!</v>
      </c>
      <c r="H45" s="1"/>
      <c r="I45" s="3" t="str">
        <f>VLOOKUP(I35,teams_americas[#All],4,TRUE)</f>
        <v>C0M</v>
      </c>
      <c r="O45" s="2" t="e">
        <f>AVERAGE(players26506080[[#This Row],[Rating]],players26506080[[#This Row],[ACS]],players26506080[[#This Row],[KAST]],players26506080[[#This Row],[HS%]],players26506080[[#This Row],[CL%]])</f>
        <v>#DIV/0!</v>
      </c>
    </row>
    <row r="46" spans="1:15" x14ac:dyDescent="0.25">
      <c r="A46" s="3" t="str">
        <f>VLOOKUP(A35,teams_americas[#All],5,TRUE)</f>
        <v>leaf</v>
      </c>
      <c r="G46" s="2" t="e">
        <f>AVERAGE(players265070[[#This Row],[Rating]],players265070[[#This Row],[ACS]],players265070[[#This Row],[KAST]],players265070[[#This Row],[HS%]],players265070[[#This Row],[CL%]])</f>
        <v>#DIV/0!</v>
      </c>
      <c r="H46" s="1"/>
      <c r="I46" s="3" t="str">
        <f>VLOOKUP(I35,teams_americas[#All],5,TRUE)</f>
        <v>BcJ</v>
      </c>
      <c r="O46" s="2" t="e">
        <f>AVERAGE(players26506080[[#This Row],[Rating]],players26506080[[#This Row],[ACS]],players26506080[[#This Row],[KAST]],players26506080[[#This Row],[HS%]],players26506080[[#This Row],[CL%]])</f>
        <v>#DIV/0!</v>
      </c>
    </row>
    <row r="47" spans="1:15" ht="15.75" thickBot="1" x14ac:dyDescent="0.3">
      <c r="A47" s="3" t="str">
        <f>VLOOKUP(A35,teams_americas[#All],6,TRUE)</f>
        <v>jakee</v>
      </c>
      <c r="G47" s="2" t="e">
        <f>AVERAGE(players265070[[#This Row],[Rating]],players265070[[#This Row],[ACS]],players265070[[#This Row],[KAST]],players265070[[#This Row],[HS%]],players265070[[#This Row],[CL%]])</f>
        <v>#DIV/0!</v>
      </c>
      <c r="H47" s="1"/>
      <c r="I47" s="3" t="str">
        <f>VLOOKUP(I35,teams_americas[#All],6,TRUE)</f>
        <v>jawgemo</v>
      </c>
      <c r="O47" s="2" t="e">
        <f>AVERAGE(players26506080[[#This Row],[Rating]],players26506080[[#This Row],[ACS]],players26506080[[#This Row],[KAST]],players26506080[[#This Row],[HS%]],players26506080[[#This Row],[CL%]])</f>
        <v>#DIV/0!</v>
      </c>
    </row>
    <row r="48" spans="1:15" x14ac:dyDescent="0.25">
      <c r="A48" s="10" t="s">
        <v>17</v>
      </c>
      <c r="B48" s="13" t="e">
        <f>AVERAGE(players265070[Rating])</f>
        <v>#DIV/0!</v>
      </c>
      <c r="C48" s="13" t="e">
        <f>AVERAGE(players265070[ACS])</f>
        <v>#DIV/0!</v>
      </c>
      <c r="D48" s="13" t="e">
        <f>AVERAGE(players265070[KAST])</f>
        <v>#DIV/0!</v>
      </c>
      <c r="E48" s="13" t="e">
        <f>AVERAGE(players265070[HS%])</f>
        <v>#DIV/0!</v>
      </c>
      <c r="F48" s="13" t="e">
        <f>AVERAGE(players265070[CL%])</f>
        <v>#DIV/0!</v>
      </c>
      <c r="G48" s="10"/>
      <c r="H48" s="1"/>
      <c r="I48" s="10" t="s">
        <v>17</v>
      </c>
      <c r="J48" s="13" t="e">
        <f>AVERAGE(players26506080[Rating])</f>
        <v>#DIV/0!</v>
      </c>
      <c r="K48" s="13" t="e">
        <f>AVERAGE(players26506080[ACS])</f>
        <v>#DIV/0!</v>
      </c>
      <c r="L48" s="13" t="e">
        <f>AVERAGE(players26506080[KAST])</f>
        <v>#DIV/0!</v>
      </c>
      <c r="M48" s="13" t="e">
        <f>AVERAGE(players26506080[HS%])</f>
        <v>#DIV/0!</v>
      </c>
      <c r="N48" s="13" t="e">
        <f>AVERAGE(players26506080[CL%])</f>
        <v>#DIV/0!</v>
      </c>
      <c r="O48" s="10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57" t="s">
        <v>53</v>
      </c>
      <c r="B52" s="58"/>
      <c r="C52" s="58"/>
      <c r="D52" s="58"/>
      <c r="E52" s="58"/>
      <c r="F52" s="58"/>
      <c r="G52" s="59"/>
      <c r="H52" s="1"/>
      <c r="I52" s="57" t="s">
        <v>59</v>
      </c>
      <c r="J52" s="58"/>
      <c r="K52" s="58"/>
      <c r="L52" s="58"/>
      <c r="M52" s="58"/>
      <c r="N52" s="58"/>
      <c r="O52" s="59"/>
    </row>
    <row r="53" spans="1:15" x14ac:dyDescent="0.25">
      <c r="A53" s="55"/>
      <c r="B53" s="56"/>
      <c r="C53" s="56"/>
      <c r="D53" s="56"/>
      <c r="E53" s="56"/>
      <c r="F53" s="56"/>
      <c r="G53" s="60"/>
      <c r="H53" s="1"/>
      <c r="I53" s="55"/>
      <c r="J53" s="56"/>
      <c r="K53" s="56"/>
      <c r="L53" s="56"/>
      <c r="M53" s="56"/>
      <c r="N53" s="56"/>
      <c r="O53" s="60"/>
    </row>
    <row r="54" spans="1:15" ht="15.75" thickBot="1" x14ac:dyDescent="0.3">
      <c r="A54" s="61"/>
      <c r="B54" s="62"/>
      <c r="C54" s="62"/>
      <c r="D54" s="62"/>
      <c r="E54" s="62"/>
      <c r="F54" s="62"/>
      <c r="G54" s="63"/>
      <c r="H54" s="1"/>
      <c r="I54" s="61"/>
      <c r="J54" s="62"/>
      <c r="K54" s="62"/>
      <c r="L54" s="62"/>
      <c r="M54" s="62"/>
      <c r="N54" s="62"/>
      <c r="O54" s="63"/>
    </row>
    <row r="55" spans="1:15" ht="23.25" x14ac:dyDescent="0.25">
      <c r="A55" s="12"/>
      <c r="B55" s="12"/>
      <c r="C55" s="12"/>
      <c r="D55" s="12"/>
      <c r="E55" s="12"/>
      <c r="F55" s="12"/>
      <c r="G55" s="1"/>
      <c r="H55" s="1"/>
      <c r="I55" s="12"/>
      <c r="J55" s="12"/>
      <c r="K55" s="12"/>
      <c r="L55" s="12"/>
      <c r="M55" s="12"/>
      <c r="N55" s="12"/>
      <c r="O55" s="1"/>
    </row>
    <row r="56" spans="1:15" x14ac:dyDescent="0.25">
      <c r="A56" s="7" t="s">
        <v>6</v>
      </c>
      <c r="B56" s="8" t="s">
        <v>7</v>
      </c>
      <c r="C56" s="8" t="s">
        <v>8</v>
      </c>
      <c r="D56" s="8" t="s">
        <v>5</v>
      </c>
      <c r="E56" s="8" t="s">
        <v>2</v>
      </c>
      <c r="F56" s="9" t="s">
        <v>10</v>
      </c>
      <c r="G56" s="9" t="s">
        <v>11</v>
      </c>
      <c r="H56" s="1"/>
      <c r="I56" s="7" t="s">
        <v>6</v>
      </c>
      <c r="J56" s="8" t="s">
        <v>7</v>
      </c>
      <c r="K56" s="8" t="s">
        <v>8</v>
      </c>
      <c r="L56" s="8" t="s">
        <v>5</v>
      </c>
      <c r="M56" s="8" t="s">
        <v>2</v>
      </c>
      <c r="N56" s="9" t="s">
        <v>10</v>
      </c>
      <c r="O56" s="9" t="s">
        <v>11</v>
      </c>
    </row>
    <row r="57" spans="1:15" x14ac:dyDescent="0.25">
      <c r="A57" s="11">
        <f>VLOOKUP(A52,team_stats_americas[#All],2,FALSE)</f>
        <v>4</v>
      </c>
      <c r="B57" s="15">
        <f>VLOOKUP(A52,team_stats_americas[#All],3,FALSE)</f>
        <v>2</v>
      </c>
      <c r="C57" s="15">
        <f>VLOOKUP(A52,team_stats_americas[#All],4,FALSE)</f>
        <v>0</v>
      </c>
      <c r="D57" s="16">
        <f>VLOOKUP(A52,team_stats_americas[#All],5,FALSE)</f>
        <v>45085</v>
      </c>
      <c r="E57" s="15" t="str">
        <f>VLOOKUP(A52,team_stats_americas[#All],6,FALSE)</f>
        <v>154/150</v>
      </c>
      <c r="F57" s="17">
        <f>VLOOKUP(A52,team_stats_americas[#All],7,FALSE)</f>
        <v>4</v>
      </c>
      <c r="G57" s="25" t="e">
        <f>#REF!</f>
        <v>#REF!</v>
      </c>
      <c r="H57" s="1"/>
      <c r="I57" s="11">
        <f>VLOOKUP(I52,team_stats_americas[#All],2,FALSE)</f>
        <v>0</v>
      </c>
      <c r="J57" s="15">
        <f>VLOOKUP(I52,team_stats_americas[#All],3,FALSE)</f>
        <v>5</v>
      </c>
      <c r="K57" s="15">
        <f>VLOOKUP(I52,team_stats_americas[#All],4,FALSE)</f>
        <v>0</v>
      </c>
      <c r="L57" s="16">
        <f>VLOOKUP(I52,team_stats_americas[#All],5,FALSE)</f>
        <v>45202</v>
      </c>
      <c r="M57" s="15" t="str">
        <f>VLOOKUP(I52,team_stats_americas[#All],6,FALSE)</f>
        <v>126/155</v>
      </c>
      <c r="N57" s="17">
        <f>VLOOKUP(I52,team_stats_americas[#All],7,FALSE)</f>
        <v>-29</v>
      </c>
      <c r="O57" s="25" t="e">
        <f>#REF!</f>
        <v>#REF!</v>
      </c>
    </row>
    <row r="58" spans="1:15" x14ac:dyDescent="0.25">
      <c r="A58" s="5"/>
      <c r="B58" s="4"/>
      <c r="C58" s="4"/>
      <c r="D58" s="4"/>
      <c r="E58" s="4"/>
      <c r="F58" s="4"/>
      <c r="G58" s="1"/>
      <c r="H58" s="1"/>
      <c r="I58" s="5"/>
      <c r="J58" s="4"/>
      <c r="K58" s="4"/>
      <c r="L58" s="4"/>
      <c r="M58" s="4"/>
      <c r="N58" s="4"/>
      <c r="O58" s="1"/>
    </row>
    <row r="59" spans="1:15" x14ac:dyDescent="0.25">
      <c r="A59" s="3" t="s">
        <v>3</v>
      </c>
      <c r="B59" t="s">
        <v>4</v>
      </c>
      <c r="C59" t="s">
        <v>0</v>
      </c>
      <c r="D59" t="s">
        <v>1</v>
      </c>
      <c r="E59" t="s">
        <v>16</v>
      </c>
      <c r="F59" t="s">
        <v>15</v>
      </c>
      <c r="G59" s="2" t="s">
        <v>9</v>
      </c>
      <c r="H59" s="1"/>
      <c r="I59" s="3" t="s">
        <v>3</v>
      </c>
      <c r="J59" t="s">
        <v>4</v>
      </c>
      <c r="K59" t="s">
        <v>0</v>
      </c>
      <c r="L59" t="s">
        <v>1</v>
      </c>
      <c r="M59" t="s">
        <v>16</v>
      </c>
      <c r="N59" t="s">
        <v>15</v>
      </c>
      <c r="O59" s="2" t="s">
        <v>9</v>
      </c>
    </row>
    <row r="60" spans="1:15" x14ac:dyDescent="0.25">
      <c r="A60" s="3" t="str">
        <f>VLOOKUP(A52,teams_americas[#All],2,TRUE)</f>
        <v>mwzera</v>
      </c>
      <c r="G60" s="2" t="e">
        <f>AVERAGE(players265272[[#This Row],[Rating]],players265272[[#This Row],[ACS]],players265272[[#This Row],[KAST]],players265272[[#This Row],[HS%]],players265272[[#This Row],[CL%]])</f>
        <v>#DIV/0!</v>
      </c>
      <c r="H60" s="1"/>
      <c r="I60" s="3" t="str">
        <f>VLOOKUP(I52,teams_americas[#All],2,TRUE)</f>
        <v>Esports</v>
      </c>
      <c r="O60" s="2" t="e">
        <f>AVERAGE(players26526282[[#This Row],[Rating]],players26526282[[#This Row],[ACS]],players26526282[[#This Row],[KAST]],players26526282[[#This Row],[HS%]],players26526282[[#This Row],[CL%]])</f>
        <v>#DIV/0!</v>
      </c>
    </row>
    <row r="61" spans="1:15" x14ac:dyDescent="0.25">
      <c r="A61" s="3" t="str">
        <f>VLOOKUP(A52,teams_americas[#All],3,TRUE)</f>
        <v>Quick</v>
      </c>
      <c r="G61" s="2" t="e">
        <f>AVERAGE(players265272[[#This Row],[Rating]],players265272[[#This Row],[ACS]],players265272[[#This Row],[KAST]],players265272[[#This Row],[HS%]],players265272[[#This Row],[CL%]])</f>
        <v>#DIV/0!</v>
      </c>
      <c r="H61" s="1"/>
      <c r="I61" s="3" t="str">
        <f>VLOOKUP(I52,teams_americas[#All],3,TRUE)</f>
        <v>NagZ</v>
      </c>
      <c r="O61" s="2" t="e">
        <f>AVERAGE(players26526282[[#This Row],[Rating]],players26526282[[#This Row],[ACS]],players26526282[[#This Row],[KAST]],players26526282[[#This Row],[HS%]],players26526282[[#This Row],[CL%]])</f>
        <v>#DIV/0!</v>
      </c>
    </row>
    <row r="62" spans="1:15" x14ac:dyDescent="0.25">
      <c r="A62" s="3" t="str">
        <f>VLOOKUP(A52,teams_americas[#All],4,TRUE)</f>
        <v>Khalil</v>
      </c>
      <c r="G62" s="2" t="e">
        <f>AVERAGE(players265272[[#This Row],[Rating]],players265272[[#This Row],[ACS]],players265272[[#This Row],[KAST]],players265272[[#This Row],[HS%]],players265272[[#This Row],[CL%]])</f>
        <v>#DIV/0!</v>
      </c>
      <c r="H62" s="1"/>
      <c r="I62" s="3" t="str">
        <f>VLOOKUP(I52,teams_americas[#All],4,TRUE)</f>
        <v>Melser</v>
      </c>
      <c r="O62" s="2" t="e">
        <f>AVERAGE(players26526282[[#This Row],[Rating]],players26526282[[#This Row],[ACS]],players26526282[[#This Row],[KAST]],players26526282[[#This Row],[HS%]],players26526282[[#This Row],[CL%]])</f>
        <v>#DIV/0!</v>
      </c>
    </row>
    <row r="63" spans="1:15" x14ac:dyDescent="0.25">
      <c r="A63" s="3" t="str">
        <f>VLOOKUP(A52,teams_americas[#All],5,TRUE)</f>
        <v>Mazin</v>
      </c>
      <c r="G63" s="2" t="e">
        <f>AVERAGE(players265272[[#This Row],[Rating]],players265272[[#This Row],[ACS]],players265272[[#This Row],[KAST]],players265272[[#This Row],[HS%]],players265272[[#This Row],[CL%]])</f>
        <v>#DIV/0!</v>
      </c>
      <c r="H63" s="1"/>
      <c r="I63" s="3" t="str">
        <f>VLOOKUP(I52,teams_americas[#All],5,TRUE)</f>
        <v>keznit</v>
      </c>
      <c r="O63" s="2" t="e">
        <f>AVERAGE(players26526282[[#This Row],[Rating]],players26526282[[#This Row],[ACS]],players26526282[[#This Row],[KAST]],players26526282[[#This Row],[HS%]],players26526282[[#This Row],[CL%]])</f>
        <v>#DIV/0!</v>
      </c>
    </row>
    <row r="64" spans="1:15" ht="15.75" thickBot="1" x14ac:dyDescent="0.3">
      <c r="A64" s="3" t="str">
        <f>VLOOKUP(A52,teams_americas[#All],6,TRUE)</f>
        <v>dgzin</v>
      </c>
      <c r="G64" s="2" t="e">
        <f>AVERAGE(players265272[[#This Row],[Rating]],players265272[[#This Row],[ACS]],players265272[[#This Row],[KAST]],players265272[[#This Row],[HS%]],players265272[[#This Row],[CL%]])</f>
        <v>#DIV/0!</v>
      </c>
      <c r="H64" s="1"/>
      <c r="I64" s="3" t="str">
        <f>VLOOKUP(I52,teams_americas[#All],6,TRUE)</f>
        <v>Klaus</v>
      </c>
      <c r="O64" s="2" t="e">
        <f>AVERAGE(players26526282[[#This Row],[Rating]],players26526282[[#This Row],[ACS]],players26526282[[#This Row],[KAST]],players26526282[[#This Row],[HS%]],players26526282[[#This Row],[CL%]])</f>
        <v>#DIV/0!</v>
      </c>
    </row>
    <row r="65" spans="1:15" x14ac:dyDescent="0.25">
      <c r="A65" s="10" t="s">
        <v>17</v>
      </c>
      <c r="B65" s="13" t="e">
        <f>AVERAGE(players265272[Rating])</f>
        <v>#DIV/0!</v>
      </c>
      <c r="C65" s="13" t="e">
        <f>AVERAGE(players265272[ACS])</f>
        <v>#DIV/0!</v>
      </c>
      <c r="D65" s="13" t="e">
        <f>AVERAGE(players265272[KAST])</f>
        <v>#DIV/0!</v>
      </c>
      <c r="E65" s="13" t="e">
        <f>AVERAGE(players265272[HS%])</f>
        <v>#DIV/0!</v>
      </c>
      <c r="F65" s="13" t="e">
        <f>AVERAGE(players265272[CL%])</f>
        <v>#DIV/0!</v>
      </c>
      <c r="G65" s="10"/>
      <c r="H65" s="1"/>
      <c r="I65" s="10" t="s">
        <v>17</v>
      </c>
      <c r="J65" s="13" t="e">
        <f>AVERAGE(players26526282[Rating])</f>
        <v>#DIV/0!</v>
      </c>
      <c r="K65" s="13" t="e">
        <f>AVERAGE(players26526282[ACS])</f>
        <v>#DIV/0!</v>
      </c>
      <c r="L65" s="13" t="e">
        <f>AVERAGE(players26526282[KAST])</f>
        <v>#DIV/0!</v>
      </c>
      <c r="M65" s="13" t="e">
        <f>AVERAGE(players26526282[HS%])</f>
        <v>#DIV/0!</v>
      </c>
      <c r="N65" s="13" t="e">
        <f>AVERAGE(players26526282[CL%])</f>
        <v>#DIV/0!</v>
      </c>
      <c r="O65" s="10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57" t="s">
        <v>54</v>
      </c>
      <c r="B69" s="58"/>
      <c r="C69" s="58"/>
      <c r="D69" s="58"/>
      <c r="E69" s="58"/>
      <c r="F69" s="58"/>
      <c r="G69" s="59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55"/>
      <c r="B70" s="56"/>
      <c r="C70" s="56"/>
      <c r="D70" s="56"/>
      <c r="E70" s="56"/>
      <c r="F70" s="56"/>
      <c r="G70" s="60"/>
      <c r="H70" s="1"/>
      <c r="I70" s="1"/>
      <c r="J70" s="1"/>
      <c r="K70" s="1"/>
      <c r="L70" s="1"/>
      <c r="M70" s="1"/>
      <c r="N70" s="1"/>
      <c r="O70" s="1"/>
    </row>
    <row r="71" spans="1:15" ht="15.75" thickBot="1" x14ac:dyDescent="0.3">
      <c r="A71" s="61"/>
      <c r="B71" s="62"/>
      <c r="C71" s="62"/>
      <c r="D71" s="62"/>
      <c r="E71" s="62"/>
      <c r="F71" s="62"/>
      <c r="G71" s="63"/>
      <c r="H71" s="1"/>
      <c r="I71" s="1"/>
      <c r="J71" s="1"/>
      <c r="K71" s="1"/>
      <c r="L71" s="1"/>
      <c r="M71" s="1"/>
      <c r="N71" s="1"/>
      <c r="O71" s="1"/>
    </row>
    <row r="72" spans="1:15" ht="23.25" x14ac:dyDescent="0.25">
      <c r="A72" s="12"/>
      <c r="B72" s="12"/>
      <c r="C72" s="12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7" t="s">
        <v>6</v>
      </c>
      <c r="B73" s="8" t="s">
        <v>7</v>
      </c>
      <c r="C73" s="8" t="s">
        <v>8</v>
      </c>
      <c r="D73" s="8" t="s">
        <v>5</v>
      </c>
      <c r="E73" s="8" t="s">
        <v>2</v>
      </c>
      <c r="F73" s="9" t="s">
        <v>10</v>
      </c>
      <c r="G73" s="9" t="s">
        <v>11</v>
      </c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1">
        <f>VLOOKUP(A69,team_stats_americas[#All],2,FALSE)</f>
        <v>3</v>
      </c>
      <c r="B74" s="15">
        <f>VLOOKUP(A69,team_stats_americas[#All],3,FALSE)</f>
        <v>3</v>
      </c>
      <c r="C74" s="15">
        <f>VLOOKUP(A69,team_stats_americas[#All],4,FALSE)</f>
        <v>0</v>
      </c>
      <c r="D74" s="16">
        <f>VLOOKUP(A69,team_stats_americas[#All],5,FALSE)</f>
        <v>45145</v>
      </c>
      <c r="E74" s="15" t="str">
        <f>VLOOKUP(A69,team_stats_americas[#All],6,FALSE)</f>
        <v>161/172</v>
      </c>
      <c r="F74" s="17">
        <f>VLOOKUP(A69,team_stats_americas[#All],7,FALSE)</f>
        <v>-11</v>
      </c>
      <c r="G74" s="25" t="e">
        <f>#REF!</f>
        <v>#REF!</v>
      </c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5"/>
      <c r="B75" s="4"/>
      <c r="C75" s="4"/>
      <c r="D75" s="4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3" t="s">
        <v>3</v>
      </c>
      <c r="B76" t="s">
        <v>4</v>
      </c>
      <c r="C76" t="s">
        <v>0</v>
      </c>
      <c r="D76" t="s">
        <v>1</v>
      </c>
      <c r="E76" t="s">
        <v>16</v>
      </c>
      <c r="F76" t="s">
        <v>15</v>
      </c>
      <c r="G76" s="2" t="s">
        <v>9</v>
      </c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3" t="e">
        <f>VLOOKUP(A69,teams_americas[#All],2,TRUE)</f>
        <v>#N/A</v>
      </c>
      <c r="G77" s="2" t="e">
        <f>AVERAGE(players265474[[#This Row],[Rating]],players265474[[#This Row],[ACS]],players265474[[#This Row],[KAST]],players265474[[#This Row],[HS%]],players265474[[#This Row],[CL%]])</f>
        <v>#DIV/0!</v>
      </c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3" t="e">
        <f>VLOOKUP(A69,teams_americas[#All],3,TRUE)</f>
        <v>#N/A</v>
      </c>
      <c r="G78" s="2" t="e">
        <f>AVERAGE(players265474[[#This Row],[Rating]],players265474[[#This Row],[ACS]],players265474[[#This Row],[KAST]],players265474[[#This Row],[HS%]],players265474[[#This Row],[CL%]])</f>
        <v>#DIV/0!</v>
      </c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3" t="e">
        <f>VLOOKUP(A69,teams_americas[#All],4,TRUE)</f>
        <v>#N/A</v>
      </c>
      <c r="G79" s="2" t="e">
        <f>AVERAGE(players265474[[#This Row],[Rating]],players265474[[#This Row],[ACS]],players265474[[#This Row],[KAST]],players265474[[#This Row],[HS%]],players265474[[#This Row],[CL%]])</f>
        <v>#DIV/0!</v>
      </c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3" t="e">
        <f>VLOOKUP(A69,teams_americas[#All],5,TRUE)</f>
        <v>#N/A</v>
      </c>
      <c r="G80" s="2" t="e">
        <f>AVERAGE(players265474[[#This Row],[Rating]],players265474[[#This Row],[ACS]],players265474[[#This Row],[KAST]],players265474[[#This Row],[HS%]],players265474[[#This Row],[CL%]])</f>
        <v>#DIV/0!</v>
      </c>
      <c r="H80" s="1"/>
      <c r="I80" s="1"/>
      <c r="J80" s="1"/>
      <c r="K80" s="1"/>
      <c r="L80" s="1"/>
      <c r="M80" s="1"/>
      <c r="N80" s="1"/>
      <c r="O80" s="1"/>
    </row>
    <row r="81" spans="1:15" ht="15.75" thickBot="1" x14ac:dyDescent="0.3">
      <c r="A81" s="3" t="e">
        <f>VLOOKUP(A69,teams_americas[#All],6,TRUE)</f>
        <v>#N/A</v>
      </c>
      <c r="G81" s="2" t="e">
        <f>AVERAGE(players265474[[#This Row],[Rating]],players265474[[#This Row],[ACS]],players265474[[#This Row],[KAST]],players265474[[#This Row],[HS%]],players265474[[#This Row],[CL%]])</f>
        <v>#DIV/0!</v>
      </c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0" t="s">
        <v>17</v>
      </c>
      <c r="B82" s="13" t="e">
        <f>AVERAGE(players265474[Rating])</f>
        <v>#DIV/0!</v>
      </c>
      <c r="C82" s="13" t="e">
        <f>AVERAGE(players265474[ACS])</f>
        <v>#DIV/0!</v>
      </c>
      <c r="D82" s="13" t="e">
        <f>AVERAGE(players265474[KAST])</f>
        <v>#DIV/0!</v>
      </c>
      <c r="E82" s="13" t="e">
        <f>AVERAGE(players265474[HS%])</f>
        <v>#DIV/0!</v>
      </c>
      <c r="F82" s="13" t="e">
        <f>AVERAGE(players265474[CL%])</f>
        <v>#DIV/0!</v>
      </c>
      <c r="G82" s="10"/>
      <c r="H82" s="1"/>
      <c r="I82" s="1"/>
      <c r="J82" s="1"/>
      <c r="K82" s="1"/>
      <c r="L82" s="1"/>
      <c r="M82" s="1"/>
      <c r="N82" s="1"/>
      <c r="O82" s="1"/>
    </row>
  </sheetData>
  <mergeCells count="9">
    <mergeCell ref="A52:G54"/>
    <mergeCell ref="I52:O54"/>
    <mergeCell ref="A69:G71"/>
    <mergeCell ref="A1:G3"/>
    <mergeCell ref="I1:O3"/>
    <mergeCell ref="A18:G20"/>
    <mergeCell ref="I18:O20"/>
    <mergeCell ref="A35:G37"/>
    <mergeCell ref="I35:O37"/>
  </mergeCells>
  <pageMargins left="0.511811024" right="0.511811024" top="0.78740157499999996" bottom="0.78740157499999996" header="0.31496062000000002" footer="0.31496062000000002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a 2 0 b 1 b - 7 7 4 9 - 4 8 c 2 - 8 6 0 2 - f f 2 2 2 1 b 3 a e e 9 "   x m l n s = " h t t p : / / s c h e m a s . m i c r o s o f t . c o m / D a t a M a s h u p " > A A A A A E k G A A B Q S w M E F A A C A A g A a G + h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a G +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v o V Y 5 D d Q 2 Q w M A A I E O A A A T A B w A R m 9 y b X V s Y X M v U 2 V j d G l v b j E u b S C i G A A o o B Q A A A A A A A A A A A A A A A A A A A A A A A A A A A D l V t 1 O 2 z A U v k f q O 1 h G k 4 o U I l L a 8 q d e d O 2 q T f y o I 5 F 2 Q S d k U l M 8 U j u y 3 U K F e I u 9 w x 5 k 9 3 u m n S Y p c Y l D g Q l x s d 6 k 5 z v O + f 3 O c R Q N N R M c + e n T O 6 i s V d b U F Z F 0 i O K I z K g 8 V 5 p o h V o o o r q y h u D X E 1 x T A D p q 6 n Z F O B l T r q s 9 F l G 3 M 9 d w r a q 4 t z + 4 E f J a x S S k g 1 i K H 1 Q L t R k L q S 9 F x M T g h l 6 o U J I 4 Z n w 0 m E Z y c w Q P E g l J u J 7 / H x J N F N V q Y A b h h m q K N 5 y z L o 3 Y m G k q W 9 j B D u q I a D L m q l W r O e g T D 8 U Q b L a a j a 0 t z 0 F f J 0 J T X 8 8 i 2 s r / u i e C 0 + 8 b T p r O O u 6 Q C / r 7 F 4 m u h E J 9 K c Z i y o Z C Y U g x I B d w P M E 0 / U z J k E p V T f J 3 0 F k G t 6 P I D 0 l E p G p p O T H t B i w W q B 1 B o G Q o c n M B J K k u h R y n g Q e z m K p q a R T O 3 R 2 G J L 9 w 3 a y 7 8 7 P 3 D r r D / a Q s g G t A k K a 3 O o H b o 3 n 5 C / A p H x Z N n B a h d s c v g o f 7 X Q v Y 9 g N A + 1 S G 4 J G M q G G k a 7 F 8 2 L e 5 s 4 E 9 6 9 F e 1 4 Z + 9 j + U B N E 5 K t c U y n N 4 T G 4 t I R c h S y H a t g x s 8 S 9 j 9 w b 7 g A W c K H R K k 5 Y T g 3 g J R D N + V x 8 T y g F i G H a 6 D N 5 m E q X 2 E M w a y g Y F D s v c q B 9 H T K c 2 q z b v D s r Z l Z w F d + l L A R T s 4 + x h + q o Y Y X P C X F g I G z k 5 X S 8 3 5 d b M S J f S 8 F Y O x o r E 5 g N i e F x u 7 Y N 7 U 2 E t P h d j m O / l 6 n M y L q u + Z / q d m 8 c B J W N 8 b 8 8 f g 8 / K G u N P u D U 3 7 z r W Y C x d e p s Q g 2 R h G t j 7 7 G B L M C t W 8 e 7 / s 4 m T t j + m 3 T f G V f H o k V A W N G D U g h 6 3 + w u r 0 I d s Y 5 9 0 C 5 7 + / H y r x W L n 6 8 K U S d c 5 P 9 T 5 g h r v S t M 8 j F U f C 6 9 k 6 E u Y l N I T W J O C X r H L q e I Z 2 + n l H V z 4 N M w d M X 4 F 1 v x J D C U S k l o N + 9 c s t t 8 L 3 r / e N U / 5 h 1 W Z F + N 1 1 0 7 2 f r p 3 F 0 L N F L Z N o W 4 K D V N o m s K O K e y a w p 4 p e F t v e 8 O Z y S 1 v A D N T u 2 a 7 V F M v 1 T R K N c 1 S z U 6 p Z r d U s 1 e q g Y o + d y y 8 Z 8 6 F l w 9 G Z t + I 4 5 V f B Z Z g H v f L + D R Y o m X 6 b e D h Q r M y T Q 0 X m p V p t n G h W Z m m j g v N y j Q N X G h W p m n i J 6 t b K 6 + u p V C O 2 f U V t 0 g N H / w F U E s B A i 0 A F A A C A A g A a G + h V i n H i a C k A A A A 9 g A A A B I A A A A A A A A A A A A A A A A A A A A A A E N v b m Z p Z y 9 Q Y W N r Y W d l L n h t b F B L A Q I t A B Q A A g A I A G h v o V Y P y u m r p A A A A O k A A A A T A A A A A A A A A A A A A A A A A P A A A A B b Q 2 9 u d G V u d F 9 U e X B l c 1 0 u e G 1 s U E s B A i 0 A F A A C A A g A a G + h V j k N 1 D Z D A w A A g Q 4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A A A A A A A A C R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B d 0 1 E Q X d R R E F 3 T U R B d 1 F F Q m d N R E F 3 T U R B d z 0 9 I i A v P j x F b n R y e S B U e X B l P S J G a W x s T G F z d F V w Z G F 0 Z W Q i I F Z h b H V l P S J k M j A y M y 0 w N S 0 w M V Q x N j o 1 O T o x N y 4 y N j Y x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0 M j g 0 O W I y L T I 4 N j Q t N G I x M y 1 i Z T h h L T Y 1 M j Q x O D c y M j l k O C I g L z 4 8 R W 5 0 c n k g V H l w Z T 0 i R m l s b E N v d W 5 0 I i B W Y W x 1 Z T 0 i b D U y I i A v P j x F b n R y e S B U e X B l P S J G a W x s Q 2 9 s d W 1 u T m F t Z X M i I F Z h b H V l P S J z W y Z x d W 9 0 O 1 B s Y X l l c i Z x d W 9 0 O y w m c X V v d D t U Z W F t J n F 1 b 3 Q 7 L C Z x d W 9 0 O 0 F n Z W 5 0 c y Z x d W 9 0 O y w m c X V v d D t S b m Q m c X V v d D s s J n F 1 b 3 Q 7 U i Z x d W 9 0 O y w m c X V v d D t B Q 1 M m c X V v d D s s J n F 1 b 3 Q 7 S z p E J n F 1 b 3 Q 7 L C Z x d W 9 0 O 0 t B U 1 Q m c X V v d D s s J n F 1 b 3 Q 7 Q U R S J n F 1 b 3 Q 7 L C Z x d W 9 0 O 0 t Q U i Z x d W 9 0 O y w m c X V v d D t B U F I m c X V v d D s s J n F 1 b 3 Q 7 R k t Q U i Z x d W 9 0 O y w m c X V v d D t G R F B S J n F 1 b 3 Q 7 L C Z x d W 9 0 O 0 h T J S Z x d W 9 0 O y w m c X V v d D t D T C U m c X V v d D s s J n F 1 b 3 Q 7 Q 0 w m c X V v d D s s J n F 1 b 3 Q 7 S 0 1 h e C Z x d W 9 0 O y w m c X V v d D t L J n F 1 b 3 Q 7 L C Z x d W 9 0 O 0 Q m c X V v d D s s J n F 1 b 3 Q 7 Q S Z x d W 9 0 O y w m c X V v d D t G S y Z x d W 9 0 O y w m c X V v d D t G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3 R h d H M v V G l w b y B B b H R l c m F k b z E u e 1 B s Y X l l c i 4 x L D B 9 J n F 1 b 3 Q 7 L C Z x d W 9 0 O 1 N l Y 3 R p b 2 4 x L 3 B s Y X l l c l 9 z d G F 0 c y 9 U a X B v I E F s d G V y Y W R v M S 5 7 U G x h e W V y L j I s M X 0 m c X V v d D s s J n F 1 b 3 Q 7 U 2 V j d G l v b j E v c G x h e W V y X 3 N 0 Y X R z L 1 R p c G 8 g Q W x 0 Z X J h Z G 8 u e 0 F n Z W 5 0 c y w y f S Z x d W 9 0 O y w m c X V v d D t T Z W N 0 a W 9 u M S 9 w b G F 5 Z X J f c 3 R h d H M v V G l w b y B B b H R l c m F k b y 5 7 U m 5 k L D N 9 J n F 1 b 3 Q 7 L C Z x d W 9 0 O 1 N l Y 3 R p b 2 4 x L 3 B s Y X l l c l 9 z d G F 0 c y 9 U a X B v I E F s d G V y Y W R v L n t S L D R 9 J n F 1 b 3 Q 7 L C Z x d W 9 0 O 1 N l Y 3 R p b 2 4 x L 3 B s Y X l l c l 9 z d G F 0 c y 9 U a X B v I E F s d G V y Y W R v L n t B Q 1 M s N X 0 m c X V v d D s s J n F 1 b 3 Q 7 U 2 V j d G l v b j E v c G x h e W V y X 3 N 0 Y X R z L 1 R p c G 8 g Q W x 0 Z X J h Z G 8 u e 0 s 6 R C w 2 f S Z x d W 9 0 O y w m c X V v d D t T Z W N 0 a W 9 u M S 9 w b G F 5 Z X J f c 3 R h d H M v V G l w b y B B b H R l c m F k b y 5 7 S 0 F T V C w 3 f S Z x d W 9 0 O y w m c X V v d D t T Z W N 0 a W 9 u M S 9 w b G F 5 Z X J f c 3 R h d H M v V G l w b y B B b H R l c m F k b y 5 7 Q U R S L D h 9 J n F 1 b 3 Q 7 L C Z x d W 9 0 O 1 N l Y 3 R p b 2 4 x L 3 B s Y X l l c l 9 z d G F 0 c y 9 U a X B v I E F s d G V y Y W R v L n t L U F I s O X 0 m c X V v d D s s J n F 1 b 3 Q 7 U 2 V j d G l v b j E v c G x h e W V y X 3 N 0 Y X R z L 1 R p c G 8 g Q W x 0 Z X J h Z G 8 u e 0 F Q U i w x M H 0 m c X V v d D s s J n F 1 b 3 Q 7 U 2 V j d G l v b j E v c G x h e W V y X 3 N 0 Y X R z L 1 R p c G 8 g Q W x 0 Z X J h Z G 8 u e 0 Z L U F I s M T F 9 J n F 1 b 3 Q 7 L C Z x d W 9 0 O 1 N l Y 3 R p b 2 4 x L 3 B s Y X l l c l 9 z d G F 0 c y 9 U a X B v I E F s d G V y Y W R v L n t G R F B S L D E y f S Z x d W 9 0 O y w m c X V v d D t T Z W N 0 a W 9 u M S 9 w b G F 5 Z X J f c 3 R h d H M v V G l w b y B B b H R l c m F k b y 5 7 S F M l L D E z f S Z x d W 9 0 O y w m c X V v d D t T Z W N 0 a W 9 u M S 9 w b G F 5 Z X J f c 3 R h d H M v V G l w b y B B b H R l c m F k b y 5 7 Q 0 w l L D E 0 f S Z x d W 9 0 O y w m c X V v d D t T Z W N 0 a W 9 u M S 9 w b G F 5 Z X J f c 3 R h d H M v V G l w b y B B b H R l c m F k b y 5 7 Q 0 w s M T V 9 J n F 1 b 3 Q 7 L C Z x d W 9 0 O 1 N l Y 3 R p b 2 4 x L 3 B s Y X l l c l 9 z d G F 0 c y 9 U a X B v I E F s d G V y Y W R v L n t L T W F 4 L D E 2 f S Z x d W 9 0 O y w m c X V v d D t T Z W N 0 a W 9 u M S 9 w b G F 5 Z X J f c 3 R h d H M v V G l w b y B B b H R l c m F k b y 5 7 S y w x N 3 0 m c X V v d D s s J n F 1 b 3 Q 7 U 2 V j d G l v b j E v c G x h e W V y X 3 N 0 Y X R z L 1 R p c G 8 g Q W x 0 Z X J h Z G 8 u e 0 Q s M T h 9 J n F 1 b 3 Q 7 L C Z x d W 9 0 O 1 N l Y 3 R p b 2 4 x L 3 B s Y X l l c l 9 z d G F 0 c y 9 U a X B v I E F s d G V y Y W R v L n t B L D E 5 f S Z x d W 9 0 O y w m c X V v d D t T Z W N 0 a W 9 u M S 9 w b G F 5 Z X J f c 3 R h d H M v V G l w b y B B b H R l c m F k b y 5 7 R k s s M j B 9 J n F 1 b 3 Q 7 L C Z x d W 9 0 O 1 N l Y 3 R p b 2 4 x L 3 B s Y X l l c l 9 z d G F 0 c y 9 U a X B v I E F s d G V y Y W R v L n t G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s Y X l l c l 9 z d G F 0 c y 9 U a X B v I E F s d G V y Y W R v M S 5 7 U G x h e W V y L j E s M H 0 m c X V v d D s s J n F 1 b 3 Q 7 U 2 V j d G l v b j E v c G x h e W V y X 3 N 0 Y X R z L 1 R p c G 8 g Q W x 0 Z X J h Z G 8 x L n t Q b G F 5 Z X I u M i w x f S Z x d W 9 0 O y w m c X V v d D t T Z W N 0 a W 9 u M S 9 w b G F 5 Z X J f c 3 R h d H M v V G l w b y B B b H R l c m F k b y 5 7 Q W d l b n R z L D J 9 J n F 1 b 3 Q 7 L C Z x d W 9 0 O 1 N l Y 3 R p b 2 4 x L 3 B s Y X l l c l 9 z d G F 0 c y 9 U a X B v I E F s d G V y Y W R v L n t S b m Q s M 3 0 m c X V v d D s s J n F 1 b 3 Q 7 U 2 V j d G l v b j E v c G x h e W V y X 3 N 0 Y X R z L 1 R p c G 8 g Q W x 0 Z X J h Z G 8 u e 1 I s N H 0 m c X V v d D s s J n F 1 b 3 Q 7 U 2 V j d G l v b j E v c G x h e W V y X 3 N 0 Y X R z L 1 R p c G 8 g Q W x 0 Z X J h Z G 8 u e 0 F D U y w 1 f S Z x d W 9 0 O y w m c X V v d D t T Z W N 0 a W 9 u M S 9 w b G F 5 Z X J f c 3 R h d H M v V G l w b y B B b H R l c m F k b y 5 7 S z p E L D Z 9 J n F 1 b 3 Q 7 L C Z x d W 9 0 O 1 N l Y 3 R p b 2 4 x L 3 B s Y X l l c l 9 z d G F 0 c y 9 U a X B v I E F s d G V y Y W R v L n t L Q V N U L D d 9 J n F 1 b 3 Q 7 L C Z x d W 9 0 O 1 N l Y 3 R p b 2 4 x L 3 B s Y X l l c l 9 z d G F 0 c y 9 U a X B v I E F s d G V y Y W R v L n t B R F I s O H 0 m c X V v d D s s J n F 1 b 3 Q 7 U 2 V j d G l v b j E v c G x h e W V y X 3 N 0 Y X R z L 1 R p c G 8 g Q W x 0 Z X J h Z G 8 u e 0 t Q U i w 5 f S Z x d W 9 0 O y w m c X V v d D t T Z W N 0 a W 9 u M S 9 w b G F 5 Z X J f c 3 R h d H M v V G l w b y B B b H R l c m F k b y 5 7 Q V B S L D E w f S Z x d W 9 0 O y w m c X V v d D t T Z W N 0 a W 9 u M S 9 w b G F 5 Z X J f c 3 R h d H M v V G l w b y B B b H R l c m F k b y 5 7 R k t Q U i w x M X 0 m c X V v d D s s J n F 1 b 3 Q 7 U 2 V j d G l v b j E v c G x h e W V y X 3 N 0 Y X R z L 1 R p c G 8 g Q W x 0 Z X J h Z G 8 u e 0 Z E U F I s M T J 9 J n F 1 b 3 Q 7 L C Z x d W 9 0 O 1 N l Y 3 R p b 2 4 x L 3 B s Y X l l c l 9 z d G F 0 c y 9 U a X B v I E F s d G V y Y W R v L n t I U y U s M T N 9 J n F 1 b 3 Q 7 L C Z x d W 9 0 O 1 N l Y 3 R p b 2 4 x L 3 B s Y X l l c l 9 z d G F 0 c y 9 U a X B v I E F s d G V y Y W R v L n t D T C U s M T R 9 J n F 1 b 3 Q 7 L C Z x d W 9 0 O 1 N l Y 3 R p b 2 4 x L 3 B s Y X l l c l 9 z d G F 0 c y 9 U a X B v I E F s d G V y Y W R v L n t D T C w x N X 0 m c X V v d D s s J n F 1 b 3 Q 7 U 2 V j d G l v b j E v c G x h e W V y X 3 N 0 Y X R z L 1 R p c G 8 g Q W x 0 Z X J h Z G 8 u e 0 t N Y X g s M T Z 9 J n F 1 b 3 Q 7 L C Z x d W 9 0 O 1 N l Y 3 R p b 2 4 x L 3 B s Y X l l c l 9 z d G F 0 c y 9 U a X B v I E F s d G V y Y W R v L n t L L D E 3 f S Z x d W 9 0 O y w m c X V v d D t T Z W N 0 a W 9 u M S 9 w b G F 5 Z X J f c 3 R h d H M v V G l w b y B B b H R l c m F k b y 5 7 R C w x O H 0 m c X V v d D s s J n F 1 b 3 Q 7 U 2 V j d G l v b j E v c G x h e W V y X 3 N 0 Y X R z L 1 R p c G 8 g Q W x 0 Z X J h Z G 8 u e 0 E s M T l 9 J n F 1 b 3 Q 7 L C Z x d W 9 0 O 1 N l Y 3 R p b 2 4 x L 3 B s Y X l l c l 9 z d G F 0 c y 9 U a X B v I E F s d G V y Y W R v L n t G S y w y M H 0 m c X V v d D s s J n F 1 b 3 Q 7 U 2 V j d G l v b j E v c G x h e W V y X 3 N 0 Y X R z L 1 R p c G 8 g Q W x 0 Z X J h Z G 8 u e 0 Z E L D I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3 R h d H M t Y W 1 l c m l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l Y W 1 f c 3 R h d H N f Y W 1 l c m l j Y X M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B d 2 t H Q X c 9 P S I g L z 4 8 R W 5 0 c n k g V H l w Z T 0 i R m l s b E x h c 3 R V c G R h d G V k I i B W Y W x 1 Z T 0 i Z D I w M j M t M D U t M D F U M T Y 6 N T k 6 M T c u M j g 1 M T U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Y z c 1 Y 2 M 1 O S 0 1 M G E z L T Q y N D M t Y j V l N C 1 h N z k y Y j l j O D M 1 M T Y i I C 8 + P E V u d H J 5 I F R 5 c G U 9 I k Z p b G x D b 3 V u d C I g V m F s d W U 9 I m w x M C I g L z 4 8 R W 5 0 c n k g V H l w Z T 0 i R m l s b E N v b H V t b k 5 h b W V z I i B W Y W x 1 Z T 0 i c 1 s m c X V v d D t U Z W F t J n F 1 b 3 Q 7 L C Z x d W 9 0 O 1 d p b n M m c X V v d D s s J n F 1 b 3 Q 7 T G 9 z c y Z x d W 9 0 O y w m c X V v d D t U a W V z J n F 1 b 3 Q 7 L C Z x d W 9 0 O 0 1 B U C Z x d W 9 0 O y w m c X V v d D t S T k Q m c X V v d D s s J n F 1 b 3 Q 7 z p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X 3 N 0 Y X R z L W F t Z X J p Y 2 F z L 1 R p c G 8 g Q W x 0 Z X J h Z G 8 u e 1 R l Y W 0 s M X 0 m c X V v d D s s J n F 1 b 3 Q 7 U 2 V j d G l v b j E v d G V h b V 9 z d G F 0 c y 1 h b W V y a W N h c y 9 U a X B v I E F s d G V y Y W R v L n t X a W 5 z L D J 9 J n F 1 b 3 Q 7 L C Z x d W 9 0 O 1 N l Y 3 R p b 2 4 x L 3 R l Y W 1 f c 3 R h d H M t Y W 1 l c m l j Y X M v V G l w b y B B b H R l c m F k b y 5 7 T G 9 z c y w z f S Z x d W 9 0 O y w m c X V v d D t T Z W N 0 a W 9 u M S 9 0 Z W F t X 3 N 0 Y X R z L W F t Z X J p Y 2 F z L 1 R p c G 8 g Q W x 0 Z X J h Z G 8 u e 1 R p Z X M s N H 0 m c X V v d D s s J n F 1 b 3 Q 7 U 2 V j d G l v b j E v d G V h b V 9 z d G F 0 c y 1 h b W V y a W N h c y 9 U a X B v I E F s d G V y Y W R v L n t N Q V A s N X 0 m c X V v d D s s J n F 1 b 3 Q 7 U 2 V j d G l v b j E v d G V h b V 9 z d G F 0 c y 1 h b W V y a W N h c y 9 U a X B v I E F s d G V y Y W R v L n t S T k Q s N n 0 m c X V v d D s s J n F 1 b 3 Q 7 U 2 V j d G l v b j E v d G V h b V 9 z d G F 0 c y 1 h b W V y a W N h c y 9 U a X B v I E F s d G V y Y W R v L n v O l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W F t X 3 N 0 Y X R z L W F t Z X J p Y 2 F z L 1 R p c G 8 g Q W x 0 Z X J h Z G 8 u e 1 R l Y W 0 s M X 0 m c X V v d D s s J n F 1 b 3 Q 7 U 2 V j d G l v b j E v d G V h b V 9 z d G F 0 c y 1 h b W V y a W N h c y 9 U a X B v I E F s d G V y Y W R v L n t X a W 5 z L D J 9 J n F 1 b 3 Q 7 L C Z x d W 9 0 O 1 N l Y 3 R p b 2 4 x L 3 R l Y W 1 f c 3 R h d H M t Y W 1 l c m l j Y X M v V G l w b y B B b H R l c m F k b y 5 7 T G 9 z c y w z f S Z x d W 9 0 O y w m c X V v d D t T Z W N 0 a W 9 u M S 9 0 Z W F t X 3 N 0 Y X R z L W F t Z X J p Y 2 F z L 1 R p c G 8 g Q W x 0 Z X J h Z G 8 u e 1 R p Z X M s N H 0 m c X V v d D s s J n F 1 b 3 Q 7 U 2 V j d G l v b j E v d G V h b V 9 z d G F 0 c y 1 h b W V y a W N h c y 9 U a X B v I E F s d G V y Y W R v L n t N Q V A s N X 0 m c X V v d D s s J n F 1 b 3 Q 7 U 2 V j d G l v b j E v d G V h b V 9 z d G F 0 c y 1 h b W V y a W N h c y 9 U a X B v I E F s d G V y Y W R v L n t S T k Q s N n 0 m c X V v d D s s J n F 1 b 3 Q 7 U 2 V j d G l v b j E v d G V h b V 9 z d G F 0 c y 1 h b W V y a W N h c y 9 U a X B v I E F s d G V y Y W R v L n v O l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F t X 3 N 0 Y X R z L W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0 Y X R z L W F t Z X J p Y 2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V h b X N f Y W 1 l c m l j Y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N j o 1 O T o x N y 4 y N D k x O D I 5 W i I g L z 4 8 R W 5 0 c n k g V H l w Z T 0 i R m l s b E N v b H V t b l R 5 c G V z I i B W Y W x 1 Z T 0 i c 0 J n W U d C Z 1 l H Q m c 9 P S I g L z 4 8 R W 5 0 c n k g V H l w Z T 0 i U X V l c n l J R C I g V m F s d W U 9 I n N k M D V m N z l l Z C 0 x N T l k L T R m Z m Y t O T h h M S 0 y N m E x Z T k 1 Y j U w Z D k i I C 8 + P E V u d H J 5 I F R 5 c G U 9 I k Z p b G x D b 3 V u d C I g V m F s d W U 9 I m w x M C I g L z 4 8 R W 5 0 c n k g V H l w Z T 0 i R m l s b E N v b H V t b k 5 h b W V z I i B W Y W x 1 Z T 0 i c 1 s m c X V v d D t U Z W F t J n F 1 b 3 Q 7 L C Z x d W 9 0 O 1 B s Y X l l c j E m c X V v d D s s J n F 1 b 3 Q 7 U G x h e W V y M i Z x d W 9 0 O y w m c X V v d D t Q b G F 5 Z X I z J n F 1 b 3 Q 7 L C Z x d W 9 0 O 1 B s Y X l l c j Q m c X V v d D s s J n F 1 b 3 Q 7 U G x h e W V y N S Z x d W 9 0 O y w m c X V v d D t Q b G F 5 Z X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N f Y W 1 l c m l j Y X M v V G l w b y B B b H R l c m F k b z E u e 0 N v b H V t b j I u M S w w f S Z x d W 9 0 O y w m c X V v d D t T Z W N 0 a W 9 u M S 9 0 Z W F t c 1 9 h b W V y a W N h c y 9 U a X B v I E F s d G V y Y W R v M S 5 7 Q 2 9 s d W 1 u M i 4 y L D F 9 J n F 1 b 3 Q 7 L C Z x d W 9 0 O 1 N l Y 3 R p b 2 4 x L 3 R l Y W 1 z X 2 F t Z X J p Y 2 F z L 1 R p c G 8 g Q W x 0 Z X J h Z G 8 x L n t D b 2 x 1 b W 4 y L j M s M n 0 m c X V v d D s s J n F 1 b 3 Q 7 U 2 V j d G l v b j E v d G V h b X N f Y W 1 l c m l j Y X M v V G l w b y B B b H R l c m F k b z E u e 0 N v b H V t b j I u N C w z f S Z x d W 9 0 O y w m c X V v d D t T Z W N 0 a W 9 u M S 9 0 Z W F t c 1 9 h b W V y a W N h c y 9 U a X B v I E F s d G V y Y W R v M S 5 7 Q 2 9 s d W 1 u M i 4 1 L D R 9 J n F 1 b 3 Q 7 L C Z x d W 9 0 O 1 N l Y 3 R p b 2 4 x L 3 R l Y W 1 z X 2 F t Z X J p Y 2 F z L 1 R p c G 8 g Q W x 0 Z X J h Z G 8 x L n t D b 2 x 1 b W 4 y L j Y s N X 0 m c X V v d D s s J n F 1 b 3 Q 7 U 2 V j d G l v b j E v d G V h b X N f Y W 1 l c m l j Y X M v V G l w b y B B b H R l c m F k b z E u e 0 N v b H V t b j I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W F t c 1 9 h b W V y a W N h c y 9 U a X B v I E F s d G V y Y W R v M S 5 7 Q 2 9 s d W 1 u M i 4 x L D B 9 J n F 1 b 3 Q 7 L C Z x d W 9 0 O 1 N l Y 3 R p b 2 4 x L 3 R l Y W 1 z X 2 F t Z X J p Y 2 F z L 1 R p c G 8 g Q W x 0 Z X J h Z G 8 x L n t D b 2 x 1 b W 4 y L j I s M X 0 m c X V v d D s s J n F 1 b 3 Q 7 U 2 V j d G l v b j E v d G V h b X N f Y W 1 l c m l j Y X M v V G l w b y B B b H R l c m F k b z E u e 0 N v b H V t b j I u M y w y f S Z x d W 9 0 O y w m c X V v d D t T Z W N 0 a W 9 u M S 9 0 Z W F t c 1 9 h b W V y a W N h c y 9 U a X B v I E F s d G V y Y W R v M S 5 7 Q 2 9 s d W 1 u M i 4 0 L D N 9 J n F 1 b 3 Q 7 L C Z x d W 9 0 O 1 N l Y 3 R p b 2 4 x L 3 R l Y W 1 z X 2 F t Z X J p Y 2 F z L 1 R p c G 8 g Q W x 0 Z X J h Z G 8 x L n t D b 2 x 1 b W 4 y L j U s N H 0 m c X V v d D s s J n F 1 b 3 Q 7 U 2 V j d G l v b j E v d G V h b X N f Y W 1 l c m l j Y X M v V G l w b y B B b H R l c m F k b z E u e 0 N v b H V t b j I u N i w 1 f S Z x d W 9 0 O y w m c X V v d D t T Z W N 0 a W 9 u M S 9 0 Z W F t c 1 9 h b W V y a W N h c y 9 U a X B v I E F s d G V y Y W R v M S 5 7 Q 2 9 s d W 1 u M i 4 3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Y W 1 z X 2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/ f P Z y O 3 x I v d 9 5 M o b f E 3 s A A A A A A g A A A A A A E G Y A A A A B A A A g A A A A c A I x e U k f r Y I i + l D l j Q J Y J 4 M t R b d k o N R 0 C y n 3 7 H i f t Y c A A A A A D o A A A A A C A A A g A A A A u f y c x k S C O 6 j F Q 1 / n o w k B s j W N i 6 x u K G e K O M e C 5 S t p G 6 J Q A A A A W p S M A t 5 6 g m Y g Z b B z s Z H f E p 5 K 3 i S 5 h G 4 4 z f P I s C J a J j Z M / 5 m 2 P E 0 z F g B t F E s K x t 4 e C t m Q W h D G S j 9 z L Z h G w l o Q / 2 L z H L N 9 P q Q 9 B 0 i a r U a P q m R A A A A A j 1 i L M 3 y + m 0 K b l j D + V w f 8 N 5 L s M p E P 8 X Q M j o u o F 1 u 9 A h C S T h 7 I H E o i V Z h x / q J E G g 7 o m z S 1 o W k d G D H M G t G m G F V R P A = = < / D a t a M a s h u p > 
</file>

<file path=customXml/itemProps1.xml><?xml version="1.0" encoding="utf-8"?>
<ds:datastoreItem xmlns:ds="http://schemas.openxmlformats.org/officeDocument/2006/customXml" ds:itemID="{30DD5098-A152-48FE-A362-F36E6F83B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Demonstrativo</vt:lpstr>
      <vt:lpstr>teams-americas</vt:lpstr>
      <vt:lpstr>team_stats-americas</vt:lpstr>
      <vt:lpstr>player_stats</vt:lpstr>
      <vt:lpstr>teams_americas</vt:lpstr>
      <vt:lpstr>get-players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Ricardo</dc:creator>
  <cp:lastModifiedBy>Luiz Ricardo</cp:lastModifiedBy>
  <dcterms:created xsi:type="dcterms:W3CDTF">2023-04-23T19:22:38Z</dcterms:created>
  <dcterms:modified xsi:type="dcterms:W3CDTF">2023-05-01T17:01:40Z</dcterms:modified>
</cp:coreProperties>
</file>