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be2a7bb95f210a1/Documents/CAPSTONE/2023 Waterloo Capstone Project/Feed Quality an Compositions/"/>
    </mc:Choice>
  </mc:AlternateContent>
  <xr:revisionPtr revIDLastSave="1" documentId="13_ncr:1_{BA678EAD-F4F6-415D-8416-C6B1D79B5B9F}" xr6:coauthVersionLast="47" xr6:coauthVersionMax="47" xr10:uidLastSave="{79D9E1AE-3B4B-4A1F-A0C2-E5871F48F7CA}"/>
  <bookViews>
    <workbookView xWindow="-103" yWindow="-103" windowWidth="23657" windowHeight="15840" activeTab="3" xr2:uid="{00000000-000D-0000-FFFF-FFFF00000000}"/>
  </bookViews>
  <sheets>
    <sheet name="Flagsheet" sheetId="1" r:id="rId1"/>
    <sheet name="Lab Data" sheetId="4" r:id="rId2"/>
    <sheet name="Mass Balance" sheetId="12" r:id="rId3"/>
    <sheet name="U Value Calculations (2)" sheetId="13" r:id="rId4"/>
    <sheet name="U Value Calculations" sheetId="11" state="hidden" r:id="rId5"/>
    <sheet name="Reference Data U values" sheetId="9" r:id="rId6"/>
    <sheet name="U Value Calculations - old" sheetId="8" state="hidden" r:id="rId7"/>
  </sheets>
  <definedNames>
    <definedName name="_xlnm.Print_Area" localSheetId="0">Flagsheet!$A$1:$AC$49</definedName>
    <definedName name="UNI_AA_VERSION" hidden="1">"300.1.0"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OUTLIERS" hidden="1">32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32768</definedName>
    <definedName name="UNI_RET_EVENT" hidden="1">4096</definedName>
    <definedName name="UNI_RET_OFFSPEC" hidden="1">512</definedName>
    <definedName name="UNI_RET_ONSPEC" hidden="1">256</definedName>
    <definedName name="UNI_RET_PROP" hidden="1">131072</definedName>
    <definedName name="UNI_RET_PROPDESC" hidden="1">262144</definedName>
    <definedName name="UNI_RET_SMPLPNT" hidden="1">65536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FORMANCES3R3C4" hidden="1">#REF!</definedName>
    <definedName name="UNIFORMANCES4R3C4" hidden="1">'Lab Data'!#REF!</definedName>
    <definedName name="UNIFORMANCES7R3C3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3" l="1"/>
  <c r="N52" i="11"/>
  <c r="J51" i="11"/>
  <c r="K51" i="11" s="1"/>
  <c r="O51" i="11"/>
  <c r="S51" i="11"/>
  <c r="N45" i="11"/>
  <c r="J44" i="11"/>
  <c r="K44" i="11" s="1"/>
  <c r="M44" i="11"/>
  <c r="O44" i="11"/>
  <c r="P44" i="11"/>
  <c r="S44" i="11"/>
  <c r="N39" i="11"/>
  <c r="J38" i="11"/>
  <c r="K38" i="11" s="1"/>
  <c r="M38" i="11"/>
  <c r="O38" i="11"/>
  <c r="P38" i="11"/>
  <c r="S38" i="11"/>
  <c r="N34" i="11"/>
  <c r="I33" i="11"/>
  <c r="J33" i="11" s="1"/>
  <c r="K33" i="11" s="1"/>
  <c r="M33" i="11"/>
  <c r="O33" i="11"/>
  <c r="P33" i="11"/>
  <c r="N29" i="11"/>
  <c r="J28" i="11"/>
  <c r="K28" i="11" s="1"/>
  <c r="O28" i="11"/>
  <c r="S28" i="11"/>
  <c r="N23" i="11"/>
  <c r="J22" i="11"/>
  <c r="L23" i="11" s="1"/>
  <c r="M22" i="11"/>
  <c r="O22" i="11"/>
  <c r="P22" i="11"/>
  <c r="S22" i="11"/>
  <c r="N17" i="11"/>
  <c r="J16" i="11"/>
  <c r="K16" i="11" s="1"/>
  <c r="M16" i="11"/>
  <c r="O16" i="11"/>
  <c r="P16" i="11"/>
  <c r="S16" i="11"/>
  <c r="N12" i="11"/>
  <c r="J11" i="11"/>
  <c r="K11" i="11" s="1"/>
  <c r="M11" i="11"/>
  <c r="O11" i="11"/>
  <c r="P11" i="11"/>
  <c r="S11" i="11"/>
  <c r="N7" i="11"/>
  <c r="J6" i="11"/>
  <c r="K6" i="11" s="1"/>
  <c r="O6" i="11"/>
  <c r="S6" i="11"/>
  <c r="L32" i="8"/>
  <c r="M32" i="8" s="1"/>
  <c r="D49" i="8"/>
  <c r="D50" i="8" s="1"/>
  <c r="E27" i="8"/>
  <c r="N34" i="8"/>
  <c r="N29" i="8"/>
  <c r="I33" i="8"/>
  <c r="S33" i="8" s="1"/>
  <c r="M33" i="8"/>
  <c r="O33" i="8"/>
  <c r="P33" i="8"/>
  <c r="D32" i="8"/>
  <c r="P32" i="8" s="1"/>
  <c r="E32" i="8"/>
  <c r="O32" i="8" s="1"/>
  <c r="C32" i="8"/>
  <c r="B32" i="8"/>
  <c r="S28" i="8"/>
  <c r="J28" i="8"/>
  <c r="M28" i="8" s="1"/>
  <c r="O28" i="8"/>
  <c r="C43" i="8"/>
  <c r="P43" i="8" s="1"/>
  <c r="S44" i="8"/>
  <c r="O44" i="8"/>
  <c r="P44" i="8"/>
  <c r="M44" i="8"/>
  <c r="J44" i="8"/>
  <c r="N52" i="8"/>
  <c r="N45" i="8"/>
  <c r="N39" i="8"/>
  <c r="N23" i="8"/>
  <c r="N17" i="8"/>
  <c r="N12" i="8"/>
  <c r="N7" i="8"/>
  <c r="S38" i="8"/>
  <c r="P38" i="8"/>
  <c r="O38" i="8"/>
  <c r="M38" i="8"/>
  <c r="J38" i="8"/>
  <c r="K38" i="8" s="1"/>
  <c r="C38" i="1"/>
  <c r="C40" i="1" s="1"/>
  <c r="P11" i="8"/>
  <c r="M11" i="8"/>
  <c r="S11" i="8"/>
  <c r="J11" i="8"/>
  <c r="K11" i="8" s="1"/>
  <c r="O11" i="8"/>
  <c r="S51" i="8"/>
  <c r="J51" i="8"/>
  <c r="M51" i="8" s="1"/>
  <c r="O51" i="8"/>
  <c r="S6" i="8"/>
  <c r="E5" i="8"/>
  <c r="M22" i="8"/>
  <c r="O22" i="8"/>
  <c r="P22" i="8"/>
  <c r="S22" i="8"/>
  <c r="O6" i="8"/>
  <c r="J6" i="8"/>
  <c r="K6" i="8" s="1"/>
  <c r="O16" i="8"/>
  <c r="J22" i="8"/>
  <c r="K22" i="8" s="1"/>
  <c r="M16" i="8"/>
  <c r="J16" i="8"/>
  <c r="K16" i="8" s="1"/>
  <c r="P16" i="8"/>
  <c r="S16" i="8"/>
  <c r="D27" i="8"/>
  <c r="C49" i="8"/>
  <c r="C50" i="8" s="1"/>
  <c r="P35" i="1"/>
  <c r="N11" i="11" l="1"/>
  <c r="J32" i="8"/>
  <c r="N38" i="11"/>
  <c r="H32" i="8"/>
  <c r="I32" i="8" s="1"/>
  <c r="N38" i="8"/>
  <c r="Q38" i="8" s="1"/>
  <c r="R38" i="8" s="1"/>
  <c r="T38" i="8" s="1"/>
  <c r="D5" i="8"/>
  <c r="M6" i="11"/>
  <c r="N6" i="11" s="1"/>
  <c r="R6" i="11" s="1"/>
  <c r="T6" i="11" s="1"/>
  <c r="K22" i="11"/>
  <c r="N22" i="11" s="1"/>
  <c r="Q22" i="11" s="1"/>
  <c r="R22" i="11" s="1"/>
  <c r="T22" i="11" s="1"/>
  <c r="N44" i="11"/>
  <c r="Q44" i="11" s="1"/>
  <c r="R44" i="11" s="1"/>
  <c r="T44" i="11" s="1"/>
  <c r="N16" i="11"/>
  <c r="Q16" i="11" s="1"/>
  <c r="R16" i="11" s="1"/>
  <c r="T16" i="11" s="1"/>
  <c r="J33" i="8"/>
  <c r="K33" i="8" s="1"/>
  <c r="N33" i="8" s="1"/>
  <c r="Q33" i="8" s="1"/>
  <c r="R33" i="8" s="1"/>
  <c r="M28" i="11"/>
  <c r="N28" i="11" s="1"/>
  <c r="R28" i="11" s="1"/>
  <c r="T28" i="11" s="1"/>
  <c r="L45" i="11"/>
  <c r="C41" i="1"/>
  <c r="B32" i="11"/>
  <c r="K28" i="8"/>
  <c r="N28" i="8" s="1"/>
  <c r="R28" i="8" s="1"/>
  <c r="T28" i="8" s="1"/>
  <c r="E5" i="11"/>
  <c r="D49" i="11"/>
  <c r="D50" i="11" s="1"/>
  <c r="D27" i="11"/>
  <c r="C32" i="11"/>
  <c r="D32" i="11"/>
  <c r="P32" i="11" s="1"/>
  <c r="L23" i="8"/>
  <c r="K51" i="8"/>
  <c r="N51" i="8" s="1"/>
  <c r="R51" i="8" s="1"/>
  <c r="T51" i="8" s="1"/>
  <c r="E27" i="11"/>
  <c r="C21" i="11"/>
  <c r="P21" i="11" s="1"/>
  <c r="D10" i="11"/>
  <c r="P10" i="11" s="1"/>
  <c r="E32" i="11"/>
  <c r="O32" i="11" s="1"/>
  <c r="E21" i="11"/>
  <c r="M6" i="8"/>
  <c r="N6" i="8" s="1"/>
  <c r="R6" i="8" s="1"/>
  <c r="T6" i="8" s="1"/>
  <c r="B37" i="11"/>
  <c r="N16" i="8"/>
  <c r="Q16" i="8" s="1"/>
  <c r="R16" i="8" s="1"/>
  <c r="T16" i="8" s="1"/>
  <c r="D5" i="11"/>
  <c r="H32" i="11"/>
  <c r="M51" i="11"/>
  <c r="N51" i="11" s="1"/>
  <c r="R51" i="11" s="1"/>
  <c r="T51" i="11" s="1"/>
  <c r="B27" i="11"/>
  <c r="C5" i="11"/>
  <c r="E10" i="11"/>
  <c r="O10" i="11" s="1"/>
  <c r="C43" i="11"/>
  <c r="P43" i="11" s="1"/>
  <c r="B49" i="11"/>
  <c r="B50" i="11" s="1"/>
  <c r="B49" i="8"/>
  <c r="B50" i="8" s="1"/>
  <c r="D21" i="11"/>
  <c r="D21" i="8"/>
  <c r="C10" i="11"/>
  <c r="C10" i="8"/>
  <c r="B5" i="8"/>
  <c r="B5" i="11"/>
  <c r="E43" i="11"/>
  <c r="C37" i="11"/>
  <c r="E43" i="8"/>
  <c r="C37" i="8"/>
  <c r="D15" i="11"/>
  <c r="P15" i="11" s="1"/>
  <c r="D15" i="8"/>
  <c r="P15" i="8" s="1"/>
  <c r="E49" i="11"/>
  <c r="E50" i="11" s="1"/>
  <c r="E49" i="8"/>
  <c r="E50" i="8" s="1"/>
  <c r="N22" i="8"/>
  <c r="B21" i="11"/>
  <c r="O21" i="11" s="1"/>
  <c r="B21" i="8"/>
  <c r="O21" i="8" s="1"/>
  <c r="B10" i="11"/>
  <c r="B10" i="8"/>
  <c r="E37" i="11"/>
  <c r="O37" i="11" s="1"/>
  <c r="E37" i="8"/>
  <c r="O37" i="8" s="1"/>
  <c r="B43" i="8"/>
  <c r="O43" i="8" s="1"/>
  <c r="B43" i="11"/>
  <c r="O43" i="11" s="1"/>
  <c r="C27" i="8"/>
  <c r="C27" i="11"/>
  <c r="E15" i="8"/>
  <c r="O15" i="8" s="1"/>
  <c r="C21" i="8"/>
  <c r="P21" i="8" s="1"/>
  <c r="Q11" i="11"/>
  <c r="R11" i="11" s="1"/>
  <c r="T11" i="11" s="1"/>
  <c r="C5" i="8"/>
  <c r="D10" i="8"/>
  <c r="P10" i="8" s="1"/>
  <c r="B27" i="8"/>
  <c r="B37" i="8"/>
  <c r="E21" i="8"/>
  <c r="Q38" i="11"/>
  <c r="R38" i="11" s="1"/>
  <c r="T38" i="11" s="1"/>
  <c r="N11" i="8"/>
  <c r="E10" i="8"/>
  <c r="O10" i="8" s="1"/>
  <c r="D37" i="11"/>
  <c r="P37" i="11" s="1"/>
  <c r="D37" i="8"/>
  <c r="P37" i="8" s="1"/>
  <c r="N33" i="11"/>
  <c r="Q33" i="11" s="1"/>
  <c r="C49" i="11"/>
  <c r="C50" i="11" s="1"/>
  <c r="K44" i="8"/>
  <c r="N44" i="8" s="1"/>
  <c r="L45" i="8"/>
  <c r="S33" i="11"/>
  <c r="K32" i="8" l="1"/>
  <c r="N32" i="8" s="1"/>
  <c r="Q32" i="8" s="1"/>
  <c r="R32" i="8" s="1"/>
  <c r="T32" i="8" s="1"/>
  <c r="S32" i="8"/>
  <c r="O5" i="8"/>
  <c r="O50" i="8"/>
  <c r="O27" i="11"/>
  <c r="O5" i="11"/>
  <c r="O49" i="8"/>
  <c r="E15" i="11"/>
  <c r="O15" i="11" s="1"/>
  <c r="T33" i="8"/>
  <c r="U33" i="8"/>
  <c r="R33" i="11"/>
  <c r="T33" i="11" s="1"/>
  <c r="O49" i="11"/>
  <c r="O27" i="8"/>
  <c r="D43" i="11"/>
  <c r="D43" i="8"/>
  <c r="Q44" i="8"/>
  <c r="R44" i="8" s="1"/>
  <c r="T44" i="8" s="1"/>
  <c r="Q11" i="8"/>
  <c r="R11" i="8" s="1"/>
  <c r="T11" i="8" s="1"/>
  <c r="O50" i="11"/>
  <c r="B15" i="11"/>
  <c r="B15" i="8"/>
  <c r="Q22" i="8"/>
  <c r="R22" i="8" s="1"/>
  <c r="T22" i="8" s="1"/>
  <c r="U32" i="8" l="1"/>
  <c r="H43" i="11"/>
  <c r="H43" i="8"/>
  <c r="I43" i="8" s="1"/>
  <c r="H37" i="11"/>
  <c r="H37" i="8"/>
  <c r="I37" i="8" s="1"/>
  <c r="I43" i="11" l="1"/>
  <c r="S43" i="8"/>
  <c r="U44" i="8"/>
  <c r="H27" i="11"/>
  <c r="H27" i="8"/>
  <c r="I27" i="8" s="1"/>
  <c r="J37" i="8"/>
  <c r="K37" i="8" s="1"/>
  <c r="L37" i="8"/>
  <c r="M37" i="8" s="1"/>
  <c r="J43" i="8"/>
  <c r="K43" i="8" s="1"/>
  <c r="S37" i="8"/>
  <c r="U38" i="8"/>
  <c r="J37" i="11"/>
  <c r="J27" i="8" l="1"/>
  <c r="M27" i="8" s="1"/>
  <c r="N37" i="8"/>
  <c r="Q37" i="8" s="1"/>
  <c r="R37" i="8" s="1"/>
  <c r="L32" i="11"/>
  <c r="M32" i="11" s="1"/>
  <c r="L37" i="11"/>
  <c r="M37" i="11" s="1"/>
  <c r="I37" i="11"/>
  <c r="S27" i="8"/>
  <c r="U28" i="8"/>
  <c r="I32" i="11"/>
  <c r="I27" i="11"/>
  <c r="L43" i="8"/>
  <c r="M43" i="8" s="1"/>
  <c r="J32" i="11"/>
  <c r="J27" i="11"/>
  <c r="S43" i="11"/>
  <c r="U44" i="11"/>
  <c r="J43" i="11"/>
  <c r="K43" i="11" s="1"/>
  <c r="K27" i="8" l="1"/>
  <c r="N27" i="8" s="1"/>
  <c r="R27" i="8" s="1"/>
  <c r="U27" i="8" s="1"/>
  <c r="K32" i="11"/>
  <c r="N32" i="11" s="1"/>
  <c r="Q32" i="11" s="1"/>
  <c r="R32" i="11" s="1"/>
  <c r="U38" i="11"/>
  <c r="S37" i="11"/>
  <c r="T37" i="8"/>
  <c r="U37" i="8"/>
  <c r="K27" i="11"/>
  <c r="M27" i="11"/>
  <c r="U28" i="11"/>
  <c r="S27" i="11"/>
  <c r="L43" i="11"/>
  <c r="M43" i="11" s="1"/>
  <c r="U33" i="11"/>
  <c r="S32" i="11"/>
  <c r="N43" i="8"/>
  <c r="K37" i="11"/>
  <c r="N37" i="11" s="1"/>
  <c r="Q37" i="11" s="1"/>
  <c r="R37" i="11" s="1"/>
  <c r="T27" i="8" l="1"/>
  <c r="N27" i="11"/>
  <c r="R27" i="11" s="1"/>
  <c r="T27" i="11" s="1"/>
  <c r="T37" i="11"/>
  <c r="U37" i="11"/>
  <c r="U32" i="11"/>
  <c r="T32" i="11"/>
  <c r="Q43" i="8"/>
  <c r="R43" i="8" s="1"/>
  <c r="N43" i="11"/>
  <c r="Q43" i="11" s="1"/>
  <c r="R43" i="11" s="1"/>
  <c r="U27" i="11" l="1"/>
  <c r="U43" i="8"/>
  <c r="T43" i="8"/>
  <c r="T43" i="11"/>
  <c r="U43" i="11"/>
  <c r="H15" i="11"/>
  <c r="H15" i="8"/>
  <c r="I15" i="8" s="1"/>
  <c r="I15" i="11" l="1"/>
  <c r="J15" i="11"/>
  <c r="H21" i="11"/>
  <c r="H21" i="8"/>
  <c r="I21" i="8" s="1"/>
  <c r="S15" i="8"/>
  <c r="U16" i="8"/>
  <c r="L10" i="8"/>
  <c r="M10" i="8" s="1"/>
  <c r="K15" i="11" l="1"/>
  <c r="I21" i="11"/>
  <c r="L15" i="11"/>
  <c r="M15" i="11" s="1"/>
  <c r="J15" i="8"/>
  <c r="K15" i="8" s="1"/>
  <c r="H50" i="11"/>
  <c r="H50" i="8"/>
  <c r="I50" i="8" s="1"/>
  <c r="I50" i="11"/>
  <c r="I49" i="11"/>
  <c r="I5" i="11"/>
  <c r="L10" i="11"/>
  <c r="M10" i="11" s="1"/>
  <c r="I10" i="11"/>
  <c r="J21" i="8"/>
  <c r="K21" i="8" s="1"/>
  <c r="J21" i="11"/>
  <c r="S21" i="8"/>
  <c r="U22" i="8"/>
  <c r="L15" i="8"/>
  <c r="M15" i="8" s="1"/>
  <c r="U16" i="11"/>
  <c r="S15" i="11"/>
  <c r="H5" i="11"/>
  <c r="H10" i="11"/>
  <c r="H49" i="11"/>
  <c r="H10" i="8"/>
  <c r="I10" i="8" s="1"/>
  <c r="H49" i="8"/>
  <c r="I49" i="8" s="1"/>
  <c r="H5" i="8"/>
  <c r="I5" i="8" s="1"/>
  <c r="J10" i="8"/>
  <c r="J49" i="8"/>
  <c r="J5" i="8"/>
  <c r="N15" i="11" l="1"/>
  <c r="K21" i="11"/>
  <c r="L21" i="8"/>
  <c r="M21" i="8" s="1"/>
  <c r="N21" i="8" s="1"/>
  <c r="K50" i="11"/>
  <c r="S50" i="11"/>
  <c r="M50" i="11"/>
  <c r="N15" i="8"/>
  <c r="S5" i="8"/>
  <c r="U6" i="8"/>
  <c r="U51" i="8"/>
  <c r="S49" i="8"/>
  <c r="S5" i="11"/>
  <c r="U6" i="11"/>
  <c r="U11" i="8"/>
  <c r="S10" i="8"/>
  <c r="J10" i="11"/>
  <c r="K10" i="11" s="1"/>
  <c r="N10" i="11" s="1"/>
  <c r="Q10" i="11" s="1"/>
  <c r="J49" i="11"/>
  <c r="J5" i="11"/>
  <c r="U51" i="11"/>
  <c r="S49" i="11"/>
  <c r="M50" i="8"/>
  <c r="S50" i="8"/>
  <c r="K50" i="8"/>
  <c r="Q15" i="11"/>
  <c r="R15" i="11" s="1"/>
  <c r="K5" i="8"/>
  <c r="M5" i="8"/>
  <c r="M49" i="8"/>
  <c r="K49" i="8"/>
  <c r="K10" i="8"/>
  <c r="N10" i="8" s="1"/>
  <c r="U11" i="11"/>
  <c r="S10" i="11"/>
  <c r="S21" i="11"/>
  <c r="L21" i="11"/>
  <c r="M21" i="11" s="1"/>
  <c r="U22" i="11"/>
  <c r="N50" i="8" l="1"/>
  <c r="R50" i="8" s="1"/>
  <c r="T50" i="8" s="1"/>
  <c r="N50" i="11"/>
  <c r="R50" i="11" s="1"/>
  <c r="T50" i="11" s="1"/>
  <c r="Q21" i="8"/>
  <c r="R21" i="8" s="1"/>
  <c r="N49" i="8"/>
  <c r="R49" i="8" s="1"/>
  <c r="U49" i="8" s="1"/>
  <c r="U15" i="11"/>
  <c r="T15" i="11"/>
  <c r="Q10" i="8"/>
  <c r="R10" i="8" s="1"/>
  <c r="K5" i="11"/>
  <c r="M5" i="11"/>
  <c r="N5" i="8"/>
  <c r="R5" i="8" s="1"/>
  <c r="K49" i="11"/>
  <c r="M49" i="11"/>
  <c r="N21" i="11"/>
  <c r="R10" i="11"/>
  <c r="Q15" i="8"/>
  <c r="R15" i="8" s="1"/>
  <c r="T49" i="8" l="1"/>
  <c r="N49" i="11"/>
  <c r="R49" i="11" s="1"/>
  <c r="U49" i="11" s="1"/>
  <c r="U10" i="8"/>
  <c r="T10" i="8"/>
  <c r="U15" i="8"/>
  <c r="T15" i="8"/>
  <c r="Q21" i="11"/>
  <c r="R21" i="11" s="1"/>
  <c r="T10" i="11"/>
  <c r="U10" i="11"/>
  <c r="U21" i="8"/>
  <c r="T21" i="8"/>
  <c r="T5" i="8"/>
  <c r="U5" i="8"/>
  <c r="N5" i="11"/>
  <c r="R5" i="11" s="1"/>
  <c r="T49" i="11" l="1"/>
  <c r="T21" i="11"/>
  <c r="U21" i="11"/>
  <c r="T5" i="11"/>
  <c r="U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Rossi, Angela</author>
  </authors>
  <commentList>
    <comment ref="A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Sample point being upgraded to closed loop.  Not available Q1 2019.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Rossi, Angela</author>
  </authors>
  <commentList>
    <comment ref="F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G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S4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Using the heat transfer relationship between tube side coefficient and Reynolds number (Re^0.6) to get adjusted coefficient.</t>
        </r>
      </text>
    </comment>
    <comment ref="J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Mass Balance:
No reflux solvent incl.  D308, D309 and T302 O/H</t>
        </r>
      </text>
    </comment>
    <comment ref="F9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G9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S9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Using the heat transfer relationship between tube side coefficient and Reynolds number (Re^0.6) to get adjusted coefficient.</t>
        </r>
      </text>
    </comment>
    <comment ref="G10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Assuming it's at the bp at inlet</t>
        </r>
      </text>
    </comment>
    <comment ref="J1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Mass Balance:
No reflux solvent incl.  D308, D309 and T302 O/H</t>
        </r>
      </text>
    </comment>
    <comment ref="F14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G14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S14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Using the heat transfer relationship between tube side coefficient and Reynolds number (Re^0.6) to get adjusted coefficient.</t>
        </r>
      </text>
    </comment>
    <comment ref="J16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Mass Balance:
No reflux solvent incl.  D308, D309 and T302 O/H</t>
        </r>
      </text>
    </comment>
    <comment ref="F20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S20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Using the heat transfer relationship between tube side coefficient and Reynolds number (Re^0.6) to get adjusted coefficient.</t>
        </r>
      </text>
    </comment>
    <comment ref="L21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Assumed same % flashes as in E323 data sheet.  Majority of flashing occurs across upstream LV</t>
        </r>
      </text>
    </comment>
    <comment ref="G22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Increased to match WTD on data sheet</t>
        </r>
      </text>
    </comment>
    <comment ref="J22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Mass Balance:
No reflux solvent incl.  D308, D309 and T302 O/H</t>
        </r>
      </text>
    </comment>
    <comment ref="F26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G26" authorId="0" shapeId="0" xr:uid="{00000000-0006-0000-0600-000014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S26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Using the heat transfer relationship between tube side coefficient and Reynolds number (Re^0.6) to get adjusted coefficient.</t>
        </r>
      </text>
    </comment>
    <comment ref="F31" authorId="0" shapeId="0" xr:uid="{00000000-0006-0000-0600-000016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G31" authorId="0" shapeId="0" xr:uid="{00000000-0006-0000-0600-000017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S31" authorId="0" shapeId="0" xr:uid="{00000000-0006-0000-0600-000018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Using the heat transfer relationship between tube side coefficient and Reynolds number (Re^0.6) to get adjusted coefficient.</t>
        </r>
      </text>
    </comment>
    <comment ref="G32" authorId="0" shapeId="0" xr:uid="{00000000-0006-0000-0600-000019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Assuming it's at the bp at inlet</t>
        </r>
      </text>
    </comment>
    <comment ref="J32" authorId="0" shapeId="0" xr:uid="{00000000-0006-0000-0600-00001A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Mass Balance:
No reflux solvent incl.  D308, D309 and T302 O/H</t>
        </r>
      </text>
    </comment>
    <comment ref="F36" authorId="0" shapeId="0" xr:uid="{00000000-0006-0000-0600-00001B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G36" authorId="0" shapeId="0" xr:uid="{00000000-0006-0000-0600-00001C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S36" authorId="0" shapeId="0" xr:uid="{00000000-0006-0000-0600-00001D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Using the heat transfer relationship between tube side coefficient and Reynolds number (Re^0.6) to get adjusted coefficient.</t>
        </r>
      </text>
    </comment>
    <comment ref="D37" authorId="0" shapeId="0" xr:uid="{00000000-0006-0000-0600-00001E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typically bottoms temperature in D310 is 1 degree lower than E327 outlet</t>
        </r>
      </text>
    </comment>
    <comment ref="F42" authorId="0" shapeId="0" xr:uid="{00000000-0006-0000-0600-00001F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S42" authorId="0" shapeId="0" xr:uid="{00000000-0006-0000-0600-000020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Using the heat transfer relationship between tube side coefficient and Reynolds number (Re^0.6) to get adjusted coefficient.</t>
        </r>
      </text>
    </comment>
    <comment ref="L43" authorId="0" shapeId="0" xr:uid="{00000000-0006-0000-0600-000021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Assumed same % flashes as in E323 data sheet.  Majority of flashing occurs across upstream LV</t>
        </r>
      </text>
    </comment>
    <comment ref="G44" authorId="0" shapeId="0" xr:uid="{00000000-0006-0000-0600-000022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Increased to match WTD on data sheet</t>
        </r>
      </text>
    </comment>
    <comment ref="F48" authorId="0" shapeId="0" xr:uid="{00000000-0006-0000-0600-000023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G48" authorId="0" shapeId="0" xr:uid="{00000000-0006-0000-0600-000024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S48" authorId="0" shapeId="0" xr:uid="{00000000-0006-0000-0600-000025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Using the heat transfer relationship between tube side coefficient and Reynolds number (Re^0.6) to get adjusted coefficient.</t>
        </r>
      </text>
    </comment>
    <comment ref="J51" authorId="0" shapeId="0" xr:uid="{00000000-0006-0000-0600-000026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Mass Balance:
No reflux solvent incl.  D308, D309 and T302 O/H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Rossi, Angela</author>
  </authors>
  <commentList>
    <comment ref="F4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G4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S4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Using the heat transfer relationship between tube side coefficient and Reynolds number (Re^0.6) to get adjusted coefficient.</t>
        </r>
      </text>
    </comment>
    <comment ref="J6" authorId="0" shapeId="0" xr:uid="{00000000-0006-0000-0C00-000004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Mass Balance:
No reflux solvent incl.  D308, D309 and T302 O/H</t>
        </r>
      </text>
    </comment>
    <comment ref="F9" authorId="0" shapeId="0" xr:uid="{00000000-0006-0000-0C00-000005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G9" authorId="0" shapeId="0" xr:uid="{00000000-0006-0000-0C00-000006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S9" authorId="0" shapeId="0" xr:uid="{00000000-0006-0000-0C00-000007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Using the heat transfer relationship between tube side coefficient and Reynolds number (Re^0.6) to get adjusted coefficient.</t>
        </r>
      </text>
    </comment>
    <comment ref="G10" authorId="0" shapeId="0" xr:uid="{00000000-0006-0000-0C00-000008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Assuming it's at the bp at inlet</t>
        </r>
      </text>
    </comment>
    <comment ref="J10" authorId="0" shapeId="0" xr:uid="{00000000-0006-0000-0C00-000009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Mass Balance:
No reflux solvent incl.  D308, D309 and T302 O/H</t>
        </r>
      </text>
    </comment>
    <comment ref="J11" authorId="0" shapeId="0" xr:uid="{00000000-0006-0000-0C00-00000A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Mass Balance:
No reflux solvent incl.  D308, D309 and T302 O/H</t>
        </r>
      </text>
    </comment>
    <comment ref="F14" authorId="0" shapeId="0" xr:uid="{00000000-0006-0000-0C00-00000B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G14" authorId="0" shapeId="0" xr:uid="{00000000-0006-0000-0C00-00000C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S14" authorId="0" shapeId="0" xr:uid="{00000000-0006-0000-0C00-00000D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Using the heat transfer relationship between tube side coefficient and Reynolds number (Re^0.6) to get adjusted coefficient.</t>
        </r>
      </text>
    </comment>
    <comment ref="J16" authorId="0" shapeId="0" xr:uid="{00000000-0006-0000-0C00-00000E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Mass Balance:
No reflux solvent incl.  D308, D309 and T302 O/H</t>
        </r>
      </text>
    </comment>
    <comment ref="F20" authorId="0" shapeId="0" xr:uid="{00000000-0006-0000-0C00-00000F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S20" authorId="0" shapeId="0" xr:uid="{00000000-0006-0000-0C00-000010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Using the heat transfer relationship between tube side coefficient and Reynolds number (Re^0.6) to get adjusted coefficient.</t>
        </r>
      </text>
    </comment>
    <comment ref="L21" authorId="0" shapeId="0" xr:uid="{00000000-0006-0000-0C00-000011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Assumed same % flashes as in E323 data sheet.  Majority of flashing occurs across upstream LV</t>
        </r>
      </text>
    </comment>
    <comment ref="G22" authorId="0" shapeId="0" xr:uid="{00000000-0006-0000-0C00-000012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Increased to match WTD on data sheet</t>
        </r>
      </text>
    </comment>
    <comment ref="J22" authorId="0" shapeId="0" xr:uid="{00000000-0006-0000-0C00-000013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Mass Balance:
No reflux solvent incl.  D308, D309 and T302 O/H</t>
        </r>
      </text>
    </comment>
    <comment ref="F26" authorId="0" shapeId="0" xr:uid="{00000000-0006-0000-0C00-000014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G26" authorId="0" shapeId="0" xr:uid="{00000000-0006-0000-0C00-000015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S26" authorId="0" shapeId="0" xr:uid="{00000000-0006-0000-0C00-000016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Using the heat transfer relationship between tube side coefficient and Reynolds number (Re^0.6) to get adjusted coefficient.</t>
        </r>
      </text>
    </comment>
    <comment ref="F31" authorId="0" shapeId="0" xr:uid="{00000000-0006-0000-0C00-000017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G31" authorId="0" shapeId="0" xr:uid="{00000000-0006-0000-0C00-000018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S31" authorId="0" shapeId="0" xr:uid="{00000000-0006-0000-0C00-000019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Using the heat transfer relationship between tube side coefficient and Reynolds number (Re^0.6) to get adjusted coefficient.</t>
        </r>
      </text>
    </comment>
    <comment ref="G32" authorId="0" shapeId="0" xr:uid="{00000000-0006-0000-0C00-00001A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Assuming it's at the bp at inlet</t>
        </r>
      </text>
    </comment>
    <comment ref="J32" authorId="0" shapeId="0" xr:uid="{00000000-0006-0000-0C00-00001B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Mass Balance:
No reflux solvent incl.  D308, D309 and T302 O/H</t>
        </r>
      </text>
    </comment>
    <comment ref="F36" authorId="0" shapeId="0" xr:uid="{00000000-0006-0000-0C00-00001C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G36" authorId="0" shapeId="0" xr:uid="{00000000-0006-0000-0C00-00001D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S36" authorId="0" shapeId="0" xr:uid="{00000000-0006-0000-0C00-00001E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Using the heat transfer relationship between tube side coefficient and Reynolds number (Re^0.6) to get adjusted coefficient.</t>
        </r>
      </text>
    </comment>
    <comment ref="D37" authorId="0" shapeId="0" xr:uid="{00000000-0006-0000-0C00-00001F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typically bottoms temperature in D310 is 1 degree lower than E327 outlet</t>
        </r>
      </text>
    </comment>
    <comment ref="F42" authorId="0" shapeId="0" xr:uid="{00000000-0006-0000-0C00-000020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S42" authorId="0" shapeId="0" xr:uid="{00000000-0006-0000-0C00-000021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Using the heat transfer relationship between tube side coefficient and Reynolds number (Re^0.6) to get adjusted coefficient.</t>
        </r>
      </text>
    </comment>
    <comment ref="L43" authorId="0" shapeId="0" xr:uid="{00000000-0006-0000-0C00-000022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Assumed same % flashes as in E323 data sheet.  Majority of flashing occurs across upstream LV</t>
        </r>
      </text>
    </comment>
    <comment ref="G44" authorId="0" shapeId="0" xr:uid="{00000000-0006-0000-0C00-000023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Increased to match WTD on data sheet</t>
        </r>
      </text>
    </comment>
    <comment ref="F48" authorId="0" shapeId="0" xr:uid="{00000000-0006-0000-0C00-000024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G48" authorId="0" shapeId="0" xr:uid="{00000000-0006-0000-0C00-000025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Original Design</t>
        </r>
      </text>
    </comment>
    <comment ref="S48" authorId="0" shapeId="0" xr:uid="{00000000-0006-0000-0C00-000026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Using the heat transfer relationship between tube side coefficient and Reynolds number (Re^0.6) to get adjusted coefficient.</t>
        </r>
      </text>
    </comment>
    <comment ref="J51" authorId="0" shapeId="0" xr:uid="{00000000-0006-0000-0C00-000027000000}">
      <text>
        <r>
          <rPr>
            <b/>
            <sz val="9"/>
            <color indexed="81"/>
            <rFont val="Tahoma"/>
            <family val="2"/>
          </rPr>
          <t>Rossi, Angela:</t>
        </r>
        <r>
          <rPr>
            <sz val="9"/>
            <color indexed="81"/>
            <rFont val="Tahoma"/>
            <family val="2"/>
          </rPr>
          <t xml:space="preserve">
From Mass Balance:
No reflux solvent incl.  D308, D309 and T302 O/H</t>
        </r>
      </text>
    </comment>
  </commentList>
</comments>
</file>

<file path=xl/sharedStrings.xml><?xml version="1.0" encoding="utf-8"?>
<sst xmlns="http://schemas.openxmlformats.org/spreadsheetml/2006/main" count="814" uniqueCount="251">
  <si>
    <t>Dewax Charge</t>
  </si>
  <si>
    <t>Predilution Solvent</t>
  </si>
  <si>
    <t>T301</t>
  </si>
  <si>
    <t>D301</t>
  </si>
  <si>
    <t>F301/2/3/4</t>
  </si>
  <si>
    <t>D302</t>
  </si>
  <si>
    <t>Filtrate Receiver</t>
  </si>
  <si>
    <t>Feed Drum</t>
  </si>
  <si>
    <t>Dilchill</t>
  </si>
  <si>
    <t>Crystal.</t>
  </si>
  <si>
    <t>D361</t>
  </si>
  <si>
    <t>Primary Filters</t>
  </si>
  <si>
    <t>Repulp Filters</t>
  </si>
  <si>
    <t>F365/6</t>
  </si>
  <si>
    <t>D362</t>
  </si>
  <si>
    <t>Repulp Filtrate Receiver</t>
  </si>
  <si>
    <t>E303/4/5/6/7</t>
  </si>
  <si>
    <t>Double Pipes</t>
  </si>
  <si>
    <t>D307</t>
  </si>
  <si>
    <t>LP Flash</t>
  </si>
  <si>
    <t>Drum</t>
  </si>
  <si>
    <t>T302</t>
  </si>
  <si>
    <t>Stripper</t>
  </si>
  <si>
    <t>D306</t>
  </si>
  <si>
    <t>Clean Solvent Drum</t>
  </si>
  <si>
    <t xml:space="preserve">   E340</t>
  </si>
  <si>
    <t xml:space="preserve">  E320</t>
  </si>
  <si>
    <t xml:space="preserve">  E321</t>
  </si>
  <si>
    <t>E319</t>
  </si>
  <si>
    <t>E318</t>
  </si>
  <si>
    <t>CW</t>
  </si>
  <si>
    <t>D310</t>
  </si>
  <si>
    <t>T303</t>
  </si>
  <si>
    <t>Wax</t>
  </si>
  <si>
    <t>Oil</t>
  </si>
  <si>
    <t>E327</t>
  </si>
  <si>
    <t>E328</t>
  </si>
  <si>
    <t>Tk304</t>
  </si>
  <si>
    <t>Wax Tank</t>
  </si>
  <si>
    <t>50# Stm</t>
  </si>
  <si>
    <t>E339</t>
  </si>
  <si>
    <t>175# stm</t>
  </si>
  <si>
    <t>E301/2</t>
  </si>
  <si>
    <t>E324</t>
  </si>
  <si>
    <t>E312</t>
  </si>
  <si>
    <t>E313</t>
  </si>
  <si>
    <t>T304</t>
  </si>
  <si>
    <t>ator</t>
  </si>
  <si>
    <t>D313</t>
  </si>
  <si>
    <t>Decanter</t>
  </si>
  <si>
    <t>T305</t>
  </si>
  <si>
    <t>Deketonizer</t>
  </si>
  <si>
    <t>E314</t>
  </si>
  <si>
    <t>E315</t>
  </si>
  <si>
    <t xml:space="preserve">  E325</t>
  </si>
  <si>
    <t>E332</t>
  </si>
  <si>
    <t>Legend</t>
  </si>
  <si>
    <t>Waxy Feed</t>
  </si>
  <si>
    <t>Solvent</t>
  </si>
  <si>
    <t>Oil (+Solvent)</t>
  </si>
  <si>
    <t>Wax (+Solvent)</t>
  </si>
  <si>
    <t>Repulp Filtrate</t>
  </si>
  <si>
    <t>Water to sewer</t>
  </si>
  <si>
    <t>175# Steam</t>
  </si>
  <si>
    <t xml:space="preserve">      50# Steam Coil</t>
  </si>
  <si>
    <t xml:space="preserve">   E333</t>
  </si>
  <si>
    <t>Waxy Solvent</t>
  </si>
  <si>
    <t>hot solvent</t>
  </si>
  <si>
    <t xml:space="preserve">E316    </t>
  </si>
  <si>
    <t xml:space="preserve">            E311A/B</t>
  </si>
  <si>
    <t>D320</t>
  </si>
  <si>
    <t>Filter Wash Drum</t>
  </si>
  <si>
    <t xml:space="preserve">  E310A/B</t>
  </si>
  <si>
    <t>kbpd</t>
  </si>
  <si>
    <t>Dehydr-</t>
  </si>
  <si>
    <t>Meter Factor</t>
  </si>
  <si>
    <t>Actual Charge:</t>
  </si>
  <si>
    <t>Actual Oil Prod</t>
  </si>
  <si>
    <t>E330</t>
  </si>
  <si>
    <t>E329</t>
  </si>
  <si>
    <t>E322</t>
  </si>
  <si>
    <t>E323</t>
  </si>
  <si>
    <t xml:space="preserve">  175#  stm</t>
  </si>
  <si>
    <t>F</t>
  </si>
  <si>
    <t>STOCK:</t>
  </si>
  <si>
    <t>Charge Stock Design Basis</t>
  </si>
  <si>
    <t>Specific Gravity</t>
  </si>
  <si>
    <t>Viscosity @ 130 F</t>
  </si>
  <si>
    <t>Viscosity @ 210 F</t>
  </si>
  <si>
    <t>Cloud Point, degF</t>
  </si>
  <si>
    <t>Dry Wax Content (LV%)</t>
  </si>
  <si>
    <t>Distillation</t>
  </si>
  <si>
    <t>IBP</t>
  </si>
  <si>
    <t>FBP</t>
  </si>
  <si>
    <t>160N</t>
  </si>
  <si>
    <t>650N</t>
  </si>
  <si>
    <t>1st Stage Filtrate</t>
  </si>
  <si>
    <t>1st Stage Wax</t>
  </si>
  <si>
    <t>Filter Feed</t>
  </si>
  <si>
    <t>Repulp Filter Feed</t>
  </si>
  <si>
    <t>Primary Filter Wash</t>
  </si>
  <si>
    <t>Repulp Filter Wash</t>
  </si>
  <si>
    <t>Prod Wax</t>
  </si>
  <si>
    <t>Sample</t>
  </si>
  <si>
    <t>Analysis</t>
  </si>
  <si>
    <t>Slack Wax</t>
  </si>
  <si>
    <t>Oil-in-Wax</t>
  </si>
  <si>
    <t>% Solvent</t>
  </si>
  <si>
    <t>Wax Content (% dry wax)</t>
  </si>
  <si>
    <t>Visc, @65°C</t>
  </si>
  <si>
    <t>Visc, @100°C</t>
  </si>
  <si>
    <t>Pour Point, °F</t>
  </si>
  <si>
    <t>Flash Point, °F</t>
  </si>
  <si>
    <t>Initial Mix</t>
  </si>
  <si>
    <t>Cloud Point,  °F</t>
  </si>
  <si>
    <t>Clean Solvent</t>
  </si>
  <si>
    <t>% MEK</t>
  </si>
  <si>
    <t>Dewaxed Oil
(DWO)</t>
  </si>
  <si>
    <t>Visc, @40°C</t>
  </si>
  <si>
    <t>EXTRA SAMPLES:</t>
  </si>
  <si>
    <t>Filtrate (D302) to Recovery</t>
  </si>
  <si>
    <t>D307 Filtrate to D308</t>
  </si>
  <si>
    <t>D308 Filtrate to D309</t>
  </si>
  <si>
    <t>D310 Wax to D311</t>
  </si>
  <si>
    <t>D311 Wax to D312</t>
  </si>
  <si>
    <t>GCD (IBP, 5%, 50%, 95%, FBP)</t>
  </si>
  <si>
    <t>% H2O</t>
  </si>
  <si>
    <t>Repulp Solvent &amp; Recycle</t>
  </si>
  <si>
    <t xml:space="preserve"> </t>
  </si>
  <si>
    <t>DWO Recovery Material Balance</t>
  </si>
  <si>
    <t>Total Filtrate</t>
  </si>
  <si>
    <t>Flowmeter Check:</t>
  </si>
  <si>
    <t>D307 Bottoms</t>
  </si>
  <si>
    <t>D308 Bottoms</t>
  </si>
  <si>
    <t>T302 Bottoms</t>
  </si>
  <si>
    <t>MEK</t>
  </si>
  <si>
    <t>TOTAL</t>
  </si>
  <si>
    <t>Dilution Solvent (1)</t>
  </si>
  <si>
    <t>Repulp Filtrate (2)</t>
  </si>
  <si>
    <t>to DWO rec.</t>
  </si>
  <si>
    <t>Wax Tank (Tk304)</t>
  </si>
  <si>
    <t>Repulp Filtrate (D362)</t>
  </si>
  <si>
    <t>VI</t>
  </si>
  <si>
    <t>27E322</t>
  </si>
  <si>
    <t>psig</t>
  </si>
  <si>
    <t>vol</t>
  </si>
  <si>
    <t>Calculated % Solvent</t>
  </si>
  <si>
    <t>Toluene</t>
  </si>
  <si>
    <t>(T302 btms temp)</t>
  </si>
  <si>
    <t>Repulp</t>
  </si>
  <si>
    <t>E320</t>
  </si>
  <si>
    <t>E325</t>
  </si>
  <si>
    <t>E340</t>
  </si>
  <si>
    <t>Tube In</t>
  </si>
  <si>
    <t>Tube Out</t>
  </si>
  <si>
    <t>Shell In</t>
  </si>
  <si>
    <t>Shell Out</t>
  </si>
  <si>
    <t>Sat Steam Temp</t>
  </si>
  <si>
    <t>Solvent Boiling Pt</t>
  </si>
  <si>
    <t>from datasheet</t>
  </si>
  <si>
    <t>BTU/lbF</t>
  </si>
  <si>
    <t>lb/hr</t>
  </si>
  <si>
    <t>Qoil (MMBTU/hr)</t>
  </si>
  <si>
    <t>Qsolvent (latent)</t>
  </si>
  <si>
    <t>MMBTU/hr</t>
  </si>
  <si>
    <t>Btu/lb</t>
  </si>
  <si>
    <t>WTD (shell)</t>
  </si>
  <si>
    <t>Specific Heat (DWO + Solvent streams)</t>
  </si>
  <si>
    <t>Latent Heat - Solvent</t>
  </si>
  <si>
    <t>Latent Heat - Steam</t>
  </si>
  <si>
    <t>Qshell</t>
  </si>
  <si>
    <t>Latent LMTD</t>
  </si>
  <si>
    <t>Sensible LMTD</t>
  </si>
  <si>
    <t>U (shell)</t>
  </si>
  <si>
    <t>E322 Area:</t>
  </si>
  <si>
    <t>ft^s from data sheet</t>
  </si>
  <si>
    <t>U design</t>
  </si>
  <si>
    <t>Q (design)</t>
  </si>
  <si>
    <t>Tube Flow (design)</t>
  </si>
  <si>
    <t>Shell Flow (design)</t>
  </si>
  <si>
    <t>Adjusted Udesign</t>
  </si>
  <si>
    <t>% of design</t>
  </si>
  <si>
    <t>SG</t>
  </si>
  <si>
    <t>per RefOpt</t>
  </si>
  <si>
    <t>wt% Solvent to E322</t>
  </si>
  <si>
    <t>General</t>
  </si>
  <si>
    <t>SG - MEK:</t>
  </si>
  <si>
    <t>SG - Toluene:</t>
  </si>
  <si>
    <t>Filtrate Flow (bpd)</t>
  </si>
  <si>
    <t>Vaporized Solvent (lb/hr)</t>
  </si>
  <si>
    <t>Q tube</t>
  </si>
  <si>
    <t>U (tube)</t>
  </si>
  <si>
    <t>WTD (tube)</t>
  </si>
  <si>
    <t>Filtrate</t>
  </si>
  <si>
    <t>Comparable % of design</t>
  </si>
  <si>
    <t>Design</t>
  </si>
  <si>
    <t>Operating</t>
  </si>
  <si>
    <t>wt% Solvent to E323</t>
  </si>
  <si>
    <t>LP Solvent Vapour</t>
  </si>
  <si>
    <t>N/A</t>
  </si>
  <si>
    <t>wt% Solvent to E318</t>
  </si>
  <si>
    <t>Qsolvent (sensible)</t>
  </si>
  <si>
    <t>LMTD</t>
  </si>
  <si>
    <t>Unknown steam flow rate</t>
  </si>
  <si>
    <t>Used tube side since no phase change = easier to calculate U</t>
  </si>
  <si>
    <t>SHELL</t>
  </si>
  <si>
    <t>Q tube / shell</t>
  </si>
  <si>
    <t>wt% Solvent to E340</t>
  </si>
  <si>
    <t>Tube</t>
  </si>
  <si>
    <t>HP Solvent Vapour</t>
  </si>
  <si>
    <t>HP Solvent Boiling Pt</t>
  </si>
  <si>
    <t>wt% Solvent to E320</t>
  </si>
  <si>
    <t>wt% Solvent to E329</t>
  </si>
  <si>
    <t>wt% Solvent to E330</t>
  </si>
  <si>
    <t>Wax/Solvent Flow (bpd)</t>
  </si>
  <si>
    <t>data sheet:</t>
  </si>
  <si>
    <t>Wax &amp; solvent</t>
  </si>
  <si>
    <t>W650</t>
  </si>
  <si>
    <t>5% - 815F, 50% - 935F, 95% - 1052F</t>
  </si>
  <si>
    <t>129F</t>
  </si>
  <si>
    <t>Large dT on ss confirmed with PHD readings</t>
  </si>
  <si>
    <t>oil density</t>
  </si>
  <si>
    <t>wax density</t>
  </si>
  <si>
    <t>solvent density</t>
  </si>
  <si>
    <t>lb/ft^3</t>
  </si>
  <si>
    <t xml:space="preserve"> @130F</t>
  </si>
  <si>
    <t xml:space="preserve"> @270F</t>
  </si>
  <si>
    <t xml:space="preserve"> @250F</t>
  </si>
  <si>
    <t xml:space="preserve"> @340F</t>
  </si>
  <si>
    <t xml:space="preserve"> @336F</t>
  </si>
  <si>
    <t>FILTER MASS BALANCE</t>
  </si>
  <si>
    <t>Density (lb/ft^3)</t>
  </si>
  <si>
    <t>Calculated wt% Solvent</t>
  </si>
  <si>
    <t>Calc Flowrate</t>
  </si>
  <si>
    <t>vol% Solvent</t>
  </si>
  <si>
    <t>Density, kg/m3 (at 60F)</t>
  </si>
  <si>
    <t>Mixture Density (lb/ft^3)</t>
  </si>
  <si>
    <t>Solvent phase change is throwing this calculation off.  Need to fix steam flowmeter to improve U value calculation</t>
  </si>
  <si>
    <t>wt% solvent</t>
  </si>
  <si>
    <t>vol% MEK</t>
  </si>
  <si>
    <t>MEK density (hysys)</t>
  </si>
  <si>
    <t xml:space="preserve"> @150F, 5 psig</t>
  </si>
  <si>
    <t xml:space="preserve"> @192F, 5 psig</t>
  </si>
  <si>
    <t xml:space="preserve"> @246F, 30 psig</t>
  </si>
  <si>
    <t>% Original Design</t>
  </si>
  <si>
    <t>Comparable % Design</t>
  </si>
  <si>
    <t>Calculated</t>
  </si>
  <si>
    <t>Exchanger U Value</t>
  </si>
  <si>
    <t>Adjusted** Udesign</t>
  </si>
  <si>
    <t>Calculated Design*</t>
  </si>
  <si>
    <t xml:space="preserve"> @227F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</si>
</sst>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  <numFmt numFmtId="167" formatCode="_(* #,##0.0_);_(* \(#,##0.0\);_(* &quot;-&quot;??_);_(@_)"/>
    <numFmt numFmtId="168" formatCode="_(* #,##0.0000_);_(* \(#,##0.0000\);_(* &quot;-&quot;??_);_(@_)"/>
    <numFmt numFmtId="169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FF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/>
    <xf numFmtId="43" fontId="3" fillId="0" borderId="0" applyFont="0" applyFill="0" applyBorder="0" applyAlignment="0" applyProtection="0"/>
  </cellStyleXfs>
  <cellXfs count="2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right"/>
    </xf>
    <xf numFmtId="165" fontId="1" fillId="0" borderId="0" xfId="1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 indent="1"/>
    </xf>
    <xf numFmtId="0" fontId="1" fillId="8" borderId="0" xfId="0" applyFont="1" applyFill="1" applyAlignment="1">
      <alignment horizontal="center" vertical="center"/>
    </xf>
    <xf numFmtId="0" fontId="8" fillId="0" borderId="1" xfId="2" applyBorder="1" applyAlignment="1">
      <alignment vertical="center"/>
    </xf>
    <xf numFmtId="0" fontId="9" fillId="0" borderId="0" xfId="2" applyFont="1" applyAlignment="1">
      <alignment horizontal="center" vertical="center" wrapText="1"/>
    </xf>
    <xf numFmtId="0" fontId="8" fillId="0" borderId="0" xfId="2" applyAlignment="1">
      <alignment vertical="center"/>
    </xf>
    <xf numFmtId="0" fontId="10" fillId="0" borderId="0" xfId="2" applyFont="1" applyAlignment="1">
      <alignment horizontal="left" vertical="center" wrapText="1"/>
    </xf>
    <xf numFmtId="2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165" fontId="0" fillId="0" borderId="0" xfId="1" applyNumberFormat="1" applyFont="1"/>
    <xf numFmtId="2" fontId="0" fillId="0" borderId="0" xfId="0" applyNumberFormat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9" fontId="0" fillId="0" borderId="0" xfId="1" applyFont="1"/>
    <xf numFmtId="165" fontId="0" fillId="0" borderId="0" xfId="1" applyNumberFormat="1" applyFont="1" applyFill="1"/>
    <xf numFmtId="0" fontId="9" fillId="0" borderId="1" xfId="2" applyFont="1" applyBorder="1" applyAlignment="1">
      <alignment vertical="center"/>
    </xf>
    <xf numFmtId="165" fontId="0" fillId="8" borderId="1" xfId="1" applyNumberFormat="1" applyFont="1" applyFill="1" applyBorder="1"/>
    <xf numFmtId="0" fontId="9" fillId="0" borderId="1" xfId="2" applyFont="1" applyBorder="1" applyAlignment="1">
      <alignment horizontal="center" vertical="center"/>
    </xf>
    <xf numFmtId="22" fontId="0" fillId="0" borderId="1" xfId="0" applyNumberFormat="1" applyBorder="1"/>
    <xf numFmtId="22" fontId="0" fillId="0" borderId="1" xfId="0" applyNumberFormat="1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5" fontId="3" fillId="0" borderId="1" xfId="1" applyNumberFormat="1" applyFont="1" applyBorder="1"/>
    <xf numFmtId="0" fontId="1" fillId="0" borderId="14" xfId="0" applyFont="1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6" fontId="0" fillId="0" borderId="1" xfId="3" applyNumberFormat="1" applyFont="1" applyBorder="1"/>
    <xf numFmtId="0" fontId="13" fillId="0" borderId="1" xfId="0" applyFont="1" applyBorder="1" applyAlignment="1">
      <alignment vertical="center" wrapText="1"/>
    </xf>
    <xf numFmtId="165" fontId="13" fillId="0" borderId="1" xfId="1" applyNumberFormat="1" applyFont="1" applyBorder="1"/>
    <xf numFmtId="1" fontId="0" fillId="2" borderId="1" xfId="0" applyNumberFormat="1" applyFill="1" applyBorder="1"/>
    <xf numFmtId="1" fontId="0" fillId="0" borderId="0" xfId="0" applyNumberFormat="1"/>
    <xf numFmtId="1" fontId="0" fillId="0" borderId="1" xfId="0" applyNumberFormat="1" applyBorder="1" applyAlignment="1">
      <alignment vertical="center" wrapText="1"/>
    </xf>
    <xf numFmtId="1" fontId="12" fillId="0" borderId="1" xfId="0" applyNumberFormat="1" applyFont="1" applyBorder="1"/>
    <xf numFmtId="0" fontId="0" fillId="0" borderId="1" xfId="0" applyBorder="1" applyAlignment="1">
      <alignment horizontal="center"/>
    </xf>
    <xf numFmtId="1" fontId="16" fillId="0" borderId="1" xfId="0" applyNumberFormat="1" applyFont="1" applyBorder="1"/>
    <xf numFmtId="0" fontId="14" fillId="0" borderId="0" xfId="0" applyFont="1"/>
    <xf numFmtId="1" fontId="0" fillId="0" borderId="1" xfId="0" applyNumberFormat="1" applyBorder="1" applyAlignment="1">
      <alignment horizontal="center"/>
    </xf>
    <xf numFmtId="1" fontId="0" fillId="9" borderId="1" xfId="0" applyNumberFormat="1" applyFill="1" applyBorder="1"/>
    <xf numFmtId="0" fontId="1" fillId="9" borderId="0" xfId="0" applyFont="1" applyFill="1"/>
    <xf numFmtId="0" fontId="17" fillId="0" borderId="0" xfId="0" applyFont="1"/>
    <xf numFmtId="165" fontId="3" fillId="0" borderId="1" xfId="1" applyNumberFormat="1" applyFont="1" applyFill="1" applyBorder="1"/>
    <xf numFmtId="0" fontId="0" fillId="9" borderId="1" xfId="0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2" fontId="0" fillId="9" borderId="1" xfId="0" applyNumberFormat="1" applyFill="1" applyBorder="1"/>
    <xf numFmtId="166" fontId="0" fillId="9" borderId="1" xfId="3" applyNumberFormat="1" applyFont="1" applyFill="1" applyBorder="1"/>
    <xf numFmtId="165" fontId="3" fillId="9" borderId="1" xfId="1" applyNumberFormat="1" applyFont="1" applyFill="1" applyBorder="1"/>
    <xf numFmtId="1" fontId="12" fillId="9" borderId="1" xfId="0" applyNumberFormat="1" applyFont="1" applyFill="1" applyBorder="1"/>
    <xf numFmtId="165" fontId="13" fillId="9" borderId="1" xfId="1" applyNumberFormat="1" applyFont="1" applyFill="1" applyBorder="1"/>
    <xf numFmtId="2" fontId="1" fillId="2" borderId="0" xfId="0" applyNumberFormat="1" applyFont="1" applyFill="1" applyAlignment="1">
      <alignment horizontal="right" vertical="center"/>
    </xf>
    <xf numFmtId="9" fontId="0" fillId="10" borderId="1" xfId="0" applyNumberFormat="1" applyFill="1" applyBorder="1"/>
    <xf numFmtId="165" fontId="0" fillId="10" borderId="1" xfId="0" applyNumberFormat="1" applyFill="1" applyBorder="1"/>
    <xf numFmtId="0" fontId="0" fillId="8" borderId="1" xfId="0" applyFill="1" applyBorder="1"/>
    <xf numFmtId="164" fontId="0" fillId="8" borderId="1" xfId="0" applyNumberFormat="1" applyFill="1" applyBorder="1"/>
    <xf numFmtId="165" fontId="0" fillId="8" borderId="1" xfId="0" applyNumberFormat="1" applyFill="1" applyBorder="1"/>
    <xf numFmtId="0" fontId="0" fillId="10" borderId="1" xfId="0" applyFill="1" applyBorder="1" applyAlignment="1">
      <alignment horizontal="right"/>
    </xf>
    <xf numFmtId="9" fontId="0" fillId="8" borderId="1" xfId="1" applyFont="1" applyFill="1" applyBorder="1"/>
    <xf numFmtId="0" fontId="15" fillId="0" borderId="0" xfId="0" applyFont="1"/>
    <xf numFmtId="1" fontId="16" fillId="9" borderId="1" xfId="0" applyNumberFormat="1" applyFont="1" applyFill="1" applyBorder="1"/>
    <xf numFmtId="165" fontId="13" fillId="0" borderId="1" xfId="1" applyNumberFormat="1" applyFont="1" applyFill="1" applyBorder="1"/>
    <xf numFmtId="166" fontId="0" fillId="0" borderId="0" xfId="3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1" xfId="3" applyNumberFormat="1" applyFont="1" applyBorder="1"/>
    <xf numFmtId="167" fontId="7" fillId="0" borderId="0" xfId="3" applyNumberFormat="1" applyFont="1"/>
    <xf numFmtId="167" fontId="0" fillId="0" borderId="0" xfId="3" applyNumberFormat="1" applyFont="1"/>
    <xf numFmtId="167" fontId="0" fillId="8" borderId="0" xfId="3" applyNumberFormat="1" applyFont="1" applyFill="1"/>
    <xf numFmtId="167" fontId="0" fillId="0" borderId="0" xfId="3" applyNumberFormat="1" applyFont="1" applyAlignment="1">
      <alignment horizontal="right"/>
    </xf>
    <xf numFmtId="167" fontId="1" fillId="0" borderId="0" xfId="3" applyNumberFormat="1" applyFont="1"/>
    <xf numFmtId="167" fontId="1" fillId="8" borderId="1" xfId="3" applyNumberFormat="1" applyFont="1" applyFill="1" applyBorder="1" applyAlignment="1">
      <alignment horizontal="center" vertical="center" wrapText="1"/>
    </xf>
    <xf numFmtId="167" fontId="0" fillId="0" borderId="1" xfId="3" applyNumberFormat="1" applyFont="1" applyBorder="1" applyAlignment="1">
      <alignment horizontal="right"/>
    </xf>
    <xf numFmtId="167" fontId="1" fillId="0" borderId="10" xfId="3" applyNumberFormat="1" applyFont="1" applyBorder="1" applyAlignment="1">
      <alignment horizontal="right"/>
    </xf>
    <xf numFmtId="167" fontId="1" fillId="0" borderId="0" xfId="3" applyNumberFormat="1" applyFont="1" applyBorder="1" applyAlignment="1">
      <alignment horizontal="right"/>
    </xf>
    <xf numFmtId="167" fontId="3" fillId="0" borderId="0" xfId="3" applyNumberFormat="1" applyFont="1" applyBorder="1"/>
    <xf numFmtId="167" fontId="0" fillId="0" borderId="11" xfId="3" applyNumberFormat="1" applyFont="1" applyBorder="1" applyAlignment="1">
      <alignment horizontal="right"/>
    </xf>
    <xf numFmtId="167" fontId="0" fillId="0" borderId="11" xfId="3" applyNumberFormat="1" applyFont="1" applyBorder="1"/>
    <xf numFmtId="167" fontId="1" fillId="0" borderId="11" xfId="3" applyNumberFormat="1" applyFont="1" applyBorder="1" applyAlignment="1">
      <alignment horizontal="right"/>
    </xf>
    <xf numFmtId="167" fontId="11" fillId="0" borderId="0" xfId="3" applyNumberFormat="1" applyFont="1" applyFill="1" applyBorder="1" applyAlignment="1">
      <alignment horizontal="left"/>
    </xf>
    <xf numFmtId="167" fontId="0" fillId="0" borderId="0" xfId="3" applyNumberFormat="1" applyFont="1" applyBorder="1"/>
    <xf numFmtId="167" fontId="0" fillId="0" borderId="0" xfId="3" applyNumberFormat="1" applyFont="1" applyBorder="1" applyAlignment="1">
      <alignment horizontal="right"/>
    </xf>
    <xf numFmtId="167" fontId="12" fillId="2" borderId="0" xfId="3" applyNumberFormat="1" applyFont="1" applyFill="1" applyBorder="1"/>
    <xf numFmtId="167" fontId="0" fillId="0" borderId="0" xfId="3" applyNumberFormat="1" applyFont="1" applyFill="1"/>
    <xf numFmtId="167" fontId="0" fillId="0" borderId="0" xfId="3" applyNumberFormat="1" applyFont="1" applyAlignment="1">
      <alignment horizontal="left"/>
    </xf>
    <xf numFmtId="167" fontId="12" fillId="0" borderId="0" xfId="3" applyNumberFormat="1" applyFont="1" applyBorder="1"/>
    <xf numFmtId="167" fontId="1" fillId="0" borderId="1" xfId="3" applyNumberFormat="1" applyFont="1" applyBorder="1" applyAlignment="1">
      <alignment horizontal="center" vertical="center" wrapText="1"/>
    </xf>
    <xf numFmtId="167" fontId="1" fillId="0" borderId="0" xfId="3" applyNumberFormat="1" applyFont="1" applyBorder="1"/>
    <xf numFmtId="167" fontId="0" fillId="0" borderId="0" xfId="3" applyNumberFormat="1" applyFont="1" applyFill="1" applyBorder="1" applyAlignment="1">
      <alignment horizontal="right"/>
    </xf>
    <xf numFmtId="9" fontId="3" fillId="0" borderId="0" xfId="1" applyFont="1" applyBorder="1"/>
    <xf numFmtId="167" fontId="3" fillId="0" borderId="0" xfId="3" applyNumberFormat="1" applyFont="1" applyFill="1" applyBorder="1"/>
    <xf numFmtId="168" fontId="0" fillId="0" borderId="0" xfId="3" applyNumberFormat="1" applyFont="1"/>
    <xf numFmtId="169" fontId="0" fillId="0" borderId="0" xfId="3" applyNumberFormat="1" applyFont="1"/>
    <xf numFmtId="43" fontId="0" fillId="0" borderId="0" xfId="3" applyFont="1"/>
    <xf numFmtId="43" fontId="3" fillId="0" borderId="0" xfId="3" applyFont="1" applyFill="1" applyBorder="1"/>
    <xf numFmtId="43" fontId="3" fillId="0" borderId="0" xfId="3" applyFont="1" applyBorder="1"/>
    <xf numFmtId="169" fontId="3" fillId="0" borderId="0" xfId="3" applyNumberFormat="1" applyFont="1" applyFill="1" applyBorder="1"/>
    <xf numFmtId="169" fontId="1" fillId="0" borderId="0" xfId="3" applyNumberFormat="1" applyFont="1" applyBorder="1"/>
    <xf numFmtId="169" fontId="0" fillId="0" borderId="0" xfId="3" applyNumberFormat="1" applyFont="1" applyFill="1"/>
    <xf numFmtId="166" fontId="0" fillId="5" borderId="1" xfId="3" applyNumberFormat="1" applyFont="1" applyFill="1" applyBorder="1"/>
    <xf numFmtId="166" fontId="0" fillId="0" borderId="1" xfId="3" applyNumberFormat="1" applyFont="1" applyFill="1" applyBorder="1"/>
    <xf numFmtId="166" fontId="0" fillId="2" borderId="1" xfId="3" applyNumberFormat="1" applyFont="1" applyFill="1" applyBorder="1"/>
    <xf numFmtId="166" fontId="1" fillId="0" borderId="10" xfId="3" applyNumberFormat="1" applyFont="1" applyBorder="1"/>
    <xf numFmtId="166" fontId="0" fillId="0" borderId="0" xfId="3" applyNumberFormat="1" applyFont="1"/>
    <xf numFmtId="166" fontId="1" fillId="0" borderId="0" xfId="3" applyNumberFormat="1" applyFont="1" applyBorder="1"/>
    <xf numFmtId="166" fontId="1" fillId="0" borderId="0" xfId="3" applyNumberFormat="1" applyFont="1"/>
    <xf numFmtId="9" fontId="0" fillId="0" borderId="11" xfId="1" applyFont="1" applyBorder="1"/>
    <xf numFmtId="9" fontId="1" fillId="0" borderId="0" xfId="1" applyFont="1" applyBorder="1"/>
    <xf numFmtId="0" fontId="1" fillId="11" borderId="1" xfId="0" applyFont="1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/>
    <xf numFmtId="0" fontId="1" fillId="11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165" fontId="1" fillId="0" borderId="0" xfId="1" applyNumberFormat="1" applyFont="1" applyFill="1" applyAlignment="1">
      <alignment horizontal="center" vertical="center"/>
    </xf>
    <xf numFmtId="165" fontId="1" fillId="0" borderId="0" xfId="1" applyNumberFormat="1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indent="1"/>
    </xf>
    <xf numFmtId="164" fontId="0" fillId="0" borderId="0" xfId="0" applyNumberFormat="1" applyAlignment="1">
      <alignment horizontal="right" vertical="center"/>
    </xf>
    <xf numFmtId="166" fontId="0" fillId="0" borderId="0" xfId="3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6" fontId="0" fillId="0" borderId="0" xfId="3" applyNumberFormat="1" applyFont="1" applyFill="1" applyBorder="1" applyAlignment="1">
      <alignment horizontal="center" vertical="center"/>
    </xf>
    <xf numFmtId="167" fontId="0" fillId="0" borderId="0" xfId="3" applyNumberFormat="1" applyFont="1" applyFill="1" applyBorder="1"/>
    <xf numFmtId="167" fontId="7" fillId="0" borderId="0" xfId="3" applyNumberFormat="1" applyFont="1" applyFill="1" applyBorder="1"/>
    <xf numFmtId="167" fontId="1" fillId="0" borderId="0" xfId="3" applyNumberFormat="1" applyFont="1" applyFill="1" applyBorder="1" applyAlignment="1">
      <alignment horizontal="center" vertical="center" wrapText="1"/>
    </xf>
    <xf numFmtId="166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/>
    <xf numFmtId="169" fontId="0" fillId="0" borderId="0" xfId="3" applyNumberFormat="1" applyFont="1" applyFill="1" applyBorder="1"/>
    <xf numFmtId="166" fontId="1" fillId="0" borderId="0" xfId="3" applyNumberFormat="1" applyFont="1" applyFill="1" applyBorder="1" applyAlignment="1">
      <alignment horizontal="right"/>
    </xf>
    <xf numFmtId="166" fontId="1" fillId="0" borderId="0" xfId="3" applyNumberFormat="1" applyFont="1" applyFill="1" applyBorder="1"/>
    <xf numFmtId="167" fontId="1" fillId="0" borderId="0" xfId="3" applyNumberFormat="1" applyFont="1" applyFill="1" applyBorder="1" applyAlignment="1">
      <alignment horizontal="right"/>
    </xf>
    <xf numFmtId="9" fontId="1" fillId="0" borderId="0" xfId="1" applyFont="1" applyFill="1" applyBorder="1"/>
    <xf numFmtId="10" fontId="0" fillId="0" borderId="0" xfId="1" applyNumberFormat="1" applyFont="1" applyFill="1" applyBorder="1"/>
    <xf numFmtId="167" fontId="1" fillId="0" borderId="0" xfId="3" applyNumberFormat="1" applyFont="1" applyFill="1" applyBorder="1"/>
    <xf numFmtId="167" fontId="11" fillId="0" borderId="0" xfId="3" applyNumberFormat="1" applyFont="1" applyFill="1" applyBorder="1"/>
    <xf numFmtId="43" fontId="0" fillId="0" borderId="0" xfId="3" applyFont="1" applyFill="1" applyBorder="1"/>
    <xf numFmtId="167" fontId="0" fillId="0" borderId="0" xfId="3" applyNumberFormat="1" applyFont="1" applyFill="1" applyAlignment="1">
      <alignment horizontal="right"/>
    </xf>
    <xf numFmtId="43" fontId="0" fillId="0" borderId="0" xfId="3" applyFont="1" applyFill="1"/>
    <xf numFmtId="9" fontId="0" fillId="0" borderId="0" xfId="3" applyNumberFormat="1" applyFont="1" applyFill="1"/>
    <xf numFmtId="9" fontId="0" fillId="0" borderId="0" xfId="1" applyFon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2" fontId="0" fillId="0" borderId="0" xfId="0" applyNumberFormat="1"/>
    <xf numFmtId="166" fontId="0" fillId="0" borderId="0" xfId="3" applyNumberFormat="1" applyFont="1" applyFill="1" applyBorder="1" applyAlignment="1"/>
    <xf numFmtId="165" fontId="3" fillId="0" borderId="0" xfId="1" applyNumberFormat="1" applyFont="1" applyFill="1" applyBorder="1" applyAlignment="1"/>
    <xf numFmtId="165" fontId="13" fillId="0" borderId="0" xfId="1" applyNumberFormat="1" applyFont="1" applyFill="1" applyBorder="1" applyAlignment="1"/>
    <xf numFmtId="1" fontId="16" fillId="0" borderId="0" xfId="0" applyNumberFormat="1" applyFont="1"/>
    <xf numFmtId="1" fontId="12" fillId="0" borderId="0" xfId="0" applyNumberFormat="1" applyFont="1"/>
    <xf numFmtId="1" fontId="0" fillId="0" borderId="0" xfId="0" applyNumberFormat="1" applyAlignment="1">
      <alignment vertical="center"/>
    </xf>
    <xf numFmtId="165" fontId="0" fillId="0" borderId="0" xfId="1" applyNumberFormat="1" applyFont="1" applyFill="1" applyBorder="1" applyAlignment="1"/>
    <xf numFmtId="9" fontId="0" fillId="0" borderId="0" xfId="1" applyFont="1" applyFill="1" applyBorder="1" applyAlignment="1"/>
    <xf numFmtId="10" fontId="0" fillId="0" borderId="0" xfId="1" applyNumberFormat="1" applyFont="1" applyFill="1"/>
    <xf numFmtId="167" fontId="1" fillId="12" borderId="1" xfId="3" applyNumberFormat="1" applyFont="1" applyFill="1" applyBorder="1" applyAlignment="1">
      <alignment horizontal="center" vertical="center" wrapText="1"/>
    </xf>
    <xf numFmtId="167" fontId="0" fillId="12" borderId="1" xfId="3" applyNumberFormat="1" applyFont="1" applyFill="1" applyBorder="1"/>
    <xf numFmtId="166" fontId="0" fillId="12" borderId="1" xfId="3" applyNumberFormat="1" applyFont="1" applyFill="1" applyBorder="1"/>
    <xf numFmtId="166" fontId="1" fillId="12" borderId="0" xfId="3" applyNumberFormat="1" applyFont="1" applyFill="1" applyBorder="1"/>
    <xf numFmtId="9" fontId="1" fillId="12" borderId="0" xfId="1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0" fillId="8" borderId="12" xfId="0" applyFill="1" applyBorder="1" applyAlignment="1">
      <alignment horizontal="left"/>
    </xf>
    <xf numFmtId="0" fontId="0" fillId="8" borderId="13" xfId="0" applyFill="1" applyBorder="1" applyAlignment="1">
      <alignment horizontal="left"/>
    </xf>
    <xf numFmtId="0" fontId="9" fillId="0" borderId="1" xfId="2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1" borderId="21" xfId="0" applyFont="1" applyFill="1" applyBorder="1" applyAlignment="1">
      <alignment horizontal="center" wrapText="1"/>
    </xf>
    <xf numFmtId="0" fontId="1" fillId="11" borderId="22" xfId="0" applyFont="1" applyFill="1" applyBorder="1" applyAlignment="1">
      <alignment horizontal="center" wrapText="1"/>
    </xf>
    <xf numFmtId="0" fontId="1" fillId="11" borderId="12" xfId="0" applyFont="1" applyFill="1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0" fontId="0" fillId="0" borderId="19" xfId="0" applyBorder="1" applyAlignment="1">
      <alignment horizontal="center"/>
    </xf>
  </cellXfs>
  <cellStyles count="4">
    <cellStyle name="Comma" xfId="3" builtinId="3"/>
    <cellStyle name="Normal" xfId="0" builtinId="0"/>
    <cellStyle name="Normal_Lab Data" xfId="2" xr:uid="{00000000-0005-0000-0000-000002000000}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9526</xdr:colOff>
      <xdr:row>33</xdr:row>
      <xdr:rowOff>66675</xdr:rowOff>
    </xdr:from>
    <xdr:to>
      <xdr:col>15</xdr:col>
      <xdr:colOff>19051</xdr:colOff>
      <xdr:row>39</xdr:row>
      <xdr:rowOff>152401</xdr:rowOff>
    </xdr:to>
    <xdr:sp macro="" textlink="">
      <xdr:nvSpPr>
        <xdr:cNvPr id="53" name="Flowchart: Terminator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 rot="16200000">
          <a:off x="9458326" y="6086475"/>
          <a:ext cx="1228726" cy="619125"/>
        </a:xfrm>
        <a:prstGeom prst="flowChartTerminator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9528</xdr:colOff>
      <xdr:row>29</xdr:row>
      <xdr:rowOff>114299</xdr:rowOff>
    </xdr:from>
    <xdr:to>
      <xdr:col>15</xdr:col>
      <xdr:colOff>19053</xdr:colOff>
      <xdr:row>34</xdr:row>
      <xdr:rowOff>152399</xdr:rowOff>
    </xdr:to>
    <xdr:sp macro="" textlink="">
      <xdr:nvSpPr>
        <xdr:cNvPr id="52" name="Flowchart: Terminator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 rot="16200000">
          <a:off x="9577391" y="5253036"/>
          <a:ext cx="990600" cy="619125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47626</xdr:colOff>
      <xdr:row>3</xdr:row>
      <xdr:rowOff>85724</xdr:rowOff>
    </xdr:from>
    <xdr:to>
      <xdr:col>2</xdr:col>
      <xdr:colOff>581026</xdr:colOff>
      <xdr:row>12</xdr:row>
      <xdr:rowOff>190499</xdr:rowOff>
    </xdr:to>
    <xdr:sp macro="" textlink="">
      <xdr:nvSpPr>
        <xdr:cNvPr id="2" name="Flowchart: Termina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rot="16200000">
          <a:off x="1843088" y="1300162"/>
          <a:ext cx="1819275" cy="533400"/>
        </a:xfrm>
        <a:prstGeom prst="flowChartTerminator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552450</xdr:colOff>
      <xdr:row>2</xdr:row>
      <xdr:rowOff>161926</xdr:rowOff>
    </xdr:from>
    <xdr:to>
      <xdr:col>6</xdr:col>
      <xdr:colOff>47628</xdr:colOff>
      <xdr:row>9</xdr:row>
      <xdr:rowOff>38100</xdr:rowOff>
    </xdr:to>
    <xdr:sp macro="" textlink="">
      <xdr:nvSpPr>
        <xdr:cNvPr id="3" name="Flowchart: Termina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16200000">
          <a:off x="3962402" y="790574"/>
          <a:ext cx="1209674" cy="714378"/>
        </a:xfrm>
        <a:prstGeom prst="flowChartTerminator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314327</xdr:colOff>
      <xdr:row>12</xdr:row>
      <xdr:rowOff>190499</xdr:rowOff>
    </xdr:from>
    <xdr:to>
      <xdr:col>3</xdr:col>
      <xdr:colOff>95251</xdr:colOff>
      <xdr:row>15</xdr:row>
      <xdr:rowOff>9524</xdr:rowOff>
    </xdr:to>
    <xdr:cxnSp macro="">
      <xdr:nvCxnSpPr>
        <xdr:cNvPr id="19" name="Elb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>
          <a:stCxn id="2" idx="1"/>
        </xdr:cNvCxnSpPr>
      </xdr:nvCxnSpPr>
      <xdr:spPr>
        <a:xfrm rot="16200000" flipH="1">
          <a:off x="2752726" y="2476500"/>
          <a:ext cx="390525" cy="390524"/>
        </a:xfrm>
        <a:prstGeom prst="bentConnector2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6</xdr:row>
      <xdr:rowOff>4763</xdr:rowOff>
    </xdr:from>
    <xdr:to>
      <xdr:col>4</xdr:col>
      <xdr:colOff>552450</xdr:colOff>
      <xdr:row>15</xdr:row>
      <xdr:rowOff>9525</xdr:rowOff>
    </xdr:to>
    <xdr:cxnSp macro="">
      <xdr:nvCxnSpPr>
        <xdr:cNvPr id="21" name="Elbow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>
          <a:endCxn id="3" idx="0"/>
        </xdr:cNvCxnSpPr>
      </xdr:nvCxnSpPr>
      <xdr:spPr>
        <a:xfrm flipV="1">
          <a:off x="3552825" y="1147763"/>
          <a:ext cx="657225" cy="1719262"/>
        </a:xfrm>
        <a:prstGeom prst="bentConnector3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300040</xdr:colOff>
      <xdr:row>9</xdr:row>
      <xdr:rowOff>38099</xdr:rowOff>
    </xdr:from>
    <xdr:to>
      <xdr:col>8</xdr:col>
      <xdr:colOff>295280</xdr:colOff>
      <xdr:row>9</xdr:row>
      <xdr:rowOff>114302</xdr:rowOff>
    </xdr:to>
    <xdr:cxnSp macro="">
      <xdr:nvCxnSpPr>
        <xdr:cNvPr id="23" name="Elbow Connecto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>
          <a:stCxn id="3" idx="1"/>
          <a:endCxn id="4" idx="3"/>
        </xdr:cNvCxnSpPr>
      </xdr:nvCxnSpPr>
      <xdr:spPr>
        <a:xfrm rot="16200000" flipH="1">
          <a:off x="5441158" y="878681"/>
          <a:ext cx="76203" cy="1824040"/>
        </a:xfrm>
        <a:prstGeom prst="bentConnector3">
          <a:avLst>
            <a:gd name="adj1" fmla="val 418737"/>
          </a:avLst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381005</xdr:colOff>
      <xdr:row>4</xdr:row>
      <xdr:rowOff>47629</xdr:rowOff>
    </xdr:from>
    <xdr:to>
      <xdr:col>9</xdr:col>
      <xdr:colOff>209553</xdr:colOff>
      <xdr:row>9</xdr:row>
      <xdr:rowOff>114302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5022985" y="794078"/>
          <a:ext cx="1119282" cy="1015285"/>
          <a:chOff x="5867405" y="809629"/>
          <a:chExt cx="1047748" cy="1019173"/>
        </a:xfrm>
      </xdr:grpSpPr>
      <xdr:sp macro="" textlink="">
        <xdr:nvSpPr>
          <xdr:cNvPr id="4" name="Flowchart: Sequential Access Storag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 rot="5400000" flipV="1">
            <a:off x="5881692" y="795342"/>
            <a:ext cx="1019173" cy="1047748"/>
          </a:xfrm>
          <a:prstGeom prst="flowChartMagneticTap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Oval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6391275" y="1571625"/>
            <a:ext cx="123825" cy="1047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290512</xdr:colOff>
      <xdr:row>14</xdr:row>
      <xdr:rowOff>38100</xdr:rowOff>
    </xdr:from>
    <xdr:to>
      <xdr:col>10</xdr:col>
      <xdr:colOff>280987</xdr:colOff>
      <xdr:row>18</xdr:row>
      <xdr:rowOff>4763</xdr:rowOff>
    </xdr:to>
    <xdr:sp macro="" textlink="">
      <xdr:nvSpPr>
        <xdr:cNvPr id="25" name="Flowchart: Termina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5776912" y="2705100"/>
          <a:ext cx="1819275" cy="728663"/>
        </a:xfrm>
        <a:prstGeom prst="flowChartTerminator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419100</xdr:colOff>
      <xdr:row>8</xdr:row>
      <xdr:rowOff>100013</xdr:rowOff>
    </xdr:from>
    <xdr:to>
      <xdr:col>8</xdr:col>
      <xdr:colOff>590550</xdr:colOff>
      <xdr:row>14</xdr:row>
      <xdr:rowOff>38100</xdr:rowOff>
    </xdr:to>
    <xdr:cxnSp macro="">
      <xdr:nvCxnSpPr>
        <xdr:cNvPr id="27" name="Elbow Connector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>
          <a:stCxn id="24" idx="6"/>
          <a:endCxn id="25" idx="0"/>
        </xdr:cNvCxnSpPr>
      </xdr:nvCxnSpPr>
      <xdr:spPr>
        <a:xfrm>
          <a:off x="6515100" y="1624013"/>
          <a:ext cx="171450" cy="1081087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561975</xdr:colOff>
      <xdr:row>3</xdr:row>
      <xdr:rowOff>133350</xdr:rowOff>
    </xdr:from>
    <xdr:to>
      <xdr:col>12</xdr:col>
      <xdr:colOff>57153</xdr:colOff>
      <xdr:row>10</xdr:row>
      <xdr:rowOff>9524</xdr:rowOff>
    </xdr:to>
    <xdr:sp macro="" textlink="">
      <xdr:nvSpPr>
        <xdr:cNvPr id="28" name="Flowchart: Termina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 rot="16200000">
          <a:off x="8239127" y="952498"/>
          <a:ext cx="1209674" cy="714378"/>
        </a:xfrm>
        <a:prstGeom prst="flowChartTerminator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142875</xdr:colOff>
      <xdr:row>6</xdr:row>
      <xdr:rowOff>166687</xdr:rowOff>
    </xdr:from>
    <xdr:to>
      <xdr:col>10</xdr:col>
      <xdr:colOff>561975</xdr:colOff>
      <xdr:row>9</xdr:row>
      <xdr:rowOff>123825</xdr:rowOff>
    </xdr:to>
    <xdr:cxnSp macro="">
      <xdr:nvCxnSpPr>
        <xdr:cNvPr id="30" name="Elbow Connecto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>
          <a:endCxn id="28" idx="0"/>
        </xdr:cNvCxnSpPr>
      </xdr:nvCxnSpPr>
      <xdr:spPr>
        <a:xfrm flipV="1">
          <a:off x="7229475" y="1309687"/>
          <a:ext cx="1257300" cy="528638"/>
        </a:xfrm>
        <a:prstGeom prst="bentConnector3">
          <a:avLst>
            <a:gd name="adj1" fmla="val 50000"/>
          </a:avLst>
        </a:prstGeom>
        <a:ln w="1905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390525</xdr:colOff>
      <xdr:row>4</xdr:row>
      <xdr:rowOff>0</xdr:rowOff>
    </xdr:from>
    <xdr:to>
      <xdr:col>15</xdr:col>
      <xdr:colOff>219073</xdr:colOff>
      <xdr:row>9</xdr:row>
      <xdr:rowOff>66673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pSpPr/>
      </xdr:nvGrpSpPr>
      <xdr:grpSpPr>
        <a:xfrm>
          <a:off x="9324586" y="746449"/>
          <a:ext cx="1119283" cy="1015285"/>
          <a:chOff x="5867405" y="809629"/>
          <a:chExt cx="1047748" cy="1019173"/>
        </a:xfrm>
      </xdr:grpSpPr>
      <xdr:sp macro="" textlink="">
        <xdr:nvSpPr>
          <xdr:cNvPr id="33" name="Flowchart: Sequential Access Storage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 rot="5400000" flipV="1">
            <a:off x="5881692" y="795342"/>
            <a:ext cx="1019173" cy="1047748"/>
          </a:xfrm>
          <a:prstGeom prst="flowChartMagneticTap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Oval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/>
        </xdr:nvSpPr>
        <xdr:spPr>
          <a:xfrm>
            <a:off x="6391275" y="1571625"/>
            <a:ext cx="123825" cy="1047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309563</xdr:colOff>
      <xdr:row>9</xdr:row>
      <xdr:rowOff>66674</xdr:rowOff>
    </xdr:from>
    <xdr:to>
      <xdr:col>14</xdr:col>
      <xdr:colOff>304798</xdr:colOff>
      <xdr:row>10</xdr:row>
      <xdr:rowOff>9524</xdr:rowOff>
    </xdr:to>
    <xdr:cxnSp macro="">
      <xdr:nvCxnSpPr>
        <xdr:cNvPr id="41" name="Elbow Connecto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>
          <a:stCxn id="28" idx="1"/>
          <a:endCxn id="33" idx="3"/>
        </xdr:cNvCxnSpPr>
      </xdr:nvCxnSpPr>
      <xdr:spPr>
        <a:xfrm rot="5400000" flipH="1" flipV="1">
          <a:off x="9689306" y="935831"/>
          <a:ext cx="133350" cy="1824035"/>
        </a:xfrm>
        <a:prstGeom prst="bentConnector3">
          <a:avLst>
            <a:gd name="adj1" fmla="val -82142"/>
          </a:avLst>
        </a:prstGeom>
        <a:ln w="1905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13</xdr:row>
      <xdr:rowOff>47625</xdr:rowOff>
    </xdr:from>
    <xdr:to>
      <xdr:col>16</xdr:col>
      <xdr:colOff>276225</xdr:colOff>
      <xdr:row>17</xdr:row>
      <xdr:rowOff>14288</xdr:rowOff>
    </xdr:to>
    <xdr:sp macro="" textlink="">
      <xdr:nvSpPr>
        <xdr:cNvPr id="42" name="Flowchart: Terminato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9429750" y="2524125"/>
          <a:ext cx="1819275" cy="728663"/>
        </a:xfrm>
        <a:prstGeom prst="flowChartTerminator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428620</xdr:colOff>
      <xdr:row>8</xdr:row>
      <xdr:rowOff>52384</xdr:rowOff>
    </xdr:from>
    <xdr:to>
      <xdr:col>14</xdr:col>
      <xdr:colOff>585788</xdr:colOff>
      <xdr:row>13</xdr:row>
      <xdr:rowOff>47625</xdr:rowOff>
    </xdr:to>
    <xdr:cxnSp macro="">
      <xdr:nvCxnSpPr>
        <xdr:cNvPr id="44" name="Elbow Connecto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>
          <a:stCxn id="34" idx="6"/>
          <a:endCxn id="42" idx="0"/>
        </xdr:cNvCxnSpPr>
      </xdr:nvCxnSpPr>
      <xdr:spPr>
        <a:xfrm>
          <a:off x="10182220" y="1576384"/>
          <a:ext cx="157168" cy="947741"/>
        </a:xfrm>
        <a:prstGeom prst="bentConnector2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581026</xdr:colOff>
      <xdr:row>12</xdr:row>
      <xdr:rowOff>66675</xdr:rowOff>
    </xdr:from>
    <xdr:to>
      <xdr:col>13</xdr:col>
      <xdr:colOff>285751</xdr:colOff>
      <xdr:row>15</xdr:row>
      <xdr:rowOff>30957</xdr:rowOff>
    </xdr:to>
    <xdr:cxnSp macro="">
      <xdr:nvCxnSpPr>
        <xdr:cNvPr id="50" name="Elbow Connector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>
          <a:stCxn id="42" idx="1"/>
        </xdr:cNvCxnSpPr>
      </xdr:nvCxnSpPr>
      <xdr:spPr>
        <a:xfrm rot="10800000">
          <a:off x="6677026" y="2352675"/>
          <a:ext cx="2752725" cy="535782"/>
        </a:xfrm>
        <a:prstGeom prst="bentConnector3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561975</xdr:colOff>
      <xdr:row>30</xdr:row>
      <xdr:rowOff>152399</xdr:rowOff>
    </xdr:from>
    <xdr:to>
      <xdr:col>15</xdr:col>
      <xdr:colOff>95250</xdr:colOff>
      <xdr:row>34</xdr:row>
      <xdr:rowOff>47624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9705975" y="5295899"/>
          <a:ext cx="752475" cy="657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D308</a:t>
          </a:r>
          <a:r>
            <a:rPr lang="en-US"/>
            <a:t>    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HP Flash</a:t>
          </a:r>
          <a:r>
            <a:rPr lang="en-US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Drum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17</xdr:col>
      <xdr:colOff>9527</xdr:colOff>
      <xdr:row>33</xdr:row>
      <xdr:rowOff>95250</xdr:rowOff>
    </xdr:from>
    <xdr:to>
      <xdr:col>18</xdr:col>
      <xdr:colOff>19052</xdr:colOff>
      <xdr:row>39</xdr:row>
      <xdr:rowOff>180976</xdr:rowOff>
    </xdr:to>
    <xdr:sp macro="" textlink="">
      <xdr:nvSpPr>
        <xdr:cNvPr id="55" name="Flowchart: Terminator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 rot="16200000">
          <a:off x="11287127" y="6115050"/>
          <a:ext cx="1228726" cy="619125"/>
        </a:xfrm>
        <a:prstGeom prst="flowChartTerminator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9529</xdr:colOff>
      <xdr:row>30</xdr:row>
      <xdr:rowOff>133350</xdr:rowOff>
    </xdr:from>
    <xdr:to>
      <xdr:col>18</xdr:col>
      <xdr:colOff>19054</xdr:colOff>
      <xdr:row>35</xdr:row>
      <xdr:rowOff>47626</xdr:rowOff>
    </xdr:to>
    <xdr:sp macro="" textlink="">
      <xdr:nvSpPr>
        <xdr:cNvPr id="56" name="Flowchart: Terminator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 rot="16200000">
          <a:off x="11468104" y="5400675"/>
          <a:ext cx="866776" cy="619125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586068</xdr:colOff>
      <xdr:row>30</xdr:row>
      <xdr:rowOff>161924</xdr:rowOff>
    </xdr:from>
    <xdr:to>
      <xdr:col>18</xdr:col>
      <xdr:colOff>119343</xdr:colOff>
      <xdr:row>35</xdr:row>
      <xdr:rowOff>66675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1713509" y="5876924"/>
          <a:ext cx="810746" cy="857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D309</a:t>
          </a:r>
          <a:r>
            <a:rPr lang="en-US"/>
            <a:t>    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Stripper Preflash Drum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3</xdr:col>
      <xdr:colOff>91625</xdr:colOff>
      <xdr:row>13</xdr:row>
      <xdr:rowOff>187336</xdr:rowOff>
    </xdr:from>
    <xdr:to>
      <xdr:col>3</xdr:col>
      <xdr:colOff>497101</xdr:colOff>
      <xdr:row>15</xdr:row>
      <xdr:rowOff>188191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GrpSpPr/>
      </xdr:nvGrpSpPr>
      <xdr:grpSpPr>
        <a:xfrm>
          <a:off x="2027726" y="2628846"/>
          <a:ext cx="405476" cy="368636"/>
          <a:chOff x="4236641" y="3810000"/>
          <a:chExt cx="341638" cy="335549"/>
        </a:xfrm>
      </xdr:grpSpPr>
      <xdr:sp macro="" textlink="">
        <xdr:nvSpPr>
          <xdr:cNvPr id="71" name="Oval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4236641" y="3810000"/>
            <a:ext cx="341638" cy="335549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72" name="Straight Connector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CxnSpPr>
            <a:endCxn id="71" idx="2"/>
          </xdr:cNvCxnSpPr>
        </xdr:nvCxnSpPr>
        <xdr:spPr>
          <a:xfrm flipH="1" flipV="1">
            <a:off x="4236641" y="3977775"/>
            <a:ext cx="112331" cy="21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Straight Connector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CxnSpPr/>
        </xdr:nvCxnSpPr>
        <xdr:spPr>
          <a:xfrm flipH="1" flipV="1">
            <a:off x="4348974" y="3984221"/>
            <a:ext cx="59691" cy="7475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Straight Connector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CxnSpPr/>
        </xdr:nvCxnSpPr>
        <xdr:spPr>
          <a:xfrm flipH="1" flipV="1">
            <a:off x="4452321" y="3913168"/>
            <a:ext cx="43026" cy="74721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CxnSpPr/>
        </xdr:nvCxnSpPr>
        <xdr:spPr>
          <a:xfrm flipH="1">
            <a:off x="4495345" y="3987672"/>
            <a:ext cx="76608" cy="2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Straight Connector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CxnSpPr/>
        </xdr:nvCxnSpPr>
        <xdr:spPr>
          <a:xfrm flipH="1">
            <a:off x="4411611" y="3921503"/>
            <a:ext cx="43148" cy="149506"/>
          </a:xfrm>
          <a:prstGeom prst="line">
            <a:avLst/>
          </a:prstGeom>
          <a:ln>
            <a:solidFill>
              <a:schemeClr val="tx1"/>
            </a:solidFill>
            <a:headEnd type="none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71157</xdr:colOff>
      <xdr:row>36</xdr:row>
      <xdr:rowOff>76200</xdr:rowOff>
    </xdr:from>
    <xdr:to>
      <xdr:col>16</xdr:col>
      <xdr:colOff>23532</xdr:colOff>
      <xdr:row>39</xdr:row>
      <xdr:rowOff>95937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GrpSpPr/>
      </xdr:nvGrpSpPr>
      <xdr:grpSpPr>
        <a:xfrm>
          <a:off x="10295953" y="6809791"/>
          <a:ext cx="597742" cy="587350"/>
          <a:chOff x="3048000" y="7239000"/>
          <a:chExt cx="440065" cy="448362"/>
        </a:xfrm>
      </xdr:grpSpPr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CxnSpPr/>
        </xdr:nvCxnSpPr>
        <xdr:spPr>
          <a:xfrm flipH="1">
            <a:off x="3270388" y="7239000"/>
            <a:ext cx="217677" cy="285903"/>
          </a:xfrm>
          <a:prstGeom prst="line">
            <a:avLst/>
          </a:prstGeom>
          <a:ln>
            <a:solidFill>
              <a:schemeClr val="tx1"/>
            </a:solidFill>
            <a:headEnd type="stealth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CxnSpPr/>
        </xdr:nvCxnSpPr>
        <xdr:spPr>
          <a:xfrm flipH="1">
            <a:off x="3048000" y="7524903"/>
            <a:ext cx="122344" cy="162459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79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CxnSpPr/>
        </xdr:nvCxnSpPr>
        <xdr:spPr>
          <a:xfrm flipH="1" flipV="1">
            <a:off x="3169524" y="7524903"/>
            <a:ext cx="11293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Oval 80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SpPr/>
        </xdr:nvSpPr>
        <xdr:spPr>
          <a:xfrm>
            <a:off x="3076575" y="7324725"/>
            <a:ext cx="340021" cy="333382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15</xdr:col>
      <xdr:colOff>561975</xdr:colOff>
      <xdr:row>33</xdr:row>
      <xdr:rowOff>160803</xdr:rowOff>
    </xdr:from>
    <xdr:to>
      <xdr:col>16</xdr:col>
      <xdr:colOff>357851</xdr:colOff>
      <xdr:row>35</xdr:row>
      <xdr:rowOff>161658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GrpSpPr/>
      </xdr:nvGrpSpPr>
      <xdr:grpSpPr>
        <a:xfrm>
          <a:off x="10786771" y="6334559"/>
          <a:ext cx="441243" cy="374079"/>
          <a:chOff x="4236641" y="3810000"/>
          <a:chExt cx="341638" cy="335549"/>
        </a:xfrm>
      </xdr:grpSpPr>
      <xdr:sp macro="" textlink="">
        <xdr:nvSpPr>
          <xdr:cNvPr id="83" name="Oval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/>
        </xdr:nvSpPr>
        <xdr:spPr>
          <a:xfrm>
            <a:off x="4236641" y="3810000"/>
            <a:ext cx="341638" cy="335549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CxnSpPr>
            <a:endCxn id="83" idx="2"/>
          </xdr:cNvCxnSpPr>
        </xdr:nvCxnSpPr>
        <xdr:spPr>
          <a:xfrm flipH="1" flipV="1">
            <a:off x="4236641" y="3977775"/>
            <a:ext cx="112331" cy="21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Straight Connector 84">
            <a:extLst>
              <a:ext uri="{FF2B5EF4-FFF2-40B4-BE49-F238E27FC236}">
                <a16:creationId xmlns:a16="http://schemas.microsoft.com/office/drawing/2014/main" id="{00000000-0008-0000-0100-000055000000}"/>
              </a:ext>
            </a:extLst>
          </xdr:cNvPr>
          <xdr:cNvCxnSpPr/>
        </xdr:nvCxnSpPr>
        <xdr:spPr>
          <a:xfrm flipH="1" flipV="1">
            <a:off x="4348974" y="3984221"/>
            <a:ext cx="59691" cy="7475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Straight Connector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H="1" flipV="1">
            <a:off x="4452321" y="3913168"/>
            <a:ext cx="43026" cy="74721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Straight Connector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CxnSpPr/>
        </xdr:nvCxnSpPr>
        <xdr:spPr>
          <a:xfrm flipH="1">
            <a:off x="4495345" y="3987672"/>
            <a:ext cx="76608" cy="2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" name="Straight Connector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CxnSpPr/>
        </xdr:nvCxnSpPr>
        <xdr:spPr>
          <a:xfrm flipH="1">
            <a:off x="4411611" y="3921503"/>
            <a:ext cx="43148" cy="149506"/>
          </a:xfrm>
          <a:prstGeom prst="line">
            <a:avLst/>
          </a:prstGeom>
          <a:ln>
            <a:solidFill>
              <a:schemeClr val="tx1"/>
            </a:solidFill>
            <a:headEnd type="none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342901</xdr:colOff>
      <xdr:row>19</xdr:row>
      <xdr:rowOff>177054</xdr:rowOff>
    </xdr:from>
    <xdr:to>
      <xdr:col>8</xdr:col>
      <xdr:colOff>448236</xdr:colOff>
      <xdr:row>22</xdr:row>
      <xdr:rowOff>179294</xdr:rowOff>
    </xdr:to>
    <xdr:grpSp>
      <xdr:nvGrpSpPr>
        <xdr:cNvPr id="89" name="Group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GrpSpPr/>
      </xdr:nvGrpSpPr>
      <xdr:grpSpPr>
        <a:xfrm>
          <a:off x="4984881" y="3738238"/>
          <a:ext cx="750702" cy="562076"/>
          <a:chOff x="10304318" y="4191000"/>
          <a:chExt cx="825229" cy="640222"/>
        </a:xfrm>
      </xdr:grpSpPr>
      <xdr:sp macro="" textlink="">
        <xdr:nvSpPr>
          <xdr:cNvPr id="90" name="Trapezoid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10573632" y="4508389"/>
            <a:ext cx="252460" cy="102907"/>
          </a:xfrm>
          <a:prstGeom prst="trapezoid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1" name="Oval 9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SpPr/>
        </xdr:nvSpPr>
        <xdr:spPr>
          <a:xfrm>
            <a:off x="10531556" y="4191000"/>
            <a:ext cx="311367" cy="30872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2" name="TextBox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SpPr txBox="1"/>
        </xdr:nvSpPr>
        <xdr:spPr>
          <a:xfrm>
            <a:off x="10304318" y="4589646"/>
            <a:ext cx="825229" cy="241576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P302/A</a:t>
            </a:r>
            <a:r>
              <a:rPr lang="en-CA" sz="1000" baseline="0"/>
              <a:t> </a:t>
            </a:r>
            <a:r>
              <a:rPr lang="en-CA" sz="1100" baseline="0"/>
              <a:t>  </a:t>
            </a:r>
            <a:endParaRPr lang="en-CA" sz="1100"/>
          </a:p>
        </xdr:txBody>
      </xdr:sp>
    </xdr:grpSp>
    <xdr:clientData/>
  </xdr:twoCellAnchor>
  <xdr:twoCellAnchor>
    <xdr:from>
      <xdr:col>14</xdr:col>
      <xdr:colOff>190500</xdr:colOff>
      <xdr:row>40</xdr:row>
      <xdr:rowOff>66675</xdr:rowOff>
    </xdr:from>
    <xdr:to>
      <xdr:col>15</xdr:col>
      <xdr:colOff>409592</xdr:colOff>
      <xdr:row>43</xdr:row>
      <xdr:rowOff>135397</xdr:rowOff>
    </xdr:to>
    <xdr:grpSp>
      <xdr:nvGrpSpPr>
        <xdr:cNvPr id="93" name="Group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GrpSpPr/>
      </xdr:nvGrpSpPr>
      <xdr:grpSpPr>
        <a:xfrm>
          <a:off x="9769929" y="7562266"/>
          <a:ext cx="864459" cy="636335"/>
          <a:chOff x="10304318" y="4191000"/>
          <a:chExt cx="825229" cy="640222"/>
        </a:xfrm>
      </xdr:grpSpPr>
      <xdr:sp macro="" textlink="">
        <xdr:nvSpPr>
          <xdr:cNvPr id="94" name="Trapezoid 93">
            <a:extLst>
              <a:ext uri="{FF2B5EF4-FFF2-40B4-BE49-F238E27FC236}">
                <a16:creationId xmlns:a16="http://schemas.microsoft.com/office/drawing/2014/main" id="{00000000-0008-0000-0100-00005E000000}"/>
              </a:ext>
            </a:extLst>
          </xdr:cNvPr>
          <xdr:cNvSpPr/>
        </xdr:nvSpPr>
        <xdr:spPr>
          <a:xfrm>
            <a:off x="10573632" y="4508389"/>
            <a:ext cx="252460" cy="102907"/>
          </a:xfrm>
          <a:prstGeom prst="trapezoid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5" name="Oval 94">
            <a:extLst>
              <a:ext uri="{FF2B5EF4-FFF2-40B4-BE49-F238E27FC236}">
                <a16:creationId xmlns:a16="http://schemas.microsoft.com/office/drawing/2014/main" id="{00000000-0008-0000-0100-00005F000000}"/>
              </a:ext>
            </a:extLst>
          </xdr:cNvPr>
          <xdr:cNvSpPr/>
        </xdr:nvSpPr>
        <xdr:spPr>
          <a:xfrm>
            <a:off x="10531556" y="4191000"/>
            <a:ext cx="311367" cy="30872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6" name="TextBox 95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 txBox="1"/>
        </xdr:nvSpPr>
        <xdr:spPr>
          <a:xfrm>
            <a:off x="10304318" y="4589646"/>
            <a:ext cx="825229" cy="241576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P309/A</a:t>
            </a:r>
            <a:r>
              <a:rPr lang="en-CA" sz="1000" baseline="0"/>
              <a:t> </a:t>
            </a:r>
            <a:r>
              <a:rPr lang="en-CA" sz="1100" baseline="0"/>
              <a:t>  </a:t>
            </a:r>
            <a:endParaRPr lang="en-CA" sz="1100"/>
          </a:p>
        </xdr:txBody>
      </xdr:sp>
    </xdr:grpSp>
    <xdr:clientData/>
  </xdr:twoCellAnchor>
  <xdr:twoCellAnchor>
    <xdr:from>
      <xdr:col>8</xdr:col>
      <xdr:colOff>600075</xdr:colOff>
      <xdr:row>23</xdr:row>
      <xdr:rowOff>57150</xdr:rowOff>
    </xdr:from>
    <xdr:to>
      <xdr:col>9</xdr:col>
      <xdr:colOff>395951</xdr:colOff>
      <xdr:row>25</xdr:row>
      <xdr:rowOff>58005</xdr:rowOff>
    </xdr:to>
    <xdr:grpSp>
      <xdr:nvGrpSpPr>
        <xdr:cNvPr id="104" name="Group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GrpSpPr/>
      </xdr:nvGrpSpPr>
      <xdr:grpSpPr>
        <a:xfrm>
          <a:off x="5887422" y="4364783"/>
          <a:ext cx="441243" cy="374079"/>
          <a:chOff x="4236641" y="3810000"/>
          <a:chExt cx="341638" cy="335549"/>
        </a:xfrm>
      </xdr:grpSpPr>
      <xdr:sp macro="" textlink="">
        <xdr:nvSpPr>
          <xdr:cNvPr id="105" name="Oval 104">
            <a:extLst>
              <a:ext uri="{FF2B5EF4-FFF2-40B4-BE49-F238E27FC236}">
                <a16:creationId xmlns:a16="http://schemas.microsoft.com/office/drawing/2014/main" id="{00000000-0008-0000-0100-000069000000}"/>
              </a:ext>
            </a:extLst>
          </xdr:cNvPr>
          <xdr:cNvSpPr/>
        </xdr:nvSpPr>
        <xdr:spPr>
          <a:xfrm>
            <a:off x="4236641" y="3810000"/>
            <a:ext cx="341638" cy="335549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06" name="Straight Connector 105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CxnSpPr>
            <a:endCxn id="105" idx="2"/>
          </xdr:cNvCxnSpPr>
        </xdr:nvCxnSpPr>
        <xdr:spPr>
          <a:xfrm flipH="1" flipV="1">
            <a:off x="4236641" y="3977775"/>
            <a:ext cx="112331" cy="21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Straight Connector 106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CxnSpPr/>
        </xdr:nvCxnSpPr>
        <xdr:spPr>
          <a:xfrm flipH="1" flipV="1">
            <a:off x="4348974" y="3984221"/>
            <a:ext cx="59691" cy="7475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" name="Straight Connector 107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CxnSpPr/>
        </xdr:nvCxnSpPr>
        <xdr:spPr>
          <a:xfrm flipH="1" flipV="1">
            <a:off x="4452321" y="3913168"/>
            <a:ext cx="43026" cy="74721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Straight Connector 108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CxnSpPr/>
        </xdr:nvCxnSpPr>
        <xdr:spPr>
          <a:xfrm flipH="1">
            <a:off x="4495345" y="3987672"/>
            <a:ext cx="76608" cy="2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Straight Connector 109">
            <a:extLst>
              <a:ext uri="{FF2B5EF4-FFF2-40B4-BE49-F238E27FC236}">
                <a16:creationId xmlns:a16="http://schemas.microsoft.com/office/drawing/2014/main" id="{00000000-0008-0000-0100-00006E000000}"/>
              </a:ext>
            </a:extLst>
          </xdr:cNvPr>
          <xdr:cNvCxnSpPr/>
        </xdr:nvCxnSpPr>
        <xdr:spPr>
          <a:xfrm flipH="1">
            <a:off x="4411611" y="3921503"/>
            <a:ext cx="43148" cy="149506"/>
          </a:xfrm>
          <a:prstGeom prst="line">
            <a:avLst/>
          </a:prstGeom>
          <a:ln>
            <a:solidFill>
              <a:schemeClr val="tx1"/>
            </a:solidFill>
            <a:headEnd type="none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23815</xdr:colOff>
      <xdr:row>25</xdr:row>
      <xdr:rowOff>188817</xdr:rowOff>
    </xdr:from>
    <xdr:to>
      <xdr:col>7</xdr:col>
      <xdr:colOff>429291</xdr:colOff>
      <xdr:row>27</xdr:row>
      <xdr:rowOff>189672</xdr:rowOff>
    </xdr:to>
    <xdr:grpSp>
      <xdr:nvGrpSpPr>
        <xdr:cNvPr id="111" name="Group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GrpSpPr/>
      </xdr:nvGrpSpPr>
      <xdr:grpSpPr>
        <a:xfrm>
          <a:off x="4665795" y="4864231"/>
          <a:ext cx="405476" cy="374079"/>
          <a:chOff x="4236641" y="3810000"/>
          <a:chExt cx="341638" cy="335549"/>
        </a:xfrm>
      </xdr:grpSpPr>
      <xdr:sp macro="" textlink="">
        <xdr:nvSpPr>
          <xdr:cNvPr id="112" name="Oval 111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SpPr/>
        </xdr:nvSpPr>
        <xdr:spPr>
          <a:xfrm>
            <a:off x="4236641" y="3810000"/>
            <a:ext cx="341638" cy="335549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13" name="Straight Connector 112">
            <a:extLst>
              <a:ext uri="{FF2B5EF4-FFF2-40B4-BE49-F238E27FC236}">
                <a16:creationId xmlns:a16="http://schemas.microsoft.com/office/drawing/2014/main" id="{00000000-0008-0000-0100-000071000000}"/>
              </a:ext>
            </a:extLst>
          </xdr:cNvPr>
          <xdr:cNvCxnSpPr>
            <a:endCxn id="112" idx="2"/>
          </xdr:cNvCxnSpPr>
        </xdr:nvCxnSpPr>
        <xdr:spPr>
          <a:xfrm flipH="1" flipV="1">
            <a:off x="4236641" y="3977775"/>
            <a:ext cx="112331" cy="21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Straight Connector 11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CxnSpPr/>
        </xdr:nvCxnSpPr>
        <xdr:spPr>
          <a:xfrm flipH="1" flipV="1">
            <a:off x="4348974" y="3984221"/>
            <a:ext cx="59691" cy="7475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Straight Connector 114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CxnSpPr/>
        </xdr:nvCxnSpPr>
        <xdr:spPr>
          <a:xfrm flipH="1" flipV="1">
            <a:off x="4452321" y="3913168"/>
            <a:ext cx="43026" cy="74721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" name="Straight Connector 115">
            <a:extLst>
              <a:ext uri="{FF2B5EF4-FFF2-40B4-BE49-F238E27FC236}">
                <a16:creationId xmlns:a16="http://schemas.microsoft.com/office/drawing/2014/main" id="{00000000-0008-0000-0100-000074000000}"/>
              </a:ext>
            </a:extLst>
          </xdr:cNvPr>
          <xdr:cNvCxnSpPr/>
        </xdr:nvCxnSpPr>
        <xdr:spPr>
          <a:xfrm flipH="1">
            <a:off x="4495345" y="3987672"/>
            <a:ext cx="76608" cy="2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Straight Connector 116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CxnSpPr/>
        </xdr:nvCxnSpPr>
        <xdr:spPr>
          <a:xfrm flipH="1">
            <a:off x="4411611" y="3921503"/>
            <a:ext cx="43148" cy="149506"/>
          </a:xfrm>
          <a:prstGeom prst="line">
            <a:avLst/>
          </a:prstGeom>
          <a:ln>
            <a:solidFill>
              <a:schemeClr val="tx1"/>
            </a:solidFill>
            <a:headEnd type="none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201479</xdr:colOff>
      <xdr:row>18</xdr:row>
      <xdr:rowOff>4763</xdr:rowOff>
    </xdr:from>
    <xdr:to>
      <xdr:col>9</xdr:col>
      <xdr:colOff>100854</xdr:colOff>
      <xdr:row>20</xdr:row>
      <xdr:rowOff>124886</xdr:rowOff>
    </xdr:to>
    <xdr:cxnSp macro="">
      <xdr:nvCxnSpPr>
        <xdr:cNvPr id="119" name="Elbow Connector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CxnSpPr>
          <a:stCxn id="25" idx="2"/>
          <a:endCxn id="91" idx="6"/>
        </xdr:cNvCxnSpPr>
      </xdr:nvCxnSpPr>
      <xdr:spPr>
        <a:xfrm rot="5400000">
          <a:off x="5044105" y="3432078"/>
          <a:ext cx="501123" cy="504493"/>
        </a:xfrm>
        <a:prstGeom prst="bentConnector2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226554</xdr:colOff>
      <xdr:row>20</xdr:row>
      <xdr:rowOff>124886</xdr:rowOff>
    </xdr:from>
    <xdr:to>
      <xdr:col>7</xdr:col>
      <xdr:colOff>538535</xdr:colOff>
      <xdr:row>23</xdr:row>
      <xdr:rowOff>53788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CxnSpPr>
          <a:stCxn id="91" idx="2"/>
          <a:endCxn id="350" idx="0"/>
        </xdr:cNvCxnSpPr>
      </xdr:nvCxnSpPr>
      <xdr:spPr>
        <a:xfrm rot="10800000" flipV="1">
          <a:off x="4462378" y="3934886"/>
          <a:ext cx="311981" cy="500402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226553</xdr:colOff>
      <xdr:row>25</xdr:row>
      <xdr:rowOff>54643</xdr:rowOff>
    </xdr:from>
    <xdr:to>
      <xdr:col>7</xdr:col>
      <xdr:colOff>226553</xdr:colOff>
      <xdr:row>25</xdr:row>
      <xdr:rowOff>188817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CxnSpPr>
          <a:stCxn id="350" idx="4"/>
          <a:endCxn id="112" idx="0"/>
        </xdr:cNvCxnSpPr>
      </xdr:nvCxnSpPr>
      <xdr:spPr>
        <a:xfrm>
          <a:off x="5672612" y="4817143"/>
          <a:ext cx="0" cy="134174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226553</xdr:colOff>
      <xdr:row>23</xdr:row>
      <xdr:rowOff>57150</xdr:rowOff>
    </xdr:from>
    <xdr:to>
      <xdr:col>9</xdr:col>
      <xdr:colOff>195454</xdr:colOff>
      <xdr:row>27</xdr:row>
      <xdr:rowOff>189672</xdr:rowOff>
    </xdr:to>
    <xdr:cxnSp macro="">
      <xdr:nvCxnSpPr>
        <xdr:cNvPr id="127" name="Elbow Connector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CxnSpPr>
          <a:stCxn id="112" idx="4"/>
          <a:endCxn id="105" idx="0"/>
        </xdr:cNvCxnSpPr>
      </xdr:nvCxnSpPr>
      <xdr:spPr>
        <a:xfrm rot="5400000" flipH="1" flipV="1">
          <a:off x="5814919" y="4296343"/>
          <a:ext cx="894522" cy="1179136"/>
        </a:xfrm>
        <a:prstGeom prst="bentConnector5">
          <a:avLst>
            <a:gd name="adj1" fmla="val -25556"/>
            <a:gd name="adj2" fmla="val 71953"/>
            <a:gd name="adj3" fmla="val 125556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2285</xdr:colOff>
      <xdr:row>33</xdr:row>
      <xdr:rowOff>169166</xdr:rowOff>
    </xdr:from>
    <xdr:to>
      <xdr:col>9</xdr:col>
      <xdr:colOff>384140</xdr:colOff>
      <xdr:row>36</xdr:row>
      <xdr:rowOff>3142</xdr:rowOff>
    </xdr:to>
    <xdr:grpSp>
      <xdr:nvGrpSpPr>
        <xdr:cNvPr id="128" name="Group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GrpSpPr/>
      </xdr:nvGrpSpPr>
      <xdr:grpSpPr>
        <a:xfrm rot="5400000">
          <a:off x="5929021" y="6348900"/>
          <a:ext cx="393811" cy="381855"/>
          <a:chOff x="4236641" y="3810000"/>
          <a:chExt cx="341638" cy="335549"/>
        </a:xfrm>
      </xdr:grpSpPr>
      <xdr:sp macro="" textlink="">
        <xdr:nvSpPr>
          <xdr:cNvPr id="129" name="Oval 128">
            <a:extLst>
              <a:ext uri="{FF2B5EF4-FFF2-40B4-BE49-F238E27FC236}">
                <a16:creationId xmlns:a16="http://schemas.microsoft.com/office/drawing/2014/main" id="{00000000-0008-0000-0100-000081000000}"/>
              </a:ext>
            </a:extLst>
          </xdr:cNvPr>
          <xdr:cNvSpPr/>
        </xdr:nvSpPr>
        <xdr:spPr>
          <a:xfrm>
            <a:off x="4236641" y="3810000"/>
            <a:ext cx="341638" cy="335549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30" name="Straight Connector 129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CxnSpPr>
            <a:endCxn id="129" idx="2"/>
          </xdr:cNvCxnSpPr>
        </xdr:nvCxnSpPr>
        <xdr:spPr>
          <a:xfrm flipH="1" flipV="1">
            <a:off x="4236641" y="3977775"/>
            <a:ext cx="112331" cy="21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Straight Connector 130">
            <a:extLst>
              <a:ext uri="{FF2B5EF4-FFF2-40B4-BE49-F238E27FC236}">
                <a16:creationId xmlns:a16="http://schemas.microsoft.com/office/drawing/2014/main" id="{00000000-0008-0000-0100-000083000000}"/>
              </a:ext>
            </a:extLst>
          </xdr:cNvPr>
          <xdr:cNvCxnSpPr/>
        </xdr:nvCxnSpPr>
        <xdr:spPr>
          <a:xfrm flipH="1" flipV="1">
            <a:off x="4348974" y="3984221"/>
            <a:ext cx="59691" cy="7475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Straight Connector 131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CxnSpPr/>
        </xdr:nvCxnSpPr>
        <xdr:spPr>
          <a:xfrm flipH="1" flipV="1">
            <a:off x="4452321" y="3913168"/>
            <a:ext cx="43026" cy="74721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Straight Connector 132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CxnSpPr/>
        </xdr:nvCxnSpPr>
        <xdr:spPr>
          <a:xfrm flipH="1">
            <a:off x="4495345" y="3987672"/>
            <a:ext cx="76608" cy="2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Straight Connector 133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CxnSpPr/>
        </xdr:nvCxnSpPr>
        <xdr:spPr>
          <a:xfrm flipH="1">
            <a:off x="4411611" y="3921503"/>
            <a:ext cx="43148" cy="149506"/>
          </a:xfrm>
          <a:prstGeom prst="line">
            <a:avLst/>
          </a:prstGeom>
          <a:ln>
            <a:solidFill>
              <a:schemeClr val="tx1"/>
            </a:solidFill>
            <a:headEnd type="none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285750</xdr:colOff>
      <xdr:row>35</xdr:row>
      <xdr:rowOff>95251</xdr:rowOff>
    </xdr:from>
    <xdr:to>
      <xdr:col>13</xdr:col>
      <xdr:colOff>258030</xdr:colOff>
      <xdr:row>37</xdr:row>
      <xdr:rowOff>119727</xdr:rowOff>
    </xdr:to>
    <xdr:grpSp>
      <xdr:nvGrpSpPr>
        <xdr:cNvPr id="156" name="Group 15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GrpSpPr/>
      </xdr:nvGrpSpPr>
      <xdr:grpSpPr>
        <a:xfrm>
          <a:off x="7104873" y="6642231"/>
          <a:ext cx="2087218" cy="397700"/>
          <a:chOff x="6096000" y="7610476"/>
          <a:chExt cx="1801080" cy="405476"/>
        </a:xfrm>
      </xdr:grpSpPr>
      <xdr:grpSp>
        <xdr:nvGrpSpPr>
          <xdr:cNvPr id="135" name="Group 134">
            <a:extLst>
              <a:ext uri="{FF2B5EF4-FFF2-40B4-BE49-F238E27FC236}">
                <a16:creationId xmlns:a16="http://schemas.microsoft.com/office/drawing/2014/main" id="{00000000-0008-0000-0100-000087000000}"/>
              </a:ext>
            </a:extLst>
          </xdr:cNvPr>
          <xdr:cNvGrpSpPr/>
        </xdr:nvGrpSpPr>
        <xdr:grpSpPr>
          <a:xfrm>
            <a:off x="6096000" y="7620000"/>
            <a:ext cx="405476" cy="381855"/>
            <a:chOff x="4236641" y="3810000"/>
            <a:chExt cx="341638" cy="335549"/>
          </a:xfrm>
        </xdr:grpSpPr>
        <xdr:sp macro="" textlink="">
          <xdr:nvSpPr>
            <xdr:cNvPr id="136" name="Oval 135">
              <a:extLst>
                <a:ext uri="{FF2B5EF4-FFF2-40B4-BE49-F238E27FC236}">
                  <a16:creationId xmlns:a16="http://schemas.microsoft.com/office/drawing/2014/main" id="{00000000-0008-0000-0100-000088000000}"/>
                </a:ext>
              </a:extLst>
            </xdr:cNvPr>
            <xdr:cNvSpPr/>
          </xdr:nvSpPr>
          <xdr:spPr>
            <a:xfrm>
              <a:off x="4236641" y="3810000"/>
              <a:ext cx="341638" cy="335549"/>
            </a:xfrm>
            <a:prstGeom prst="ellipse">
              <a:avLst/>
            </a:prstGeom>
            <a:noFill/>
            <a:ln w="222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C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137" name="Straight Connector 136">
              <a:extLst>
                <a:ext uri="{FF2B5EF4-FFF2-40B4-BE49-F238E27FC236}">
                  <a16:creationId xmlns:a16="http://schemas.microsoft.com/office/drawing/2014/main" id="{00000000-0008-0000-0100-000089000000}"/>
                </a:ext>
              </a:extLst>
            </xdr:cNvPr>
            <xdr:cNvCxnSpPr>
              <a:endCxn id="136" idx="2"/>
            </xdr:cNvCxnSpPr>
          </xdr:nvCxnSpPr>
          <xdr:spPr>
            <a:xfrm flipH="1" flipV="1">
              <a:off x="4236641" y="3977775"/>
              <a:ext cx="112331" cy="21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8" name="Straight Connector 137">
              <a:extLst>
                <a:ext uri="{FF2B5EF4-FFF2-40B4-BE49-F238E27FC236}">
                  <a16:creationId xmlns:a16="http://schemas.microsoft.com/office/drawing/2014/main" id="{00000000-0008-0000-0100-00008A000000}"/>
                </a:ext>
              </a:extLst>
            </xdr:cNvPr>
            <xdr:cNvCxnSpPr/>
          </xdr:nvCxnSpPr>
          <xdr:spPr>
            <a:xfrm flipH="1" flipV="1">
              <a:off x="4348974" y="3984221"/>
              <a:ext cx="59691" cy="7475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9" name="Straight Connector 138">
              <a:extLst>
                <a:ext uri="{FF2B5EF4-FFF2-40B4-BE49-F238E27FC236}">
                  <a16:creationId xmlns:a16="http://schemas.microsoft.com/office/drawing/2014/main" id="{00000000-0008-0000-0100-00008B000000}"/>
                </a:ext>
              </a:extLst>
            </xdr:cNvPr>
            <xdr:cNvCxnSpPr/>
          </xdr:nvCxnSpPr>
          <xdr:spPr>
            <a:xfrm flipH="1" flipV="1">
              <a:off x="4452321" y="3913168"/>
              <a:ext cx="43026" cy="74721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0" name="Straight Connector 139">
              <a:extLst>
                <a:ext uri="{FF2B5EF4-FFF2-40B4-BE49-F238E27FC236}">
                  <a16:creationId xmlns:a16="http://schemas.microsoft.com/office/drawing/2014/main" id="{00000000-0008-0000-0100-00008C000000}"/>
                </a:ext>
              </a:extLst>
            </xdr:cNvPr>
            <xdr:cNvCxnSpPr/>
          </xdr:nvCxnSpPr>
          <xdr:spPr>
            <a:xfrm flipH="1">
              <a:off x="4495345" y="3987672"/>
              <a:ext cx="76608" cy="216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1" name="Straight Connector 140">
              <a:extLst>
                <a:ext uri="{FF2B5EF4-FFF2-40B4-BE49-F238E27FC236}">
                  <a16:creationId xmlns:a16="http://schemas.microsoft.com/office/drawing/2014/main" id="{00000000-0008-0000-0100-00008D000000}"/>
                </a:ext>
              </a:extLst>
            </xdr:cNvPr>
            <xdr:cNvCxnSpPr/>
          </xdr:nvCxnSpPr>
          <xdr:spPr>
            <a:xfrm flipH="1">
              <a:off x="4411611" y="3921503"/>
              <a:ext cx="43148" cy="149506"/>
            </a:xfrm>
            <a:prstGeom prst="line">
              <a:avLst/>
            </a:prstGeom>
            <a:ln>
              <a:solidFill>
                <a:schemeClr val="tx1"/>
              </a:solidFill>
              <a:headEnd type="none" w="sm" len="sm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42" name="Group 141">
            <a:extLst>
              <a:ext uri="{FF2B5EF4-FFF2-40B4-BE49-F238E27FC236}">
                <a16:creationId xmlns:a16="http://schemas.microsoft.com/office/drawing/2014/main" id="{00000000-0008-0000-0100-00008E000000}"/>
              </a:ext>
            </a:extLst>
          </xdr:cNvPr>
          <xdr:cNvGrpSpPr/>
        </xdr:nvGrpSpPr>
        <xdr:grpSpPr>
          <a:xfrm>
            <a:off x="6800850" y="7620000"/>
            <a:ext cx="405476" cy="381855"/>
            <a:chOff x="4236641" y="3810000"/>
            <a:chExt cx="341638" cy="335549"/>
          </a:xfrm>
        </xdr:grpSpPr>
        <xdr:sp macro="" textlink="">
          <xdr:nvSpPr>
            <xdr:cNvPr id="143" name="Oval 142">
              <a:extLst>
                <a:ext uri="{FF2B5EF4-FFF2-40B4-BE49-F238E27FC236}">
                  <a16:creationId xmlns:a16="http://schemas.microsoft.com/office/drawing/2014/main" id="{00000000-0008-0000-0100-00008F000000}"/>
                </a:ext>
              </a:extLst>
            </xdr:cNvPr>
            <xdr:cNvSpPr/>
          </xdr:nvSpPr>
          <xdr:spPr>
            <a:xfrm>
              <a:off x="4236641" y="3810000"/>
              <a:ext cx="341638" cy="335549"/>
            </a:xfrm>
            <a:prstGeom prst="ellipse">
              <a:avLst/>
            </a:prstGeom>
            <a:noFill/>
            <a:ln w="222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C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144" name="Straight Connector 143">
              <a:extLst>
                <a:ext uri="{FF2B5EF4-FFF2-40B4-BE49-F238E27FC236}">
                  <a16:creationId xmlns:a16="http://schemas.microsoft.com/office/drawing/2014/main" id="{00000000-0008-0000-0100-000090000000}"/>
                </a:ext>
              </a:extLst>
            </xdr:cNvPr>
            <xdr:cNvCxnSpPr>
              <a:endCxn id="143" idx="2"/>
            </xdr:cNvCxnSpPr>
          </xdr:nvCxnSpPr>
          <xdr:spPr>
            <a:xfrm flipH="1" flipV="1">
              <a:off x="4236641" y="3977775"/>
              <a:ext cx="112331" cy="21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5" name="Straight Connector 144">
              <a:extLst>
                <a:ext uri="{FF2B5EF4-FFF2-40B4-BE49-F238E27FC236}">
                  <a16:creationId xmlns:a16="http://schemas.microsoft.com/office/drawing/2014/main" id="{00000000-0008-0000-0100-000091000000}"/>
                </a:ext>
              </a:extLst>
            </xdr:cNvPr>
            <xdr:cNvCxnSpPr/>
          </xdr:nvCxnSpPr>
          <xdr:spPr>
            <a:xfrm flipH="1" flipV="1">
              <a:off x="4348974" y="3984221"/>
              <a:ext cx="59691" cy="7475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6" name="Straight Connector 145">
              <a:extLst>
                <a:ext uri="{FF2B5EF4-FFF2-40B4-BE49-F238E27FC236}">
                  <a16:creationId xmlns:a16="http://schemas.microsoft.com/office/drawing/2014/main" id="{00000000-0008-0000-0100-000092000000}"/>
                </a:ext>
              </a:extLst>
            </xdr:cNvPr>
            <xdr:cNvCxnSpPr/>
          </xdr:nvCxnSpPr>
          <xdr:spPr>
            <a:xfrm flipH="1" flipV="1">
              <a:off x="4452321" y="3913168"/>
              <a:ext cx="43026" cy="74721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7" name="Straight Connector 146">
              <a:extLst>
                <a:ext uri="{FF2B5EF4-FFF2-40B4-BE49-F238E27FC236}">
                  <a16:creationId xmlns:a16="http://schemas.microsoft.com/office/drawing/2014/main" id="{00000000-0008-0000-0100-000093000000}"/>
                </a:ext>
              </a:extLst>
            </xdr:cNvPr>
            <xdr:cNvCxnSpPr/>
          </xdr:nvCxnSpPr>
          <xdr:spPr>
            <a:xfrm flipH="1">
              <a:off x="4495345" y="3987672"/>
              <a:ext cx="76608" cy="216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8" name="Straight Connector 147">
              <a:extLst>
                <a:ext uri="{FF2B5EF4-FFF2-40B4-BE49-F238E27FC236}">
                  <a16:creationId xmlns:a16="http://schemas.microsoft.com/office/drawing/2014/main" id="{00000000-0008-0000-0100-000094000000}"/>
                </a:ext>
              </a:extLst>
            </xdr:cNvPr>
            <xdr:cNvCxnSpPr/>
          </xdr:nvCxnSpPr>
          <xdr:spPr>
            <a:xfrm flipH="1">
              <a:off x="4411611" y="3921503"/>
              <a:ext cx="43148" cy="149506"/>
            </a:xfrm>
            <a:prstGeom prst="line">
              <a:avLst/>
            </a:prstGeom>
            <a:ln>
              <a:solidFill>
                <a:schemeClr val="tx1"/>
              </a:solidFill>
              <a:headEnd type="none" w="sm" len="sm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49" name="Group 148">
            <a:extLst>
              <a:ext uri="{FF2B5EF4-FFF2-40B4-BE49-F238E27FC236}">
                <a16:creationId xmlns:a16="http://schemas.microsoft.com/office/drawing/2014/main" id="{00000000-0008-0000-0100-000095000000}"/>
              </a:ext>
            </a:extLst>
          </xdr:cNvPr>
          <xdr:cNvGrpSpPr/>
        </xdr:nvGrpSpPr>
        <xdr:grpSpPr>
          <a:xfrm rot="5400000">
            <a:off x="7503415" y="7622286"/>
            <a:ext cx="405476" cy="381855"/>
            <a:chOff x="4236641" y="3810000"/>
            <a:chExt cx="341638" cy="335549"/>
          </a:xfrm>
        </xdr:grpSpPr>
        <xdr:sp macro="" textlink="">
          <xdr:nvSpPr>
            <xdr:cNvPr id="150" name="Oval 149">
              <a:extLst>
                <a:ext uri="{FF2B5EF4-FFF2-40B4-BE49-F238E27FC236}">
                  <a16:creationId xmlns:a16="http://schemas.microsoft.com/office/drawing/2014/main" id="{00000000-0008-0000-0100-000096000000}"/>
                </a:ext>
              </a:extLst>
            </xdr:cNvPr>
            <xdr:cNvSpPr/>
          </xdr:nvSpPr>
          <xdr:spPr>
            <a:xfrm>
              <a:off x="4236641" y="3810000"/>
              <a:ext cx="341638" cy="335549"/>
            </a:xfrm>
            <a:prstGeom prst="ellipse">
              <a:avLst/>
            </a:prstGeom>
            <a:noFill/>
            <a:ln w="222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C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151" name="Straight Connector 150">
              <a:extLst>
                <a:ext uri="{FF2B5EF4-FFF2-40B4-BE49-F238E27FC236}">
                  <a16:creationId xmlns:a16="http://schemas.microsoft.com/office/drawing/2014/main" id="{00000000-0008-0000-0100-000097000000}"/>
                </a:ext>
              </a:extLst>
            </xdr:cNvPr>
            <xdr:cNvCxnSpPr>
              <a:endCxn id="150" idx="2"/>
            </xdr:cNvCxnSpPr>
          </xdr:nvCxnSpPr>
          <xdr:spPr>
            <a:xfrm flipH="1" flipV="1">
              <a:off x="4236641" y="3977775"/>
              <a:ext cx="112331" cy="21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" name="Straight Connector 151">
              <a:extLst>
                <a:ext uri="{FF2B5EF4-FFF2-40B4-BE49-F238E27FC236}">
                  <a16:creationId xmlns:a16="http://schemas.microsoft.com/office/drawing/2014/main" id="{00000000-0008-0000-0100-000098000000}"/>
                </a:ext>
              </a:extLst>
            </xdr:cNvPr>
            <xdr:cNvCxnSpPr/>
          </xdr:nvCxnSpPr>
          <xdr:spPr>
            <a:xfrm flipH="1" flipV="1">
              <a:off x="4348974" y="3984221"/>
              <a:ext cx="59691" cy="7475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3" name="Straight Connector 152">
              <a:extLst>
                <a:ext uri="{FF2B5EF4-FFF2-40B4-BE49-F238E27FC236}">
                  <a16:creationId xmlns:a16="http://schemas.microsoft.com/office/drawing/2014/main" id="{00000000-0008-0000-0100-000099000000}"/>
                </a:ext>
              </a:extLst>
            </xdr:cNvPr>
            <xdr:cNvCxnSpPr/>
          </xdr:nvCxnSpPr>
          <xdr:spPr>
            <a:xfrm flipH="1" flipV="1">
              <a:off x="4452321" y="3913168"/>
              <a:ext cx="43026" cy="74721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4" name="Straight Connector 153">
              <a:extLst>
                <a:ext uri="{FF2B5EF4-FFF2-40B4-BE49-F238E27FC236}">
                  <a16:creationId xmlns:a16="http://schemas.microsoft.com/office/drawing/2014/main" id="{00000000-0008-0000-0100-00009A000000}"/>
                </a:ext>
              </a:extLst>
            </xdr:cNvPr>
            <xdr:cNvCxnSpPr/>
          </xdr:nvCxnSpPr>
          <xdr:spPr>
            <a:xfrm flipH="1">
              <a:off x="4495345" y="3987672"/>
              <a:ext cx="76608" cy="216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5" name="Straight Connector 154">
              <a:extLst>
                <a:ext uri="{FF2B5EF4-FFF2-40B4-BE49-F238E27FC236}">
                  <a16:creationId xmlns:a16="http://schemas.microsoft.com/office/drawing/2014/main" id="{00000000-0008-0000-0100-00009B000000}"/>
                </a:ext>
              </a:extLst>
            </xdr:cNvPr>
            <xdr:cNvCxnSpPr/>
          </xdr:nvCxnSpPr>
          <xdr:spPr>
            <a:xfrm flipH="1">
              <a:off x="4411611" y="3921503"/>
              <a:ext cx="43148" cy="149506"/>
            </a:xfrm>
            <a:prstGeom prst="line">
              <a:avLst/>
            </a:prstGeom>
            <a:ln>
              <a:solidFill>
                <a:schemeClr val="tx1"/>
              </a:solidFill>
              <a:headEnd type="none" w="sm" len="sm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</xdr:col>
      <xdr:colOff>193213</xdr:colOff>
      <xdr:row>25</xdr:row>
      <xdr:rowOff>58005</xdr:rowOff>
    </xdr:from>
    <xdr:to>
      <xdr:col>9</xdr:col>
      <xdr:colOff>193213</xdr:colOff>
      <xdr:row>33</xdr:row>
      <xdr:rowOff>169166</xdr:rowOff>
    </xdr:to>
    <xdr:cxnSp macro="">
      <xdr:nvCxnSpPr>
        <xdr:cNvPr id="159" name="Straight Arrow Connector 15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CxnSpPr>
          <a:stCxn id="105" idx="4"/>
          <a:endCxn id="129" idx="2"/>
        </xdr:cNvCxnSpPr>
      </xdr:nvCxnSpPr>
      <xdr:spPr>
        <a:xfrm>
          <a:off x="6898813" y="4820505"/>
          <a:ext cx="0" cy="125416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193213</xdr:colOff>
      <xdr:row>36</xdr:row>
      <xdr:rowOff>3141</xdr:rowOff>
    </xdr:from>
    <xdr:to>
      <xdr:col>10</xdr:col>
      <xdr:colOff>285750</xdr:colOff>
      <xdr:row>36</xdr:row>
      <xdr:rowOff>105202</xdr:rowOff>
    </xdr:to>
    <xdr:cxnSp macro="">
      <xdr:nvCxnSpPr>
        <xdr:cNvPr id="161" name="Elbow Connector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CxnSpPr>
          <a:stCxn id="129" idx="6"/>
          <a:endCxn id="136" idx="2"/>
        </xdr:cNvCxnSpPr>
      </xdr:nvCxnSpPr>
      <xdr:spPr>
        <a:xfrm rot="16200000" flipH="1">
          <a:off x="7198851" y="5989603"/>
          <a:ext cx="102061" cy="702137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81626</xdr:colOff>
      <xdr:row>36</xdr:row>
      <xdr:rowOff>105203</xdr:rowOff>
    </xdr:from>
    <xdr:to>
      <xdr:col>11</xdr:col>
      <xdr:colOff>381000</xdr:colOff>
      <xdr:row>36</xdr:row>
      <xdr:rowOff>105203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CxnSpPr>
          <a:stCxn id="136" idx="6"/>
          <a:endCxn id="143" idx="2"/>
        </xdr:cNvCxnSpPr>
      </xdr:nvCxnSpPr>
      <xdr:spPr>
        <a:xfrm>
          <a:off x="8006426" y="6391703"/>
          <a:ext cx="299374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176876</xdr:colOff>
      <xdr:row>36</xdr:row>
      <xdr:rowOff>105203</xdr:rowOff>
    </xdr:from>
    <xdr:to>
      <xdr:col>12</xdr:col>
      <xdr:colOff>485776</xdr:colOff>
      <xdr:row>36</xdr:row>
      <xdr:rowOff>107489</xdr:rowOff>
    </xdr:to>
    <xdr:cxnSp macro="">
      <xdr:nvCxnSpPr>
        <xdr:cNvPr id="164" name="Straight Arrow Connector 16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CxnSpPr>
          <a:stCxn id="143" idx="6"/>
          <a:endCxn id="150" idx="4"/>
        </xdr:cNvCxnSpPr>
      </xdr:nvCxnSpPr>
      <xdr:spPr>
        <a:xfrm>
          <a:off x="8711276" y="6391703"/>
          <a:ext cx="308900" cy="2286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258031</xdr:colOff>
      <xdr:row>36</xdr:row>
      <xdr:rowOff>107489</xdr:rowOff>
    </xdr:from>
    <xdr:to>
      <xdr:col>14</xdr:col>
      <xdr:colOff>9527</xdr:colOff>
      <xdr:row>36</xdr:row>
      <xdr:rowOff>109538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CxnSpPr>
          <a:stCxn id="150" idx="0"/>
          <a:endCxn id="53" idx="0"/>
        </xdr:cNvCxnSpPr>
      </xdr:nvCxnSpPr>
      <xdr:spPr>
        <a:xfrm>
          <a:off x="9402031" y="6393989"/>
          <a:ext cx="361096" cy="2049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319091</xdr:colOff>
      <xdr:row>39</xdr:row>
      <xdr:rowOff>152400</xdr:rowOff>
    </xdr:from>
    <xdr:to>
      <xdr:col>14</xdr:col>
      <xdr:colOff>418693</xdr:colOff>
      <xdr:row>41</xdr:row>
      <xdr:rowOff>30535</xdr:rowOff>
    </xdr:to>
    <xdr:cxnSp macro="">
      <xdr:nvCxnSpPr>
        <xdr:cNvPr id="171" name="Elbow Connector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>
          <a:stCxn id="53" idx="1"/>
          <a:endCxn id="95" idx="2"/>
        </xdr:cNvCxnSpPr>
      </xdr:nvCxnSpPr>
      <xdr:spPr>
        <a:xfrm rot="16200000" flipH="1">
          <a:off x="9992924" y="7090167"/>
          <a:ext cx="259135" cy="99602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123322</xdr:colOff>
      <xdr:row>39</xdr:row>
      <xdr:rowOff>57359</xdr:rowOff>
    </xdr:from>
    <xdr:to>
      <xdr:col>15</xdr:col>
      <xdr:colOff>322734</xdr:colOff>
      <xdr:row>41</xdr:row>
      <xdr:rowOff>22032</xdr:rowOff>
    </xdr:to>
    <xdr:cxnSp macro="">
      <xdr:nvCxnSpPr>
        <xdr:cNvPr id="173" name="Elbow Connector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>
          <a:stCxn id="95" idx="6"/>
          <a:endCxn id="81" idx="4"/>
        </xdr:cNvCxnSpPr>
      </xdr:nvCxnSpPr>
      <xdr:spPr>
        <a:xfrm flipV="1">
          <a:off x="9435410" y="7486859"/>
          <a:ext cx="199412" cy="356879"/>
        </a:xfrm>
        <a:prstGeom prst="bentConnector2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19054</xdr:colOff>
      <xdr:row>32</xdr:row>
      <xdr:rowOff>38099</xdr:rowOff>
    </xdr:from>
    <xdr:to>
      <xdr:col>15</xdr:col>
      <xdr:colOff>322735</xdr:colOff>
      <xdr:row>36</xdr:row>
      <xdr:rowOff>189242</xdr:rowOff>
    </xdr:to>
    <xdr:cxnSp macro="">
      <xdr:nvCxnSpPr>
        <xdr:cNvPr id="175" name="Elbow Connector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>
          <a:stCxn id="81" idx="0"/>
          <a:endCxn id="52" idx="2"/>
        </xdr:cNvCxnSpPr>
      </xdr:nvCxnSpPr>
      <xdr:spPr>
        <a:xfrm rot="16200000" flipV="1">
          <a:off x="9026411" y="6438830"/>
          <a:ext cx="913143" cy="303681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316851</xdr:colOff>
      <xdr:row>34</xdr:row>
      <xdr:rowOff>152399</xdr:rowOff>
    </xdr:from>
    <xdr:to>
      <xdr:col>15</xdr:col>
      <xdr:colOff>561975</xdr:colOff>
      <xdr:row>34</xdr:row>
      <xdr:rowOff>161231</xdr:rowOff>
    </xdr:to>
    <xdr:cxnSp macro="">
      <xdr:nvCxnSpPr>
        <xdr:cNvPr id="179" name="Elbow Connector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>
          <a:stCxn id="52" idx="1"/>
          <a:endCxn id="83" idx="2"/>
        </xdr:cNvCxnSpPr>
      </xdr:nvCxnSpPr>
      <xdr:spPr>
        <a:xfrm rot="16200000" flipH="1">
          <a:off x="10654762" y="6208694"/>
          <a:ext cx="8832" cy="850242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357851</xdr:colOff>
      <xdr:row>32</xdr:row>
      <xdr:rowOff>185738</xdr:rowOff>
    </xdr:from>
    <xdr:to>
      <xdr:col>17</xdr:col>
      <xdr:colOff>9529</xdr:colOff>
      <xdr:row>34</xdr:row>
      <xdr:rowOff>161231</xdr:rowOff>
    </xdr:to>
    <xdr:cxnSp macro="">
      <xdr:nvCxnSpPr>
        <xdr:cNvPr id="181" name="Elbow Connector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>
          <a:stCxn id="83" idx="6"/>
          <a:endCxn id="56" idx="0"/>
        </xdr:cNvCxnSpPr>
      </xdr:nvCxnSpPr>
      <xdr:spPr>
        <a:xfrm flipV="1">
          <a:off x="11485292" y="6281738"/>
          <a:ext cx="256796" cy="356493"/>
        </a:xfrm>
        <a:prstGeom prst="bentConnector3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319094</xdr:colOff>
      <xdr:row>35</xdr:row>
      <xdr:rowOff>47625</xdr:rowOff>
    </xdr:from>
    <xdr:to>
      <xdr:col>18</xdr:col>
      <xdr:colOff>19054</xdr:colOff>
      <xdr:row>36</xdr:row>
      <xdr:rowOff>138112</xdr:rowOff>
    </xdr:to>
    <xdr:cxnSp macro="">
      <xdr:nvCxnSpPr>
        <xdr:cNvPr id="185" name="Elbow Connector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CxnSpPr>
          <a:stCxn id="56" idx="1"/>
          <a:endCxn id="55" idx="2"/>
        </xdr:cNvCxnSpPr>
      </xdr:nvCxnSpPr>
      <xdr:spPr>
        <a:xfrm rot="16200000" flipH="1">
          <a:off x="11915780" y="6129339"/>
          <a:ext cx="280987" cy="309560"/>
        </a:xfrm>
        <a:prstGeom prst="bentConnector4">
          <a:avLst>
            <a:gd name="adj1" fmla="val 16949"/>
            <a:gd name="adj2" fmla="val 272309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276225</xdr:colOff>
      <xdr:row>43</xdr:row>
      <xdr:rowOff>169216</xdr:rowOff>
    </xdr:from>
    <xdr:to>
      <xdr:col>17</xdr:col>
      <xdr:colOff>495317</xdr:colOff>
      <xdr:row>47</xdr:row>
      <xdr:rowOff>58644</xdr:rowOff>
    </xdr:to>
    <xdr:grpSp>
      <xdr:nvGrpSpPr>
        <xdr:cNvPr id="189" name="Group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GrpSpPr/>
      </xdr:nvGrpSpPr>
      <xdr:grpSpPr>
        <a:xfrm>
          <a:off x="11146388" y="8232420"/>
          <a:ext cx="926663" cy="635877"/>
          <a:chOff x="10304318" y="4191000"/>
          <a:chExt cx="825229" cy="640222"/>
        </a:xfrm>
      </xdr:grpSpPr>
      <xdr:sp macro="" textlink="">
        <xdr:nvSpPr>
          <xdr:cNvPr id="190" name="Trapezoid 189">
            <a:extLst>
              <a:ext uri="{FF2B5EF4-FFF2-40B4-BE49-F238E27FC236}">
                <a16:creationId xmlns:a16="http://schemas.microsoft.com/office/drawing/2014/main" id="{00000000-0008-0000-0100-0000BE000000}"/>
              </a:ext>
            </a:extLst>
          </xdr:cNvPr>
          <xdr:cNvSpPr/>
        </xdr:nvSpPr>
        <xdr:spPr>
          <a:xfrm>
            <a:off x="10573632" y="4508389"/>
            <a:ext cx="252460" cy="102907"/>
          </a:xfrm>
          <a:prstGeom prst="trapezoid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91" name="Oval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SpPr/>
        </xdr:nvSpPr>
        <xdr:spPr>
          <a:xfrm>
            <a:off x="10531556" y="4191000"/>
            <a:ext cx="311367" cy="30872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92" name="TextBox 191">
            <a:extLst>
              <a:ext uri="{FF2B5EF4-FFF2-40B4-BE49-F238E27FC236}">
                <a16:creationId xmlns:a16="http://schemas.microsoft.com/office/drawing/2014/main" id="{00000000-0008-0000-0100-0000C0000000}"/>
              </a:ext>
            </a:extLst>
          </xdr:cNvPr>
          <xdr:cNvSpPr txBox="1"/>
        </xdr:nvSpPr>
        <xdr:spPr>
          <a:xfrm>
            <a:off x="10304318" y="4589646"/>
            <a:ext cx="825229" cy="241576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P310/A</a:t>
            </a:r>
            <a:r>
              <a:rPr lang="en-CA" sz="1000" baseline="0"/>
              <a:t> </a:t>
            </a:r>
            <a:r>
              <a:rPr lang="en-CA" sz="1100" baseline="0"/>
              <a:t>  </a:t>
            </a:r>
            <a:endParaRPr lang="en-CA" sz="1100"/>
          </a:p>
        </xdr:txBody>
      </xdr:sp>
    </xdr:grpSp>
    <xdr:clientData/>
  </xdr:twoCellAnchor>
  <xdr:twoCellAnchor>
    <xdr:from>
      <xdr:col>17</xdr:col>
      <xdr:colOff>185695</xdr:colOff>
      <xdr:row>39</xdr:row>
      <xdr:rowOff>180975</xdr:rowOff>
    </xdr:from>
    <xdr:to>
      <xdr:col>17</xdr:col>
      <xdr:colOff>316849</xdr:colOff>
      <xdr:row>44</xdr:row>
      <xdr:rowOff>135778</xdr:rowOff>
    </xdr:to>
    <xdr:cxnSp macro="">
      <xdr:nvCxnSpPr>
        <xdr:cNvPr id="194" name="Elbow Connector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CxnSpPr>
          <a:stCxn id="55" idx="1"/>
          <a:endCxn id="191" idx="6"/>
        </xdr:cNvCxnSpPr>
      </xdr:nvCxnSpPr>
      <xdr:spPr>
        <a:xfrm rot="5400000">
          <a:off x="10381576" y="8004153"/>
          <a:ext cx="918509" cy="131154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581446</xdr:colOff>
      <xdr:row>37</xdr:row>
      <xdr:rowOff>105631</xdr:rowOff>
    </xdr:from>
    <xdr:to>
      <xdr:col>16</xdr:col>
      <xdr:colOff>521697</xdr:colOff>
      <xdr:row>44</xdr:row>
      <xdr:rowOff>135780</xdr:rowOff>
    </xdr:to>
    <xdr:cxnSp macro="">
      <xdr:nvCxnSpPr>
        <xdr:cNvPr id="199" name="Elbow Connector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CxnSpPr>
          <a:stCxn id="191" idx="2"/>
          <a:endCxn id="143" idx="4"/>
        </xdr:cNvCxnSpPr>
      </xdr:nvCxnSpPr>
      <xdr:spPr>
        <a:xfrm rot="10800000">
          <a:off x="7473064" y="7154131"/>
          <a:ext cx="2965839" cy="1374855"/>
        </a:xfrm>
        <a:prstGeom prst="bentConnector2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400050</xdr:colOff>
      <xdr:row>35</xdr:row>
      <xdr:rowOff>104775</xdr:rowOff>
    </xdr:from>
    <xdr:to>
      <xdr:col>11</xdr:col>
      <xdr:colOff>581445</xdr:colOff>
      <xdr:row>47</xdr:row>
      <xdr:rowOff>179853</xdr:rowOff>
    </xdr:to>
    <xdr:cxnSp macro="">
      <xdr:nvCxnSpPr>
        <xdr:cNvPr id="202" name="Elbow Connector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>
          <a:stCxn id="143" idx="0"/>
          <a:endCxn id="203" idx="1"/>
        </xdr:cNvCxnSpPr>
      </xdr:nvCxnSpPr>
      <xdr:spPr>
        <a:xfrm rot="16200000" flipH="1" flipV="1">
          <a:off x="7412062" y="7862116"/>
          <a:ext cx="2361078" cy="181395"/>
        </a:xfrm>
        <a:prstGeom prst="bentConnector4">
          <a:avLst>
            <a:gd name="adj1" fmla="val -16801"/>
            <a:gd name="adj2" fmla="val 175176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400050</xdr:colOff>
      <xdr:row>47</xdr:row>
      <xdr:rowOff>36978</xdr:rowOff>
    </xdr:from>
    <xdr:to>
      <xdr:col>13</xdr:col>
      <xdr:colOff>352425</xdr:colOff>
      <xdr:row>48</xdr:row>
      <xdr:rowOff>132228</xdr:rowOff>
    </xdr:to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/>
      </xdr:nvSpPr>
      <xdr:spPr>
        <a:xfrm>
          <a:off x="8501903" y="8990478"/>
          <a:ext cx="116261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DWO to #2 HTU</a:t>
          </a:r>
        </a:p>
      </xdr:txBody>
    </xdr:sp>
    <xdr:clientData/>
  </xdr:twoCellAnchor>
  <xdr:twoCellAnchor>
    <xdr:from>
      <xdr:col>11</xdr:col>
      <xdr:colOff>523876</xdr:colOff>
      <xdr:row>20</xdr:row>
      <xdr:rowOff>95251</xdr:rowOff>
    </xdr:from>
    <xdr:to>
      <xdr:col>14</xdr:col>
      <xdr:colOff>47626</xdr:colOff>
      <xdr:row>23</xdr:row>
      <xdr:rowOff>95251</xdr:rowOff>
    </xdr:to>
    <xdr:sp macro="" textlink="">
      <xdr:nvSpPr>
        <xdr:cNvPr id="206" name="Flowchart: Terminator 205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/>
      </xdr:nvSpPr>
      <xdr:spPr>
        <a:xfrm>
          <a:off x="8448676" y="3905251"/>
          <a:ext cx="1352550" cy="571500"/>
        </a:xfrm>
        <a:prstGeom prst="flowChartTerminator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67103</xdr:colOff>
      <xdr:row>29</xdr:row>
      <xdr:rowOff>114299</xdr:rowOff>
    </xdr:from>
    <xdr:to>
      <xdr:col>14</xdr:col>
      <xdr:colOff>319092</xdr:colOff>
      <xdr:row>35</xdr:row>
      <xdr:rowOff>95251</xdr:rowOff>
    </xdr:to>
    <xdr:cxnSp macro="">
      <xdr:nvCxnSpPr>
        <xdr:cNvPr id="208" name="Elbow Connector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CxnSpPr>
          <a:stCxn id="52" idx="3"/>
          <a:endCxn id="150" idx="2"/>
        </xdr:cNvCxnSpPr>
      </xdr:nvCxnSpPr>
      <xdr:spPr>
        <a:xfrm rot="16200000" flipH="1" flipV="1">
          <a:off x="9079922" y="5198480"/>
          <a:ext cx="1123952" cy="861589"/>
        </a:xfrm>
        <a:prstGeom prst="bentConnector3">
          <a:avLst>
            <a:gd name="adj1" fmla="val -9746"/>
          </a:avLst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438150</xdr:colOff>
      <xdr:row>38</xdr:row>
      <xdr:rowOff>180975</xdr:rowOff>
    </xdr:from>
    <xdr:to>
      <xdr:col>13</xdr:col>
      <xdr:colOff>352425</xdr:colOff>
      <xdr:row>41</xdr:row>
      <xdr:rowOff>162612</xdr:rowOff>
    </xdr:to>
    <xdr:grpSp>
      <xdr:nvGrpSpPr>
        <xdr:cNvPr id="209" name="Group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GrpSpPr/>
      </xdr:nvGrpSpPr>
      <xdr:grpSpPr>
        <a:xfrm>
          <a:off x="8726844" y="7287791"/>
          <a:ext cx="559642" cy="557025"/>
          <a:chOff x="3048000" y="7239000"/>
          <a:chExt cx="440065" cy="448362"/>
        </a:xfrm>
      </xdr:grpSpPr>
      <xdr:cxnSp macro="">
        <xdr:nvCxnSpPr>
          <xdr:cNvPr id="210" name="Straight Connector 209">
            <a:extLst>
              <a:ext uri="{FF2B5EF4-FFF2-40B4-BE49-F238E27FC236}">
                <a16:creationId xmlns:a16="http://schemas.microsoft.com/office/drawing/2014/main" id="{00000000-0008-0000-0100-0000D2000000}"/>
              </a:ext>
            </a:extLst>
          </xdr:cNvPr>
          <xdr:cNvCxnSpPr/>
        </xdr:nvCxnSpPr>
        <xdr:spPr>
          <a:xfrm flipH="1">
            <a:off x="3270388" y="7239000"/>
            <a:ext cx="217677" cy="285903"/>
          </a:xfrm>
          <a:prstGeom prst="line">
            <a:avLst/>
          </a:prstGeom>
          <a:ln>
            <a:solidFill>
              <a:schemeClr val="tx1"/>
            </a:solidFill>
            <a:headEnd type="stealth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1" name="Straight Connector 210">
            <a:extLst>
              <a:ext uri="{FF2B5EF4-FFF2-40B4-BE49-F238E27FC236}">
                <a16:creationId xmlns:a16="http://schemas.microsoft.com/office/drawing/2014/main" id="{00000000-0008-0000-0100-0000D3000000}"/>
              </a:ext>
            </a:extLst>
          </xdr:cNvPr>
          <xdr:cNvCxnSpPr/>
        </xdr:nvCxnSpPr>
        <xdr:spPr>
          <a:xfrm flipH="1">
            <a:off x="3048000" y="7524903"/>
            <a:ext cx="122344" cy="162459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2" name="Straight Connector 211">
            <a:extLst>
              <a:ext uri="{FF2B5EF4-FFF2-40B4-BE49-F238E27FC236}">
                <a16:creationId xmlns:a16="http://schemas.microsoft.com/office/drawing/2014/main" id="{00000000-0008-0000-0100-0000D4000000}"/>
              </a:ext>
            </a:extLst>
          </xdr:cNvPr>
          <xdr:cNvCxnSpPr/>
        </xdr:nvCxnSpPr>
        <xdr:spPr>
          <a:xfrm flipH="1" flipV="1">
            <a:off x="3169524" y="7524903"/>
            <a:ext cx="11293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3" name="Oval 212">
            <a:extLst>
              <a:ext uri="{FF2B5EF4-FFF2-40B4-BE49-F238E27FC236}">
                <a16:creationId xmlns:a16="http://schemas.microsoft.com/office/drawing/2014/main" id="{00000000-0008-0000-0100-0000D5000000}"/>
              </a:ext>
            </a:extLst>
          </xdr:cNvPr>
          <xdr:cNvSpPr/>
        </xdr:nvSpPr>
        <xdr:spPr>
          <a:xfrm>
            <a:off x="3076575" y="7324725"/>
            <a:ext cx="340021" cy="333382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13</xdr:col>
      <xdr:colOff>64956</xdr:colOff>
      <xdr:row>37</xdr:row>
      <xdr:rowOff>119727</xdr:rowOff>
    </xdr:from>
    <xdr:to>
      <xdr:col>13</xdr:col>
      <xdr:colOff>67103</xdr:colOff>
      <xdr:row>39</xdr:row>
      <xdr:rowOff>96233</xdr:rowOff>
    </xdr:to>
    <xdr:cxnSp macro="">
      <xdr:nvCxnSpPr>
        <xdr:cNvPr id="215" name="Straight Arrow Connector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CxnSpPr>
          <a:stCxn id="150" idx="6"/>
          <a:endCxn id="213" idx="0"/>
        </xdr:cNvCxnSpPr>
      </xdr:nvCxnSpPr>
      <xdr:spPr>
        <a:xfrm flipH="1">
          <a:off x="9208956" y="6596727"/>
          <a:ext cx="2147" cy="357506"/>
        </a:xfrm>
        <a:prstGeom prst="straightConnector1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486975</xdr:colOff>
      <xdr:row>30</xdr:row>
      <xdr:rowOff>161923</xdr:rowOff>
    </xdr:from>
    <xdr:to>
      <xdr:col>17</xdr:col>
      <xdr:colOff>319088</xdr:colOff>
      <xdr:row>35</xdr:row>
      <xdr:rowOff>104774</xdr:rowOff>
    </xdr:to>
    <xdr:cxnSp macro="">
      <xdr:nvCxnSpPr>
        <xdr:cNvPr id="217" name="Elbow Connector 216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CxnSpPr>
          <a:stCxn id="57" idx="0"/>
          <a:endCxn id="136" idx="0"/>
        </xdr:cNvCxnSpPr>
      </xdr:nvCxnSpPr>
      <xdr:spPr>
        <a:xfrm rot="16200000" flipH="1" flipV="1">
          <a:off x="9603620" y="4257013"/>
          <a:ext cx="895351" cy="4135172"/>
        </a:xfrm>
        <a:prstGeom prst="bentConnector3">
          <a:avLst>
            <a:gd name="adj1" fmla="val -55570"/>
          </a:avLst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489722</xdr:colOff>
      <xdr:row>34</xdr:row>
      <xdr:rowOff>105707</xdr:rowOff>
    </xdr:from>
    <xdr:to>
      <xdr:col>14</xdr:col>
      <xdr:colOff>32523</xdr:colOff>
      <xdr:row>34</xdr:row>
      <xdr:rowOff>105707</xdr:rowOff>
    </xdr:to>
    <xdr:cxnSp macro="">
      <xdr:nvCxnSpPr>
        <xdr:cNvPr id="220" name="Straight Arrow Connector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CxnSpPr/>
      </xdr:nvCxnSpPr>
      <xdr:spPr>
        <a:xfrm flipH="1">
          <a:off x="7804922" y="6011207"/>
          <a:ext cx="1981201" cy="0"/>
        </a:xfrm>
        <a:prstGeom prst="straightConnector1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257175</xdr:colOff>
      <xdr:row>38</xdr:row>
      <xdr:rowOff>161925</xdr:rowOff>
    </xdr:from>
    <xdr:to>
      <xdr:col>11</xdr:col>
      <xdr:colOff>171450</xdr:colOff>
      <xdr:row>41</xdr:row>
      <xdr:rowOff>143562</xdr:rowOff>
    </xdr:to>
    <xdr:grpSp>
      <xdr:nvGrpSpPr>
        <xdr:cNvPr id="224" name="Group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GrpSpPr/>
      </xdr:nvGrpSpPr>
      <xdr:grpSpPr>
        <a:xfrm>
          <a:off x="7076298" y="7268741"/>
          <a:ext cx="559642" cy="557025"/>
          <a:chOff x="3048000" y="7239000"/>
          <a:chExt cx="440065" cy="448362"/>
        </a:xfrm>
      </xdr:grpSpPr>
      <xdr:cxnSp macro="">
        <xdr:nvCxnSpPr>
          <xdr:cNvPr id="225" name="Straight Connector 224">
            <a:extLst>
              <a:ext uri="{FF2B5EF4-FFF2-40B4-BE49-F238E27FC236}">
                <a16:creationId xmlns:a16="http://schemas.microsoft.com/office/drawing/2014/main" id="{00000000-0008-0000-0100-0000E1000000}"/>
              </a:ext>
            </a:extLst>
          </xdr:cNvPr>
          <xdr:cNvCxnSpPr/>
        </xdr:nvCxnSpPr>
        <xdr:spPr>
          <a:xfrm flipH="1">
            <a:off x="3270388" y="7239000"/>
            <a:ext cx="217677" cy="285903"/>
          </a:xfrm>
          <a:prstGeom prst="line">
            <a:avLst/>
          </a:prstGeom>
          <a:ln>
            <a:solidFill>
              <a:schemeClr val="tx1"/>
            </a:solidFill>
            <a:headEnd type="stealth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6" name="Straight Connector 225">
            <a:extLst>
              <a:ext uri="{FF2B5EF4-FFF2-40B4-BE49-F238E27FC236}">
                <a16:creationId xmlns:a16="http://schemas.microsoft.com/office/drawing/2014/main" id="{00000000-0008-0000-0100-0000E2000000}"/>
              </a:ext>
            </a:extLst>
          </xdr:cNvPr>
          <xdr:cNvCxnSpPr/>
        </xdr:nvCxnSpPr>
        <xdr:spPr>
          <a:xfrm flipH="1">
            <a:off x="3048000" y="7524903"/>
            <a:ext cx="122344" cy="162459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7" name="Straight Connector 226">
            <a:extLst>
              <a:ext uri="{FF2B5EF4-FFF2-40B4-BE49-F238E27FC236}">
                <a16:creationId xmlns:a16="http://schemas.microsoft.com/office/drawing/2014/main" id="{00000000-0008-0000-0100-0000E3000000}"/>
              </a:ext>
            </a:extLst>
          </xdr:cNvPr>
          <xdr:cNvCxnSpPr/>
        </xdr:nvCxnSpPr>
        <xdr:spPr>
          <a:xfrm flipH="1" flipV="1">
            <a:off x="3169524" y="7524903"/>
            <a:ext cx="11293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8" name="Oval 227">
            <a:extLst>
              <a:ext uri="{FF2B5EF4-FFF2-40B4-BE49-F238E27FC236}">
                <a16:creationId xmlns:a16="http://schemas.microsoft.com/office/drawing/2014/main" id="{00000000-0008-0000-0100-0000E4000000}"/>
              </a:ext>
            </a:extLst>
          </xdr:cNvPr>
          <xdr:cNvSpPr/>
        </xdr:nvSpPr>
        <xdr:spPr>
          <a:xfrm>
            <a:off x="3076575" y="7324725"/>
            <a:ext cx="340021" cy="333382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10</xdr:col>
      <xdr:colOff>488488</xdr:colOff>
      <xdr:row>37</xdr:row>
      <xdr:rowOff>105630</xdr:rowOff>
    </xdr:from>
    <xdr:to>
      <xdr:col>10</xdr:col>
      <xdr:colOff>493581</xdr:colOff>
      <xdr:row>39</xdr:row>
      <xdr:rowOff>77183</xdr:rowOff>
    </xdr:to>
    <xdr:cxnSp macro="">
      <xdr:nvCxnSpPr>
        <xdr:cNvPr id="229" name="Straight Arrow Connector 228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CxnSpPr>
          <a:stCxn id="136" idx="4"/>
          <a:endCxn id="228" idx="0"/>
        </xdr:cNvCxnSpPr>
      </xdr:nvCxnSpPr>
      <xdr:spPr>
        <a:xfrm>
          <a:off x="7803688" y="6582630"/>
          <a:ext cx="5093" cy="352553"/>
        </a:xfrm>
        <a:prstGeom prst="straightConnector1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493581</xdr:colOff>
      <xdr:row>20</xdr:row>
      <xdr:rowOff>95251</xdr:rowOff>
    </xdr:from>
    <xdr:to>
      <xdr:col>12</xdr:col>
      <xdr:colOff>590551</xdr:colOff>
      <xdr:row>41</xdr:row>
      <xdr:rowOff>107471</xdr:rowOff>
    </xdr:to>
    <xdr:cxnSp macro="">
      <xdr:nvCxnSpPr>
        <xdr:cNvPr id="234" name="Elbow Connector 233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CxnSpPr>
          <a:stCxn id="228" idx="4"/>
          <a:endCxn id="206" idx="0"/>
        </xdr:cNvCxnSpPr>
      </xdr:nvCxnSpPr>
      <xdr:spPr>
        <a:xfrm rot="5400000" flipH="1" flipV="1">
          <a:off x="6746256" y="4967776"/>
          <a:ext cx="3441220" cy="1316170"/>
        </a:xfrm>
        <a:prstGeom prst="bentConnector5">
          <a:avLst>
            <a:gd name="adj1" fmla="val -5247"/>
            <a:gd name="adj2" fmla="val -37438"/>
            <a:gd name="adj3" fmla="val 105805"/>
          </a:avLst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495300</xdr:colOff>
      <xdr:row>41</xdr:row>
      <xdr:rowOff>126521</xdr:rowOff>
    </xdr:from>
    <xdr:to>
      <xdr:col>13</xdr:col>
      <xdr:colOff>64956</xdr:colOff>
      <xdr:row>42</xdr:row>
      <xdr:rowOff>142875</xdr:rowOff>
    </xdr:to>
    <xdr:cxnSp macro="">
      <xdr:nvCxnSpPr>
        <xdr:cNvPr id="237" name="Elbow Connector 236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CxnSpPr>
          <a:stCxn id="213" idx="4"/>
        </xdr:cNvCxnSpPr>
      </xdr:nvCxnSpPr>
      <xdr:spPr>
        <a:xfrm rot="5400000">
          <a:off x="8406301" y="6769720"/>
          <a:ext cx="206854" cy="1398456"/>
        </a:xfrm>
        <a:prstGeom prst="bentConnector2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9527</xdr:colOff>
      <xdr:row>6</xdr:row>
      <xdr:rowOff>28575</xdr:rowOff>
    </xdr:from>
    <xdr:to>
      <xdr:col>23</xdr:col>
      <xdr:colOff>19052</xdr:colOff>
      <xdr:row>12</xdr:row>
      <xdr:rowOff>114301</xdr:rowOff>
    </xdr:to>
    <xdr:sp macro="" textlink="">
      <xdr:nvSpPr>
        <xdr:cNvPr id="239" name="Flowchart: Terminator 238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/>
      </xdr:nvSpPr>
      <xdr:spPr>
        <a:xfrm rot="16200000">
          <a:off x="14335127" y="1476375"/>
          <a:ext cx="1228726" cy="619125"/>
        </a:xfrm>
        <a:prstGeom prst="flowChartTerminator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9529</xdr:colOff>
      <xdr:row>2</xdr:row>
      <xdr:rowOff>76199</xdr:rowOff>
    </xdr:from>
    <xdr:to>
      <xdr:col>23</xdr:col>
      <xdr:colOff>19054</xdr:colOff>
      <xdr:row>7</xdr:row>
      <xdr:rowOff>114299</xdr:rowOff>
    </xdr:to>
    <xdr:sp macro="" textlink="">
      <xdr:nvSpPr>
        <xdr:cNvPr id="240" name="Flowchart: Terminator 239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/>
      </xdr:nvSpPr>
      <xdr:spPr>
        <a:xfrm rot="16200000">
          <a:off x="14454192" y="642936"/>
          <a:ext cx="990600" cy="619125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561976</xdr:colOff>
      <xdr:row>3</xdr:row>
      <xdr:rowOff>114299</xdr:rowOff>
    </xdr:from>
    <xdr:to>
      <xdr:col>23</xdr:col>
      <xdr:colOff>95251</xdr:colOff>
      <xdr:row>7</xdr:row>
      <xdr:rowOff>9524</xdr:rowOff>
    </xdr:to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 txBox="1"/>
      </xdr:nvSpPr>
      <xdr:spPr>
        <a:xfrm>
          <a:off x="14582776" y="685799"/>
          <a:ext cx="752475" cy="657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D311</a:t>
          </a:r>
          <a:r>
            <a:rPr lang="en-US"/>
            <a:t>    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HP Flash</a:t>
          </a:r>
          <a:r>
            <a:rPr lang="en-US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Drum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25</xdr:col>
      <xdr:colOff>9528</xdr:colOff>
      <xdr:row>6</xdr:row>
      <xdr:rowOff>57150</xdr:rowOff>
    </xdr:from>
    <xdr:to>
      <xdr:col>26</xdr:col>
      <xdr:colOff>19053</xdr:colOff>
      <xdr:row>12</xdr:row>
      <xdr:rowOff>142876</xdr:rowOff>
    </xdr:to>
    <xdr:sp macro="" textlink="">
      <xdr:nvSpPr>
        <xdr:cNvPr id="242" name="Flowchart: Terminator 241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/>
      </xdr:nvSpPr>
      <xdr:spPr>
        <a:xfrm rot="16200000">
          <a:off x="16163928" y="1504950"/>
          <a:ext cx="1228726" cy="619125"/>
        </a:xfrm>
        <a:prstGeom prst="flowChartTerminator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9530</xdr:colOff>
      <xdr:row>3</xdr:row>
      <xdr:rowOff>95250</xdr:rowOff>
    </xdr:from>
    <xdr:to>
      <xdr:col>26</xdr:col>
      <xdr:colOff>19055</xdr:colOff>
      <xdr:row>8</xdr:row>
      <xdr:rowOff>9526</xdr:rowOff>
    </xdr:to>
    <xdr:sp macro="" textlink="">
      <xdr:nvSpPr>
        <xdr:cNvPr id="243" name="Flowchart: Terminator 242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/>
      </xdr:nvSpPr>
      <xdr:spPr>
        <a:xfrm rot="16200000">
          <a:off x="16344905" y="790575"/>
          <a:ext cx="866776" cy="619125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552452</xdr:colOff>
      <xdr:row>3</xdr:row>
      <xdr:rowOff>123824</xdr:rowOff>
    </xdr:from>
    <xdr:to>
      <xdr:col>26</xdr:col>
      <xdr:colOff>85727</xdr:colOff>
      <xdr:row>8</xdr:row>
      <xdr:rowOff>28575</xdr:rowOff>
    </xdr:to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 txBox="1"/>
      </xdr:nvSpPr>
      <xdr:spPr>
        <a:xfrm>
          <a:off x="16402052" y="695324"/>
          <a:ext cx="752475" cy="857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D312</a:t>
          </a:r>
          <a:r>
            <a:rPr lang="en-US"/>
            <a:t>    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Stripper Preflash Drum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104776</xdr:colOff>
      <xdr:row>9</xdr:row>
      <xdr:rowOff>38100</xdr:rowOff>
    </xdr:from>
    <xdr:to>
      <xdr:col>24</xdr:col>
      <xdr:colOff>57151</xdr:colOff>
      <xdr:row>12</xdr:row>
      <xdr:rowOff>57837</xdr:rowOff>
    </xdr:to>
    <xdr:grpSp>
      <xdr:nvGrpSpPr>
        <xdr:cNvPr id="245" name="Group 244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GrpSpPr/>
      </xdr:nvGrpSpPr>
      <xdr:grpSpPr>
        <a:xfrm>
          <a:off x="15554715" y="1733161"/>
          <a:ext cx="636620" cy="579575"/>
          <a:chOff x="3048000" y="7239000"/>
          <a:chExt cx="440065" cy="448362"/>
        </a:xfrm>
      </xdr:grpSpPr>
      <xdr:cxnSp macro="">
        <xdr:nvCxnSpPr>
          <xdr:cNvPr id="246" name="Straight Connector 245">
            <a:extLst>
              <a:ext uri="{FF2B5EF4-FFF2-40B4-BE49-F238E27FC236}">
                <a16:creationId xmlns:a16="http://schemas.microsoft.com/office/drawing/2014/main" id="{00000000-0008-0000-0100-0000F6000000}"/>
              </a:ext>
            </a:extLst>
          </xdr:cNvPr>
          <xdr:cNvCxnSpPr/>
        </xdr:nvCxnSpPr>
        <xdr:spPr>
          <a:xfrm flipH="1">
            <a:off x="3270388" y="7239000"/>
            <a:ext cx="217677" cy="285903"/>
          </a:xfrm>
          <a:prstGeom prst="line">
            <a:avLst/>
          </a:prstGeom>
          <a:ln>
            <a:solidFill>
              <a:schemeClr val="tx1"/>
            </a:solidFill>
            <a:headEnd type="stealth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" name="Straight Connector 246">
            <a:extLst>
              <a:ext uri="{FF2B5EF4-FFF2-40B4-BE49-F238E27FC236}">
                <a16:creationId xmlns:a16="http://schemas.microsoft.com/office/drawing/2014/main" id="{00000000-0008-0000-0100-0000F7000000}"/>
              </a:ext>
            </a:extLst>
          </xdr:cNvPr>
          <xdr:cNvCxnSpPr/>
        </xdr:nvCxnSpPr>
        <xdr:spPr>
          <a:xfrm flipH="1">
            <a:off x="3048000" y="7524903"/>
            <a:ext cx="122344" cy="162459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" name="Straight Connector 247">
            <a:extLst>
              <a:ext uri="{FF2B5EF4-FFF2-40B4-BE49-F238E27FC236}">
                <a16:creationId xmlns:a16="http://schemas.microsoft.com/office/drawing/2014/main" id="{00000000-0008-0000-0100-0000F8000000}"/>
              </a:ext>
            </a:extLst>
          </xdr:cNvPr>
          <xdr:cNvCxnSpPr/>
        </xdr:nvCxnSpPr>
        <xdr:spPr>
          <a:xfrm flipH="1" flipV="1">
            <a:off x="3169524" y="7524903"/>
            <a:ext cx="11293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9" name="Oval 248">
            <a:extLst>
              <a:ext uri="{FF2B5EF4-FFF2-40B4-BE49-F238E27FC236}">
                <a16:creationId xmlns:a16="http://schemas.microsoft.com/office/drawing/2014/main" id="{00000000-0008-0000-0100-0000F9000000}"/>
              </a:ext>
            </a:extLst>
          </xdr:cNvPr>
          <xdr:cNvSpPr/>
        </xdr:nvSpPr>
        <xdr:spPr>
          <a:xfrm>
            <a:off x="3076575" y="7324725"/>
            <a:ext cx="340021" cy="333382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23</xdr:col>
      <xdr:colOff>561976</xdr:colOff>
      <xdr:row>6</xdr:row>
      <xdr:rowOff>178733</xdr:rowOff>
    </xdr:from>
    <xdr:to>
      <xdr:col>24</xdr:col>
      <xdr:colOff>357852</xdr:colOff>
      <xdr:row>8</xdr:row>
      <xdr:rowOff>179588</xdr:rowOff>
    </xdr:to>
    <xdr:grpSp>
      <xdr:nvGrpSpPr>
        <xdr:cNvPr id="250" name="Group 249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GrpSpPr/>
      </xdr:nvGrpSpPr>
      <xdr:grpSpPr>
        <a:xfrm>
          <a:off x="16011915" y="1306182"/>
          <a:ext cx="480121" cy="381855"/>
          <a:chOff x="4236641" y="3810000"/>
          <a:chExt cx="341638" cy="335549"/>
        </a:xfrm>
      </xdr:grpSpPr>
      <xdr:sp macro="" textlink="">
        <xdr:nvSpPr>
          <xdr:cNvPr id="251" name="Oval 250">
            <a:extLst>
              <a:ext uri="{FF2B5EF4-FFF2-40B4-BE49-F238E27FC236}">
                <a16:creationId xmlns:a16="http://schemas.microsoft.com/office/drawing/2014/main" id="{00000000-0008-0000-0100-0000FB000000}"/>
              </a:ext>
            </a:extLst>
          </xdr:cNvPr>
          <xdr:cNvSpPr/>
        </xdr:nvSpPr>
        <xdr:spPr>
          <a:xfrm>
            <a:off x="4236641" y="3810000"/>
            <a:ext cx="341638" cy="335549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252" name="Straight Connector 251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CxnSpPr>
            <a:endCxn id="251" idx="2"/>
          </xdr:cNvCxnSpPr>
        </xdr:nvCxnSpPr>
        <xdr:spPr>
          <a:xfrm flipH="1" flipV="1">
            <a:off x="4236641" y="3977775"/>
            <a:ext cx="112331" cy="21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3" name="Straight Connector 252">
            <a:extLst>
              <a:ext uri="{FF2B5EF4-FFF2-40B4-BE49-F238E27FC236}">
                <a16:creationId xmlns:a16="http://schemas.microsoft.com/office/drawing/2014/main" id="{00000000-0008-0000-0100-0000FD000000}"/>
              </a:ext>
            </a:extLst>
          </xdr:cNvPr>
          <xdr:cNvCxnSpPr/>
        </xdr:nvCxnSpPr>
        <xdr:spPr>
          <a:xfrm flipH="1" flipV="1">
            <a:off x="4348974" y="3984221"/>
            <a:ext cx="59691" cy="7475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" name="Straight Connector 253">
            <a:extLst>
              <a:ext uri="{FF2B5EF4-FFF2-40B4-BE49-F238E27FC236}">
                <a16:creationId xmlns:a16="http://schemas.microsoft.com/office/drawing/2014/main" id="{00000000-0008-0000-0100-0000FE000000}"/>
              </a:ext>
            </a:extLst>
          </xdr:cNvPr>
          <xdr:cNvCxnSpPr/>
        </xdr:nvCxnSpPr>
        <xdr:spPr>
          <a:xfrm flipH="1" flipV="1">
            <a:off x="4452321" y="3913168"/>
            <a:ext cx="43026" cy="74721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" name="Straight Connector 254">
            <a:extLst>
              <a:ext uri="{FF2B5EF4-FFF2-40B4-BE49-F238E27FC236}">
                <a16:creationId xmlns:a16="http://schemas.microsoft.com/office/drawing/2014/main" id="{00000000-0008-0000-0100-0000FF000000}"/>
              </a:ext>
            </a:extLst>
          </xdr:cNvPr>
          <xdr:cNvCxnSpPr/>
        </xdr:nvCxnSpPr>
        <xdr:spPr>
          <a:xfrm flipH="1">
            <a:off x="4495345" y="3987672"/>
            <a:ext cx="76608" cy="2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Straight Connector 255">
            <a:extLst>
              <a:ext uri="{FF2B5EF4-FFF2-40B4-BE49-F238E27FC236}">
                <a16:creationId xmlns:a16="http://schemas.microsoft.com/office/drawing/2014/main" id="{00000000-0008-0000-0100-000000010000}"/>
              </a:ext>
            </a:extLst>
          </xdr:cNvPr>
          <xdr:cNvCxnSpPr/>
        </xdr:nvCxnSpPr>
        <xdr:spPr>
          <a:xfrm flipH="1">
            <a:off x="4411611" y="3921503"/>
            <a:ext cx="43148" cy="149506"/>
          </a:xfrm>
          <a:prstGeom prst="line">
            <a:avLst/>
          </a:prstGeom>
          <a:ln>
            <a:solidFill>
              <a:schemeClr val="tx1"/>
            </a:solidFill>
            <a:headEnd type="none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190501</xdr:colOff>
      <xdr:row>13</xdr:row>
      <xdr:rowOff>28575</xdr:rowOff>
    </xdr:from>
    <xdr:to>
      <xdr:col>23</xdr:col>
      <xdr:colOff>409593</xdr:colOff>
      <xdr:row>16</xdr:row>
      <xdr:rowOff>97297</xdr:rowOff>
    </xdr:to>
    <xdr:grpSp>
      <xdr:nvGrpSpPr>
        <xdr:cNvPr id="257" name="Group 256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GrpSpPr/>
      </xdr:nvGrpSpPr>
      <xdr:grpSpPr>
        <a:xfrm>
          <a:off x="14995072" y="2470085"/>
          <a:ext cx="864460" cy="628559"/>
          <a:chOff x="10304318" y="4191000"/>
          <a:chExt cx="825229" cy="640222"/>
        </a:xfrm>
      </xdr:grpSpPr>
      <xdr:sp macro="" textlink="">
        <xdr:nvSpPr>
          <xdr:cNvPr id="258" name="Trapezoid 257">
            <a:extLst>
              <a:ext uri="{FF2B5EF4-FFF2-40B4-BE49-F238E27FC236}">
                <a16:creationId xmlns:a16="http://schemas.microsoft.com/office/drawing/2014/main" id="{00000000-0008-0000-0100-000002010000}"/>
              </a:ext>
            </a:extLst>
          </xdr:cNvPr>
          <xdr:cNvSpPr/>
        </xdr:nvSpPr>
        <xdr:spPr>
          <a:xfrm>
            <a:off x="10573632" y="4508389"/>
            <a:ext cx="252460" cy="102907"/>
          </a:xfrm>
          <a:prstGeom prst="trapezoid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59" name="Oval 258">
            <a:extLst>
              <a:ext uri="{FF2B5EF4-FFF2-40B4-BE49-F238E27FC236}">
                <a16:creationId xmlns:a16="http://schemas.microsoft.com/office/drawing/2014/main" id="{00000000-0008-0000-0100-000003010000}"/>
              </a:ext>
            </a:extLst>
          </xdr:cNvPr>
          <xdr:cNvSpPr/>
        </xdr:nvSpPr>
        <xdr:spPr>
          <a:xfrm>
            <a:off x="10531556" y="4191000"/>
            <a:ext cx="311367" cy="30872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60" name="TextBox 259">
            <a:extLst>
              <a:ext uri="{FF2B5EF4-FFF2-40B4-BE49-F238E27FC236}">
                <a16:creationId xmlns:a16="http://schemas.microsoft.com/office/drawing/2014/main" id="{00000000-0008-0000-0100-000004010000}"/>
              </a:ext>
            </a:extLst>
          </xdr:cNvPr>
          <xdr:cNvSpPr txBox="1"/>
        </xdr:nvSpPr>
        <xdr:spPr>
          <a:xfrm>
            <a:off x="10304318" y="4589646"/>
            <a:ext cx="825229" cy="241576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P311/A</a:t>
            </a:r>
            <a:r>
              <a:rPr lang="en-CA" sz="1000" baseline="0"/>
              <a:t> </a:t>
            </a:r>
            <a:r>
              <a:rPr lang="en-CA" sz="1100" baseline="0"/>
              <a:t>  </a:t>
            </a:r>
            <a:endParaRPr lang="en-CA" sz="1100"/>
          </a:p>
        </xdr:txBody>
      </xdr:sp>
    </xdr:grpSp>
    <xdr:clientData/>
  </xdr:twoCellAnchor>
  <xdr:twoCellAnchor>
    <xdr:from>
      <xdr:col>19</xdr:col>
      <xdr:colOff>371472</xdr:colOff>
      <xdr:row>8</xdr:row>
      <xdr:rowOff>66675</xdr:rowOff>
    </xdr:from>
    <xdr:to>
      <xdr:col>20</xdr:col>
      <xdr:colOff>167348</xdr:colOff>
      <xdr:row>10</xdr:row>
      <xdr:rowOff>67530</xdr:rowOff>
    </xdr:to>
    <xdr:grpSp>
      <xdr:nvGrpSpPr>
        <xdr:cNvPr id="262" name="Group 26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GrpSpPr/>
      </xdr:nvGrpSpPr>
      <xdr:grpSpPr>
        <a:xfrm>
          <a:off x="13239942" y="1575124"/>
          <a:ext cx="441243" cy="374079"/>
          <a:chOff x="4236653" y="3810000"/>
          <a:chExt cx="341639" cy="335549"/>
        </a:xfrm>
      </xdr:grpSpPr>
      <xdr:sp macro="" textlink="">
        <xdr:nvSpPr>
          <xdr:cNvPr id="277" name="Oval 276">
            <a:extLst>
              <a:ext uri="{FF2B5EF4-FFF2-40B4-BE49-F238E27FC236}">
                <a16:creationId xmlns:a16="http://schemas.microsoft.com/office/drawing/2014/main" id="{00000000-0008-0000-0100-000015010000}"/>
              </a:ext>
            </a:extLst>
          </xdr:cNvPr>
          <xdr:cNvSpPr/>
        </xdr:nvSpPr>
        <xdr:spPr>
          <a:xfrm>
            <a:off x="4236653" y="3810000"/>
            <a:ext cx="341639" cy="335549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278" name="Straight Connector 277">
            <a:extLst>
              <a:ext uri="{FF2B5EF4-FFF2-40B4-BE49-F238E27FC236}">
                <a16:creationId xmlns:a16="http://schemas.microsoft.com/office/drawing/2014/main" id="{00000000-0008-0000-0100-000016010000}"/>
              </a:ext>
            </a:extLst>
          </xdr:cNvPr>
          <xdr:cNvCxnSpPr>
            <a:endCxn id="277" idx="2"/>
          </xdr:cNvCxnSpPr>
        </xdr:nvCxnSpPr>
        <xdr:spPr>
          <a:xfrm flipH="1" flipV="1">
            <a:off x="4236659" y="3977775"/>
            <a:ext cx="112331" cy="21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" name="Straight Connector 278">
            <a:extLst>
              <a:ext uri="{FF2B5EF4-FFF2-40B4-BE49-F238E27FC236}">
                <a16:creationId xmlns:a16="http://schemas.microsoft.com/office/drawing/2014/main" id="{00000000-0008-0000-0100-000017010000}"/>
              </a:ext>
            </a:extLst>
          </xdr:cNvPr>
          <xdr:cNvCxnSpPr/>
        </xdr:nvCxnSpPr>
        <xdr:spPr>
          <a:xfrm flipH="1" flipV="1">
            <a:off x="4348990" y="3984221"/>
            <a:ext cx="59691" cy="7475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" name="Straight Connector 279">
            <a:extLst>
              <a:ext uri="{FF2B5EF4-FFF2-40B4-BE49-F238E27FC236}">
                <a16:creationId xmlns:a16="http://schemas.microsoft.com/office/drawing/2014/main" id="{00000000-0008-0000-0100-000018010000}"/>
              </a:ext>
            </a:extLst>
          </xdr:cNvPr>
          <xdr:cNvCxnSpPr/>
        </xdr:nvCxnSpPr>
        <xdr:spPr>
          <a:xfrm flipH="1" flipV="1">
            <a:off x="4452321" y="3913168"/>
            <a:ext cx="43026" cy="74721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" name="Straight Connector 280">
            <a:extLst>
              <a:ext uri="{FF2B5EF4-FFF2-40B4-BE49-F238E27FC236}">
                <a16:creationId xmlns:a16="http://schemas.microsoft.com/office/drawing/2014/main" id="{00000000-0008-0000-0100-000019010000}"/>
              </a:ext>
            </a:extLst>
          </xdr:cNvPr>
          <xdr:cNvCxnSpPr/>
        </xdr:nvCxnSpPr>
        <xdr:spPr>
          <a:xfrm flipH="1">
            <a:off x="4495345" y="3987672"/>
            <a:ext cx="76608" cy="2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" name="Straight Connector 281">
            <a:extLst>
              <a:ext uri="{FF2B5EF4-FFF2-40B4-BE49-F238E27FC236}">
                <a16:creationId xmlns:a16="http://schemas.microsoft.com/office/drawing/2014/main" id="{00000000-0008-0000-0100-00001A010000}"/>
              </a:ext>
            </a:extLst>
          </xdr:cNvPr>
          <xdr:cNvCxnSpPr/>
        </xdr:nvCxnSpPr>
        <xdr:spPr>
          <a:xfrm flipH="1">
            <a:off x="4411611" y="3921503"/>
            <a:ext cx="43148" cy="149506"/>
          </a:xfrm>
          <a:prstGeom prst="line">
            <a:avLst/>
          </a:prstGeom>
          <a:ln>
            <a:solidFill>
              <a:schemeClr val="tx1"/>
            </a:solidFill>
            <a:headEnd type="none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485776</xdr:colOff>
      <xdr:row>8</xdr:row>
      <xdr:rowOff>57151</xdr:rowOff>
    </xdr:from>
    <xdr:to>
      <xdr:col>21</xdr:col>
      <xdr:colOff>258031</xdr:colOff>
      <xdr:row>10</xdr:row>
      <xdr:rowOff>81627</xdr:rowOff>
    </xdr:to>
    <xdr:grpSp>
      <xdr:nvGrpSpPr>
        <xdr:cNvPr id="264" name="Group 263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GrpSpPr/>
      </xdr:nvGrpSpPr>
      <xdr:grpSpPr>
        <a:xfrm rot="5400000">
          <a:off x="14009574" y="1555639"/>
          <a:ext cx="397700" cy="417622"/>
          <a:chOff x="4236641" y="3810000"/>
          <a:chExt cx="341638" cy="335549"/>
        </a:xfrm>
      </xdr:grpSpPr>
      <xdr:sp macro="" textlink="">
        <xdr:nvSpPr>
          <xdr:cNvPr id="265" name="Oval 264">
            <a:extLst>
              <a:ext uri="{FF2B5EF4-FFF2-40B4-BE49-F238E27FC236}">
                <a16:creationId xmlns:a16="http://schemas.microsoft.com/office/drawing/2014/main" id="{00000000-0008-0000-0100-000009010000}"/>
              </a:ext>
            </a:extLst>
          </xdr:cNvPr>
          <xdr:cNvSpPr/>
        </xdr:nvSpPr>
        <xdr:spPr>
          <a:xfrm>
            <a:off x="4236641" y="3810000"/>
            <a:ext cx="341638" cy="335549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266" name="Straight Connector 265">
            <a:extLst>
              <a:ext uri="{FF2B5EF4-FFF2-40B4-BE49-F238E27FC236}">
                <a16:creationId xmlns:a16="http://schemas.microsoft.com/office/drawing/2014/main" id="{00000000-0008-0000-0100-00000A010000}"/>
              </a:ext>
            </a:extLst>
          </xdr:cNvPr>
          <xdr:cNvCxnSpPr>
            <a:endCxn id="265" idx="2"/>
          </xdr:cNvCxnSpPr>
        </xdr:nvCxnSpPr>
        <xdr:spPr>
          <a:xfrm flipH="1" flipV="1">
            <a:off x="4236641" y="3977775"/>
            <a:ext cx="112331" cy="21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" name="Straight Connector 266">
            <a:extLst>
              <a:ext uri="{FF2B5EF4-FFF2-40B4-BE49-F238E27FC236}">
                <a16:creationId xmlns:a16="http://schemas.microsoft.com/office/drawing/2014/main" id="{00000000-0008-0000-0100-00000B010000}"/>
              </a:ext>
            </a:extLst>
          </xdr:cNvPr>
          <xdr:cNvCxnSpPr/>
        </xdr:nvCxnSpPr>
        <xdr:spPr>
          <a:xfrm flipH="1" flipV="1">
            <a:off x="4348974" y="3984221"/>
            <a:ext cx="59691" cy="7475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" name="Straight Connector 267">
            <a:extLst>
              <a:ext uri="{FF2B5EF4-FFF2-40B4-BE49-F238E27FC236}">
                <a16:creationId xmlns:a16="http://schemas.microsoft.com/office/drawing/2014/main" id="{00000000-0008-0000-0100-00000C010000}"/>
              </a:ext>
            </a:extLst>
          </xdr:cNvPr>
          <xdr:cNvCxnSpPr/>
        </xdr:nvCxnSpPr>
        <xdr:spPr>
          <a:xfrm flipH="1" flipV="1">
            <a:off x="4452321" y="3913168"/>
            <a:ext cx="43026" cy="74721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" name="Straight Connector 268">
            <a:extLst>
              <a:ext uri="{FF2B5EF4-FFF2-40B4-BE49-F238E27FC236}">
                <a16:creationId xmlns:a16="http://schemas.microsoft.com/office/drawing/2014/main" id="{00000000-0008-0000-0100-00000D010000}"/>
              </a:ext>
            </a:extLst>
          </xdr:cNvPr>
          <xdr:cNvCxnSpPr/>
        </xdr:nvCxnSpPr>
        <xdr:spPr>
          <a:xfrm flipH="1">
            <a:off x="4495345" y="3987672"/>
            <a:ext cx="76608" cy="2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" name="Straight Connector 269">
            <a:extLst>
              <a:ext uri="{FF2B5EF4-FFF2-40B4-BE49-F238E27FC236}">
                <a16:creationId xmlns:a16="http://schemas.microsoft.com/office/drawing/2014/main" id="{00000000-0008-0000-0100-00000E010000}"/>
              </a:ext>
            </a:extLst>
          </xdr:cNvPr>
          <xdr:cNvCxnSpPr/>
        </xdr:nvCxnSpPr>
        <xdr:spPr>
          <a:xfrm flipH="1">
            <a:off x="4411611" y="3921503"/>
            <a:ext cx="43148" cy="149506"/>
          </a:xfrm>
          <a:prstGeom prst="line">
            <a:avLst/>
          </a:prstGeom>
          <a:ln>
            <a:solidFill>
              <a:schemeClr val="tx1"/>
            </a:solidFill>
            <a:headEnd type="none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167348</xdr:colOff>
      <xdr:row>9</xdr:row>
      <xdr:rowOff>67103</xdr:rowOff>
    </xdr:from>
    <xdr:to>
      <xdr:col>20</xdr:col>
      <xdr:colOff>485777</xdr:colOff>
      <xdr:row>9</xdr:row>
      <xdr:rowOff>69389</xdr:rowOff>
    </xdr:to>
    <xdr:cxnSp macro="">
      <xdr:nvCxnSpPr>
        <xdr:cNvPr id="284" name="Straight Arrow Connector 283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CxnSpPr>
          <a:stCxn id="277" idx="6"/>
          <a:endCxn id="265" idx="4"/>
        </xdr:cNvCxnSpPr>
      </xdr:nvCxnSpPr>
      <xdr:spPr>
        <a:xfrm>
          <a:off x="13578548" y="1781603"/>
          <a:ext cx="318429" cy="2286"/>
        </a:xfrm>
        <a:prstGeom prst="straightConnector1">
          <a:avLst/>
        </a:prstGeom>
        <a:ln w="1905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258032</xdr:colOff>
      <xdr:row>9</xdr:row>
      <xdr:rowOff>69389</xdr:rowOff>
    </xdr:from>
    <xdr:to>
      <xdr:col>22</xdr:col>
      <xdr:colOff>9528</xdr:colOff>
      <xdr:row>9</xdr:row>
      <xdr:rowOff>71438</xdr:rowOff>
    </xdr:to>
    <xdr:cxnSp macro="">
      <xdr:nvCxnSpPr>
        <xdr:cNvPr id="285" name="Straight Arrow Connector 284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CxnSpPr>
          <a:stCxn id="265" idx="0"/>
          <a:endCxn id="239" idx="0"/>
        </xdr:cNvCxnSpPr>
      </xdr:nvCxnSpPr>
      <xdr:spPr>
        <a:xfrm>
          <a:off x="14278832" y="1783889"/>
          <a:ext cx="361096" cy="2049"/>
        </a:xfrm>
        <a:prstGeom prst="straightConnector1">
          <a:avLst/>
        </a:prstGeom>
        <a:ln w="1905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319092</xdr:colOff>
      <xdr:row>12</xdr:row>
      <xdr:rowOff>114300</xdr:rowOff>
    </xdr:from>
    <xdr:to>
      <xdr:col>22</xdr:col>
      <xdr:colOff>418694</xdr:colOff>
      <xdr:row>13</xdr:row>
      <xdr:rowOff>182935</xdr:rowOff>
    </xdr:to>
    <xdr:cxnSp macro="">
      <xdr:nvCxnSpPr>
        <xdr:cNvPr id="286" name="Elbow Connector 28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CxnSpPr>
          <a:stCxn id="239" idx="1"/>
          <a:endCxn id="259" idx="2"/>
        </xdr:cNvCxnSpPr>
      </xdr:nvCxnSpPr>
      <xdr:spPr>
        <a:xfrm rot="16200000" flipH="1">
          <a:off x="14869725" y="2480067"/>
          <a:ext cx="259135" cy="99602"/>
        </a:xfrm>
        <a:prstGeom prst="bentConnector2">
          <a:avLst/>
        </a:prstGeom>
        <a:ln w="1905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121767</xdr:colOff>
      <xdr:row>12</xdr:row>
      <xdr:rowOff>19259</xdr:rowOff>
    </xdr:from>
    <xdr:to>
      <xdr:col>23</xdr:col>
      <xdr:colOff>358375</xdr:colOff>
      <xdr:row>13</xdr:row>
      <xdr:rowOff>182936</xdr:rowOff>
    </xdr:to>
    <xdr:cxnSp macro="">
      <xdr:nvCxnSpPr>
        <xdr:cNvPr id="287" name="Elbow Connector 286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CxnSpPr>
          <a:stCxn id="259" idx="6"/>
          <a:endCxn id="249" idx="4"/>
        </xdr:cNvCxnSpPr>
      </xdr:nvCxnSpPr>
      <xdr:spPr>
        <a:xfrm flipV="1">
          <a:off x="15361767" y="2305259"/>
          <a:ext cx="236608" cy="354177"/>
        </a:xfrm>
        <a:prstGeom prst="bentConnector2">
          <a:avLst/>
        </a:prstGeom>
        <a:ln w="1905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19056</xdr:colOff>
      <xdr:row>4</xdr:row>
      <xdr:rowOff>190499</xdr:rowOff>
    </xdr:from>
    <xdr:to>
      <xdr:col>23</xdr:col>
      <xdr:colOff>358376</xdr:colOff>
      <xdr:row>9</xdr:row>
      <xdr:rowOff>151142</xdr:rowOff>
    </xdr:to>
    <xdr:cxnSp macro="">
      <xdr:nvCxnSpPr>
        <xdr:cNvPr id="288" name="Elbow Connector 287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CxnSpPr>
          <a:stCxn id="249" idx="0"/>
          <a:endCxn id="240" idx="2"/>
        </xdr:cNvCxnSpPr>
      </xdr:nvCxnSpPr>
      <xdr:spPr>
        <a:xfrm rot="16200000" flipV="1">
          <a:off x="14972144" y="1239411"/>
          <a:ext cx="913143" cy="339320"/>
        </a:xfrm>
        <a:prstGeom prst="bentConnector2">
          <a:avLst/>
        </a:prstGeom>
        <a:ln w="1905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316852</xdr:colOff>
      <xdr:row>7</xdr:row>
      <xdr:rowOff>114299</xdr:rowOff>
    </xdr:from>
    <xdr:to>
      <xdr:col>23</xdr:col>
      <xdr:colOff>561976</xdr:colOff>
      <xdr:row>7</xdr:row>
      <xdr:rowOff>179161</xdr:rowOff>
    </xdr:to>
    <xdr:cxnSp macro="">
      <xdr:nvCxnSpPr>
        <xdr:cNvPr id="289" name="Elbow Connector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CxnSpPr>
          <a:stCxn id="240" idx="1"/>
          <a:endCxn id="251" idx="2"/>
        </xdr:cNvCxnSpPr>
      </xdr:nvCxnSpPr>
      <xdr:spPr>
        <a:xfrm rot="16200000" flipH="1">
          <a:off x="15534924" y="1055109"/>
          <a:ext cx="64862" cy="850242"/>
        </a:xfrm>
        <a:prstGeom prst="bentConnector2">
          <a:avLst/>
        </a:prstGeom>
        <a:ln w="1905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357852</xdr:colOff>
      <xdr:row>5</xdr:row>
      <xdr:rowOff>147638</xdr:rowOff>
    </xdr:from>
    <xdr:to>
      <xdr:col>25</xdr:col>
      <xdr:colOff>9531</xdr:colOff>
      <xdr:row>7</xdr:row>
      <xdr:rowOff>179161</xdr:rowOff>
    </xdr:to>
    <xdr:cxnSp macro="">
      <xdr:nvCxnSpPr>
        <xdr:cNvPr id="290" name="Elbow Connector 289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CxnSpPr>
          <a:stCxn id="251" idx="6"/>
          <a:endCxn id="243" idx="0"/>
        </xdr:cNvCxnSpPr>
      </xdr:nvCxnSpPr>
      <xdr:spPr>
        <a:xfrm flipV="1">
          <a:off x="16393470" y="1100138"/>
          <a:ext cx="256796" cy="412523"/>
        </a:xfrm>
        <a:prstGeom prst="bentConnector3">
          <a:avLst/>
        </a:prstGeom>
        <a:ln w="1905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319095</xdr:colOff>
      <xdr:row>8</xdr:row>
      <xdr:rowOff>9525</xdr:rowOff>
    </xdr:from>
    <xdr:to>
      <xdr:col>26</xdr:col>
      <xdr:colOff>19055</xdr:colOff>
      <xdr:row>9</xdr:row>
      <xdr:rowOff>100012</xdr:rowOff>
    </xdr:to>
    <xdr:cxnSp macro="">
      <xdr:nvCxnSpPr>
        <xdr:cNvPr id="291" name="Elbow Connector 290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CxnSpPr>
          <a:stCxn id="243" idx="1"/>
          <a:endCxn id="242" idx="2"/>
        </xdr:cNvCxnSpPr>
      </xdr:nvCxnSpPr>
      <xdr:spPr>
        <a:xfrm rot="16200000" flipH="1">
          <a:off x="16792581" y="1519239"/>
          <a:ext cx="280987" cy="309560"/>
        </a:xfrm>
        <a:prstGeom prst="bentConnector4">
          <a:avLst>
            <a:gd name="adj1" fmla="val 16949"/>
            <a:gd name="adj2" fmla="val 272309"/>
          </a:avLst>
        </a:prstGeom>
        <a:ln w="1905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352426</xdr:colOff>
      <xdr:row>13</xdr:row>
      <xdr:rowOff>9525</xdr:rowOff>
    </xdr:from>
    <xdr:to>
      <xdr:col>26</xdr:col>
      <xdr:colOff>571518</xdr:colOff>
      <xdr:row>16</xdr:row>
      <xdr:rowOff>78247</xdr:rowOff>
    </xdr:to>
    <xdr:grpSp>
      <xdr:nvGrpSpPr>
        <xdr:cNvPr id="292" name="Group 29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GrpSpPr/>
      </xdr:nvGrpSpPr>
      <xdr:grpSpPr>
        <a:xfrm>
          <a:off x="17131977" y="2451035"/>
          <a:ext cx="864460" cy="628559"/>
          <a:chOff x="10304318" y="4191000"/>
          <a:chExt cx="825229" cy="640222"/>
        </a:xfrm>
      </xdr:grpSpPr>
      <xdr:sp macro="" textlink="">
        <xdr:nvSpPr>
          <xdr:cNvPr id="293" name="Trapezoid 292">
            <a:extLst>
              <a:ext uri="{FF2B5EF4-FFF2-40B4-BE49-F238E27FC236}">
                <a16:creationId xmlns:a16="http://schemas.microsoft.com/office/drawing/2014/main" id="{00000000-0008-0000-0100-000025010000}"/>
              </a:ext>
            </a:extLst>
          </xdr:cNvPr>
          <xdr:cNvSpPr/>
        </xdr:nvSpPr>
        <xdr:spPr>
          <a:xfrm>
            <a:off x="10573632" y="4508389"/>
            <a:ext cx="252460" cy="102907"/>
          </a:xfrm>
          <a:prstGeom prst="trapezoid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94" name="Oval 293">
            <a:extLst>
              <a:ext uri="{FF2B5EF4-FFF2-40B4-BE49-F238E27FC236}">
                <a16:creationId xmlns:a16="http://schemas.microsoft.com/office/drawing/2014/main" id="{00000000-0008-0000-0100-000026010000}"/>
              </a:ext>
            </a:extLst>
          </xdr:cNvPr>
          <xdr:cNvSpPr/>
        </xdr:nvSpPr>
        <xdr:spPr>
          <a:xfrm>
            <a:off x="10531556" y="4191000"/>
            <a:ext cx="311367" cy="30872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95" name="TextBox 294">
            <a:extLst>
              <a:ext uri="{FF2B5EF4-FFF2-40B4-BE49-F238E27FC236}">
                <a16:creationId xmlns:a16="http://schemas.microsoft.com/office/drawing/2014/main" id="{00000000-0008-0000-0100-000027010000}"/>
              </a:ext>
            </a:extLst>
          </xdr:cNvPr>
          <xdr:cNvSpPr txBox="1"/>
        </xdr:nvSpPr>
        <xdr:spPr>
          <a:xfrm>
            <a:off x="10304318" y="4589646"/>
            <a:ext cx="825229" cy="241576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P312/A</a:t>
            </a:r>
            <a:r>
              <a:rPr lang="en-CA" sz="1000" baseline="0"/>
              <a:t> </a:t>
            </a:r>
            <a:r>
              <a:rPr lang="en-CA" sz="1100" baseline="0"/>
              <a:t>  </a:t>
            </a:r>
            <a:endParaRPr lang="en-CA" sz="1100"/>
          </a:p>
        </xdr:txBody>
      </xdr:sp>
    </xdr:grpSp>
    <xdr:clientData/>
  </xdr:twoCellAnchor>
  <xdr:twoCellAnchor>
    <xdr:from>
      <xdr:col>25</xdr:col>
      <xdr:colOff>319092</xdr:colOff>
      <xdr:row>12</xdr:row>
      <xdr:rowOff>142876</xdr:rowOff>
    </xdr:from>
    <xdr:to>
      <xdr:col>25</xdr:col>
      <xdr:colOff>580618</xdr:colOff>
      <xdr:row>13</xdr:row>
      <xdr:rowOff>163886</xdr:rowOff>
    </xdr:to>
    <xdr:cxnSp macro="">
      <xdr:nvCxnSpPr>
        <xdr:cNvPr id="296" name="Elbow Connector 295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CxnSpPr>
          <a:stCxn id="242" idx="1"/>
          <a:endCxn id="294" idx="2"/>
        </xdr:cNvCxnSpPr>
      </xdr:nvCxnSpPr>
      <xdr:spPr>
        <a:xfrm rot="16200000" flipH="1">
          <a:off x="16803300" y="2403868"/>
          <a:ext cx="211510" cy="261526"/>
        </a:xfrm>
        <a:prstGeom prst="bentConnector2">
          <a:avLst/>
        </a:prstGeom>
        <a:ln w="1905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67104</xdr:colOff>
      <xdr:row>2</xdr:row>
      <xdr:rowOff>76199</xdr:rowOff>
    </xdr:from>
    <xdr:to>
      <xdr:col>22</xdr:col>
      <xdr:colOff>319093</xdr:colOff>
      <xdr:row>8</xdr:row>
      <xdr:rowOff>57151</xdr:rowOff>
    </xdr:to>
    <xdr:cxnSp macro="">
      <xdr:nvCxnSpPr>
        <xdr:cNvPr id="300" name="Elbow Connector 299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CxnSpPr>
          <a:stCxn id="240" idx="3"/>
          <a:endCxn id="265" idx="2"/>
        </xdr:cNvCxnSpPr>
      </xdr:nvCxnSpPr>
      <xdr:spPr>
        <a:xfrm rot="16200000" flipH="1" flipV="1">
          <a:off x="13956723" y="588380"/>
          <a:ext cx="1123952" cy="861589"/>
        </a:xfrm>
        <a:prstGeom prst="bentConnector3">
          <a:avLst>
            <a:gd name="adj1" fmla="val -9746"/>
          </a:avLst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438151</xdr:colOff>
      <xdr:row>11</xdr:row>
      <xdr:rowOff>142875</xdr:rowOff>
    </xdr:from>
    <xdr:to>
      <xdr:col>21</xdr:col>
      <xdr:colOff>352426</xdr:colOff>
      <xdr:row>14</xdr:row>
      <xdr:rowOff>124512</xdr:rowOff>
    </xdr:to>
    <xdr:grpSp>
      <xdr:nvGrpSpPr>
        <xdr:cNvPr id="301" name="Group 300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GrpSpPr/>
      </xdr:nvGrpSpPr>
      <xdr:grpSpPr>
        <a:xfrm>
          <a:off x="13951988" y="2211161"/>
          <a:ext cx="559642" cy="541474"/>
          <a:chOff x="3048000" y="7239000"/>
          <a:chExt cx="440065" cy="448362"/>
        </a:xfrm>
      </xdr:grpSpPr>
      <xdr:cxnSp macro="">
        <xdr:nvCxnSpPr>
          <xdr:cNvPr id="302" name="Straight Connector 301">
            <a:extLst>
              <a:ext uri="{FF2B5EF4-FFF2-40B4-BE49-F238E27FC236}">
                <a16:creationId xmlns:a16="http://schemas.microsoft.com/office/drawing/2014/main" id="{00000000-0008-0000-0100-00002E010000}"/>
              </a:ext>
            </a:extLst>
          </xdr:cNvPr>
          <xdr:cNvCxnSpPr/>
        </xdr:nvCxnSpPr>
        <xdr:spPr>
          <a:xfrm flipH="1">
            <a:off x="3270388" y="7239000"/>
            <a:ext cx="217677" cy="285903"/>
          </a:xfrm>
          <a:prstGeom prst="line">
            <a:avLst/>
          </a:prstGeom>
          <a:ln>
            <a:solidFill>
              <a:schemeClr val="tx1"/>
            </a:solidFill>
            <a:headEnd type="stealth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" name="Straight Connector 302">
            <a:extLst>
              <a:ext uri="{FF2B5EF4-FFF2-40B4-BE49-F238E27FC236}">
                <a16:creationId xmlns:a16="http://schemas.microsoft.com/office/drawing/2014/main" id="{00000000-0008-0000-0100-00002F010000}"/>
              </a:ext>
            </a:extLst>
          </xdr:cNvPr>
          <xdr:cNvCxnSpPr/>
        </xdr:nvCxnSpPr>
        <xdr:spPr>
          <a:xfrm flipH="1">
            <a:off x="3048000" y="7524903"/>
            <a:ext cx="122344" cy="162459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" name="Straight Connector 303">
            <a:extLst>
              <a:ext uri="{FF2B5EF4-FFF2-40B4-BE49-F238E27FC236}">
                <a16:creationId xmlns:a16="http://schemas.microsoft.com/office/drawing/2014/main" id="{00000000-0008-0000-0100-000030010000}"/>
              </a:ext>
            </a:extLst>
          </xdr:cNvPr>
          <xdr:cNvCxnSpPr/>
        </xdr:nvCxnSpPr>
        <xdr:spPr>
          <a:xfrm flipH="1" flipV="1">
            <a:off x="3169524" y="7524903"/>
            <a:ext cx="11293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5" name="Oval 304">
            <a:extLst>
              <a:ext uri="{FF2B5EF4-FFF2-40B4-BE49-F238E27FC236}">
                <a16:creationId xmlns:a16="http://schemas.microsoft.com/office/drawing/2014/main" id="{00000000-0008-0000-0100-000031010000}"/>
              </a:ext>
            </a:extLst>
          </xdr:cNvPr>
          <xdr:cNvSpPr/>
        </xdr:nvSpPr>
        <xdr:spPr>
          <a:xfrm>
            <a:off x="3076575" y="7324725"/>
            <a:ext cx="340021" cy="333382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21</xdr:col>
      <xdr:colOff>64957</xdr:colOff>
      <xdr:row>10</xdr:row>
      <xdr:rowOff>81627</xdr:rowOff>
    </xdr:from>
    <xdr:to>
      <xdr:col>21</xdr:col>
      <xdr:colOff>67104</xdr:colOff>
      <xdr:row>12</xdr:row>
      <xdr:rowOff>58133</xdr:rowOff>
    </xdr:to>
    <xdr:cxnSp macro="">
      <xdr:nvCxnSpPr>
        <xdr:cNvPr id="306" name="Straight Arrow Connector 305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CxnSpPr>
          <a:stCxn id="265" idx="6"/>
          <a:endCxn id="305" idx="0"/>
        </xdr:cNvCxnSpPr>
      </xdr:nvCxnSpPr>
      <xdr:spPr>
        <a:xfrm flipH="1">
          <a:off x="14085757" y="1986627"/>
          <a:ext cx="2147" cy="357506"/>
        </a:xfrm>
        <a:prstGeom prst="straightConnector1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574210</xdr:colOff>
      <xdr:row>3</xdr:row>
      <xdr:rowOff>123823</xdr:rowOff>
    </xdr:from>
    <xdr:to>
      <xdr:col>25</xdr:col>
      <xdr:colOff>319090</xdr:colOff>
      <xdr:row>8</xdr:row>
      <xdr:rowOff>66674</xdr:rowOff>
    </xdr:to>
    <xdr:cxnSp macro="">
      <xdr:nvCxnSpPr>
        <xdr:cNvPr id="307" name="Elbow Connector 306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CxnSpPr>
          <a:stCxn id="244" idx="0"/>
          <a:endCxn id="277" idx="0"/>
        </xdr:cNvCxnSpPr>
      </xdr:nvCxnSpPr>
      <xdr:spPr>
        <a:xfrm rot="16200000" flipH="1" flipV="1">
          <a:off x="14629374" y="-558241"/>
          <a:ext cx="895351" cy="3402480"/>
        </a:xfrm>
        <a:prstGeom prst="bentConnector3">
          <a:avLst>
            <a:gd name="adj1" fmla="val -58511"/>
          </a:avLst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581025</xdr:colOff>
      <xdr:row>7</xdr:row>
      <xdr:rowOff>66675</xdr:rowOff>
    </xdr:from>
    <xdr:to>
      <xdr:col>22</xdr:col>
      <xdr:colOff>32525</xdr:colOff>
      <xdr:row>7</xdr:row>
      <xdr:rowOff>67607</xdr:rowOff>
    </xdr:to>
    <xdr:cxnSp macro="">
      <xdr:nvCxnSpPr>
        <xdr:cNvPr id="308" name="Straight Arrow Connector 307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CxnSpPr/>
      </xdr:nvCxnSpPr>
      <xdr:spPr>
        <a:xfrm flipH="1" flipV="1">
          <a:off x="13382625" y="1400175"/>
          <a:ext cx="1280300" cy="932"/>
        </a:xfrm>
        <a:prstGeom prst="straightConnector1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571500</xdr:colOff>
      <xdr:row>5</xdr:row>
      <xdr:rowOff>171450</xdr:rowOff>
    </xdr:from>
    <xdr:to>
      <xdr:col>18</xdr:col>
      <xdr:colOff>514350</xdr:colOff>
      <xdr:row>11</xdr:row>
      <xdr:rowOff>133350</xdr:rowOff>
    </xdr:to>
    <xdr:sp macro="" textlink="">
      <xdr:nvSpPr>
        <xdr:cNvPr id="319" name="Regular Pentagon 318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/>
      </xdr:nvSpPr>
      <xdr:spPr>
        <a:xfrm>
          <a:off x="11544300" y="1123950"/>
          <a:ext cx="1162050" cy="1104900"/>
        </a:xfrm>
        <a:prstGeom prst="pentag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504325</xdr:colOff>
      <xdr:row>9</xdr:row>
      <xdr:rowOff>67103</xdr:rowOff>
    </xdr:from>
    <xdr:to>
      <xdr:col>19</xdr:col>
      <xdr:colOff>371472</xdr:colOff>
      <xdr:row>13</xdr:row>
      <xdr:rowOff>120745</xdr:rowOff>
    </xdr:to>
    <xdr:cxnSp macro="">
      <xdr:nvCxnSpPr>
        <xdr:cNvPr id="321" name="Elbow Connector 320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CxnSpPr>
          <a:stCxn id="545" idx="6"/>
          <a:endCxn id="277" idx="2"/>
        </xdr:cNvCxnSpPr>
      </xdr:nvCxnSpPr>
      <xdr:spPr>
        <a:xfrm flipV="1">
          <a:off x="11699001" y="1781603"/>
          <a:ext cx="472265" cy="815642"/>
        </a:xfrm>
        <a:prstGeom prst="bentConnector3">
          <a:avLst>
            <a:gd name="adj1" fmla="val 50000"/>
          </a:avLst>
        </a:prstGeom>
        <a:ln w="1905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8</xdr:row>
      <xdr:rowOff>104775</xdr:rowOff>
    </xdr:from>
    <xdr:to>
      <xdr:col>16</xdr:col>
      <xdr:colOff>352425</xdr:colOff>
      <xdr:row>11</xdr:row>
      <xdr:rowOff>124512</xdr:rowOff>
    </xdr:to>
    <xdr:grpSp>
      <xdr:nvGrpSpPr>
        <xdr:cNvPr id="322" name="Group 321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GrpSpPr/>
      </xdr:nvGrpSpPr>
      <xdr:grpSpPr>
        <a:xfrm>
          <a:off x="10624846" y="1613224"/>
          <a:ext cx="597742" cy="579574"/>
          <a:chOff x="3048000" y="7239000"/>
          <a:chExt cx="440065" cy="448362"/>
        </a:xfrm>
      </xdr:grpSpPr>
      <xdr:cxnSp macro="">
        <xdr:nvCxnSpPr>
          <xdr:cNvPr id="323" name="Straight Connector 322">
            <a:extLst>
              <a:ext uri="{FF2B5EF4-FFF2-40B4-BE49-F238E27FC236}">
                <a16:creationId xmlns:a16="http://schemas.microsoft.com/office/drawing/2014/main" id="{00000000-0008-0000-0100-000043010000}"/>
              </a:ext>
            </a:extLst>
          </xdr:cNvPr>
          <xdr:cNvCxnSpPr/>
        </xdr:nvCxnSpPr>
        <xdr:spPr>
          <a:xfrm flipH="1">
            <a:off x="3270388" y="7239000"/>
            <a:ext cx="217677" cy="285903"/>
          </a:xfrm>
          <a:prstGeom prst="line">
            <a:avLst/>
          </a:prstGeom>
          <a:ln>
            <a:solidFill>
              <a:schemeClr val="tx1"/>
            </a:solidFill>
            <a:headEnd type="stealth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4" name="Straight Connector 323">
            <a:extLst>
              <a:ext uri="{FF2B5EF4-FFF2-40B4-BE49-F238E27FC236}">
                <a16:creationId xmlns:a16="http://schemas.microsoft.com/office/drawing/2014/main" id="{00000000-0008-0000-0100-000044010000}"/>
              </a:ext>
            </a:extLst>
          </xdr:cNvPr>
          <xdr:cNvCxnSpPr/>
        </xdr:nvCxnSpPr>
        <xdr:spPr>
          <a:xfrm flipH="1">
            <a:off x="3048000" y="7524903"/>
            <a:ext cx="122344" cy="162459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5" name="Straight Connector 324">
            <a:extLst>
              <a:ext uri="{FF2B5EF4-FFF2-40B4-BE49-F238E27FC236}">
                <a16:creationId xmlns:a16="http://schemas.microsoft.com/office/drawing/2014/main" id="{00000000-0008-0000-0100-000045010000}"/>
              </a:ext>
            </a:extLst>
          </xdr:cNvPr>
          <xdr:cNvCxnSpPr/>
        </xdr:nvCxnSpPr>
        <xdr:spPr>
          <a:xfrm flipH="1" flipV="1">
            <a:off x="3169524" y="7524903"/>
            <a:ext cx="11293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6" name="Oval 325">
            <a:extLst>
              <a:ext uri="{FF2B5EF4-FFF2-40B4-BE49-F238E27FC236}">
                <a16:creationId xmlns:a16="http://schemas.microsoft.com/office/drawing/2014/main" id="{00000000-0008-0000-0100-000046010000}"/>
              </a:ext>
            </a:extLst>
          </xdr:cNvPr>
          <xdr:cNvSpPr/>
        </xdr:nvSpPr>
        <xdr:spPr>
          <a:xfrm>
            <a:off x="3076575" y="7324725"/>
            <a:ext cx="340021" cy="333382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15</xdr:col>
      <xdr:colOff>152400</xdr:colOff>
      <xdr:row>9</xdr:row>
      <xdr:rowOff>76200</xdr:rowOff>
    </xdr:from>
    <xdr:to>
      <xdr:col>15</xdr:col>
      <xdr:colOff>436541</xdr:colOff>
      <xdr:row>10</xdr:row>
      <xdr:rowOff>56626</xdr:rowOff>
    </xdr:to>
    <xdr:cxnSp macro="">
      <xdr:nvCxnSpPr>
        <xdr:cNvPr id="328" name="Elbow Connector 327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CxnSpPr>
          <a:endCxn id="326" idx="2"/>
        </xdr:cNvCxnSpPr>
      </xdr:nvCxnSpPr>
      <xdr:spPr>
        <a:xfrm>
          <a:off x="10515600" y="1790700"/>
          <a:ext cx="284141" cy="170926"/>
        </a:xfrm>
        <a:prstGeom prst="bentConnector3">
          <a:avLst>
            <a:gd name="adj1" fmla="val 3069"/>
          </a:avLst>
        </a:prstGeom>
        <a:ln w="1905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261157</xdr:colOff>
      <xdr:row>10</xdr:row>
      <xdr:rowOff>56626</xdr:rowOff>
    </xdr:from>
    <xdr:to>
      <xdr:col>17</xdr:col>
      <xdr:colOff>66675</xdr:colOff>
      <xdr:row>10</xdr:row>
      <xdr:rowOff>56626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CxnSpPr>
          <a:stCxn id="326" idx="6"/>
        </xdr:cNvCxnSpPr>
      </xdr:nvCxnSpPr>
      <xdr:spPr>
        <a:xfrm>
          <a:off x="11233957" y="1961626"/>
          <a:ext cx="415118" cy="0"/>
        </a:xfrm>
        <a:prstGeom prst="straightConnector1">
          <a:avLst/>
        </a:prstGeom>
        <a:ln w="1905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590551</xdr:colOff>
      <xdr:row>14</xdr:row>
      <xdr:rowOff>88421</xdr:rowOff>
    </xdr:from>
    <xdr:to>
      <xdr:col>21</xdr:col>
      <xdr:colOff>64957</xdr:colOff>
      <xdr:row>20</xdr:row>
      <xdr:rowOff>95251</xdr:rowOff>
    </xdr:to>
    <xdr:cxnSp macro="">
      <xdr:nvCxnSpPr>
        <xdr:cNvPr id="336" name="Elbow Connector 335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CxnSpPr>
          <a:stCxn id="305" idx="4"/>
          <a:endCxn id="206" idx="0"/>
        </xdr:cNvCxnSpPr>
      </xdr:nvCxnSpPr>
      <xdr:spPr>
        <a:xfrm rot="5400000">
          <a:off x="11030439" y="849933"/>
          <a:ext cx="1149830" cy="4960806"/>
        </a:xfrm>
        <a:prstGeom prst="bentConnector3">
          <a:avLst>
            <a:gd name="adj1" fmla="val 77726"/>
          </a:avLst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515471</xdr:colOff>
      <xdr:row>23</xdr:row>
      <xdr:rowOff>134470</xdr:rowOff>
    </xdr:from>
    <xdr:to>
      <xdr:col>13</xdr:col>
      <xdr:colOff>19051</xdr:colOff>
      <xdr:row>26</xdr:row>
      <xdr:rowOff>78440</xdr:rowOff>
    </xdr:to>
    <xdr:grpSp>
      <xdr:nvGrpSpPr>
        <xdr:cNvPr id="345" name="Group 344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GrpSpPr/>
      </xdr:nvGrpSpPr>
      <xdr:grpSpPr>
        <a:xfrm>
          <a:off x="7979961" y="4442103"/>
          <a:ext cx="973151" cy="503807"/>
          <a:chOff x="10166780" y="4191000"/>
          <a:chExt cx="962767" cy="665831"/>
        </a:xfrm>
      </xdr:grpSpPr>
      <xdr:sp macro="" textlink="">
        <xdr:nvSpPr>
          <xdr:cNvPr id="346" name="Trapezoid 345">
            <a:extLst>
              <a:ext uri="{FF2B5EF4-FFF2-40B4-BE49-F238E27FC236}">
                <a16:creationId xmlns:a16="http://schemas.microsoft.com/office/drawing/2014/main" id="{00000000-0008-0000-0100-00005A010000}"/>
              </a:ext>
            </a:extLst>
          </xdr:cNvPr>
          <xdr:cNvSpPr/>
        </xdr:nvSpPr>
        <xdr:spPr>
          <a:xfrm>
            <a:off x="10573632" y="4508389"/>
            <a:ext cx="252460" cy="102907"/>
          </a:xfrm>
          <a:prstGeom prst="trapezoid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47" name="Oval 346">
            <a:extLst>
              <a:ext uri="{FF2B5EF4-FFF2-40B4-BE49-F238E27FC236}">
                <a16:creationId xmlns:a16="http://schemas.microsoft.com/office/drawing/2014/main" id="{00000000-0008-0000-0100-00005B010000}"/>
              </a:ext>
            </a:extLst>
          </xdr:cNvPr>
          <xdr:cNvSpPr/>
        </xdr:nvSpPr>
        <xdr:spPr>
          <a:xfrm>
            <a:off x="10531556" y="4191000"/>
            <a:ext cx="311367" cy="30872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48" name="TextBox 347">
            <a:extLst>
              <a:ext uri="{FF2B5EF4-FFF2-40B4-BE49-F238E27FC236}">
                <a16:creationId xmlns:a16="http://schemas.microsoft.com/office/drawing/2014/main" id="{00000000-0008-0000-0100-00005C010000}"/>
              </a:ext>
            </a:extLst>
          </xdr:cNvPr>
          <xdr:cNvSpPr txBox="1"/>
        </xdr:nvSpPr>
        <xdr:spPr>
          <a:xfrm>
            <a:off x="10166780" y="4589646"/>
            <a:ext cx="962767" cy="26718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P308/A</a:t>
            </a:r>
            <a:r>
              <a:rPr lang="en-CA" sz="1000" baseline="0"/>
              <a:t> </a:t>
            </a:r>
            <a:r>
              <a:rPr lang="en-CA" sz="1100" baseline="0"/>
              <a:t>  </a:t>
            </a:r>
            <a:endParaRPr lang="en-CA" sz="1100"/>
          </a:p>
        </xdr:txBody>
      </xdr:sp>
    </xdr:grpSp>
    <xdr:clientData/>
  </xdr:twoCellAnchor>
  <xdr:twoCellAnchor>
    <xdr:from>
      <xdr:col>7</xdr:col>
      <xdr:colOff>23815</xdr:colOff>
      <xdr:row>23</xdr:row>
      <xdr:rowOff>53788</xdr:rowOff>
    </xdr:from>
    <xdr:to>
      <xdr:col>7</xdr:col>
      <xdr:colOff>429291</xdr:colOff>
      <xdr:row>25</xdr:row>
      <xdr:rowOff>54643</xdr:rowOff>
    </xdr:to>
    <xdr:grpSp>
      <xdr:nvGrpSpPr>
        <xdr:cNvPr id="349" name="Group 348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GrpSpPr/>
      </xdr:nvGrpSpPr>
      <xdr:grpSpPr>
        <a:xfrm>
          <a:off x="4665795" y="4361421"/>
          <a:ext cx="405476" cy="374079"/>
          <a:chOff x="4236641" y="3810000"/>
          <a:chExt cx="341638" cy="335549"/>
        </a:xfrm>
      </xdr:grpSpPr>
      <xdr:sp macro="" textlink="">
        <xdr:nvSpPr>
          <xdr:cNvPr id="350" name="Oval 349">
            <a:extLst>
              <a:ext uri="{FF2B5EF4-FFF2-40B4-BE49-F238E27FC236}">
                <a16:creationId xmlns:a16="http://schemas.microsoft.com/office/drawing/2014/main" id="{00000000-0008-0000-0100-00005E010000}"/>
              </a:ext>
            </a:extLst>
          </xdr:cNvPr>
          <xdr:cNvSpPr/>
        </xdr:nvSpPr>
        <xdr:spPr>
          <a:xfrm>
            <a:off x="4236641" y="3810000"/>
            <a:ext cx="341638" cy="335549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351" name="Straight Connector 350">
            <a:extLst>
              <a:ext uri="{FF2B5EF4-FFF2-40B4-BE49-F238E27FC236}">
                <a16:creationId xmlns:a16="http://schemas.microsoft.com/office/drawing/2014/main" id="{00000000-0008-0000-0100-00005F010000}"/>
              </a:ext>
            </a:extLst>
          </xdr:cNvPr>
          <xdr:cNvCxnSpPr>
            <a:endCxn id="350" idx="2"/>
          </xdr:cNvCxnSpPr>
        </xdr:nvCxnSpPr>
        <xdr:spPr>
          <a:xfrm flipH="1" flipV="1">
            <a:off x="4236641" y="3977775"/>
            <a:ext cx="112331" cy="21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2" name="Straight Connector 351">
            <a:extLst>
              <a:ext uri="{FF2B5EF4-FFF2-40B4-BE49-F238E27FC236}">
                <a16:creationId xmlns:a16="http://schemas.microsoft.com/office/drawing/2014/main" id="{00000000-0008-0000-0100-000060010000}"/>
              </a:ext>
            </a:extLst>
          </xdr:cNvPr>
          <xdr:cNvCxnSpPr/>
        </xdr:nvCxnSpPr>
        <xdr:spPr>
          <a:xfrm flipH="1" flipV="1">
            <a:off x="4348974" y="3984221"/>
            <a:ext cx="59691" cy="7475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3" name="Straight Connector 352">
            <a:extLst>
              <a:ext uri="{FF2B5EF4-FFF2-40B4-BE49-F238E27FC236}">
                <a16:creationId xmlns:a16="http://schemas.microsoft.com/office/drawing/2014/main" id="{00000000-0008-0000-0100-000061010000}"/>
              </a:ext>
            </a:extLst>
          </xdr:cNvPr>
          <xdr:cNvCxnSpPr/>
        </xdr:nvCxnSpPr>
        <xdr:spPr>
          <a:xfrm flipH="1" flipV="1">
            <a:off x="4452321" y="3913168"/>
            <a:ext cx="43026" cy="74721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4" name="Straight Connector 353">
            <a:extLst>
              <a:ext uri="{FF2B5EF4-FFF2-40B4-BE49-F238E27FC236}">
                <a16:creationId xmlns:a16="http://schemas.microsoft.com/office/drawing/2014/main" id="{00000000-0008-0000-0100-000062010000}"/>
              </a:ext>
            </a:extLst>
          </xdr:cNvPr>
          <xdr:cNvCxnSpPr/>
        </xdr:nvCxnSpPr>
        <xdr:spPr>
          <a:xfrm flipH="1">
            <a:off x="4495345" y="3987672"/>
            <a:ext cx="76608" cy="2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" name="Straight Connector 354">
            <a:extLst>
              <a:ext uri="{FF2B5EF4-FFF2-40B4-BE49-F238E27FC236}">
                <a16:creationId xmlns:a16="http://schemas.microsoft.com/office/drawing/2014/main" id="{00000000-0008-0000-0100-000063010000}"/>
              </a:ext>
            </a:extLst>
          </xdr:cNvPr>
          <xdr:cNvCxnSpPr/>
        </xdr:nvCxnSpPr>
        <xdr:spPr>
          <a:xfrm flipH="1">
            <a:off x="4411611" y="3921503"/>
            <a:ext cx="43148" cy="149506"/>
          </a:xfrm>
          <a:prstGeom prst="line">
            <a:avLst/>
          </a:prstGeom>
          <a:ln>
            <a:solidFill>
              <a:schemeClr val="tx1"/>
            </a:solidFill>
            <a:headEnd type="none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411660</xdr:colOff>
      <xdr:row>23</xdr:row>
      <xdr:rowOff>95251</xdr:rowOff>
    </xdr:from>
    <xdr:to>
      <xdr:col>12</xdr:col>
      <xdr:colOff>588311</xdr:colOff>
      <xdr:row>24</xdr:row>
      <xdr:rowOff>63472</xdr:rowOff>
    </xdr:to>
    <xdr:cxnSp macro="">
      <xdr:nvCxnSpPr>
        <xdr:cNvPr id="360" name="Elbow Connector 359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CxnSpPr>
          <a:stCxn id="206" idx="2"/>
          <a:endCxn id="347" idx="6"/>
        </xdr:cNvCxnSpPr>
      </xdr:nvCxnSpPr>
      <xdr:spPr>
        <a:xfrm rot="5400000">
          <a:off x="9127596" y="4467786"/>
          <a:ext cx="158721" cy="176651"/>
        </a:xfrm>
        <a:prstGeom prst="bentConnector2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517877</xdr:colOff>
      <xdr:row>24</xdr:row>
      <xdr:rowOff>58708</xdr:rowOff>
    </xdr:from>
    <xdr:to>
      <xdr:col>12</xdr:col>
      <xdr:colOff>180805</xdr:colOff>
      <xdr:row>24</xdr:row>
      <xdr:rowOff>63472</xdr:rowOff>
    </xdr:to>
    <xdr:cxnSp macro="">
      <xdr:nvCxnSpPr>
        <xdr:cNvPr id="362" name="Straight Arrow Connector 361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CxnSpPr>
          <a:stCxn id="347" idx="2"/>
          <a:endCxn id="397" idx="6"/>
        </xdr:cNvCxnSpPr>
      </xdr:nvCxnSpPr>
      <xdr:spPr>
        <a:xfrm flipH="1" flipV="1">
          <a:off x="8014612" y="4630708"/>
          <a:ext cx="873164" cy="4764"/>
        </a:xfrm>
        <a:prstGeom prst="straightConnector1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22410</xdr:colOff>
      <xdr:row>12</xdr:row>
      <xdr:rowOff>42746</xdr:rowOff>
    </xdr:from>
    <xdr:to>
      <xdr:col>27</xdr:col>
      <xdr:colOff>541803</xdr:colOff>
      <xdr:row>15</xdr:row>
      <xdr:rowOff>24383</xdr:rowOff>
    </xdr:to>
    <xdr:grpSp>
      <xdr:nvGrpSpPr>
        <xdr:cNvPr id="364" name="Group 363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GrpSpPr/>
      </xdr:nvGrpSpPr>
      <xdr:grpSpPr>
        <a:xfrm>
          <a:off x="18092696" y="2297645"/>
          <a:ext cx="519393" cy="541472"/>
          <a:chOff x="3048000" y="7239000"/>
          <a:chExt cx="440065" cy="448362"/>
        </a:xfrm>
      </xdr:grpSpPr>
      <xdr:cxnSp macro="">
        <xdr:nvCxnSpPr>
          <xdr:cNvPr id="365" name="Straight Connector 364">
            <a:extLst>
              <a:ext uri="{FF2B5EF4-FFF2-40B4-BE49-F238E27FC236}">
                <a16:creationId xmlns:a16="http://schemas.microsoft.com/office/drawing/2014/main" id="{00000000-0008-0000-0100-00006D010000}"/>
              </a:ext>
            </a:extLst>
          </xdr:cNvPr>
          <xdr:cNvCxnSpPr/>
        </xdr:nvCxnSpPr>
        <xdr:spPr>
          <a:xfrm flipH="1">
            <a:off x="3270388" y="7239000"/>
            <a:ext cx="217677" cy="285903"/>
          </a:xfrm>
          <a:prstGeom prst="line">
            <a:avLst/>
          </a:prstGeom>
          <a:ln>
            <a:solidFill>
              <a:schemeClr val="tx1"/>
            </a:solidFill>
            <a:headEnd type="stealth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" name="Straight Connector 365">
            <a:extLst>
              <a:ext uri="{FF2B5EF4-FFF2-40B4-BE49-F238E27FC236}">
                <a16:creationId xmlns:a16="http://schemas.microsoft.com/office/drawing/2014/main" id="{00000000-0008-0000-0100-00006E010000}"/>
              </a:ext>
            </a:extLst>
          </xdr:cNvPr>
          <xdr:cNvCxnSpPr/>
        </xdr:nvCxnSpPr>
        <xdr:spPr>
          <a:xfrm flipH="1">
            <a:off x="3048000" y="7524903"/>
            <a:ext cx="122344" cy="162459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" name="Straight Connector 366">
            <a:extLst>
              <a:ext uri="{FF2B5EF4-FFF2-40B4-BE49-F238E27FC236}">
                <a16:creationId xmlns:a16="http://schemas.microsoft.com/office/drawing/2014/main" id="{00000000-0008-0000-0100-00006F010000}"/>
              </a:ext>
            </a:extLst>
          </xdr:cNvPr>
          <xdr:cNvCxnSpPr/>
        </xdr:nvCxnSpPr>
        <xdr:spPr>
          <a:xfrm flipH="1" flipV="1">
            <a:off x="3169524" y="7524903"/>
            <a:ext cx="11293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8" name="Oval 367">
            <a:extLst>
              <a:ext uri="{FF2B5EF4-FFF2-40B4-BE49-F238E27FC236}">
                <a16:creationId xmlns:a16="http://schemas.microsoft.com/office/drawing/2014/main" id="{00000000-0008-0000-0100-000070010000}"/>
              </a:ext>
            </a:extLst>
          </xdr:cNvPr>
          <xdr:cNvSpPr/>
        </xdr:nvSpPr>
        <xdr:spPr>
          <a:xfrm>
            <a:off x="3076575" y="7324725"/>
            <a:ext cx="340021" cy="333382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26</xdr:col>
      <xdr:colOff>285248</xdr:colOff>
      <xdr:row>13</xdr:row>
      <xdr:rowOff>163648</xdr:rowOff>
    </xdr:from>
    <xdr:to>
      <xdr:col>27</xdr:col>
      <xdr:colOff>56136</xdr:colOff>
      <xdr:row>13</xdr:row>
      <xdr:rowOff>163886</xdr:rowOff>
    </xdr:to>
    <xdr:cxnSp macro="">
      <xdr:nvCxnSpPr>
        <xdr:cNvPr id="373" name="Straight Arrow Connector 372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CxnSpPr>
          <a:stCxn id="294" idx="6"/>
          <a:endCxn id="368" idx="2"/>
        </xdr:cNvCxnSpPr>
      </xdr:nvCxnSpPr>
      <xdr:spPr>
        <a:xfrm flipV="1">
          <a:off x="16320866" y="2640148"/>
          <a:ext cx="376005" cy="238"/>
        </a:xfrm>
        <a:prstGeom prst="straightConnector1">
          <a:avLst/>
        </a:prstGeom>
        <a:ln w="1905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4201</xdr:colOff>
      <xdr:row>17</xdr:row>
      <xdr:rowOff>46223</xdr:rowOff>
    </xdr:from>
    <xdr:to>
      <xdr:col>28</xdr:col>
      <xdr:colOff>561691</xdr:colOff>
      <xdr:row>18</xdr:row>
      <xdr:rowOff>141473</xdr:rowOff>
    </xdr:to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 txBox="1"/>
      </xdr:nvSpPr>
      <xdr:spPr>
        <a:xfrm>
          <a:off x="16644936" y="3284723"/>
          <a:ext cx="1162608" cy="285750"/>
        </a:xfrm>
        <a:prstGeom prst="rect">
          <a:avLst/>
        </a:prstGeom>
        <a:solidFill>
          <a:schemeClr val="lt1"/>
        </a:solidFill>
        <a:ln w="9525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Wax to Storage</a:t>
          </a:r>
        </a:p>
      </xdr:txBody>
    </xdr:sp>
    <xdr:clientData/>
  </xdr:twoCellAnchor>
  <xdr:twoCellAnchor>
    <xdr:from>
      <xdr:col>4</xdr:col>
      <xdr:colOff>190500</xdr:colOff>
      <xdr:row>34</xdr:row>
      <xdr:rowOff>168088</xdr:rowOff>
    </xdr:from>
    <xdr:to>
      <xdr:col>5</xdr:col>
      <xdr:colOff>409591</xdr:colOff>
      <xdr:row>38</xdr:row>
      <xdr:rowOff>46310</xdr:rowOff>
    </xdr:to>
    <xdr:grpSp>
      <xdr:nvGrpSpPr>
        <xdr:cNvPr id="379" name="Group 378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GrpSpPr/>
      </xdr:nvGrpSpPr>
      <xdr:grpSpPr>
        <a:xfrm>
          <a:off x="2771970" y="6528455"/>
          <a:ext cx="988865" cy="624671"/>
          <a:chOff x="10304318" y="4191000"/>
          <a:chExt cx="825229" cy="640222"/>
        </a:xfrm>
      </xdr:grpSpPr>
      <xdr:sp macro="" textlink="">
        <xdr:nvSpPr>
          <xdr:cNvPr id="380" name="Trapezoid 379">
            <a:extLst>
              <a:ext uri="{FF2B5EF4-FFF2-40B4-BE49-F238E27FC236}">
                <a16:creationId xmlns:a16="http://schemas.microsoft.com/office/drawing/2014/main" id="{00000000-0008-0000-0100-00007C010000}"/>
              </a:ext>
            </a:extLst>
          </xdr:cNvPr>
          <xdr:cNvSpPr/>
        </xdr:nvSpPr>
        <xdr:spPr>
          <a:xfrm>
            <a:off x="10573632" y="4508389"/>
            <a:ext cx="252460" cy="102907"/>
          </a:xfrm>
          <a:prstGeom prst="trapezoid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81" name="Oval 380">
            <a:extLst>
              <a:ext uri="{FF2B5EF4-FFF2-40B4-BE49-F238E27FC236}">
                <a16:creationId xmlns:a16="http://schemas.microsoft.com/office/drawing/2014/main" id="{00000000-0008-0000-0100-00007D010000}"/>
              </a:ext>
            </a:extLst>
          </xdr:cNvPr>
          <xdr:cNvSpPr/>
        </xdr:nvSpPr>
        <xdr:spPr>
          <a:xfrm>
            <a:off x="10531556" y="4191000"/>
            <a:ext cx="311367" cy="30872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82" name="TextBox 381">
            <a:extLst>
              <a:ext uri="{FF2B5EF4-FFF2-40B4-BE49-F238E27FC236}">
                <a16:creationId xmlns:a16="http://schemas.microsoft.com/office/drawing/2014/main" id="{00000000-0008-0000-0100-00007E010000}"/>
              </a:ext>
            </a:extLst>
          </xdr:cNvPr>
          <xdr:cNvSpPr txBox="1"/>
        </xdr:nvSpPr>
        <xdr:spPr>
          <a:xfrm>
            <a:off x="10304318" y="4589646"/>
            <a:ext cx="825229" cy="241576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P301/A</a:t>
            </a:r>
            <a:r>
              <a:rPr lang="en-CA" sz="1000" baseline="0"/>
              <a:t> </a:t>
            </a:r>
            <a:r>
              <a:rPr lang="en-CA" sz="1100" baseline="0"/>
              <a:t>  </a:t>
            </a:r>
            <a:endParaRPr lang="en-CA" sz="1100"/>
          </a:p>
        </xdr:txBody>
      </xdr:sp>
    </xdr:grpSp>
    <xdr:clientData/>
  </xdr:twoCellAnchor>
  <xdr:twoCellAnchor>
    <xdr:from>
      <xdr:col>2</xdr:col>
      <xdr:colOff>314326</xdr:colOff>
      <xdr:row>3</xdr:row>
      <xdr:rowOff>85725</xdr:rowOff>
    </xdr:from>
    <xdr:to>
      <xdr:col>9</xdr:col>
      <xdr:colOff>58208</xdr:colOff>
      <xdr:row>34</xdr:row>
      <xdr:rowOff>38047</xdr:rowOff>
    </xdr:to>
    <xdr:cxnSp macro="">
      <xdr:nvCxnSpPr>
        <xdr:cNvPr id="388" name="Elbow Connector 387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CxnSpPr>
          <a:stCxn id="129" idx="3"/>
          <a:endCxn id="2" idx="3"/>
        </xdr:cNvCxnSpPr>
      </xdr:nvCxnSpPr>
      <xdr:spPr>
        <a:xfrm rot="10800000">
          <a:off x="2734797" y="657225"/>
          <a:ext cx="3979705" cy="5476822"/>
        </a:xfrm>
        <a:prstGeom prst="bentConnector4">
          <a:avLst>
            <a:gd name="adj1" fmla="val 125573"/>
            <a:gd name="adj2" fmla="val 104174"/>
          </a:avLst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34</xdr:row>
      <xdr:rowOff>179294</xdr:rowOff>
    </xdr:from>
    <xdr:to>
      <xdr:col>3</xdr:col>
      <xdr:colOff>557493</xdr:colOff>
      <xdr:row>36</xdr:row>
      <xdr:rowOff>84044</xdr:rowOff>
    </xdr:to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 txBox="1"/>
      </xdr:nvSpPr>
      <xdr:spPr>
        <a:xfrm>
          <a:off x="2420471" y="6275294"/>
          <a:ext cx="116261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Waxy Feed</a:t>
          </a:r>
        </a:p>
      </xdr:txBody>
    </xdr:sp>
    <xdr:clientData/>
  </xdr:twoCellAnchor>
  <xdr:twoCellAnchor>
    <xdr:from>
      <xdr:col>3</xdr:col>
      <xdr:colOff>557493</xdr:colOff>
      <xdr:row>35</xdr:row>
      <xdr:rowOff>131669</xdr:rowOff>
    </xdr:from>
    <xdr:to>
      <xdr:col>4</xdr:col>
      <xdr:colOff>419053</xdr:colOff>
      <xdr:row>35</xdr:row>
      <xdr:rowOff>131949</xdr:rowOff>
    </xdr:to>
    <xdr:cxnSp macro="">
      <xdr:nvCxnSpPr>
        <xdr:cNvPr id="392" name="Elbow Connector 391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CxnSpPr>
          <a:stCxn id="390" idx="3"/>
          <a:endCxn id="381" idx="2"/>
        </xdr:cNvCxnSpPr>
      </xdr:nvCxnSpPr>
      <xdr:spPr>
        <a:xfrm>
          <a:off x="3993062" y="6799169"/>
          <a:ext cx="472474" cy="280"/>
        </a:xfrm>
        <a:prstGeom prst="bentConnector3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82837</xdr:colOff>
      <xdr:row>22</xdr:row>
      <xdr:rowOff>128306</xdr:rowOff>
    </xdr:from>
    <xdr:to>
      <xdr:col>10</xdr:col>
      <xdr:colOff>602229</xdr:colOff>
      <xdr:row>25</xdr:row>
      <xdr:rowOff>109943</xdr:rowOff>
    </xdr:to>
    <xdr:grpSp>
      <xdr:nvGrpSpPr>
        <xdr:cNvPr id="393" name="Group 392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GrpSpPr/>
      </xdr:nvGrpSpPr>
      <xdr:grpSpPr>
        <a:xfrm>
          <a:off x="6901960" y="4249326"/>
          <a:ext cx="519392" cy="541474"/>
          <a:chOff x="3048000" y="7239000"/>
          <a:chExt cx="440065" cy="448362"/>
        </a:xfrm>
      </xdr:grpSpPr>
      <xdr:cxnSp macro="">
        <xdr:nvCxnSpPr>
          <xdr:cNvPr id="394" name="Straight Connector 393">
            <a:extLst>
              <a:ext uri="{FF2B5EF4-FFF2-40B4-BE49-F238E27FC236}">
                <a16:creationId xmlns:a16="http://schemas.microsoft.com/office/drawing/2014/main" id="{00000000-0008-0000-0100-00008A010000}"/>
              </a:ext>
            </a:extLst>
          </xdr:cNvPr>
          <xdr:cNvCxnSpPr/>
        </xdr:nvCxnSpPr>
        <xdr:spPr>
          <a:xfrm flipH="1">
            <a:off x="3270388" y="7239000"/>
            <a:ext cx="217677" cy="285903"/>
          </a:xfrm>
          <a:prstGeom prst="line">
            <a:avLst/>
          </a:prstGeom>
          <a:ln>
            <a:solidFill>
              <a:schemeClr val="tx1"/>
            </a:solidFill>
            <a:headEnd type="stealth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" name="Straight Connector 394">
            <a:extLst>
              <a:ext uri="{FF2B5EF4-FFF2-40B4-BE49-F238E27FC236}">
                <a16:creationId xmlns:a16="http://schemas.microsoft.com/office/drawing/2014/main" id="{00000000-0008-0000-0100-00008B010000}"/>
              </a:ext>
            </a:extLst>
          </xdr:cNvPr>
          <xdr:cNvCxnSpPr/>
        </xdr:nvCxnSpPr>
        <xdr:spPr>
          <a:xfrm flipH="1">
            <a:off x="3048000" y="7524903"/>
            <a:ext cx="122344" cy="162459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" name="Straight Connector 395">
            <a:extLst>
              <a:ext uri="{FF2B5EF4-FFF2-40B4-BE49-F238E27FC236}">
                <a16:creationId xmlns:a16="http://schemas.microsoft.com/office/drawing/2014/main" id="{00000000-0008-0000-0100-00008C010000}"/>
              </a:ext>
            </a:extLst>
          </xdr:cNvPr>
          <xdr:cNvCxnSpPr/>
        </xdr:nvCxnSpPr>
        <xdr:spPr>
          <a:xfrm flipH="1" flipV="1">
            <a:off x="3169524" y="7524903"/>
            <a:ext cx="11293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7" name="Oval 396">
            <a:extLst>
              <a:ext uri="{FF2B5EF4-FFF2-40B4-BE49-F238E27FC236}">
                <a16:creationId xmlns:a16="http://schemas.microsoft.com/office/drawing/2014/main" id="{00000000-0008-0000-0100-00008D010000}"/>
              </a:ext>
            </a:extLst>
          </xdr:cNvPr>
          <xdr:cNvSpPr/>
        </xdr:nvSpPr>
        <xdr:spPr>
          <a:xfrm>
            <a:off x="3076575" y="7324725"/>
            <a:ext cx="340021" cy="333382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9</xdr:col>
      <xdr:colOff>395951</xdr:colOff>
      <xdr:row>24</xdr:row>
      <xdr:rowOff>57578</xdr:rowOff>
    </xdr:from>
    <xdr:to>
      <xdr:col>10</xdr:col>
      <xdr:colOff>116563</xdr:colOff>
      <xdr:row>24</xdr:row>
      <xdr:rowOff>58708</xdr:rowOff>
    </xdr:to>
    <xdr:cxnSp macro="">
      <xdr:nvCxnSpPr>
        <xdr:cNvPr id="399" name="Straight Arrow Connector 398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CxnSpPr>
          <a:stCxn id="397" idx="2"/>
          <a:endCxn id="105" idx="6"/>
        </xdr:cNvCxnSpPr>
      </xdr:nvCxnSpPr>
      <xdr:spPr>
        <a:xfrm flipH="1" flipV="1">
          <a:off x="7052245" y="4629578"/>
          <a:ext cx="561053" cy="1130"/>
        </a:xfrm>
        <a:prstGeom prst="straightConnector1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429291</xdr:colOff>
      <xdr:row>24</xdr:row>
      <xdr:rowOff>54216</xdr:rowOff>
    </xdr:from>
    <xdr:to>
      <xdr:col>8</xdr:col>
      <xdr:colOff>600075</xdr:colOff>
      <xdr:row>24</xdr:row>
      <xdr:rowOff>57578</xdr:rowOff>
    </xdr:to>
    <xdr:cxnSp macro="">
      <xdr:nvCxnSpPr>
        <xdr:cNvPr id="402" name="Straight Arrow Connector 401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CxnSpPr>
          <a:stCxn id="105" idx="2"/>
          <a:endCxn id="350" idx="6"/>
        </xdr:cNvCxnSpPr>
      </xdr:nvCxnSpPr>
      <xdr:spPr>
        <a:xfrm flipH="1" flipV="1">
          <a:off x="5894260" y="4626216"/>
          <a:ext cx="778003" cy="3362"/>
        </a:xfrm>
        <a:prstGeom prst="straightConnector1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216061</xdr:colOff>
      <xdr:row>23</xdr:row>
      <xdr:rowOff>56030</xdr:rowOff>
    </xdr:from>
    <xdr:to>
      <xdr:col>6</xdr:col>
      <xdr:colOff>14318</xdr:colOff>
      <xdr:row>25</xdr:row>
      <xdr:rowOff>56885</xdr:rowOff>
    </xdr:to>
    <xdr:grpSp>
      <xdr:nvGrpSpPr>
        <xdr:cNvPr id="405" name="Group 404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GrpSpPr/>
      </xdr:nvGrpSpPr>
      <xdr:grpSpPr>
        <a:xfrm>
          <a:off x="3567305" y="4363663"/>
          <a:ext cx="443626" cy="374079"/>
          <a:chOff x="4236641" y="3810000"/>
          <a:chExt cx="341638" cy="335549"/>
        </a:xfrm>
      </xdr:grpSpPr>
      <xdr:sp macro="" textlink="">
        <xdr:nvSpPr>
          <xdr:cNvPr id="406" name="Oval 405">
            <a:extLst>
              <a:ext uri="{FF2B5EF4-FFF2-40B4-BE49-F238E27FC236}">
                <a16:creationId xmlns:a16="http://schemas.microsoft.com/office/drawing/2014/main" id="{00000000-0008-0000-0100-000096010000}"/>
              </a:ext>
            </a:extLst>
          </xdr:cNvPr>
          <xdr:cNvSpPr/>
        </xdr:nvSpPr>
        <xdr:spPr>
          <a:xfrm>
            <a:off x="4236641" y="3810000"/>
            <a:ext cx="341638" cy="335549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407" name="Straight Connector 406">
            <a:extLst>
              <a:ext uri="{FF2B5EF4-FFF2-40B4-BE49-F238E27FC236}">
                <a16:creationId xmlns:a16="http://schemas.microsoft.com/office/drawing/2014/main" id="{00000000-0008-0000-0100-000097010000}"/>
              </a:ext>
            </a:extLst>
          </xdr:cNvPr>
          <xdr:cNvCxnSpPr>
            <a:endCxn id="406" idx="2"/>
          </xdr:cNvCxnSpPr>
        </xdr:nvCxnSpPr>
        <xdr:spPr>
          <a:xfrm flipH="1" flipV="1">
            <a:off x="4236641" y="3977775"/>
            <a:ext cx="112331" cy="21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" name="Straight Connector 407">
            <a:extLst>
              <a:ext uri="{FF2B5EF4-FFF2-40B4-BE49-F238E27FC236}">
                <a16:creationId xmlns:a16="http://schemas.microsoft.com/office/drawing/2014/main" id="{00000000-0008-0000-0100-000098010000}"/>
              </a:ext>
            </a:extLst>
          </xdr:cNvPr>
          <xdr:cNvCxnSpPr/>
        </xdr:nvCxnSpPr>
        <xdr:spPr>
          <a:xfrm flipH="1" flipV="1">
            <a:off x="4348974" y="3984221"/>
            <a:ext cx="59691" cy="7475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" name="Straight Connector 408">
            <a:extLst>
              <a:ext uri="{FF2B5EF4-FFF2-40B4-BE49-F238E27FC236}">
                <a16:creationId xmlns:a16="http://schemas.microsoft.com/office/drawing/2014/main" id="{00000000-0008-0000-0100-000099010000}"/>
              </a:ext>
            </a:extLst>
          </xdr:cNvPr>
          <xdr:cNvCxnSpPr/>
        </xdr:nvCxnSpPr>
        <xdr:spPr>
          <a:xfrm flipH="1" flipV="1">
            <a:off x="4452321" y="3913168"/>
            <a:ext cx="43026" cy="74721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0" name="Straight Connector 409">
            <a:extLst>
              <a:ext uri="{FF2B5EF4-FFF2-40B4-BE49-F238E27FC236}">
                <a16:creationId xmlns:a16="http://schemas.microsoft.com/office/drawing/2014/main" id="{00000000-0008-0000-0100-00009A010000}"/>
              </a:ext>
            </a:extLst>
          </xdr:cNvPr>
          <xdr:cNvCxnSpPr/>
        </xdr:nvCxnSpPr>
        <xdr:spPr>
          <a:xfrm flipH="1">
            <a:off x="4495345" y="3987672"/>
            <a:ext cx="76608" cy="2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1" name="Straight Connector 410">
            <a:extLst>
              <a:ext uri="{FF2B5EF4-FFF2-40B4-BE49-F238E27FC236}">
                <a16:creationId xmlns:a16="http://schemas.microsoft.com/office/drawing/2014/main" id="{00000000-0008-0000-0100-00009B010000}"/>
              </a:ext>
            </a:extLst>
          </xdr:cNvPr>
          <xdr:cNvCxnSpPr/>
        </xdr:nvCxnSpPr>
        <xdr:spPr>
          <a:xfrm flipH="1">
            <a:off x="4411611" y="3921503"/>
            <a:ext cx="43148" cy="149506"/>
          </a:xfrm>
          <a:prstGeom prst="line">
            <a:avLst/>
          </a:prstGeom>
          <a:ln>
            <a:solidFill>
              <a:schemeClr val="tx1"/>
            </a:solidFill>
            <a:headEnd type="none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486825</xdr:colOff>
      <xdr:row>23</xdr:row>
      <xdr:rowOff>56801</xdr:rowOff>
    </xdr:from>
    <xdr:to>
      <xdr:col>4</xdr:col>
      <xdr:colOff>287183</xdr:colOff>
      <xdr:row>25</xdr:row>
      <xdr:rowOff>57656</xdr:rowOff>
    </xdr:to>
    <xdr:grpSp>
      <xdr:nvGrpSpPr>
        <xdr:cNvPr id="412" name="Group 411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GrpSpPr/>
      </xdr:nvGrpSpPr>
      <xdr:grpSpPr>
        <a:xfrm>
          <a:off x="2422926" y="4364434"/>
          <a:ext cx="445727" cy="374079"/>
          <a:chOff x="4236641" y="3810000"/>
          <a:chExt cx="341638" cy="335549"/>
        </a:xfrm>
      </xdr:grpSpPr>
      <xdr:sp macro="" textlink="">
        <xdr:nvSpPr>
          <xdr:cNvPr id="413" name="Oval 412">
            <a:extLst>
              <a:ext uri="{FF2B5EF4-FFF2-40B4-BE49-F238E27FC236}">
                <a16:creationId xmlns:a16="http://schemas.microsoft.com/office/drawing/2014/main" id="{00000000-0008-0000-0100-00009D010000}"/>
              </a:ext>
            </a:extLst>
          </xdr:cNvPr>
          <xdr:cNvSpPr/>
        </xdr:nvSpPr>
        <xdr:spPr>
          <a:xfrm>
            <a:off x="4236641" y="3810000"/>
            <a:ext cx="341638" cy="335549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414" name="Straight Connector 413">
            <a:extLst>
              <a:ext uri="{FF2B5EF4-FFF2-40B4-BE49-F238E27FC236}">
                <a16:creationId xmlns:a16="http://schemas.microsoft.com/office/drawing/2014/main" id="{00000000-0008-0000-0100-00009E010000}"/>
              </a:ext>
            </a:extLst>
          </xdr:cNvPr>
          <xdr:cNvCxnSpPr>
            <a:endCxn id="413" idx="2"/>
          </xdr:cNvCxnSpPr>
        </xdr:nvCxnSpPr>
        <xdr:spPr>
          <a:xfrm flipH="1" flipV="1">
            <a:off x="4236641" y="3977775"/>
            <a:ext cx="112331" cy="21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" name="Straight Connector 414">
            <a:extLst>
              <a:ext uri="{FF2B5EF4-FFF2-40B4-BE49-F238E27FC236}">
                <a16:creationId xmlns:a16="http://schemas.microsoft.com/office/drawing/2014/main" id="{00000000-0008-0000-0100-00009F010000}"/>
              </a:ext>
            </a:extLst>
          </xdr:cNvPr>
          <xdr:cNvCxnSpPr/>
        </xdr:nvCxnSpPr>
        <xdr:spPr>
          <a:xfrm flipH="1" flipV="1">
            <a:off x="4348974" y="3984221"/>
            <a:ext cx="59691" cy="7475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" name="Straight Connector 415">
            <a:extLst>
              <a:ext uri="{FF2B5EF4-FFF2-40B4-BE49-F238E27FC236}">
                <a16:creationId xmlns:a16="http://schemas.microsoft.com/office/drawing/2014/main" id="{00000000-0008-0000-0100-0000A0010000}"/>
              </a:ext>
            </a:extLst>
          </xdr:cNvPr>
          <xdr:cNvCxnSpPr/>
        </xdr:nvCxnSpPr>
        <xdr:spPr>
          <a:xfrm flipH="1" flipV="1">
            <a:off x="4452321" y="3913168"/>
            <a:ext cx="43026" cy="74721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" name="Straight Connector 416">
            <a:extLst>
              <a:ext uri="{FF2B5EF4-FFF2-40B4-BE49-F238E27FC236}">
                <a16:creationId xmlns:a16="http://schemas.microsoft.com/office/drawing/2014/main" id="{00000000-0008-0000-0100-0000A1010000}"/>
              </a:ext>
            </a:extLst>
          </xdr:cNvPr>
          <xdr:cNvCxnSpPr/>
        </xdr:nvCxnSpPr>
        <xdr:spPr>
          <a:xfrm flipH="1">
            <a:off x="4495345" y="3987672"/>
            <a:ext cx="76608" cy="2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" name="Straight Connector 417">
            <a:extLst>
              <a:ext uri="{FF2B5EF4-FFF2-40B4-BE49-F238E27FC236}">
                <a16:creationId xmlns:a16="http://schemas.microsoft.com/office/drawing/2014/main" id="{00000000-0008-0000-0100-0000A2010000}"/>
              </a:ext>
            </a:extLst>
          </xdr:cNvPr>
          <xdr:cNvCxnSpPr/>
        </xdr:nvCxnSpPr>
        <xdr:spPr>
          <a:xfrm flipH="1">
            <a:off x="4411611" y="3921503"/>
            <a:ext cx="43148" cy="149506"/>
          </a:xfrm>
          <a:prstGeom prst="line">
            <a:avLst/>
          </a:prstGeom>
          <a:ln>
            <a:solidFill>
              <a:schemeClr val="tx1"/>
            </a:solidFill>
            <a:headEnd type="none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14318</xdr:colOff>
      <xdr:row>24</xdr:row>
      <xdr:rowOff>54216</xdr:rowOff>
    </xdr:from>
    <xdr:to>
      <xdr:col>7</xdr:col>
      <xdr:colOff>23815</xdr:colOff>
      <xdr:row>24</xdr:row>
      <xdr:rowOff>56458</xdr:rowOff>
    </xdr:to>
    <xdr:cxnSp macro="">
      <xdr:nvCxnSpPr>
        <xdr:cNvPr id="419" name="Straight Arrow Connector 418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CxnSpPr>
          <a:stCxn id="350" idx="2"/>
          <a:endCxn id="406" idx="6"/>
        </xdr:cNvCxnSpPr>
      </xdr:nvCxnSpPr>
      <xdr:spPr>
        <a:xfrm flipH="1">
          <a:off x="4872068" y="4626216"/>
          <a:ext cx="616716" cy="2242"/>
        </a:xfrm>
        <a:prstGeom prst="straightConnector1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287183</xdr:colOff>
      <xdr:row>24</xdr:row>
      <xdr:rowOff>56458</xdr:rowOff>
    </xdr:from>
    <xdr:to>
      <xdr:col>5</xdr:col>
      <xdr:colOff>216061</xdr:colOff>
      <xdr:row>24</xdr:row>
      <xdr:rowOff>57229</xdr:rowOff>
    </xdr:to>
    <xdr:cxnSp macro="">
      <xdr:nvCxnSpPr>
        <xdr:cNvPr id="422" name="Straight Arrow Connector 421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CxnSpPr>
          <a:stCxn id="406" idx="2"/>
          <a:endCxn id="413" idx="6"/>
        </xdr:cNvCxnSpPr>
      </xdr:nvCxnSpPr>
      <xdr:spPr>
        <a:xfrm flipH="1">
          <a:off x="3930496" y="4628458"/>
          <a:ext cx="536096" cy="771"/>
        </a:xfrm>
        <a:prstGeom prst="straightConnector1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47626</xdr:colOff>
      <xdr:row>8</xdr:row>
      <xdr:rowOff>42863</xdr:rowOff>
    </xdr:from>
    <xdr:to>
      <xdr:col>3</xdr:col>
      <xdr:colOff>486825</xdr:colOff>
      <xdr:row>24</xdr:row>
      <xdr:rowOff>57230</xdr:rowOff>
    </xdr:to>
    <xdr:cxnSp macro="">
      <xdr:nvCxnSpPr>
        <xdr:cNvPr id="427" name="Elbow Connector 426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CxnSpPr>
          <a:stCxn id="413" idx="2"/>
          <a:endCxn id="2" idx="0"/>
        </xdr:cNvCxnSpPr>
      </xdr:nvCxnSpPr>
      <xdr:spPr>
        <a:xfrm rot="10800000">
          <a:off x="2499278" y="1566863"/>
          <a:ext cx="1052112" cy="3062367"/>
        </a:xfrm>
        <a:prstGeom prst="bentConnector3">
          <a:avLst>
            <a:gd name="adj1" fmla="val 115922"/>
          </a:avLst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402828</xdr:colOff>
      <xdr:row>17</xdr:row>
      <xdr:rowOff>14288</xdr:rowOff>
    </xdr:from>
    <xdr:to>
      <xdr:col>14</xdr:col>
      <xdr:colOff>585789</xdr:colOff>
      <xdr:row>18</xdr:row>
      <xdr:rowOff>90927</xdr:rowOff>
    </xdr:to>
    <xdr:cxnSp macro="">
      <xdr:nvCxnSpPr>
        <xdr:cNvPr id="430" name="Elbow Connector 429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CxnSpPr>
          <a:stCxn id="42" idx="2"/>
          <a:endCxn id="663" idx="6"/>
        </xdr:cNvCxnSpPr>
      </xdr:nvCxnSpPr>
      <xdr:spPr>
        <a:xfrm rot="5400000">
          <a:off x="10723939" y="3294877"/>
          <a:ext cx="267139" cy="182961"/>
        </a:xfrm>
        <a:prstGeom prst="bentConnector2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16332</xdr:colOff>
      <xdr:row>6</xdr:row>
      <xdr:rowOff>153080</xdr:rowOff>
    </xdr:from>
    <xdr:to>
      <xdr:col>12</xdr:col>
      <xdr:colOff>524610</xdr:colOff>
      <xdr:row>18</xdr:row>
      <xdr:rowOff>72118</xdr:rowOff>
    </xdr:to>
    <xdr:cxnSp macro="">
      <xdr:nvCxnSpPr>
        <xdr:cNvPr id="436" name="Elbow Connector 435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CxnSpPr/>
      </xdr:nvCxnSpPr>
      <xdr:spPr>
        <a:xfrm rot="16200000" flipV="1">
          <a:off x="6992058" y="2171675"/>
          <a:ext cx="2259467" cy="508278"/>
        </a:xfrm>
        <a:prstGeom prst="bentConnector2">
          <a:avLst/>
        </a:prstGeom>
        <a:ln w="1905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495300</xdr:colOff>
      <xdr:row>3</xdr:row>
      <xdr:rowOff>133350</xdr:rowOff>
    </xdr:from>
    <xdr:to>
      <xdr:col>11</xdr:col>
      <xdr:colOff>309564</xdr:colOff>
      <xdr:row>24</xdr:row>
      <xdr:rowOff>47625</xdr:rowOff>
    </xdr:to>
    <xdr:cxnSp macro="">
      <xdr:nvCxnSpPr>
        <xdr:cNvPr id="439" name="Elbow Connector 438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CxnSpPr>
          <a:endCxn id="28" idx="3"/>
        </xdr:cNvCxnSpPr>
      </xdr:nvCxnSpPr>
      <xdr:spPr>
        <a:xfrm flipV="1">
          <a:off x="2705100" y="704850"/>
          <a:ext cx="6138864" cy="3914775"/>
        </a:xfrm>
        <a:prstGeom prst="bentConnector4">
          <a:avLst>
            <a:gd name="adj1" fmla="val -15283"/>
            <a:gd name="adj2" fmla="val 110705"/>
          </a:avLst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190501</xdr:colOff>
      <xdr:row>10</xdr:row>
      <xdr:rowOff>0</xdr:rowOff>
    </xdr:from>
    <xdr:to>
      <xdr:col>1</xdr:col>
      <xdr:colOff>515471</xdr:colOff>
      <xdr:row>18</xdr:row>
      <xdr:rowOff>67235</xdr:rowOff>
    </xdr:to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 txBox="1"/>
      </xdr:nvSpPr>
      <xdr:spPr>
        <a:xfrm>
          <a:off x="2005854" y="1905000"/>
          <a:ext cx="324970" cy="1591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1100" b="1"/>
            <a:t>Dilution Solvent</a:t>
          </a:r>
        </a:p>
      </xdr:txBody>
    </xdr:sp>
    <xdr:clientData/>
  </xdr:twoCellAnchor>
  <xdr:twoCellAnchor>
    <xdr:from>
      <xdr:col>7</xdr:col>
      <xdr:colOff>173691</xdr:colOff>
      <xdr:row>0</xdr:row>
      <xdr:rowOff>28017</xdr:rowOff>
    </xdr:from>
    <xdr:to>
      <xdr:col>9</xdr:col>
      <xdr:colOff>554691</xdr:colOff>
      <xdr:row>1</xdr:row>
      <xdr:rowOff>162487</xdr:rowOff>
    </xdr:to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 txBox="1"/>
      </xdr:nvSpPr>
      <xdr:spPr>
        <a:xfrm rot="5400000">
          <a:off x="6252883" y="-605116"/>
          <a:ext cx="324970" cy="1591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1100" b="1"/>
            <a:t>Cold Repulp Solvent</a:t>
          </a:r>
        </a:p>
      </xdr:txBody>
    </xdr:sp>
    <xdr:clientData/>
  </xdr:twoCellAnchor>
  <xdr:twoCellAnchor>
    <xdr:from>
      <xdr:col>21</xdr:col>
      <xdr:colOff>11207</xdr:colOff>
      <xdr:row>25</xdr:row>
      <xdr:rowOff>22412</xdr:rowOff>
    </xdr:from>
    <xdr:to>
      <xdr:col>22</xdr:col>
      <xdr:colOff>20732</xdr:colOff>
      <xdr:row>37</xdr:row>
      <xdr:rowOff>40902</xdr:rowOff>
    </xdr:to>
    <xdr:grpSp>
      <xdr:nvGrpSpPr>
        <xdr:cNvPr id="455" name="Group 454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GrpSpPr/>
      </xdr:nvGrpSpPr>
      <xdr:grpSpPr>
        <a:xfrm>
          <a:off x="14170411" y="4703269"/>
          <a:ext cx="654892" cy="2257837"/>
          <a:chOff x="15049501" y="3776382"/>
          <a:chExt cx="614643" cy="2181226"/>
        </a:xfrm>
      </xdr:grpSpPr>
      <xdr:sp macro="" textlink="">
        <xdr:nvSpPr>
          <xdr:cNvPr id="451" name="Flowchart: Terminator 450">
            <a:extLst>
              <a:ext uri="{FF2B5EF4-FFF2-40B4-BE49-F238E27FC236}">
                <a16:creationId xmlns:a16="http://schemas.microsoft.com/office/drawing/2014/main" id="{00000000-0008-0000-0100-0000C3010000}"/>
              </a:ext>
            </a:extLst>
          </xdr:cNvPr>
          <xdr:cNvSpPr/>
        </xdr:nvSpPr>
        <xdr:spPr>
          <a:xfrm rot="16200000">
            <a:off x="14742460" y="5035923"/>
            <a:ext cx="1228726" cy="614643"/>
          </a:xfrm>
          <a:prstGeom prst="flowChartTerminator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3" name="Rectangle 452">
            <a:extLst>
              <a:ext uri="{FF2B5EF4-FFF2-40B4-BE49-F238E27FC236}">
                <a16:creationId xmlns:a16="http://schemas.microsoft.com/office/drawing/2014/main" id="{00000000-0008-0000-0100-0000C5010000}"/>
              </a:ext>
            </a:extLst>
          </xdr:cNvPr>
          <xdr:cNvSpPr/>
        </xdr:nvSpPr>
        <xdr:spPr>
          <a:xfrm>
            <a:off x="15228794" y="3776382"/>
            <a:ext cx="257736" cy="974912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24</xdr:col>
      <xdr:colOff>1</xdr:colOff>
      <xdr:row>30</xdr:row>
      <xdr:rowOff>134470</xdr:rowOff>
    </xdr:from>
    <xdr:to>
      <xdr:col>25</xdr:col>
      <xdr:colOff>9526</xdr:colOff>
      <xdr:row>37</xdr:row>
      <xdr:rowOff>29696</xdr:rowOff>
    </xdr:to>
    <xdr:sp macro="" textlink="">
      <xdr:nvSpPr>
        <xdr:cNvPr id="457" name="Flowchart: Terminator 456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/>
      </xdr:nvSpPr>
      <xdr:spPr>
        <a:xfrm rot="16200000">
          <a:off x="15661342" y="5775511"/>
          <a:ext cx="1228726" cy="614643"/>
        </a:xfrm>
        <a:prstGeom prst="flowChartTerminator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134474</xdr:colOff>
      <xdr:row>25</xdr:row>
      <xdr:rowOff>22411</xdr:rowOff>
    </xdr:from>
    <xdr:to>
      <xdr:col>24</xdr:col>
      <xdr:colOff>470652</xdr:colOff>
      <xdr:row>31</xdr:row>
      <xdr:rowOff>100853</xdr:rowOff>
    </xdr:to>
    <xdr:sp macro="" textlink="">
      <xdr:nvSpPr>
        <xdr:cNvPr id="458" name="Flowchart: Terminator 457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/>
      </xdr:nvSpPr>
      <xdr:spPr>
        <a:xfrm rot="16200000">
          <a:off x="15660224" y="5227543"/>
          <a:ext cx="1221442" cy="336178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571970</xdr:colOff>
      <xdr:row>10</xdr:row>
      <xdr:rowOff>67529</xdr:rowOff>
    </xdr:from>
    <xdr:to>
      <xdr:col>21</xdr:col>
      <xdr:colOff>190501</xdr:colOff>
      <xdr:row>27</xdr:row>
      <xdr:rowOff>156414</xdr:rowOff>
    </xdr:to>
    <xdr:cxnSp macro="">
      <xdr:nvCxnSpPr>
        <xdr:cNvPr id="460" name="Elbow Connector 459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CxnSpPr>
          <a:stCxn id="277" idx="4"/>
          <a:endCxn id="453" idx="1"/>
        </xdr:cNvCxnSpPr>
      </xdr:nvCxnSpPr>
      <xdr:spPr>
        <a:xfrm rot="16200000" flipH="1">
          <a:off x="12265454" y="3221839"/>
          <a:ext cx="3327385" cy="828766"/>
        </a:xfrm>
        <a:prstGeom prst="bentConnector2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437028</xdr:colOff>
      <xdr:row>25</xdr:row>
      <xdr:rowOff>67236</xdr:rowOff>
    </xdr:from>
    <xdr:to>
      <xdr:col>18</xdr:col>
      <xdr:colOff>351304</xdr:colOff>
      <xdr:row>28</xdr:row>
      <xdr:rowOff>48873</xdr:rowOff>
    </xdr:to>
    <xdr:grpSp>
      <xdr:nvGrpSpPr>
        <xdr:cNvPr id="462" name="Group 461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GrpSpPr/>
      </xdr:nvGrpSpPr>
      <xdr:grpSpPr>
        <a:xfrm>
          <a:off x="12014762" y="4748093"/>
          <a:ext cx="559643" cy="541474"/>
          <a:chOff x="3048000" y="7239000"/>
          <a:chExt cx="440065" cy="448362"/>
        </a:xfrm>
      </xdr:grpSpPr>
      <xdr:cxnSp macro="">
        <xdr:nvCxnSpPr>
          <xdr:cNvPr id="463" name="Straight Connector 462">
            <a:extLst>
              <a:ext uri="{FF2B5EF4-FFF2-40B4-BE49-F238E27FC236}">
                <a16:creationId xmlns:a16="http://schemas.microsoft.com/office/drawing/2014/main" id="{00000000-0008-0000-0100-0000CF010000}"/>
              </a:ext>
            </a:extLst>
          </xdr:cNvPr>
          <xdr:cNvCxnSpPr/>
        </xdr:nvCxnSpPr>
        <xdr:spPr>
          <a:xfrm flipH="1">
            <a:off x="3270388" y="7239000"/>
            <a:ext cx="217677" cy="285903"/>
          </a:xfrm>
          <a:prstGeom prst="line">
            <a:avLst/>
          </a:prstGeom>
          <a:ln>
            <a:solidFill>
              <a:schemeClr val="tx1"/>
            </a:solidFill>
            <a:headEnd type="stealth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4" name="Straight Connector 463">
            <a:extLst>
              <a:ext uri="{FF2B5EF4-FFF2-40B4-BE49-F238E27FC236}">
                <a16:creationId xmlns:a16="http://schemas.microsoft.com/office/drawing/2014/main" id="{00000000-0008-0000-0100-0000D0010000}"/>
              </a:ext>
            </a:extLst>
          </xdr:cNvPr>
          <xdr:cNvCxnSpPr/>
        </xdr:nvCxnSpPr>
        <xdr:spPr>
          <a:xfrm flipH="1">
            <a:off x="3048000" y="7524903"/>
            <a:ext cx="122344" cy="162459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" name="Straight Connector 464">
            <a:extLst>
              <a:ext uri="{FF2B5EF4-FFF2-40B4-BE49-F238E27FC236}">
                <a16:creationId xmlns:a16="http://schemas.microsoft.com/office/drawing/2014/main" id="{00000000-0008-0000-0100-0000D1010000}"/>
              </a:ext>
            </a:extLst>
          </xdr:cNvPr>
          <xdr:cNvCxnSpPr/>
        </xdr:nvCxnSpPr>
        <xdr:spPr>
          <a:xfrm flipH="1" flipV="1">
            <a:off x="3169524" y="7524903"/>
            <a:ext cx="11293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6" name="Oval 465">
            <a:extLst>
              <a:ext uri="{FF2B5EF4-FFF2-40B4-BE49-F238E27FC236}">
                <a16:creationId xmlns:a16="http://schemas.microsoft.com/office/drawing/2014/main" id="{00000000-0008-0000-0100-0000D2010000}"/>
              </a:ext>
            </a:extLst>
          </xdr:cNvPr>
          <xdr:cNvSpPr/>
        </xdr:nvSpPr>
        <xdr:spPr>
          <a:xfrm>
            <a:off x="3076575" y="7324725"/>
            <a:ext cx="340021" cy="333382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18</xdr:col>
      <xdr:colOff>266951</xdr:colOff>
      <xdr:row>26</xdr:row>
      <xdr:rowOff>188139</xdr:rowOff>
    </xdr:from>
    <xdr:to>
      <xdr:col>20</xdr:col>
      <xdr:colOff>361428</xdr:colOff>
      <xdr:row>38</xdr:row>
      <xdr:rowOff>8686</xdr:rowOff>
    </xdr:to>
    <xdr:cxnSp macro="">
      <xdr:nvCxnSpPr>
        <xdr:cNvPr id="468" name="Elbow Connector 467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CxnSpPr>
          <a:stCxn id="559" idx="2"/>
          <a:endCxn id="466" idx="6"/>
        </xdr:cNvCxnSpPr>
      </xdr:nvCxnSpPr>
      <xdr:spPr>
        <a:xfrm rot="10800000">
          <a:off x="13052863" y="5141139"/>
          <a:ext cx="1304712" cy="2106547"/>
        </a:xfrm>
        <a:prstGeom prst="bentConnector3">
          <a:avLst>
            <a:gd name="adj1" fmla="val 50000"/>
          </a:avLst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429291</xdr:colOff>
      <xdr:row>26</xdr:row>
      <xdr:rowOff>188137</xdr:rowOff>
    </xdr:from>
    <xdr:to>
      <xdr:col>17</xdr:col>
      <xdr:colOff>470754</xdr:colOff>
      <xdr:row>26</xdr:row>
      <xdr:rowOff>189244</xdr:rowOff>
    </xdr:to>
    <xdr:cxnSp macro="">
      <xdr:nvCxnSpPr>
        <xdr:cNvPr id="471" name="Elbow Connector 470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CxnSpPr>
          <a:stCxn id="466" idx="2"/>
          <a:endCxn id="112" idx="6"/>
        </xdr:cNvCxnSpPr>
      </xdr:nvCxnSpPr>
      <xdr:spPr>
        <a:xfrm rot="10800000" flipV="1">
          <a:off x="5875350" y="5141137"/>
          <a:ext cx="6395198" cy="1107"/>
        </a:xfrm>
        <a:prstGeom prst="bentConnector3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26</xdr:row>
      <xdr:rowOff>0</xdr:rowOff>
    </xdr:from>
    <xdr:to>
      <xdr:col>6</xdr:col>
      <xdr:colOff>405477</xdr:colOff>
      <xdr:row>28</xdr:row>
      <xdr:rowOff>855</xdr:rowOff>
    </xdr:to>
    <xdr:grpSp>
      <xdr:nvGrpSpPr>
        <xdr:cNvPr id="473" name="Group 472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GrpSpPr/>
      </xdr:nvGrpSpPr>
      <xdr:grpSpPr>
        <a:xfrm>
          <a:off x="3996614" y="4867470"/>
          <a:ext cx="405476" cy="374079"/>
          <a:chOff x="4236641" y="3810000"/>
          <a:chExt cx="341638" cy="335549"/>
        </a:xfrm>
      </xdr:grpSpPr>
      <xdr:sp macro="" textlink="">
        <xdr:nvSpPr>
          <xdr:cNvPr id="474" name="Oval 473">
            <a:extLst>
              <a:ext uri="{FF2B5EF4-FFF2-40B4-BE49-F238E27FC236}">
                <a16:creationId xmlns:a16="http://schemas.microsoft.com/office/drawing/2014/main" id="{00000000-0008-0000-0100-0000DA010000}"/>
              </a:ext>
            </a:extLst>
          </xdr:cNvPr>
          <xdr:cNvSpPr/>
        </xdr:nvSpPr>
        <xdr:spPr>
          <a:xfrm>
            <a:off x="4236641" y="3810000"/>
            <a:ext cx="341638" cy="335549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475" name="Straight Connector 474">
            <a:extLst>
              <a:ext uri="{FF2B5EF4-FFF2-40B4-BE49-F238E27FC236}">
                <a16:creationId xmlns:a16="http://schemas.microsoft.com/office/drawing/2014/main" id="{00000000-0008-0000-0100-0000DB010000}"/>
              </a:ext>
            </a:extLst>
          </xdr:cNvPr>
          <xdr:cNvCxnSpPr>
            <a:endCxn id="474" idx="2"/>
          </xdr:cNvCxnSpPr>
        </xdr:nvCxnSpPr>
        <xdr:spPr>
          <a:xfrm flipH="1" flipV="1">
            <a:off x="4236641" y="3977775"/>
            <a:ext cx="112331" cy="21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6" name="Straight Connector 475">
            <a:extLst>
              <a:ext uri="{FF2B5EF4-FFF2-40B4-BE49-F238E27FC236}">
                <a16:creationId xmlns:a16="http://schemas.microsoft.com/office/drawing/2014/main" id="{00000000-0008-0000-0100-0000DC010000}"/>
              </a:ext>
            </a:extLst>
          </xdr:cNvPr>
          <xdr:cNvCxnSpPr/>
        </xdr:nvCxnSpPr>
        <xdr:spPr>
          <a:xfrm flipH="1" flipV="1">
            <a:off x="4348974" y="3984221"/>
            <a:ext cx="59691" cy="7475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" name="Straight Connector 476">
            <a:extLst>
              <a:ext uri="{FF2B5EF4-FFF2-40B4-BE49-F238E27FC236}">
                <a16:creationId xmlns:a16="http://schemas.microsoft.com/office/drawing/2014/main" id="{00000000-0008-0000-0100-0000DD010000}"/>
              </a:ext>
            </a:extLst>
          </xdr:cNvPr>
          <xdr:cNvCxnSpPr/>
        </xdr:nvCxnSpPr>
        <xdr:spPr>
          <a:xfrm flipH="1" flipV="1">
            <a:off x="4452321" y="3913168"/>
            <a:ext cx="43026" cy="74721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" name="Straight Connector 477">
            <a:extLst>
              <a:ext uri="{FF2B5EF4-FFF2-40B4-BE49-F238E27FC236}">
                <a16:creationId xmlns:a16="http://schemas.microsoft.com/office/drawing/2014/main" id="{00000000-0008-0000-0100-0000DE010000}"/>
              </a:ext>
            </a:extLst>
          </xdr:cNvPr>
          <xdr:cNvCxnSpPr/>
        </xdr:nvCxnSpPr>
        <xdr:spPr>
          <a:xfrm flipH="1">
            <a:off x="4495345" y="3987672"/>
            <a:ext cx="76608" cy="2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" name="Straight Connector 478">
            <a:extLst>
              <a:ext uri="{FF2B5EF4-FFF2-40B4-BE49-F238E27FC236}">
                <a16:creationId xmlns:a16="http://schemas.microsoft.com/office/drawing/2014/main" id="{00000000-0008-0000-0100-0000DF010000}"/>
              </a:ext>
            </a:extLst>
          </xdr:cNvPr>
          <xdr:cNvCxnSpPr/>
        </xdr:nvCxnSpPr>
        <xdr:spPr>
          <a:xfrm flipH="1">
            <a:off x="4411611" y="3921503"/>
            <a:ext cx="43148" cy="149506"/>
          </a:xfrm>
          <a:prstGeom prst="line">
            <a:avLst/>
          </a:prstGeom>
          <a:ln>
            <a:solidFill>
              <a:schemeClr val="tx1"/>
            </a:solidFill>
            <a:headEnd type="none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405477</xdr:colOff>
      <xdr:row>26</xdr:row>
      <xdr:rowOff>189245</xdr:rowOff>
    </xdr:from>
    <xdr:to>
      <xdr:col>7</xdr:col>
      <xdr:colOff>23815</xdr:colOff>
      <xdr:row>27</xdr:row>
      <xdr:rowOff>428</xdr:rowOff>
    </xdr:to>
    <xdr:cxnSp macro="">
      <xdr:nvCxnSpPr>
        <xdr:cNvPr id="481" name="Straight Arrow Connector 480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CxnSpPr>
          <a:stCxn id="112" idx="2"/>
          <a:endCxn id="474" idx="6"/>
        </xdr:cNvCxnSpPr>
      </xdr:nvCxnSpPr>
      <xdr:spPr>
        <a:xfrm flipH="1">
          <a:off x="5246418" y="5142245"/>
          <a:ext cx="223456" cy="1683"/>
        </a:xfrm>
        <a:prstGeom prst="straightConnector1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11679</xdr:colOff>
      <xdr:row>31</xdr:row>
      <xdr:rowOff>179294</xdr:rowOff>
    </xdr:from>
    <xdr:to>
      <xdr:col>16</xdr:col>
      <xdr:colOff>11679</xdr:colOff>
      <xdr:row>34</xdr:row>
      <xdr:rowOff>26333</xdr:rowOff>
    </xdr:to>
    <xdr:cxnSp macro="">
      <xdr:nvCxnSpPr>
        <xdr:cNvPr id="484" name="Straight Arrow Connector 483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CxnSpPr/>
      </xdr:nvCxnSpPr>
      <xdr:spPr>
        <a:xfrm>
          <a:off x="9928885" y="6084794"/>
          <a:ext cx="0" cy="41853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389282</xdr:colOff>
      <xdr:row>20</xdr:row>
      <xdr:rowOff>57979</xdr:rowOff>
    </xdr:from>
    <xdr:to>
      <xdr:col>23</xdr:col>
      <xdr:colOff>303558</xdr:colOff>
      <xdr:row>23</xdr:row>
      <xdr:rowOff>39616</xdr:rowOff>
    </xdr:to>
    <xdr:grpSp>
      <xdr:nvGrpSpPr>
        <xdr:cNvPr id="497" name="Group 496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GrpSpPr/>
      </xdr:nvGrpSpPr>
      <xdr:grpSpPr>
        <a:xfrm>
          <a:off x="15193853" y="3805775"/>
          <a:ext cx="559644" cy="541474"/>
          <a:chOff x="3048000" y="7239000"/>
          <a:chExt cx="440065" cy="448362"/>
        </a:xfrm>
      </xdr:grpSpPr>
      <xdr:cxnSp macro="">
        <xdr:nvCxnSpPr>
          <xdr:cNvPr id="498" name="Straight Connector 497">
            <a:extLst>
              <a:ext uri="{FF2B5EF4-FFF2-40B4-BE49-F238E27FC236}">
                <a16:creationId xmlns:a16="http://schemas.microsoft.com/office/drawing/2014/main" id="{00000000-0008-0000-0100-0000F2010000}"/>
              </a:ext>
            </a:extLst>
          </xdr:cNvPr>
          <xdr:cNvCxnSpPr/>
        </xdr:nvCxnSpPr>
        <xdr:spPr>
          <a:xfrm flipH="1">
            <a:off x="3270388" y="7239000"/>
            <a:ext cx="217677" cy="285903"/>
          </a:xfrm>
          <a:prstGeom prst="line">
            <a:avLst/>
          </a:prstGeom>
          <a:ln>
            <a:solidFill>
              <a:schemeClr val="tx1"/>
            </a:solidFill>
            <a:headEnd type="stealth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" name="Straight Connector 498">
            <a:extLst>
              <a:ext uri="{FF2B5EF4-FFF2-40B4-BE49-F238E27FC236}">
                <a16:creationId xmlns:a16="http://schemas.microsoft.com/office/drawing/2014/main" id="{00000000-0008-0000-0100-0000F3010000}"/>
              </a:ext>
            </a:extLst>
          </xdr:cNvPr>
          <xdr:cNvCxnSpPr/>
        </xdr:nvCxnSpPr>
        <xdr:spPr>
          <a:xfrm flipH="1">
            <a:off x="3048000" y="7524903"/>
            <a:ext cx="122344" cy="162459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" name="Straight Connector 499">
            <a:extLst>
              <a:ext uri="{FF2B5EF4-FFF2-40B4-BE49-F238E27FC236}">
                <a16:creationId xmlns:a16="http://schemas.microsoft.com/office/drawing/2014/main" id="{00000000-0008-0000-0100-0000F4010000}"/>
              </a:ext>
            </a:extLst>
          </xdr:cNvPr>
          <xdr:cNvCxnSpPr/>
        </xdr:nvCxnSpPr>
        <xdr:spPr>
          <a:xfrm flipH="1" flipV="1">
            <a:off x="3169524" y="7524903"/>
            <a:ext cx="11293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1" name="Oval 500">
            <a:extLst>
              <a:ext uri="{FF2B5EF4-FFF2-40B4-BE49-F238E27FC236}">
                <a16:creationId xmlns:a16="http://schemas.microsoft.com/office/drawing/2014/main" id="{00000000-0008-0000-0100-0000F5010000}"/>
              </a:ext>
            </a:extLst>
          </xdr:cNvPr>
          <xdr:cNvSpPr/>
        </xdr:nvSpPr>
        <xdr:spPr>
          <a:xfrm>
            <a:off x="3076575" y="7324725"/>
            <a:ext cx="340021" cy="333382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18</xdr:col>
      <xdr:colOff>22412</xdr:colOff>
      <xdr:row>21</xdr:row>
      <xdr:rowOff>178881</xdr:rowOff>
    </xdr:from>
    <xdr:to>
      <xdr:col>22</xdr:col>
      <xdr:colOff>423008</xdr:colOff>
      <xdr:row>35</xdr:row>
      <xdr:rowOff>11206</xdr:rowOff>
    </xdr:to>
    <xdr:cxnSp macro="">
      <xdr:nvCxnSpPr>
        <xdr:cNvPr id="503" name="Elbow Connector 502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CxnSpPr>
          <a:endCxn id="501" idx="2"/>
        </xdr:cNvCxnSpPr>
      </xdr:nvCxnSpPr>
      <xdr:spPr>
        <a:xfrm flipV="1">
          <a:off x="12427324" y="4179381"/>
          <a:ext cx="2821066" cy="2499325"/>
        </a:xfrm>
        <a:prstGeom prst="bentConnector3">
          <a:avLst>
            <a:gd name="adj1" fmla="val 45233"/>
          </a:avLst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319368</xdr:colOff>
      <xdr:row>21</xdr:row>
      <xdr:rowOff>178882</xdr:rowOff>
    </xdr:from>
    <xdr:to>
      <xdr:col>22</xdr:col>
      <xdr:colOff>423008</xdr:colOff>
      <xdr:row>25</xdr:row>
      <xdr:rowOff>22413</xdr:rowOff>
    </xdr:to>
    <xdr:cxnSp macro="">
      <xdr:nvCxnSpPr>
        <xdr:cNvPr id="517" name="Elbow Connector 516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CxnSpPr>
          <a:stCxn id="453" idx="0"/>
          <a:endCxn id="501" idx="2"/>
        </xdr:cNvCxnSpPr>
      </xdr:nvCxnSpPr>
      <xdr:spPr>
        <a:xfrm rot="5400000" flipH="1" flipV="1">
          <a:off x="14591246" y="4127769"/>
          <a:ext cx="605531" cy="708757"/>
        </a:xfrm>
        <a:prstGeom prst="bentConnector2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414619</xdr:colOff>
      <xdr:row>8</xdr:row>
      <xdr:rowOff>112062</xdr:rowOff>
    </xdr:from>
    <xdr:to>
      <xdr:col>25</xdr:col>
      <xdr:colOff>11207</xdr:colOff>
      <xdr:row>14</xdr:row>
      <xdr:rowOff>89651</xdr:rowOff>
    </xdr:to>
    <xdr:cxnSp macro="">
      <xdr:nvCxnSpPr>
        <xdr:cNvPr id="521" name="Elbow Connector 520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CxnSpPr/>
      </xdr:nvCxnSpPr>
      <xdr:spPr>
        <a:xfrm rot="5400000">
          <a:off x="15990795" y="2095504"/>
          <a:ext cx="1120589" cy="201705"/>
        </a:xfrm>
        <a:prstGeom prst="bentConnector3">
          <a:avLst>
            <a:gd name="adj1" fmla="val 0"/>
          </a:avLst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423384</xdr:colOff>
      <xdr:row>14</xdr:row>
      <xdr:rowOff>59121</xdr:rowOff>
    </xdr:from>
    <xdr:to>
      <xdr:col>24</xdr:col>
      <xdr:colOff>413845</xdr:colOff>
      <xdr:row>21</xdr:row>
      <xdr:rowOff>178881</xdr:rowOff>
    </xdr:to>
    <xdr:cxnSp macro="">
      <xdr:nvCxnSpPr>
        <xdr:cNvPr id="528" name="Elbow Connector 527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CxnSpPr>
          <a:endCxn id="501" idx="2"/>
        </xdr:cNvCxnSpPr>
      </xdr:nvCxnSpPr>
      <xdr:spPr>
        <a:xfrm rot="5400000">
          <a:off x="15253864" y="2846607"/>
          <a:ext cx="1453260" cy="1212288"/>
        </a:xfrm>
        <a:prstGeom prst="bentConnector4">
          <a:avLst>
            <a:gd name="adj1" fmla="val 42925"/>
            <a:gd name="adj2" fmla="val 118857"/>
          </a:avLst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219205</xdr:colOff>
      <xdr:row>21</xdr:row>
      <xdr:rowOff>178881</xdr:rowOff>
    </xdr:from>
    <xdr:to>
      <xdr:col>25</xdr:col>
      <xdr:colOff>9526</xdr:colOff>
      <xdr:row>33</xdr:row>
      <xdr:rowOff>177333</xdr:rowOff>
    </xdr:to>
    <xdr:cxnSp macro="">
      <xdr:nvCxnSpPr>
        <xdr:cNvPr id="532" name="Elbow Connector 531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CxnSpPr>
          <a:stCxn id="501" idx="6"/>
          <a:endCxn id="457" idx="2"/>
        </xdr:cNvCxnSpPr>
      </xdr:nvCxnSpPr>
      <xdr:spPr>
        <a:xfrm>
          <a:off x="15649705" y="4179381"/>
          <a:ext cx="1000556" cy="2284452"/>
        </a:xfrm>
        <a:prstGeom prst="bentConnector3">
          <a:avLst>
            <a:gd name="adj1" fmla="val 177053"/>
          </a:avLst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423008</xdr:colOff>
      <xdr:row>21</xdr:row>
      <xdr:rowOff>178881</xdr:rowOff>
    </xdr:from>
    <xdr:to>
      <xdr:col>24</xdr:col>
      <xdr:colOff>302563</xdr:colOff>
      <xdr:row>25</xdr:row>
      <xdr:rowOff>22411</xdr:rowOff>
    </xdr:to>
    <xdr:cxnSp macro="">
      <xdr:nvCxnSpPr>
        <xdr:cNvPr id="536" name="Elbow Connector 535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CxnSpPr>
          <a:stCxn id="458" idx="3"/>
          <a:endCxn id="501" idx="2"/>
        </xdr:cNvCxnSpPr>
      </xdr:nvCxnSpPr>
      <xdr:spPr>
        <a:xfrm rot="16200000" flipV="1">
          <a:off x="15871521" y="3937250"/>
          <a:ext cx="605530" cy="1089791"/>
        </a:xfrm>
        <a:prstGeom prst="bentConnector4">
          <a:avLst>
            <a:gd name="adj1" fmla="val 21453"/>
            <a:gd name="adj2" fmla="val 120976"/>
          </a:avLst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507104</xdr:colOff>
      <xdr:row>28</xdr:row>
      <xdr:rowOff>61633</xdr:rowOff>
    </xdr:from>
    <xdr:to>
      <xdr:col>24</xdr:col>
      <xdr:colOff>134474</xdr:colOff>
      <xdr:row>38</xdr:row>
      <xdr:rowOff>143158</xdr:rowOff>
    </xdr:to>
    <xdr:cxnSp macro="">
      <xdr:nvCxnSpPr>
        <xdr:cNvPr id="541" name="Elbow Connector 540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CxnSpPr>
          <a:stCxn id="552" idx="2"/>
          <a:endCxn id="458" idx="0"/>
        </xdr:cNvCxnSpPr>
      </xdr:nvCxnSpPr>
      <xdr:spPr>
        <a:xfrm rot="10800000" flipH="1">
          <a:off x="16318604" y="5395633"/>
          <a:ext cx="232488" cy="1986525"/>
        </a:xfrm>
        <a:prstGeom prst="bentConnector3">
          <a:avLst>
            <a:gd name="adj1" fmla="val -188717"/>
          </a:avLst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571502</xdr:colOff>
      <xdr:row>12</xdr:row>
      <xdr:rowOff>156884</xdr:rowOff>
    </xdr:from>
    <xdr:to>
      <xdr:col>19</xdr:col>
      <xdr:colOff>185477</xdr:colOff>
      <xdr:row>16</xdr:row>
      <xdr:rowOff>35106</xdr:rowOff>
    </xdr:to>
    <xdr:grpSp>
      <xdr:nvGrpSpPr>
        <xdr:cNvPr id="543" name="Group 542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GrpSpPr/>
      </xdr:nvGrpSpPr>
      <xdr:grpSpPr>
        <a:xfrm>
          <a:off x="12149236" y="2411783"/>
          <a:ext cx="904711" cy="624670"/>
          <a:chOff x="10304318" y="4191000"/>
          <a:chExt cx="825229" cy="640222"/>
        </a:xfrm>
      </xdr:grpSpPr>
      <xdr:sp macro="" textlink="">
        <xdr:nvSpPr>
          <xdr:cNvPr id="544" name="Trapezoid 543">
            <a:extLst>
              <a:ext uri="{FF2B5EF4-FFF2-40B4-BE49-F238E27FC236}">
                <a16:creationId xmlns:a16="http://schemas.microsoft.com/office/drawing/2014/main" id="{00000000-0008-0000-0100-000020020000}"/>
              </a:ext>
            </a:extLst>
          </xdr:cNvPr>
          <xdr:cNvSpPr/>
        </xdr:nvSpPr>
        <xdr:spPr>
          <a:xfrm>
            <a:off x="10573632" y="4508389"/>
            <a:ext cx="252460" cy="102907"/>
          </a:xfrm>
          <a:prstGeom prst="trapezoid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45" name="Oval 544">
            <a:extLst>
              <a:ext uri="{FF2B5EF4-FFF2-40B4-BE49-F238E27FC236}">
                <a16:creationId xmlns:a16="http://schemas.microsoft.com/office/drawing/2014/main" id="{00000000-0008-0000-0100-000021020000}"/>
              </a:ext>
            </a:extLst>
          </xdr:cNvPr>
          <xdr:cNvSpPr/>
        </xdr:nvSpPr>
        <xdr:spPr>
          <a:xfrm>
            <a:off x="10531556" y="4191000"/>
            <a:ext cx="311367" cy="30872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46" name="TextBox 545">
            <a:extLst>
              <a:ext uri="{FF2B5EF4-FFF2-40B4-BE49-F238E27FC236}">
                <a16:creationId xmlns:a16="http://schemas.microsoft.com/office/drawing/2014/main" id="{00000000-0008-0000-0100-000022020000}"/>
              </a:ext>
            </a:extLst>
          </xdr:cNvPr>
          <xdr:cNvSpPr txBox="1"/>
        </xdr:nvSpPr>
        <xdr:spPr>
          <a:xfrm>
            <a:off x="10304318" y="4589646"/>
            <a:ext cx="825229" cy="241576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P327/A</a:t>
            </a:r>
            <a:r>
              <a:rPr lang="en-CA" sz="1000" baseline="0"/>
              <a:t> </a:t>
            </a:r>
            <a:r>
              <a:rPr lang="en-CA" sz="1100" baseline="0"/>
              <a:t>  </a:t>
            </a:r>
            <a:endParaRPr lang="en-CA" sz="1100"/>
          </a:p>
        </xdr:txBody>
      </xdr:sp>
    </xdr:grpSp>
    <xdr:clientData/>
  </xdr:twoCellAnchor>
  <xdr:twoCellAnchor>
    <xdr:from>
      <xdr:col>17</xdr:col>
      <xdr:colOff>509308</xdr:colOff>
      <xdr:row>11</xdr:row>
      <xdr:rowOff>133349</xdr:rowOff>
    </xdr:from>
    <xdr:to>
      <xdr:col>18</xdr:col>
      <xdr:colOff>193343</xdr:colOff>
      <xdr:row>13</xdr:row>
      <xdr:rowOff>120744</xdr:rowOff>
    </xdr:to>
    <xdr:cxnSp macro="">
      <xdr:nvCxnSpPr>
        <xdr:cNvPr id="549" name="Elbow Connector 548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CxnSpPr>
          <a:stCxn id="319" idx="3"/>
          <a:endCxn id="545" idx="2"/>
        </xdr:cNvCxnSpPr>
      </xdr:nvCxnSpPr>
      <xdr:spPr>
        <a:xfrm rot="16200000" flipH="1">
          <a:off x="11059245" y="2268471"/>
          <a:ext cx="368395" cy="289152"/>
        </a:xfrm>
        <a:prstGeom prst="bentConnector2">
          <a:avLst/>
        </a:prstGeom>
        <a:ln w="1905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280147</xdr:colOff>
      <xdr:row>37</xdr:row>
      <xdr:rowOff>179296</xdr:rowOff>
    </xdr:from>
    <xdr:to>
      <xdr:col>24</xdr:col>
      <xdr:colOff>499239</xdr:colOff>
      <xdr:row>41</xdr:row>
      <xdr:rowOff>57518</xdr:rowOff>
    </xdr:to>
    <xdr:grpSp>
      <xdr:nvGrpSpPr>
        <xdr:cNvPr id="550" name="Group 54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GrpSpPr/>
      </xdr:nvGrpSpPr>
      <xdr:grpSpPr>
        <a:xfrm>
          <a:off x="15730086" y="7099500"/>
          <a:ext cx="903337" cy="640222"/>
          <a:chOff x="10304318" y="4191000"/>
          <a:chExt cx="825229" cy="640222"/>
        </a:xfrm>
      </xdr:grpSpPr>
      <xdr:sp macro="" textlink="">
        <xdr:nvSpPr>
          <xdr:cNvPr id="551" name="Trapezoid 550">
            <a:extLst>
              <a:ext uri="{FF2B5EF4-FFF2-40B4-BE49-F238E27FC236}">
                <a16:creationId xmlns:a16="http://schemas.microsoft.com/office/drawing/2014/main" id="{00000000-0008-0000-0100-000027020000}"/>
              </a:ext>
            </a:extLst>
          </xdr:cNvPr>
          <xdr:cNvSpPr/>
        </xdr:nvSpPr>
        <xdr:spPr>
          <a:xfrm>
            <a:off x="10573632" y="4508389"/>
            <a:ext cx="252460" cy="102907"/>
          </a:xfrm>
          <a:prstGeom prst="trapezoid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52" name="Oval 551">
            <a:extLst>
              <a:ext uri="{FF2B5EF4-FFF2-40B4-BE49-F238E27FC236}">
                <a16:creationId xmlns:a16="http://schemas.microsoft.com/office/drawing/2014/main" id="{00000000-0008-0000-0100-000028020000}"/>
              </a:ext>
            </a:extLst>
          </xdr:cNvPr>
          <xdr:cNvSpPr/>
        </xdr:nvSpPr>
        <xdr:spPr>
          <a:xfrm>
            <a:off x="10531556" y="4191000"/>
            <a:ext cx="311367" cy="30872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53" name="TextBox 552">
            <a:extLst>
              <a:ext uri="{FF2B5EF4-FFF2-40B4-BE49-F238E27FC236}">
                <a16:creationId xmlns:a16="http://schemas.microsoft.com/office/drawing/2014/main" id="{00000000-0008-0000-0100-000029020000}"/>
              </a:ext>
            </a:extLst>
          </xdr:cNvPr>
          <xdr:cNvSpPr txBox="1"/>
        </xdr:nvSpPr>
        <xdr:spPr>
          <a:xfrm>
            <a:off x="10304318" y="4589646"/>
            <a:ext cx="825229" cy="241576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P314/A</a:t>
            </a:r>
            <a:r>
              <a:rPr lang="en-CA" sz="1000" baseline="0"/>
              <a:t> </a:t>
            </a:r>
            <a:r>
              <a:rPr lang="en-CA" sz="1100" baseline="0"/>
              <a:t>  </a:t>
            </a:r>
            <a:endParaRPr lang="en-CA" sz="1100"/>
          </a:p>
        </xdr:txBody>
      </xdr:sp>
    </xdr:grpSp>
    <xdr:clientData/>
  </xdr:twoCellAnchor>
  <xdr:twoCellAnchor>
    <xdr:from>
      <xdr:col>24</xdr:col>
      <xdr:colOff>212970</xdr:colOff>
      <xdr:row>37</xdr:row>
      <xdr:rowOff>29696</xdr:rowOff>
    </xdr:from>
    <xdr:to>
      <xdr:col>24</xdr:col>
      <xdr:colOff>307323</xdr:colOff>
      <xdr:row>38</xdr:row>
      <xdr:rowOff>143157</xdr:rowOff>
    </xdr:to>
    <xdr:cxnSp macro="">
      <xdr:nvCxnSpPr>
        <xdr:cNvPr id="556" name="Elbow Connector 555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CxnSpPr>
          <a:stCxn id="457" idx="1"/>
          <a:endCxn id="552" idx="6"/>
        </xdr:cNvCxnSpPr>
      </xdr:nvCxnSpPr>
      <xdr:spPr>
        <a:xfrm rot="5400000">
          <a:off x="16524784" y="7183000"/>
          <a:ext cx="303961" cy="94353"/>
        </a:xfrm>
        <a:prstGeom prst="bentConnector2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134471</xdr:colOff>
      <xdr:row>37</xdr:row>
      <xdr:rowOff>44824</xdr:rowOff>
    </xdr:from>
    <xdr:to>
      <xdr:col>21</xdr:col>
      <xdr:colOff>353563</xdr:colOff>
      <xdr:row>40</xdr:row>
      <xdr:rowOff>44823</xdr:rowOff>
    </xdr:to>
    <xdr:grpSp>
      <xdr:nvGrpSpPr>
        <xdr:cNvPr id="557" name="Group 556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GrpSpPr/>
      </xdr:nvGrpSpPr>
      <xdr:grpSpPr>
        <a:xfrm>
          <a:off x="13648308" y="6965028"/>
          <a:ext cx="864459" cy="575386"/>
          <a:chOff x="10304318" y="4191000"/>
          <a:chExt cx="825229" cy="571499"/>
        </a:xfrm>
      </xdr:grpSpPr>
      <xdr:sp macro="" textlink="">
        <xdr:nvSpPr>
          <xdr:cNvPr id="558" name="Trapezoid 557">
            <a:extLst>
              <a:ext uri="{FF2B5EF4-FFF2-40B4-BE49-F238E27FC236}">
                <a16:creationId xmlns:a16="http://schemas.microsoft.com/office/drawing/2014/main" id="{00000000-0008-0000-0100-00002E020000}"/>
              </a:ext>
            </a:extLst>
          </xdr:cNvPr>
          <xdr:cNvSpPr/>
        </xdr:nvSpPr>
        <xdr:spPr>
          <a:xfrm>
            <a:off x="10573632" y="4508389"/>
            <a:ext cx="252460" cy="102907"/>
          </a:xfrm>
          <a:prstGeom prst="trapezoid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59" name="Oval 558">
            <a:extLst>
              <a:ext uri="{FF2B5EF4-FFF2-40B4-BE49-F238E27FC236}">
                <a16:creationId xmlns:a16="http://schemas.microsoft.com/office/drawing/2014/main" id="{00000000-0008-0000-0100-00002F020000}"/>
              </a:ext>
            </a:extLst>
          </xdr:cNvPr>
          <xdr:cNvSpPr/>
        </xdr:nvSpPr>
        <xdr:spPr>
          <a:xfrm>
            <a:off x="10531556" y="4191000"/>
            <a:ext cx="311367" cy="30872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60" name="TextBox 559">
            <a:extLst>
              <a:ext uri="{FF2B5EF4-FFF2-40B4-BE49-F238E27FC236}">
                <a16:creationId xmlns:a16="http://schemas.microsoft.com/office/drawing/2014/main" id="{00000000-0008-0000-0100-000030020000}"/>
              </a:ext>
            </a:extLst>
          </xdr:cNvPr>
          <xdr:cNvSpPr txBox="1"/>
        </xdr:nvSpPr>
        <xdr:spPr>
          <a:xfrm>
            <a:off x="10304318" y="4589646"/>
            <a:ext cx="825229" cy="172853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P317/A</a:t>
            </a:r>
            <a:r>
              <a:rPr lang="en-CA" sz="1000" baseline="0"/>
              <a:t> </a:t>
            </a:r>
            <a:r>
              <a:rPr lang="en-CA" sz="1100" baseline="0"/>
              <a:t>  </a:t>
            </a:r>
            <a:endParaRPr lang="en-CA" sz="1100"/>
          </a:p>
        </xdr:txBody>
      </xdr:sp>
    </xdr:grpSp>
    <xdr:clientData/>
  </xdr:twoCellAnchor>
  <xdr:twoCellAnchor>
    <xdr:from>
      <xdr:col>21</xdr:col>
      <xdr:colOff>67294</xdr:colOff>
      <xdr:row>37</xdr:row>
      <xdr:rowOff>40901</xdr:rowOff>
    </xdr:from>
    <xdr:to>
      <xdr:col>21</xdr:col>
      <xdr:colOff>318530</xdr:colOff>
      <xdr:row>38</xdr:row>
      <xdr:rowOff>8684</xdr:rowOff>
    </xdr:to>
    <xdr:cxnSp macro="">
      <xdr:nvCxnSpPr>
        <xdr:cNvPr id="563" name="Elbow Connector 562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CxnSpPr>
          <a:stCxn id="451" idx="1"/>
          <a:endCxn id="559" idx="6"/>
        </xdr:cNvCxnSpPr>
      </xdr:nvCxnSpPr>
      <xdr:spPr>
        <a:xfrm rot="5400000">
          <a:off x="14715035" y="7042925"/>
          <a:ext cx="158283" cy="251236"/>
        </a:xfrm>
        <a:prstGeom prst="bentConnector2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582705</xdr:colOff>
      <xdr:row>33</xdr:row>
      <xdr:rowOff>67233</xdr:rowOff>
    </xdr:from>
    <xdr:to>
      <xdr:col>24</xdr:col>
      <xdr:colOff>86284</xdr:colOff>
      <xdr:row>36</xdr:row>
      <xdr:rowOff>11203</xdr:rowOff>
    </xdr:to>
    <xdr:grpSp>
      <xdr:nvGrpSpPr>
        <xdr:cNvPr id="564" name="Group 563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GrpSpPr/>
      </xdr:nvGrpSpPr>
      <xdr:grpSpPr>
        <a:xfrm>
          <a:off x="15387276" y="6240989"/>
          <a:ext cx="833192" cy="503805"/>
          <a:chOff x="10166780" y="4191000"/>
          <a:chExt cx="962767" cy="665831"/>
        </a:xfrm>
      </xdr:grpSpPr>
      <xdr:sp macro="" textlink="">
        <xdr:nvSpPr>
          <xdr:cNvPr id="565" name="Trapezoid 564">
            <a:extLst>
              <a:ext uri="{FF2B5EF4-FFF2-40B4-BE49-F238E27FC236}">
                <a16:creationId xmlns:a16="http://schemas.microsoft.com/office/drawing/2014/main" id="{00000000-0008-0000-0100-000035020000}"/>
              </a:ext>
            </a:extLst>
          </xdr:cNvPr>
          <xdr:cNvSpPr/>
        </xdr:nvSpPr>
        <xdr:spPr>
          <a:xfrm>
            <a:off x="10573632" y="4508389"/>
            <a:ext cx="252460" cy="102907"/>
          </a:xfrm>
          <a:prstGeom prst="trapezoid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66" name="Oval 565">
            <a:extLst>
              <a:ext uri="{FF2B5EF4-FFF2-40B4-BE49-F238E27FC236}">
                <a16:creationId xmlns:a16="http://schemas.microsoft.com/office/drawing/2014/main" id="{00000000-0008-0000-0100-000036020000}"/>
              </a:ext>
            </a:extLst>
          </xdr:cNvPr>
          <xdr:cNvSpPr/>
        </xdr:nvSpPr>
        <xdr:spPr>
          <a:xfrm>
            <a:off x="10531556" y="4191000"/>
            <a:ext cx="311367" cy="30872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67" name="TextBox 566">
            <a:extLst>
              <a:ext uri="{FF2B5EF4-FFF2-40B4-BE49-F238E27FC236}">
                <a16:creationId xmlns:a16="http://schemas.microsoft.com/office/drawing/2014/main" id="{00000000-0008-0000-0100-000037020000}"/>
              </a:ext>
            </a:extLst>
          </xdr:cNvPr>
          <xdr:cNvSpPr txBox="1"/>
        </xdr:nvSpPr>
        <xdr:spPr>
          <a:xfrm>
            <a:off x="10166780" y="4589646"/>
            <a:ext cx="962767" cy="26718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P313/A</a:t>
            </a:r>
            <a:r>
              <a:rPr lang="en-CA" sz="1000" baseline="0"/>
              <a:t> </a:t>
            </a:r>
            <a:r>
              <a:rPr lang="en-CA" sz="1100" baseline="0"/>
              <a:t>  </a:t>
            </a:r>
            <a:endParaRPr lang="en-CA" sz="1100"/>
          </a:p>
        </xdr:txBody>
      </xdr:sp>
    </xdr:grpSp>
    <xdr:clientData/>
  </xdr:twoCellAnchor>
  <xdr:twoCellAnchor>
    <xdr:from>
      <xdr:col>23</xdr:col>
      <xdr:colOff>478893</xdr:colOff>
      <xdr:row>33</xdr:row>
      <xdr:rowOff>177333</xdr:rowOff>
    </xdr:from>
    <xdr:to>
      <xdr:col>24</xdr:col>
      <xdr:colOff>1</xdr:colOff>
      <xdr:row>33</xdr:row>
      <xdr:rowOff>186735</xdr:rowOff>
    </xdr:to>
    <xdr:cxnSp macro="">
      <xdr:nvCxnSpPr>
        <xdr:cNvPr id="576" name="Straight Arrow Connector 575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CxnSpPr>
          <a:stCxn id="457" idx="0"/>
          <a:endCxn id="566" idx="6"/>
        </xdr:cNvCxnSpPr>
      </xdr:nvCxnSpPr>
      <xdr:spPr>
        <a:xfrm flipH="1">
          <a:off x="16290393" y="6463833"/>
          <a:ext cx="126226" cy="9402"/>
        </a:xfrm>
        <a:prstGeom prst="straightConnector1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448236</xdr:colOff>
      <xdr:row>27</xdr:row>
      <xdr:rowOff>156415</xdr:rowOff>
    </xdr:from>
    <xdr:to>
      <xdr:col>23</xdr:col>
      <xdr:colOff>248039</xdr:colOff>
      <xdr:row>33</xdr:row>
      <xdr:rowOff>186735</xdr:rowOff>
    </xdr:to>
    <xdr:cxnSp macro="">
      <xdr:nvCxnSpPr>
        <xdr:cNvPr id="578" name="Elbow Connector 577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CxnSpPr>
          <a:stCxn id="566" idx="2"/>
          <a:endCxn id="453" idx="3"/>
        </xdr:cNvCxnSpPr>
      </xdr:nvCxnSpPr>
      <xdr:spPr>
        <a:xfrm rot="10800000">
          <a:off x="15049501" y="5299915"/>
          <a:ext cx="1010038" cy="1173320"/>
        </a:xfrm>
        <a:prstGeom prst="bentConnector3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302564</xdr:colOff>
      <xdr:row>31</xdr:row>
      <xdr:rowOff>100852</xdr:rowOff>
    </xdr:from>
    <xdr:to>
      <xdr:col>27</xdr:col>
      <xdr:colOff>1</xdr:colOff>
      <xdr:row>32</xdr:row>
      <xdr:rowOff>105883</xdr:rowOff>
    </xdr:to>
    <xdr:cxnSp macro="">
      <xdr:nvCxnSpPr>
        <xdr:cNvPr id="580" name="Elbow Connector 579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CxnSpPr>
          <a:stCxn id="458" idx="1"/>
        </xdr:cNvCxnSpPr>
      </xdr:nvCxnSpPr>
      <xdr:spPr>
        <a:xfrm rot="16200000" flipH="1">
          <a:off x="17377811" y="5347723"/>
          <a:ext cx="195531" cy="1512790"/>
        </a:xfrm>
        <a:prstGeom prst="bentConnector2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504265</xdr:colOff>
      <xdr:row>28</xdr:row>
      <xdr:rowOff>112060</xdr:rowOff>
    </xdr:from>
    <xdr:to>
      <xdr:col>26</xdr:col>
      <xdr:colOff>537885</xdr:colOff>
      <xdr:row>29</xdr:row>
      <xdr:rowOff>179293</xdr:rowOff>
    </xdr:to>
    <xdr:cxnSp macro="">
      <xdr:nvCxnSpPr>
        <xdr:cNvPr id="583" name="Elbow Connector 582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CxnSpPr/>
      </xdr:nvCxnSpPr>
      <xdr:spPr>
        <a:xfrm rot="10800000" flipV="1">
          <a:off x="16920883" y="5446060"/>
          <a:ext cx="1243855" cy="257733"/>
        </a:xfrm>
        <a:prstGeom prst="bentConnector3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224117</xdr:colOff>
      <xdr:row>35</xdr:row>
      <xdr:rowOff>100853</xdr:rowOff>
    </xdr:from>
    <xdr:to>
      <xdr:col>25</xdr:col>
      <xdr:colOff>268941</xdr:colOff>
      <xdr:row>36</xdr:row>
      <xdr:rowOff>157951</xdr:rowOff>
    </xdr:to>
    <xdr:sp macro="" textlink="">
      <xdr:nvSpPr>
        <xdr:cNvPr id="587" name="Freeform 586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/>
      </xdr:nvSpPr>
      <xdr:spPr>
        <a:xfrm>
          <a:off x="16640735" y="6768353"/>
          <a:ext cx="649941" cy="247598"/>
        </a:xfrm>
        <a:custGeom>
          <a:avLst/>
          <a:gdLst>
            <a:gd name="connsiteX0" fmla="*/ 537883 w 649941"/>
            <a:gd name="connsiteY0" fmla="*/ 0 h 247598"/>
            <a:gd name="connsiteX1" fmla="*/ 481853 w 649941"/>
            <a:gd name="connsiteY1" fmla="*/ 11206 h 247598"/>
            <a:gd name="connsiteX2" fmla="*/ 448236 w 649941"/>
            <a:gd name="connsiteY2" fmla="*/ 33618 h 247598"/>
            <a:gd name="connsiteX3" fmla="*/ 403412 w 649941"/>
            <a:gd name="connsiteY3" fmla="*/ 44823 h 247598"/>
            <a:gd name="connsiteX4" fmla="*/ 369794 w 649941"/>
            <a:gd name="connsiteY4" fmla="*/ 67235 h 247598"/>
            <a:gd name="connsiteX5" fmla="*/ 201706 w 649941"/>
            <a:gd name="connsiteY5" fmla="*/ 100853 h 247598"/>
            <a:gd name="connsiteX6" fmla="*/ 112059 w 649941"/>
            <a:gd name="connsiteY6" fmla="*/ 123265 h 247598"/>
            <a:gd name="connsiteX7" fmla="*/ 67236 w 649941"/>
            <a:gd name="connsiteY7" fmla="*/ 134471 h 247598"/>
            <a:gd name="connsiteX8" fmla="*/ 0 w 649941"/>
            <a:gd name="connsiteY8" fmla="*/ 156882 h 247598"/>
            <a:gd name="connsiteX9" fmla="*/ 190500 w 649941"/>
            <a:gd name="connsiteY9" fmla="*/ 168088 h 247598"/>
            <a:gd name="connsiteX10" fmla="*/ 224118 w 649941"/>
            <a:gd name="connsiteY10" fmla="*/ 179294 h 247598"/>
            <a:gd name="connsiteX11" fmla="*/ 190500 w 649941"/>
            <a:gd name="connsiteY11" fmla="*/ 201706 h 247598"/>
            <a:gd name="connsiteX12" fmla="*/ 112059 w 649941"/>
            <a:gd name="connsiteY12" fmla="*/ 224118 h 247598"/>
            <a:gd name="connsiteX13" fmla="*/ 78441 w 649941"/>
            <a:gd name="connsiteY13" fmla="*/ 246529 h 247598"/>
            <a:gd name="connsiteX14" fmla="*/ 224118 w 649941"/>
            <a:gd name="connsiteY14" fmla="*/ 235323 h 247598"/>
            <a:gd name="connsiteX15" fmla="*/ 649941 w 649941"/>
            <a:gd name="connsiteY15" fmla="*/ 224118 h 2475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649941" h="247598">
              <a:moveTo>
                <a:pt x="537883" y="0"/>
              </a:moveTo>
              <a:cubicBezTo>
                <a:pt x="519206" y="3735"/>
                <a:pt x="499687" y="4518"/>
                <a:pt x="481853" y="11206"/>
              </a:cubicBezTo>
              <a:cubicBezTo>
                <a:pt x="469243" y="15935"/>
                <a:pt x="460615" y="28313"/>
                <a:pt x="448236" y="33618"/>
              </a:cubicBezTo>
              <a:cubicBezTo>
                <a:pt x="434080" y="39685"/>
                <a:pt x="418353" y="41088"/>
                <a:pt x="403412" y="44823"/>
              </a:cubicBezTo>
              <a:cubicBezTo>
                <a:pt x="392206" y="52294"/>
                <a:pt x="382101" y="61765"/>
                <a:pt x="369794" y="67235"/>
              </a:cubicBezTo>
              <a:cubicBezTo>
                <a:pt x="303578" y="96665"/>
                <a:pt x="278636" y="92305"/>
                <a:pt x="201706" y="100853"/>
              </a:cubicBezTo>
              <a:lnTo>
                <a:pt x="112059" y="123265"/>
              </a:lnTo>
              <a:cubicBezTo>
                <a:pt x="97118" y="127000"/>
                <a:pt x="81847" y="129601"/>
                <a:pt x="67236" y="134471"/>
              </a:cubicBezTo>
              <a:lnTo>
                <a:pt x="0" y="156882"/>
              </a:lnTo>
              <a:cubicBezTo>
                <a:pt x="63500" y="160617"/>
                <a:pt x="127206" y="161759"/>
                <a:pt x="190500" y="168088"/>
              </a:cubicBezTo>
              <a:cubicBezTo>
                <a:pt x="202254" y="169263"/>
                <a:pt x="224118" y="167482"/>
                <a:pt x="224118" y="179294"/>
              </a:cubicBezTo>
              <a:cubicBezTo>
                <a:pt x="224118" y="192762"/>
                <a:pt x="202546" y="195683"/>
                <a:pt x="190500" y="201706"/>
              </a:cubicBezTo>
              <a:cubicBezTo>
                <a:pt x="174423" y="209745"/>
                <a:pt x="126422" y="220527"/>
                <a:pt x="112059" y="224118"/>
              </a:cubicBezTo>
              <a:cubicBezTo>
                <a:pt x="100853" y="231588"/>
                <a:pt x="65040" y="245189"/>
                <a:pt x="78441" y="246529"/>
              </a:cubicBezTo>
              <a:cubicBezTo>
                <a:pt x="126902" y="251375"/>
                <a:pt x="175510" y="238361"/>
                <a:pt x="224118" y="235323"/>
              </a:cubicBezTo>
              <a:cubicBezTo>
                <a:pt x="463084" y="220388"/>
                <a:pt x="410717" y="224118"/>
                <a:pt x="649941" y="224118"/>
              </a:cubicBezTo>
            </a:path>
          </a:pathLst>
        </a:cu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268941</xdr:colOff>
      <xdr:row>29</xdr:row>
      <xdr:rowOff>179294</xdr:rowOff>
    </xdr:from>
    <xdr:to>
      <xdr:col>20</xdr:col>
      <xdr:colOff>582706</xdr:colOff>
      <xdr:row>31</xdr:row>
      <xdr:rowOff>138519</xdr:rowOff>
    </xdr:to>
    <xdr:grpSp>
      <xdr:nvGrpSpPr>
        <xdr:cNvPr id="590" name="Group 589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GrpSpPr/>
      </xdr:nvGrpSpPr>
      <xdr:grpSpPr>
        <a:xfrm>
          <a:off x="13782778" y="5606600"/>
          <a:ext cx="313765" cy="332449"/>
          <a:chOff x="3048000" y="7239000"/>
          <a:chExt cx="440065" cy="448362"/>
        </a:xfrm>
      </xdr:grpSpPr>
      <xdr:cxnSp macro="">
        <xdr:nvCxnSpPr>
          <xdr:cNvPr id="591" name="Straight Connector 590">
            <a:extLst>
              <a:ext uri="{FF2B5EF4-FFF2-40B4-BE49-F238E27FC236}">
                <a16:creationId xmlns:a16="http://schemas.microsoft.com/office/drawing/2014/main" id="{00000000-0008-0000-0100-00004F020000}"/>
              </a:ext>
            </a:extLst>
          </xdr:cNvPr>
          <xdr:cNvCxnSpPr/>
        </xdr:nvCxnSpPr>
        <xdr:spPr>
          <a:xfrm flipH="1">
            <a:off x="3270388" y="7239000"/>
            <a:ext cx="217677" cy="285903"/>
          </a:xfrm>
          <a:prstGeom prst="line">
            <a:avLst/>
          </a:prstGeom>
          <a:ln>
            <a:solidFill>
              <a:schemeClr val="tx1"/>
            </a:solidFill>
            <a:headEnd type="stealth" w="sm" len="sm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2" name="Straight Connector 591">
            <a:extLst>
              <a:ext uri="{FF2B5EF4-FFF2-40B4-BE49-F238E27FC236}">
                <a16:creationId xmlns:a16="http://schemas.microsoft.com/office/drawing/2014/main" id="{00000000-0008-0000-0100-000050020000}"/>
              </a:ext>
            </a:extLst>
          </xdr:cNvPr>
          <xdr:cNvCxnSpPr/>
        </xdr:nvCxnSpPr>
        <xdr:spPr>
          <a:xfrm flipH="1">
            <a:off x="3048000" y="7524903"/>
            <a:ext cx="122344" cy="162459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3" name="Straight Connector 592">
            <a:extLst>
              <a:ext uri="{FF2B5EF4-FFF2-40B4-BE49-F238E27FC236}">
                <a16:creationId xmlns:a16="http://schemas.microsoft.com/office/drawing/2014/main" id="{00000000-0008-0000-0100-000051020000}"/>
              </a:ext>
            </a:extLst>
          </xdr:cNvPr>
          <xdr:cNvCxnSpPr/>
        </xdr:nvCxnSpPr>
        <xdr:spPr>
          <a:xfrm flipH="1" flipV="1">
            <a:off x="3169524" y="7524903"/>
            <a:ext cx="11293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4" name="Oval 593">
            <a:extLst>
              <a:ext uri="{FF2B5EF4-FFF2-40B4-BE49-F238E27FC236}">
                <a16:creationId xmlns:a16="http://schemas.microsoft.com/office/drawing/2014/main" id="{00000000-0008-0000-0100-000052020000}"/>
              </a:ext>
            </a:extLst>
          </xdr:cNvPr>
          <xdr:cNvSpPr/>
        </xdr:nvSpPr>
        <xdr:spPr>
          <a:xfrm>
            <a:off x="3076575" y="7324725"/>
            <a:ext cx="340021" cy="333382"/>
          </a:xfrm>
          <a:prstGeom prst="ellipse">
            <a:avLst/>
          </a:prstGeom>
          <a:noFill/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20</xdr:col>
      <xdr:colOff>410532</xdr:colOff>
      <xdr:row>31</xdr:row>
      <xdr:rowOff>116321</xdr:rowOff>
    </xdr:from>
    <xdr:to>
      <xdr:col>21</xdr:col>
      <xdr:colOff>11206</xdr:colOff>
      <xdr:row>32</xdr:row>
      <xdr:rowOff>67236</xdr:rowOff>
    </xdr:to>
    <xdr:cxnSp macro="">
      <xdr:nvCxnSpPr>
        <xdr:cNvPr id="596" name="Elbow Connector 595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CxnSpPr>
          <a:endCxn id="594" idx="4"/>
        </xdr:cNvCxnSpPr>
      </xdr:nvCxnSpPr>
      <xdr:spPr>
        <a:xfrm rot="10800000">
          <a:off x="14406679" y="6021821"/>
          <a:ext cx="205792" cy="141415"/>
        </a:xfrm>
        <a:prstGeom prst="bentConnector2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410533</xdr:colOff>
      <xdr:row>28</xdr:row>
      <xdr:rowOff>123265</xdr:rowOff>
    </xdr:from>
    <xdr:to>
      <xdr:col>21</xdr:col>
      <xdr:colOff>145677</xdr:colOff>
      <xdr:row>30</xdr:row>
      <xdr:rowOff>53844</xdr:rowOff>
    </xdr:to>
    <xdr:cxnSp macro="">
      <xdr:nvCxnSpPr>
        <xdr:cNvPr id="598" name="Elbow Connector 597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CxnSpPr>
          <a:stCxn id="594" idx="0"/>
        </xdr:cNvCxnSpPr>
      </xdr:nvCxnSpPr>
      <xdr:spPr>
        <a:xfrm rot="5400000" flipH="1" flipV="1">
          <a:off x="14421021" y="5442924"/>
          <a:ext cx="311579" cy="340262"/>
        </a:xfrm>
        <a:prstGeom prst="bentConnector2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12</xdr:row>
      <xdr:rowOff>123826</xdr:rowOff>
    </xdr:from>
    <xdr:to>
      <xdr:col>6</xdr:col>
      <xdr:colOff>371475</xdr:colOff>
      <xdr:row>27</xdr:row>
      <xdr:rowOff>429</xdr:rowOff>
    </xdr:to>
    <xdr:cxnSp macro="">
      <xdr:nvCxnSpPr>
        <xdr:cNvPr id="615" name="Elbow Connector 61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CxnSpPr>
          <a:stCxn id="474" idx="2"/>
        </xdr:cNvCxnSpPr>
      </xdr:nvCxnSpPr>
      <xdr:spPr>
        <a:xfrm rot="10800000" flipH="1">
          <a:off x="5257801" y="2409826"/>
          <a:ext cx="371474" cy="2734103"/>
        </a:xfrm>
        <a:prstGeom prst="bentConnector4">
          <a:avLst>
            <a:gd name="adj1" fmla="val -184616"/>
            <a:gd name="adj2" fmla="val 53492"/>
          </a:avLst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4</xdr:row>
      <xdr:rowOff>47630</xdr:rowOff>
    </xdr:from>
    <xdr:to>
      <xdr:col>8</xdr:col>
      <xdr:colOff>295279</xdr:colOff>
      <xdr:row>12</xdr:row>
      <xdr:rowOff>133350</xdr:rowOff>
    </xdr:to>
    <xdr:cxnSp macro="">
      <xdr:nvCxnSpPr>
        <xdr:cNvPr id="618" name="Elbow Connector 617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CxnSpPr>
          <a:endCxn id="4" idx="1"/>
        </xdr:cNvCxnSpPr>
      </xdr:nvCxnSpPr>
      <xdr:spPr>
        <a:xfrm rot="5400000" flipH="1" flipV="1">
          <a:off x="5395917" y="1042988"/>
          <a:ext cx="1609720" cy="1143004"/>
        </a:xfrm>
        <a:prstGeom prst="bentConnector3">
          <a:avLst>
            <a:gd name="adj1" fmla="val 115089"/>
          </a:avLst>
        </a:prstGeom>
        <a:ln w="1905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3</xdr:row>
      <xdr:rowOff>0</xdr:rowOff>
    </xdr:from>
    <xdr:to>
      <xdr:col>14</xdr:col>
      <xdr:colOff>304799</xdr:colOff>
      <xdr:row>4</xdr:row>
      <xdr:rowOff>1</xdr:rowOff>
    </xdr:to>
    <xdr:cxnSp macro="">
      <xdr:nvCxnSpPr>
        <xdr:cNvPr id="620" name="Elbow Connector 619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CxnSpPr/>
      </xdr:nvCxnSpPr>
      <xdr:spPr>
        <a:xfrm>
          <a:off x="5293179" y="571500"/>
          <a:ext cx="4087584" cy="190501"/>
        </a:xfrm>
        <a:prstGeom prst="bentConnector2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291353</xdr:colOff>
      <xdr:row>19</xdr:row>
      <xdr:rowOff>100851</xdr:rowOff>
    </xdr:from>
    <xdr:to>
      <xdr:col>17</xdr:col>
      <xdr:colOff>352986</xdr:colOff>
      <xdr:row>25</xdr:row>
      <xdr:rowOff>78439</xdr:rowOff>
    </xdr:to>
    <xdr:grpSp>
      <xdr:nvGrpSpPr>
        <xdr:cNvPr id="639" name="Group 638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GrpSpPr/>
      </xdr:nvGrpSpPr>
      <xdr:grpSpPr>
        <a:xfrm>
          <a:off x="10516149" y="3662035"/>
          <a:ext cx="1414571" cy="1097261"/>
          <a:chOff x="11194677" y="3888441"/>
          <a:chExt cx="1339103" cy="1120588"/>
        </a:xfrm>
      </xdr:grpSpPr>
      <xdr:sp macro="" textlink="">
        <xdr:nvSpPr>
          <xdr:cNvPr id="627" name="Flowchart: Terminator 626">
            <a:extLst>
              <a:ext uri="{FF2B5EF4-FFF2-40B4-BE49-F238E27FC236}">
                <a16:creationId xmlns:a16="http://schemas.microsoft.com/office/drawing/2014/main" id="{00000000-0008-0000-0100-000073020000}"/>
              </a:ext>
            </a:extLst>
          </xdr:cNvPr>
          <xdr:cNvSpPr/>
        </xdr:nvSpPr>
        <xdr:spPr>
          <a:xfrm>
            <a:off x="11194677" y="3888441"/>
            <a:ext cx="1339103" cy="571500"/>
          </a:xfrm>
          <a:prstGeom prst="flowChartTerminator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628" name="Group 627">
            <a:extLst>
              <a:ext uri="{FF2B5EF4-FFF2-40B4-BE49-F238E27FC236}">
                <a16:creationId xmlns:a16="http://schemas.microsoft.com/office/drawing/2014/main" id="{00000000-0008-0000-0100-000074020000}"/>
              </a:ext>
            </a:extLst>
          </xdr:cNvPr>
          <xdr:cNvGrpSpPr/>
        </xdr:nvGrpSpPr>
        <xdr:grpSpPr>
          <a:xfrm>
            <a:off x="11250706" y="4493559"/>
            <a:ext cx="713815" cy="515470"/>
            <a:chOff x="10166780" y="4191000"/>
            <a:chExt cx="962767" cy="665831"/>
          </a:xfrm>
        </xdr:grpSpPr>
        <xdr:sp macro="" textlink="">
          <xdr:nvSpPr>
            <xdr:cNvPr id="629" name="Trapezoid 628">
              <a:extLst>
                <a:ext uri="{FF2B5EF4-FFF2-40B4-BE49-F238E27FC236}">
                  <a16:creationId xmlns:a16="http://schemas.microsoft.com/office/drawing/2014/main" id="{00000000-0008-0000-0100-000075020000}"/>
                </a:ext>
              </a:extLst>
            </xdr:cNvPr>
            <xdr:cNvSpPr/>
          </xdr:nvSpPr>
          <xdr:spPr>
            <a:xfrm>
              <a:off x="10573632" y="4508389"/>
              <a:ext cx="252460" cy="102907"/>
            </a:xfrm>
            <a:prstGeom prst="trapezoid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C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30" name="Oval 629">
              <a:extLst>
                <a:ext uri="{FF2B5EF4-FFF2-40B4-BE49-F238E27FC236}">
                  <a16:creationId xmlns:a16="http://schemas.microsoft.com/office/drawing/2014/main" id="{00000000-0008-0000-0100-000076020000}"/>
                </a:ext>
              </a:extLst>
            </xdr:cNvPr>
            <xdr:cNvSpPr/>
          </xdr:nvSpPr>
          <xdr:spPr>
            <a:xfrm>
              <a:off x="10531556" y="4191000"/>
              <a:ext cx="311367" cy="30872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C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31" name="TextBox 630">
              <a:extLst>
                <a:ext uri="{FF2B5EF4-FFF2-40B4-BE49-F238E27FC236}">
                  <a16:creationId xmlns:a16="http://schemas.microsoft.com/office/drawing/2014/main" id="{00000000-0008-0000-0100-000077020000}"/>
                </a:ext>
              </a:extLst>
            </xdr:cNvPr>
            <xdr:cNvSpPr txBox="1"/>
          </xdr:nvSpPr>
          <xdr:spPr>
            <a:xfrm>
              <a:off x="10166780" y="4589646"/>
              <a:ext cx="962767" cy="267185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CA" sz="1100"/>
                <a:t>P316/A</a:t>
              </a:r>
              <a:r>
                <a:rPr lang="en-CA" sz="1000" baseline="0"/>
                <a:t> </a:t>
              </a:r>
              <a:r>
                <a:rPr lang="en-CA" sz="1100" baseline="0"/>
                <a:t>  </a:t>
              </a:r>
              <a:endParaRPr lang="en-CA" sz="1100"/>
            </a:p>
          </xdr:txBody>
        </xdr:sp>
      </xdr:grpSp>
      <xdr:cxnSp macro="">
        <xdr:nvCxnSpPr>
          <xdr:cNvPr id="632" name="Elbow Connector 631">
            <a:extLst>
              <a:ext uri="{FF2B5EF4-FFF2-40B4-BE49-F238E27FC236}">
                <a16:creationId xmlns:a16="http://schemas.microsoft.com/office/drawing/2014/main" id="{00000000-0008-0000-0100-000078020000}"/>
              </a:ext>
            </a:extLst>
          </xdr:cNvPr>
          <xdr:cNvCxnSpPr>
            <a:stCxn id="627" idx="2"/>
            <a:endCxn id="630" idx="6"/>
          </xdr:cNvCxnSpPr>
        </xdr:nvCxnSpPr>
        <xdr:spPr>
          <a:xfrm rot="5400000">
            <a:off x="11731561" y="4480393"/>
            <a:ext cx="153120" cy="112217"/>
          </a:xfrm>
          <a:prstGeom prst="bentConnector2">
            <a:avLst/>
          </a:prstGeom>
          <a:ln w="19050">
            <a:solidFill>
              <a:schemeClr val="accent3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352986</xdr:colOff>
      <xdr:row>21</xdr:row>
      <xdr:rowOff>5601</xdr:rowOff>
    </xdr:from>
    <xdr:to>
      <xdr:col>19</xdr:col>
      <xdr:colOff>324971</xdr:colOff>
      <xdr:row>27</xdr:row>
      <xdr:rowOff>56029</xdr:rowOff>
    </xdr:to>
    <xdr:cxnSp macro="">
      <xdr:nvCxnSpPr>
        <xdr:cNvPr id="643" name="Elbow Connector 642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CxnSpPr>
          <a:endCxn id="627" idx="3"/>
        </xdr:cNvCxnSpPr>
      </xdr:nvCxnSpPr>
      <xdr:spPr>
        <a:xfrm rot="16200000" flipV="1">
          <a:off x="10936941" y="4011705"/>
          <a:ext cx="1193428" cy="1182220"/>
        </a:xfrm>
        <a:prstGeom prst="bentConnector2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657225</xdr:colOff>
      <xdr:row>21</xdr:row>
      <xdr:rowOff>5601</xdr:rowOff>
    </xdr:from>
    <xdr:to>
      <xdr:col>15</xdr:col>
      <xdr:colOff>291353</xdr:colOff>
      <xdr:row>24</xdr:row>
      <xdr:rowOff>57150</xdr:rowOff>
    </xdr:to>
    <xdr:cxnSp macro="">
      <xdr:nvCxnSpPr>
        <xdr:cNvPr id="646" name="Elbow Connector 645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CxnSpPr>
          <a:endCxn id="627" idx="1"/>
        </xdr:cNvCxnSpPr>
      </xdr:nvCxnSpPr>
      <xdr:spPr>
        <a:xfrm flipV="1">
          <a:off x="7743825" y="4006101"/>
          <a:ext cx="3520328" cy="623049"/>
        </a:xfrm>
        <a:prstGeom prst="bentConnector3">
          <a:avLst>
            <a:gd name="adj1" fmla="val -867"/>
          </a:avLst>
        </a:prstGeom>
        <a:ln w="19050">
          <a:prstDash val="sysDash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201706</xdr:colOff>
      <xdr:row>23</xdr:row>
      <xdr:rowOff>63471</xdr:rowOff>
    </xdr:from>
    <xdr:to>
      <xdr:col>16</xdr:col>
      <xdr:colOff>12717</xdr:colOff>
      <xdr:row>27</xdr:row>
      <xdr:rowOff>100853</xdr:rowOff>
    </xdr:to>
    <xdr:cxnSp macro="">
      <xdr:nvCxnSpPr>
        <xdr:cNvPr id="650" name="Elbow Connector 649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CxnSpPr>
          <a:stCxn id="630" idx="2"/>
        </xdr:cNvCxnSpPr>
      </xdr:nvCxnSpPr>
      <xdr:spPr>
        <a:xfrm rot="10800000" flipV="1">
          <a:off x="6633882" y="4444971"/>
          <a:ext cx="4887276" cy="799382"/>
        </a:xfrm>
        <a:prstGeom prst="bentConnector3">
          <a:avLst>
            <a:gd name="adj1" fmla="val 17441"/>
          </a:avLst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201706</xdr:colOff>
      <xdr:row>27</xdr:row>
      <xdr:rowOff>89647</xdr:rowOff>
    </xdr:from>
    <xdr:to>
      <xdr:col>8</xdr:col>
      <xdr:colOff>201706</xdr:colOff>
      <xdr:row>35</xdr:row>
      <xdr:rowOff>132522</xdr:rowOff>
    </xdr:to>
    <xdr:cxnSp macro="">
      <xdr:nvCxnSpPr>
        <xdr:cNvPr id="655" name="Straight Arrow Connector 654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CxnSpPr/>
      </xdr:nvCxnSpPr>
      <xdr:spPr>
        <a:xfrm>
          <a:off x="6711836" y="5233147"/>
          <a:ext cx="0" cy="1566875"/>
        </a:xfrm>
        <a:prstGeom prst="straightConnector1">
          <a:avLst/>
        </a:prstGeom>
        <a:ln w="190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121308</xdr:colOff>
      <xdr:row>35</xdr:row>
      <xdr:rowOff>131949</xdr:rowOff>
    </xdr:from>
    <xdr:to>
      <xdr:col>9</xdr:col>
      <xdr:colOff>58207</xdr:colOff>
      <xdr:row>35</xdr:row>
      <xdr:rowOff>134261</xdr:rowOff>
    </xdr:to>
    <xdr:cxnSp macro="">
      <xdr:nvCxnSpPr>
        <xdr:cNvPr id="658" name="Straight Arrow Connector 657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CxnSpPr>
          <a:stCxn id="381" idx="6"/>
          <a:endCxn id="129" idx="5"/>
        </xdr:cNvCxnSpPr>
      </xdr:nvCxnSpPr>
      <xdr:spPr>
        <a:xfrm>
          <a:off x="4778705" y="6799449"/>
          <a:ext cx="2380554" cy="2312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546653</xdr:colOff>
      <xdr:row>29</xdr:row>
      <xdr:rowOff>82826</xdr:rowOff>
    </xdr:from>
    <xdr:to>
      <xdr:col>8</xdr:col>
      <xdr:colOff>513522</xdr:colOff>
      <xdr:row>34</xdr:row>
      <xdr:rowOff>0</xdr:rowOff>
    </xdr:to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SpPr txBox="1"/>
      </xdr:nvSpPr>
      <xdr:spPr>
        <a:xfrm>
          <a:off x="6443870" y="5607326"/>
          <a:ext cx="579782" cy="8696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en-US" sz="1100"/>
            <a:t>predilution solvent</a:t>
          </a:r>
        </a:p>
      </xdr:txBody>
    </xdr:sp>
    <xdr:clientData/>
  </xdr:twoCellAnchor>
  <xdr:twoCellAnchor>
    <xdr:from>
      <xdr:col>13</xdr:col>
      <xdr:colOff>504825</xdr:colOff>
      <xdr:row>17</xdr:row>
      <xdr:rowOff>161925</xdr:rowOff>
    </xdr:from>
    <xdr:to>
      <xdr:col>15</xdr:col>
      <xdr:colOff>8405</xdr:colOff>
      <xdr:row>20</xdr:row>
      <xdr:rowOff>105895</xdr:rowOff>
    </xdr:to>
    <xdr:grpSp>
      <xdr:nvGrpSpPr>
        <xdr:cNvPr id="661" name="Group 660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GrpSpPr/>
      </xdr:nvGrpSpPr>
      <xdr:grpSpPr>
        <a:xfrm>
          <a:off x="9438886" y="3349884"/>
          <a:ext cx="794315" cy="503807"/>
          <a:chOff x="10166780" y="4191000"/>
          <a:chExt cx="962767" cy="665831"/>
        </a:xfrm>
      </xdr:grpSpPr>
      <xdr:sp macro="" textlink="">
        <xdr:nvSpPr>
          <xdr:cNvPr id="662" name="Trapezoid 661">
            <a:extLst>
              <a:ext uri="{FF2B5EF4-FFF2-40B4-BE49-F238E27FC236}">
                <a16:creationId xmlns:a16="http://schemas.microsoft.com/office/drawing/2014/main" id="{00000000-0008-0000-0100-000096020000}"/>
              </a:ext>
            </a:extLst>
          </xdr:cNvPr>
          <xdr:cNvSpPr/>
        </xdr:nvSpPr>
        <xdr:spPr>
          <a:xfrm>
            <a:off x="10573632" y="4508389"/>
            <a:ext cx="252460" cy="102907"/>
          </a:xfrm>
          <a:prstGeom prst="trapezoid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63" name="Oval 662">
            <a:extLst>
              <a:ext uri="{FF2B5EF4-FFF2-40B4-BE49-F238E27FC236}">
                <a16:creationId xmlns:a16="http://schemas.microsoft.com/office/drawing/2014/main" id="{00000000-0008-0000-0100-000097020000}"/>
              </a:ext>
            </a:extLst>
          </xdr:cNvPr>
          <xdr:cNvSpPr/>
        </xdr:nvSpPr>
        <xdr:spPr>
          <a:xfrm>
            <a:off x="10531556" y="4191000"/>
            <a:ext cx="311367" cy="30872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CA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64" name="TextBox 663">
            <a:extLst>
              <a:ext uri="{FF2B5EF4-FFF2-40B4-BE49-F238E27FC236}">
                <a16:creationId xmlns:a16="http://schemas.microsoft.com/office/drawing/2014/main" id="{00000000-0008-0000-0100-000098020000}"/>
              </a:ext>
            </a:extLst>
          </xdr:cNvPr>
          <xdr:cNvSpPr txBox="1"/>
        </xdr:nvSpPr>
        <xdr:spPr>
          <a:xfrm>
            <a:off x="10166780" y="4589646"/>
            <a:ext cx="962767" cy="26718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P363/A</a:t>
            </a:r>
            <a:r>
              <a:rPr lang="en-CA" sz="1000" baseline="0"/>
              <a:t> </a:t>
            </a:r>
            <a:r>
              <a:rPr lang="en-CA" sz="1100" baseline="0"/>
              <a:t>  </a:t>
            </a:r>
            <a:endParaRPr lang="en-CA" sz="1100"/>
          </a:p>
        </xdr:txBody>
      </xdr:sp>
    </xdr:grpSp>
    <xdr:clientData/>
  </xdr:twoCellAnchor>
  <xdr:twoCellAnchor>
    <xdr:from>
      <xdr:col>1</xdr:col>
      <xdr:colOff>495300</xdr:colOff>
      <xdr:row>18</xdr:row>
      <xdr:rowOff>85725</xdr:rowOff>
    </xdr:from>
    <xdr:to>
      <xdr:col>14</xdr:col>
      <xdr:colOff>169074</xdr:colOff>
      <xdr:row>18</xdr:row>
      <xdr:rowOff>90927</xdr:rowOff>
    </xdr:to>
    <xdr:cxnSp macro="">
      <xdr:nvCxnSpPr>
        <xdr:cNvPr id="669" name="Straight Arrow Connector 668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CxnSpPr>
          <a:stCxn id="663" idx="2"/>
        </xdr:cNvCxnSpPr>
      </xdr:nvCxnSpPr>
      <xdr:spPr>
        <a:xfrm flipH="1" flipV="1">
          <a:off x="2705100" y="3514725"/>
          <a:ext cx="7827174" cy="520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457451</xdr:colOff>
      <xdr:row>13</xdr:row>
      <xdr:rowOff>163648</xdr:rowOff>
    </xdr:from>
    <xdr:to>
      <xdr:col>27</xdr:col>
      <xdr:colOff>585505</xdr:colOff>
      <xdr:row>17</xdr:row>
      <xdr:rowOff>46223</xdr:rowOff>
    </xdr:to>
    <xdr:cxnSp macro="">
      <xdr:nvCxnSpPr>
        <xdr:cNvPr id="675" name="Elbow Connector 674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CxnSpPr>
          <a:stCxn id="368" idx="6"/>
          <a:endCxn id="377" idx="0"/>
        </xdr:cNvCxnSpPr>
      </xdr:nvCxnSpPr>
      <xdr:spPr>
        <a:xfrm>
          <a:off x="17098186" y="2640148"/>
          <a:ext cx="128054" cy="644575"/>
        </a:xfrm>
        <a:prstGeom prst="bentConnector2">
          <a:avLst/>
        </a:prstGeom>
        <a:ln w="1905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639206</xdr:colOff>
      <xdr:row>6</xdr:row>
      <xdr:rowOff>22412</xdr:rowOff>
    </xdr:from>
    <xdr:to>
      <xdr:col>23</xdr:col>
      <xdr:colOff>639206</xdr:colOff>
      <xdr:row>7</xdr:row>
      <xdr:rowOff>37539</xdr:rowOff>
    </xdr:to>
    <xdr:cxnSp macro="">
      <xdr:nvCxnSpPr>
        <xdr:cNvPr id="356" name="Straight Arrow Connector 355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CxnSpPr/>
      </xdr:nvCxnSpPr>
      <xdr:spPr>
        <a:xfrm>
          <a:off x="14859471" y="1165412"/>
          <a:ext cx="0" cy="20562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B1:AE55"/>
  <sheetViews>
    <sheetView showGridLines="0" zoomScale="70" zoomScaleNormal="70" workbookViewId="0">
      <selection activeCell="O64" sqref="O64"/>
    </sheetView>
  </sheetViews>
  <sheetFormatPr defaultColWidth="9.15234375" defaultRowHeight="14.6" x14ac:dyDescent="0.4"/>
  <cols>
    <col min="1" max="1" width="9.15234375" style="4"/>
    <col min="2" max="2" width="9.15234375" style="4" customWidth="1"/>
    <col min="3" max="4" width="9.15234375" style="4"/>
    <col min="5" max="5" width="10.84375" style="4" bestFit="1" customWidth="1"/>
    <col min="6" max="9" width="9.15234375" style="4"/>
    <col min="10" max="10" width="12.53515625" style="4" customWidth="1"/>
    <col min="11" max="11" width="9.15234375" style="4"/>
    <col min="12" max="12" width="11.69140625" style="4" bestFit="1" customWidth="1"/>
    <col min="13" max="16" width="9.15234375" style="4"/>
    <col min="17" max="17" width="10" style="4" customWidth="1"/>
    <col min="18" max="23" width="9.15234375" style="4"/>
    <col min="24" max="24" width="9.69140625" style="4" bestFit="1" customWidth="1"/>
    <col min="25" max="28" width="9.15234375" style="4"/>
    <col min="29" max="29" width="9.69140625" style="4" bestFit="1" customWidth="1"/>
    <col min="30" max="16384" width="9.15234375" style="4"/>
  </cols>
  <sheetData>
    <row r="1" spans="2:31" x14ac:dyDescent="0.4">
      <c r="K1" s="136"/>
      <c r="L1" s="137"/>
    </row>
    <row r="2" spans="2:31" x14ac:dyDescent="0.4">
      <c r="AD2" s="138"/>
    </row>
    <row r="3" spans="2:31" x14ac:dyDescent="0.4">
      <c r="P3" s="137"/>
      <c r="Q3" s="5"/>
      <c r="R3" s="5"/>
      <c r="V3" s="139"/>
    </row>
    <row r="4" spans="2:31" x14ac:dyDescent="0.4">
      <c r="B4" s="140"/>
      <c r="H4" s="5"/>
      <c r="J4" s="5"/>
      <c r="N4" s="5"/>
      <c r="P4" s="8"/>
      <c r="Q4" s="141"/>
      <c r="R4" s="137"/>
      <c r="V4" s="5"/>
      <c r="AD4" s="137"/>
    </row>
    <row r="5" spans="2:31" x14ac:dyDescent="0.4">
      <c r="B5" s="142"/>
      <c r="F5" s="5" t="s">
        <v>3</v>
      </c>
      <c r="H5" s="143"/>
      <c r="J5" s="136"/>
      <c r="K5" s="137"/>
      <c r="L5" s="5" t="s">
        <v>10</v>
      </c>
      <c r="N5" s="143"/>
      <c r="P5" s="8"/>
      <c r="Q5" s="141"/>
      <c r="R5" s="137"/>
      <c r="AD5" s="144"/>
      <c r="AE5" s="6"/>
    </row>
    <row r="6" spans="2:31" ht="15" customHeight="1" x14ac:dyDescent="0.4">
      <c r="F6" s="197" t="s">
        <v>7</v>
      </c>
      <c r="H6" s="137"/>
      <c r="I6" s="197" t="s">
        <v>11</v>
      </c>
      <c r="L6" s="5" t="s">
        <v>149</v>
      </c>
      <c r="N6" s="137"/>
      <c r="O6" s="197" t="s">
        <v>12</v>
      </c>
      <c r="X6" s="190" t="s">
        <v>41</v>
      </c>
      <c r="Y6" s="190"/>
      <c r="AD6" s="137"/>
    </row>
    <row r="7" spans="2:31" ht="15" customHeight="1" x14ac:dyDescent="0.4">
      <c r="B7" s="139"/>
      <c r="F7" s="197"/>
      <c r="I7" s="197"/>
      <c r="L7" s="197" t="s">
        <v>7</v>
      </c>
      <c r="O7" s="197"/>
      <c r="Y7" s="6" t="s">
        <v>78</v>
      </c>
      <c r="AD7" s="136"/>
      <c r="AE7" s="137"/>
    </row>
    <row r="8" spans="2:31" x14ac:dyDescent="0.4">
      <c r="B8" s="5"/>
      <c r="C8" s="5" t="s">
        <v>2</v>
      </c>
      <c r="F8" s="145"/>
      <c r="I8" s="5" t="s">
        <v>4</v>
      </c>
      <c r="L8" s="197"/>
      <c r="O8" s="5" t="s">
        <v>13</v>
      </c>
      <c r="Q8" s="4" t="s">
        <v>39</v>
      </c>
      <c r="AD8" s="137"/>
    </row>
    <row r="9" spans="2:31" x14ac:dyDescent="0.4">
      <c r="C9" s="5" t="s">
        <v>8</v>
      </c>
      <c r="L9" s="146"/>
      <c r="R9" s="8" t="s">
        <v>37</v>
      </c>
      <c r="T9" s="6" t="s">
        <v>54</v>
      </c>
      <c r="AD9" s="142"/>
      <c r="AE9" s="140"/>
    </row>
    <row r="10" spans="2:31" x14ac:dyDescent="0.4">
      <c r="C10" s="5" t="s">
        <v>9</v>
      </c>
      <c r="R10" s="196" t="s">
        <v>38</v>
      </c>
      <c r="S10" s="196"/>
      <c r="W10" s="5" t="s">
        <v>31</v>
      </c>
      <c r="Z10" s="5" t="s">
        <v>32</v>
      </c>
    </row>
    <row r="11" spans="2:31" x14ac:dyDescent="0.4">
      <c r="V11" s="4" t="s">
        <v>35</v>
      </c>
      <c r="W11" s="5" t="s">
        <v>19</v>
      </c>
      <c r="Z11" s="5" t="s">
        <v>33</v>
      </c>
      <c r="AD11" s="137"/>
    </row>
    <row r="12" spans="2:31" x14ac:dyDescent="0.4">
      <c r="F12" s="5"/>
      <c r="L12" s="147"/>
      <c r="M12" s="137"/>
      <c r="Q12" s="4" t="s">
        <v>40</v>
      </c>
      <c r="V12" s="7" t="s">
        <v>30</v>
      </c>
      <c r="W12" s="5" t="s">
        <v>20</v>
      </c>
      <c r="Y12" s="6" t="s">
        <v>79</v>
      </c>
      <c r="Z12" s="5" t="s">
        <v>22</v>
      </c>
      <c r="AB12" s="7" t="s">
        <v>30</v>
      </c>
      <c r="AD12" s="136"/>
      <c r="AE12" s="137"/>
    </row>
    <row r="13" spans="2:31" x14ac:dyDescent="0.4">
      <c r="F13" s="139"/>
      <c r="G13" s="137"/>
      <c r="M13" s="147"/>
      <c r="N13" s="137"/>
      <c r="R13" s="143"/>
      <c r="AD13" s="137"/>
    </row>
    <row r="14" spans="2:31" x14ac:dyDescent="0.4">
      <c r="R14" s="137"/>
      <c r="V14" s="7" t="s">
        <v>36</v>
      </c>
      <c r="X14" s="148"/>
      <c r="Y14" s="6" t="s">
        <v>73</v>
      </c>
      <c r="AD14" s="142"/>
      <c r="AE14" s="140"/>
    </row>
    <row r="15" spans="2:31" x14ac:dyDescent="0.4">
      <c r="L15" s="137"/>
      <c r="O15" s="196" t="s">
        <v>14</v>
      </c>
      <c r="P15" s="196"/>
    </row>
    <row r="16" spans="2:31" x14ac:dyDescent="0.4">
      <c r="I16" s="196" t="s">
        <v>5</v>
      </c>
      <c r="J16" s="196"/>
      <c r="L16" s="136"/>
      <c r="M16" s="137"/>
      <c r="N16" s="196" t="s">
        <v>15</v>
      </c>
      <c r="O16" s="196"/>
      <c r="P16" s="196"/>
      <c r="Q16" s="196"/>
    </row>
    <row r="17" spans="3:30" x14ac:dyDescent="0.4">
      <c r="D17" s="5" t="s">
        <v>16</v>
      </c>
      <c r="I17" s="196" t="s">
        <v>6</v>
      </c>
      <c r="J17" s="196"/>
    </row>
    <row r="18" spans="3:30" x14ac:dyDescent="0.4">
      <c r="D18" s="5" t="s">
        <v>17</v>
      </c>
    </row>
    <row r="20" spans="3:30" x14ac:dyDescent="0.4">
      <c r="C20" s="136"/>
      <c r="D20" s="137"/>
      <c r="H20" s="136"/>
      <c r="I20" s="137"/>
      <c r="X20" s="4" t="s">
        <v>30</v>
      </c>
      <c r="AB20" s="144"/>
      <c r="AC20" s="137"/>
    </row>
    <row r="21" spans="3:30" x14ac:dyDescent="0.4">
      <c r="Q21" s="5" t="s">
        <v>70</v>
      </c>
      <c r="AB21" s="7"/>
      <c r="AD21" s="6"/>
    </row>
    <row r="22" spans="3:30" x14ac:dyDescent="0.4">
      <c r="M22" s="196" t="s">
        <v>23</v>
      </c>
      <c r="N22" s="196"/>
      <c r="Q22" s="5" t="s">
        <v>71</v>
      </c>
      <c r="S22" s="4" t="s">
        <v>67</v>
      </c>
      <c r="AB22" s="150"/>
    </row>
    <row r="23" spans="3:30" x14ac:dyDescent="0.4">
      <c r="K23" s="4" t="s">
        <v>43</v>
      </c>
      <c r="L23" s="6" t="s">
        <v>30</v>
      </c>
      <c r="M23" s="196" t="s">
        <v>24</v>
      </c>
      <c r="N23" s="196"/>
      <c r="T23" s="7"/>
      <c r="X23" s="7" t="s">
        <v>55</v>
      </c>
      <c r="AB23" s="8"/>
      <c r="AC23" s="151"/>
    </row>
    <row r="24" spans="3:30" x14ac:dyDescent="0.4">
      <c r="H24" s="6" t="s">
        <v>69</v>
      </c>
      <c r="J24" s="7" t="s">
        <v>72</v>
      </c>
      <c r="AB24" s="152"/>
    </row>
    <row r="25" spans="3:30" x14ac:dyDescent="0.4">
      <c r="S25" s="7" t="s">
        <v>30</v>
      </c>
    </row>
    <row r="26" spans="3:30" x14ac:dyDescent="0.4">
      <c r="D26" s="7" t="s">
        <v>45</v>
      </c>
      <c r="F26" s="6" t="s">
        <v>44</v>
      </c>
      <c r="AB26" s="149"/>
    </row>
    <row r="27" spans="3:30" x14ac:dyDescent="0.4">
      <c r="D27" s="7"/>
      <c r="F27" s="6"/>
      <c r="J27" s="7"/>
      <c r="Z27" s="5" t="s">
        <v>50</v>
      </c>
      <c r="AB27" s="86"/>
    </row>
    <row r="28" spans="3:30" x14ac:dyDescent="0.4">
      <c r="D28" s="7"/>
      <c r="F28" s="6"/>
      <c r="J28" s="7"/>
      <c r="S28" s="7" t="s">
        <v>52</v>
      </c>
      <c r="Z28" s="5" t="s">
        <v>51</v>
      </c>
    </row>
    <row r="29" spans="3:30" x14ac:dyDescent="0.4">
      <c r="G29" s="6" t="s">
        <v>68</v>
      </c>
      <c r="H29" s="7" t="s">
        <v>53</v>
      </c>
      <c r="AB29" s="6" t="s">
        <v>63</v>
      </c>
    </row>
    <row r="30" spans="3:30" x14ac:dyDescent="0.4">
      <c r="U30" s="191" t="s">
        <v>82</v>
      </c>
      <c r="V30" s="191"/>
    </row>
    <row r="31" spans="3:30" x14ac:dyDescent="0.4">
      <c r="C31" s="23" t="s">
        <v>84</v>
      </c>
      <c r="D31" s="23" t="s">
        <v>217</v>
      </c>
      <c r="N31" s="15">
        <v>30</v>
      </c>
    </row>
    <row r="32" spans="3:30" x14ac:dyDescent="0.4">
      <c r="H32" s="139"/>
      <c r="N32" s="16" t="s">
        <v>144</v>
      </c>
      <c r="P32" s="190" t="s">
        <v>41</v>
      </c>
      <c r="Q32" s="190"/>
    </row>
    <row r="33" spans="2:28" x14ac:dyDescent="0.4">
      <c r="H33" s="5"/>
      <c r="N33" s="5"/>
      <c r="U33" s="6" t="s">
        <v>65</v>
      </c>
      <c r="AB33" s="6" t="s">
        <v>62</v>
      </c>
    </row>
    <row r="34" spans="2:28" x14ac:dyDescent="0.4">
      <c r="J34" s="4" t="s">
        <v>42</v>
      </c>
      <c r="N34" s="5"/>
      <c r="Q34" s="4" t="s">
        <v>81</v>
      </c>
      <c r="V34" s="5" t="s">
        <v>46</v>
      </c>
      <c r="Y34" s="5" t="s">
        <v>48</v>
      </c>
    </row>
    <row r="35" spans="2:28" x14ac:dyDescent="0.4">
      <c r="N35" s="5"/>
      <c r="P35" s="22" t="e">
        <f>#REF!</f>
        <v>#REF!</v>
      </c>
      <c r="V35" s="5" t="s">
        <v>74</v>
      </c>
      <c r="Y35" s="5" t="s">
        <v>49</v>
      </c>
    </row>
    <row r="36" spans="2:28" x14ac:dyDescent="0.4">
      <c r="K36" s="6" t="s">
        <v>29</v>
      </c>
      <c r="V36" s="5" t="s">
        <v>47</v>
      </c>
      <c r="Y36" s="5" t="s">
        <v>20</v>
      </c>
      <c r="Z36" s="6" t="s">
        <v>64</v>
      </c>
    </row>
    <row r="37" spans="2:28" x14ac:dyDescent="0.4">
      <c r="O37" s="5" t="s">
        <v>18</v>
      </c>
      <c r="Q37" s="6" t="s">
        <v>41</v>
      </c>
      <c r="R37" s="5" t="s">
        <v>21</v>
      </c>
    </row>
    <row r="38" spans="2:28" x14ac:dyDescent="0.4">
      <c r="C38" s="75" t="e">
        <f>#REF!</f>
        <v>#REF!</v>
      </c>
      <c r="D38" s="14" t="s">
        <v>73</v>
      </c>
      <c r="M38" s="6" t="s">
        <v>25</v>
      </c>
      <c r="N38" s="4" t="s">
        <v>26</v>
      </c>
      <c r="O38" s="5" t="s">
        <v>19</v>
      </c>
      <c r="R38" s="5" t="s">
        <v>34</v>
      </c>
      <c r="S38" s="21"/>
    </row>
    <row r="39" spans="2:28" ht="15" thickBot="1" x14ac:dyDescent="0.45">
      <c r="B39" s="7" t="s">
        <v>75</v>
      </c>
      <c r="C39" s="4">
        <v>1.02</v>
      </c>
      <c r="D39" s="6"/>
      <c r="L39" s="6" t="s">
        <v>30</v>
      </c>
      <c r="N39" s="4" t="s">
        <v>30</v>
      </c>
      <c r="O39" s="5" t="s">
        <v>20</v>
      </c>
      <c r="Q39" s="6" t="s">
        <v>80</v>
      </c>
      <c r="R39" s="5" t="s">
        <v>22</v>
      </c>
      <c r="T39" s="6" t="s">
        <v>66</v>
      </c>
    </row>
    <row r="40" spans="2:28" ht="15" thickBot="1" x14ac:dyDescent="0.45">
      <c r="B40" s="7" t="s">
        <v>76</v>
      </c>
      <c r="C40" s="19" t="e">
        <f>C39*C38</f>
        <v>#REF!</v>
      </c>
      <c r="D40" s="18" t="s">
        <v>73</v>
      </c>
      <c r="K40" s="6" t="s">
        <v>28</v>
      </c>
      <c r="S40" s="17">
        <v>306</v>
      </c>
      <c r="T40" s="14" t="s">
        <v>83</v>
      </c>
    </row>
    <row r="41" spans="2:28" x14ac:dyDescent="0.4">
      <c r="C41" s="86" t="e">
        <f>C40*42/7.4805/24*'Lab Data'!C6/1000*62.4*1000</f>
        <v>#REF!</v>
      </c>
      <c r="D41" s="4" t="s">
        <v>161</v>
      </c>
      <c r="P41" s="13">
        <v>16.2</v>
      </c>
      <c r="Q41" s="14" t="s">
        <v>73</v>
      </c>
      <c r="S41" s="4" t="s">
        <v>148</v>
      </c>
    </row>
    <row r="42" spans="2:28" ht="15" thickBot="1" x14ac:dyDescent="0.45">
      <c r="D42" s="7"/>
      <c r="E42" s="88"/>
      <c r="N42" s="4" t="s">
        <v>27</v>
      </c>
    </row>
    <row r="43" spans="2:28" x14ac:dyDescent="0.4">
      <c r="B43" s="204" t="s">
        <v>56</v>
      </c>
      <c r="C43" s="205"/>
    </row>
    <row r="44" spans="2:28" x14ac:dyDescent="0.4">
      <c r="B44" s="9"/>
      <c r="C44" s="10"/>
    </row>
    <row r="45" spans="2:28" x14ac:dyDescent="0.4">
      <c r="B45" s="192" t="s">
        <v>57</v>
      </c>
      <c r="C45" s="193"/>
    </row>
    <row r="46" spans="2:28" x14ac:dyDescent="0.4">
      <c r="B46" s="194" t="s">
        <v>58</v>
      </c>
      <c r="C46" s="195"/>
    </row>
    <row r="47" spans="2:28" x14ac:dyDescent="0.4">
      <c r="B47" s="198" t="s">
        <v>59</v>
      </c>
      <c r="C47" s="199"/>
    </row>
    <row r="48" spans="2:28" x14ac:dyDescent="0.4">
      <c r="B48" s="200" t="s">
        <v>60</v>
      </c>
      <c r="C48" s="201"/>
    </row>
    <row r="49" spans="2:15" ht="15" thickBot="1" x14ac:dyDescent="0.45">
      <c r="B49" s="202" t="s">
        <v>61</v>
      </c>
      <c r="C49" s="203"/>
    </row>
    <row r="50" spans="2:15" x14ac:dyDescent="0.4">
      <c r="M50" s="13">
        <v>5.5511782206550979</v>
      </c>
      <c r="N50" s="14" t="s">
        <v>73</v>
      </c>
      <c r="O50" s="5"/>
    </row>
    <row r="51" spans="2:15" ht="15" thickBot="1" x14ac:dyDescent="0.45">
      <c r="L51" s="7" t="s">
        <v>75</v>
      </c>
      <c r="M51" s="32">
        <v>0.92</v>
      </c>
      <c r="N51" s="34"/>
    </row>
    <row r="52" spans="2:15" ht="15" thickBot="1" x14ac:dyDescent="0.45">
      <c r="L52" s="7" t="s">
        <v>77</v>
      </c>
      <c r="M52" s="19">
        <v>5.1070839630026903</v>
      </c>
      <c r="N52" s="20" t="s">
        <v>73</v>
      </c>
    </row>
    <row r="53" spans="2:15" x14ac:dyDescent="0.4">
      <c r="M53" s="12">
        <v>0.80773220101639787</v>
      </c>
    </row>
    <row r="54" spans="2:15" x14ac:dyDescent="0.4">
      <c r="M54" s="86">
        <v>64555.425598448237</v>
      </c>
      <c r="N54" s="4" t="s">
        <v>161</v>
      </c>
    </row>
    <row r="55" spans="2:15" x14ac:dyDescent="0.4">
      <c r="L55" s="8"/>
      <c r="M55" s="87"/>
    </row>
  </sheetData>
  <mergeCells count="20">
    <mergeCell ref="B47:C47"/>
    <mergeCell ref="B48:C48"/>
    <mergeCell ref="B49:C49"/>
    <mergeCell ref="B43:C43"/>
    <mergeCell ref="N16:Q16"/>
    <mergeCell ref="M23:N23"/>
    <mergeCell ref="M22:N22"/>
    <mergeCell ref="I16:J16"/>
    <mergeCell ref="I17:J17"/>
    <mergeCell ref="X6:Y6"/>
    <mergeCell ref="P32:Q32"/>
    <mergeCell ref="U30:V30"/>
    <mergeCell ref="B45:C45"/>
    <mergeCell ref="B46:C46"/>
    <mergeCell ref="R10:S10"/>
    <mergeCell ref="F6:F7"/>
    <mergeCell ref="I6:I7"/>
    <mergeCell ref="O6:O7"/>
    <mergeCell ref="O15:P15"/>
    <mergeCell ref="L7:L8"/>
  </mergeCells>
  <pageMargins left="0.25" right="0.25" top="0.75" bottom="0.75" header="0.3" footer="0.3"/>
  <pageSetup paperSize="3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2:T41"/>
  <sheetViews>
    <sheetView workbookViewId="0">
      <selection activeCell="G21" sqref="G21"/>
    </sheetView>
  </sheetViews>
  <sheetFormatPr defaultRowHeight="14.6" x14ac:dyDescent="0.4"/>
  <cols>
    <col min="1" max="1" width="33.84375" bestFit="1" customWidth="1"/>
    <col min="2" max="2" width="28.69140625" bestFit="1" customWidth="1"/>
    <col min="4" max="4" width="54.69140625" customWidth="1"/>
    <col min="5" max="5" width="15.84375" bestFit="1" customWidth="1"/>
    <col min="6" max="6" width="15.69140625" customWidth="1"/>
    <col min="8" max="8" width="17" customWidth="1"/>
    <col min="10" max="10" width="16.53515625" customWidth="1"/>
    <col min="12" max="12" width="16.3828125" hidden="1" customWidth="1"/>
    <col min="13" max="13" width="0" hidden="1" customWidth="1"/>
    <col min="14" max="14" width="15.69140625" hidden="1" customWidth="1"/>
    <col min="15" max="15" width="0" hidden="1" customWidth="1"/>
    <col min="16" max="16" width="16.15234375" hidden="1" customWidth="1"/>
    <col min="17" max="17" width="0" hidden="1" customWidth="1"/>
    <col min="18" max="18" width="17.3046875" hidden="1" customWidth="1"/>
    <col min="19" max="19" width="0" hidden="1" customWidth="1"/>
    <col min="20" max="20" width="15" hidden="1" customWidth="1"/>
    <col min="21" max="21" width="0" hidden="1" customWidth="1"/>
    <col min="22" max="22" width="15.53515625" customWidth="1"/>
  </cols>
  <sheetData>
    <row r="2" spans="1:5" x14ac:dyDescent="0.4">
      <c r="A2" s="37" t="s">
        <v>103</v>
      </c>
      <c r="B2" s="37" t="s">
        <v>104</v>
      </c>
      <c r="C2" s="2"/>
      <c r="D2" s="2"/>
    </row>
    <row r="3" spans="1:5" x14ac:dyDescent="0.4">
      <c r="A3" s="209" t="s">
        <v>115</v>
      </c>
      <c r="B3" s="24" t="s">
        <v>116</v>
      </c>
      <c r="C3" s="38">
        <v>0.60099998474121097</v>
      </c>
      <c r="D3" s="3"/>
    </row>
    <row r="4" spans="1:5" x14ac:dyDescent="0.4">
      <c r="A4" s="209"/>
      <c r="B4" s="24" t="s">
        <v>126</v>
      </c>
      <c r="C4" s="38">
        <v>0</v>
      </c>
      <c r="D4" s="3"/>
    </row>
    <row r="5" spans="1:5" x14ac:dyDescent="0.4">
      <c r="A5" s="39" t="s">
        <v>66</v>
      </c>
      <c r="B5" s="24" t="s">
        <v>116</v>
      </c>
      <c r="C5" s="38">
        <v>0.60099998474121097</v>
      </c>
      <c r="D5" s="3"/>
    </row>
    <row r="6" spans="1:5" x14ac:dyDescent="0.4">
      <c r="A6" s="206" t="s">
        <v>0</v>
      </c>
      <c r="B6" s="24" t="s">
        <v>235</v>
      </c>
      <c r="C6" s="78">
        <v>860.7</v>
      </c>
      <c r="D6" s="41"/>
    </row>
    <row r="7" spans="1:5" x14ac:dyDescent="0.4">
      <c r="A7" s="206"/>
      <c r="B7" s="24" t="s">
        <v>109</v>
      </c>
      <c r="C7" s="78">
        <v>26.39</v>
      </c>
      <c r="D7" s="41"/>
    </row>
    <row r="8" spans="1:5" x14ac:dyDescent="0.4">
      <c r="A8" s="206"/>
      <c r="B8" s="24" t="s">
        <v>110</v>
      </c>
      <c r="C8" s="78">
        <v>9.8550000000000004</v>
      </c>
      <c r="D8" s="41"/>
    </row>
    <row r="9" spans="1:5" x14ac:dyDescent="0.4">
      <c r="A9" s="206"/>
      <c r="B9" s="24" t="s">
        <v>125</v>
      </c>
      <c r="C9" s="207" t="s">
        <v>218</v>
      </c>
      <c r="D9" s="208"/>
    </row>
    <row r="10" spans="1:5" x14ac:dyDescent="0.4">
      <c r="A10" s="206"/>
      <c r="B10" s="24" t="s">
        <v>108</v>
      </c>
      <c r="C10" s="80">
        <v>0.23100000000000001</v>
      </c>
      <c r="D10" s="3"/>
      <c r="E10" s="184"/>
    </row>
    <row r="11" spans="1:5" x14ac:dyDescent="0.4">
      <c r="A11" s="206"/>
      <c r="B11" s="24" t="s">
        <v>114</v>
      </c>
      <c r="C11" s="81" t="s">
        <v>219</v>
      </c>
      <c r="D11" s="3"/>
    </row>
    <row r="12" spans="1:5" ht="15" customHeight="1" x14ac:dyDescent="0.4">
      <c r="A12" s="39" t="s">
        <v>113</v>
      </c>
      <c r="B12" s="24" t="s">
        <v>107</v>
      </c>
      <c r="C12" s="82">
        <v>0.71</v>
      </c>
      <c r="D12" s="3"/>
    </row>
    <row r="13" spans="1:5" x14ac:dyDescent="0.4">
      <c r="A13" s="206" t="s">
        <v>117</v>
      </c>
      <c r="B13" s="24" t="s">
        <v>235</v>
      </c>
      <c r="C13" s="78">
        <v>865.9</v>
      </c>
      <c r="D13" s="41"/>
    </row>
    <row r="14" spans="1:5" x14ac:dyDescent="0.4">
      <c r="A14" s="206"/>
      <c r="B14" s="24" t="s">
        <v>118</v>
      </c>
      <c r="C14" s="78">
        <v>89.72</v>
      </c>
      <c r="D14" s="41"/>
    </row>
    <row r="15" spans="1:5" x14ac:dyDescent="0.4">
      <c r="A15" s="206"/>
      <c r="B15" s="24" t="s">
        <v>110</v>
      </c>
      <c r="C15" s="78">
        <v>10.68</v>
      </c>
      <c r="D15" s="41"/>
    </row>
    <row r="16" spans="1:5" x14ac:dyDescent="0.4">
      <c r="A16" s="206"/>
      <c r="B16" s="24" t="s">
        <v>142</v>
      </c>
      <c r="C16" s="78">
        <v>102</v>
      </c>
      <c r="D16" s="40"/>
    </row>
    <row r="17" spans="1:5" x14ac:dyDescent="0.4">
      <c r="A17" s="206"/>
      <c r="B17" s="24" t="s">
        <v>111</v>
      </c>
      <c r="C17" s="78">
        <v>4</v>
      </c>
      <c r="D17" s="3"/>
    </row>
    <row r="18" spans="1:5" x14ac:dyDescent="0.4">
      <c r="A18" s="206"/>
      <c r="B18" s="24" t="s">
        <v>112</v>
      </c>
      <c r="C18" s="78">
        <v>466</v>
      </c>
      <c r="D18" s="3"/>
    </row>
    <row r="19" spans="1:5" x14ac:dyDescent="0.4">
      <c r="A19" s="206" t="s">
        <v>105</v>
      </c>
      <c r="B19" s="24" t="s">
        <v>235</v>
      </c>
      <c r="C19" s="78">
        <v>838.3</v>
      </c>
      <c r="D19" s="41"/>
    </row>
    <row r="20" spans="1:5" x14ac:dyDescent="0.4">
      <c r="A20" s="206"/>
      <c r="B20" s="24" t="s">
        <v>106</v>
      </c>
      <c r="C20" s="79">
        <v>21.633333841959637</v>
      </c>
      <c r="D20" s="41"/>
      <c r="E20" s="175"/>
    </row>
    <row r="21" spans="1:5" x14ac:dyDescent="0.4">
      <c r="A21" s="206"/>
      <c r="B21" s="24" t="s">
        <v>112</v>
      </c>
      <c r="C21" s="78">
        <v>481</v>
      </c>
      <c r="D21" s="41"/>
    </row>
    <row r="22" spans="1:5" x14ac:dyDescent="0.4">
      <c r="A22" s="206" t="s">
        <v>99</v>
      </c>
      <c r="B22" s="24" t="s">
        <v>106</v>
      </c>
      <c r="C22" s="76">
        <v>0.45</v>
      </c>
      <c r="D22" s="3"/>
      <c r="E22" s="36"/>
    </row>
    <row r="23" spans="1:5" x14ac:dyDescent="0.4">
      <c r="A23" s="206"/>
      <c r="B23" s="24" t="s">
        <v>107</v>
      </c>
      <c r="C23" s="76"/>
      <c r="D23" s="3"/>
      <c r="E23" s="170"/>
    </row>
    <row r="24" spans="1:5" x14ac:dyDescent="0.4">
      <c r="A24" s="206"/>
      <c r="B24" s="24" t="s">
        <v>116</v>
      </c>
      <c r="C24" s="77">
        <v>0.61199999999999999</v>
      </c>
      <c r="D24" s="3"/>
    </row>
    <row r="25" spans="1:5" x14ac:dyDescent="0.4">
      <c r="A25" s="25"/>
      <c r="B25" s="26"/>
    </row>
    <row r="26" spans="1:5" x14ac:dyDescent="0.4">
      <c r="A26" s="27" t="s">
        <v>119</v>
      </c>
      <c r="B26" s="26"/>
    </row>
    <row r="27" spans="1:5" x14ac:dyDescent="0.4">
      <c r="A27" s="25"/>
      <c r="B27" s="26"/>
      <c r="D27" s="1"/>
    </row>
    <row r="28" spans="1:5" x14ac:dyDescent="0.4">
      <c r="A28" s="206" t="s">
        <v>141</v>
      </c>
      <c r="B28" s="24" t="s">
        <v>107</v>
      </c>
      <c r="C28" s="80">
        <v>0.92</v>
      </c>
      <c r="D28" s="3" t="s">
        <v>145</v>
      </c>
    </row>
    <row r="29" spans="1:5" x14ac:dyDescent="0.4">
      <c r="A29" s="206"/>
      <c r="B29" s="24" t="s">
        <v>116</v>
      </c>
      <c r="C29" s="80">
        <v>0.57699999999999996</v>
      </c>
      <c r="D29" s="3" t="s">
        <v>145</v>
      </c>
    </row>
    <row r="30" spans="1:5" x14ac:dyDescent="0.4">
      <c r="A30" s="206" t="s">
        <v>120</v>
      </c>
      <c r="B30" s="24" t="s">
        <v>107</v>
      </c>
      <c r="C30" s="80">
        <v>0.8</v>
      </c>
      <c r="D30" s="3" t="s">
        <v>145</v>
      </c>
    </row>
    <row r="31" spans="1:5" x14ac:dyDescent="0.4">
      <c r="A31" s="206"/>
      <c r="B31" s="24" t="s">
        <v>116</v>
      </c>
      <c r="C31" s="80">
        <v>0.60899999999999999</v>
      </c>
      <c r="D31" s="3" t="s">
        <v>145</v>
      </c>
    </row>
    <row r="32" spans="1:5" x14ac:dyDescent="0.4">
      <c r="A32" s="206" t="s">
        <v>121</v>
      </c>
      <c r="B32" s="24" t="s">
        <v>107</v>
      </c>
      <c r="C32" s="80">
        <v>0.61</v>
      </c>
      <c r="D32" s="3" t="s">
        <v>145</v>
      </c>
    </row>
    <row r="33" spans="1:4" x14ac:dyDescent="0.4">
      <c r="A33" s="206"/>
      <c r="B33" s="24" t="s">
        <v>116</v>
      </c>
      <c r="C33" s="80">
        <v>0.44800000000000001</v>
      </c>
      <c r="D33" s="3" t="s">
        <v>145</v>
      </c>
    </row>
    <row r="34" spans="1:4" x14ac:dyDescent="0.4">
      <c r="A34" s="206" t="s">
        <v>122</v>
      </c>
      <c r="B34" s="24" t="s">
        <v>107</v>
      </c>
      <c r="C34" s="80">
        <v>0.4</v>
      </c>
      <c r="D34" s="3" t="s">
        <v>145</v>
      </c>
    </row>
    <row r="35" spans="1:4" x14ac:dyDescent="0.4">
      <c r="A35" s="206"/>
      <c r="B35" s="24" t="s">
        <v>116</v>
      </c>
      <c r="C35" s="80">
        <v>0.34899999999999998</v>
      </c>
      <c r="D35" s="3" t="s">
        <v>145</v>
      </c>
    </row>
    <row r="36" spans="1:4" x14ac:dyDescent="0.4">
      <c r="A36" s="206" t="s">
        <v>140</v>
      </c>
      <c r="B36" s="24" t="s">
        <v>107</v>
      </c>
      <c r="C36" s="80">
        <v>0.83</v>
      </c>
      <c r="D36" s="3" t="s">
        <v>145</v>
      </c>
    </row>
    <row r="37" spans="1:4" x14ac:dyDescent="0.4">
      <c r="A37" s="206"/>
      <c r="B37" s="24" t="s">
        <v>116</v>
      </c>
      <c r="C37" s="80">
        <v>0.59099999999999997</v>
      </c>
      <c r="D37" s="3" t="s">
        <v>145</v>
      </c>
    </row>
    <row r="38" spans="1:4" x14ac:dyDescent="0.4">
      <c r="A38" s="206" t="s">
        <v>123</v>
      </c>
      <c r="B38" s="24" t="s">
        <v>107</v>
      </c>
      <c r="C38" s="80">
        <v>0.73</v>
      </c>
      <c r="D38" s="3" t="s">
        <v>145</v>
      </c>
    </row>
    <row r="39" spans="1:4" x14ac:dyDescent="0.4">
      <c r="A39" s="206"/>
      <c r="B39" s="24" t="s">
        <v>116</v>
      </c>
      <c r="C39" s="80">
        <v>0.47499999999999998</v>
      </c>
      <c r="D39" s="3" t="s">
        <v>145</v>
      </c>
    </row>
    <row r="40" spans="1:4" x14ac:dyDescent="0.4">
      <c r="A40" s="206" t="s">
        <v>124</v>
      </c>
      <c r="B40" s="24" t="s">
        <v>107</v>
      </c>
      <c r="C40" s="80">
        <v>0.2</v>
      </c>
      <c r="D40" s="3" t="s">
        <v>145</v>
      </c>
    </row>
    <row r="41" spans="1:4" x14ac:dyDescent="0.4">
      <c r="A41" s="206"/>
      <c r="B41" s="24" t="s">
        <v>116</v>
      </c>
      <c r="C41" s="80">
        <v>0.19700000000000001</v>
      </c>
      <c r="D41" s="3" t="s">
        <v>145</v>
      </c>
    </row>
  </sheetData>
  <mergeCells count="13">
    <mergeCell ref="C9:D9"/>
    <mergeCell ref="A28:A29"/>
    <mergeCell ref="A3:A4"/>
    <mergeCell ref="A19:A21"/>
    <mergeCell ref="A22:A24"/>
    <mergeCell ref="A6:A11"/>
    <mergeCell ref="A13:A18"/>
    <mergeCell ref="A40:A41"/>
    <mergeCell ref="A30:A31"/>
    <mergeCell ref="A32:A33"/>
    <mergeCell ref="A34:A35"/>
    <mergeCell ref="A36:A37"/>
    <mergeCell ref="A38:A3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S46"/>
  <sheetViews>
    <sheetView zoomScaleNormal="100" workbookViewId="0">
      <selection activeCell="G17" sqref="G17"/>
    </sheetView>
  </sheetViews>
  <sheetFormatPr defaultColWidth="8.69140625" defaultRowHeight="14.6" x14ac:dyDescent="0.4"/>
  <cols>
    <col min="1" max="1" width="24.84375" style="91" customWidth="1"/>
    <col min="2" max="2" width="15" style="91" customWidth="1"/>
    <col min="3" max="8" width="11.3828125" style="91" customWidth="1"/>
    <col min="9" max="9" width="13.69140625" style="91" bestFit="1" customWidth="1"/>
    <col min="10" max="10" width="11.3828125" style="91" customWidth="1"/>
    <col min="11" max="11" width="15.3828125" style="91" customWidth="1"/>
    <col min="12" max="14" width="11.3828125" style="91" customWidth="1"/>
    <col min="15" max="16" width="8.69140625" style="91"/>
    <col min="17" max="17" width="24.15234375" style="91" bestFit="1" customWidth="1"/>
    <col min="18" max="19" width="7.53515625" style="91" bestFit="1" customWidth="1"/>
    <col min="20" max="16384" width="8.69140625" style="91"/>
  </cols>
  <sheetData>
    <row r="1" spans="1:19" x14ac:dyDescent="0.4">
      <c r="A1" s="90" t="s">
        <v>230</v>
      </c>
      <c r="E1" s="107"/>
      <c r="K1" s="93"/>
      <c r="Q1" s="94" t="s">
        <v>85</v>
      </c>
    </row>
    <row r="2" spans="1:19" x14ac:dyDescent="0.4">
      <c r="A2" s="91" t="s">
        <v>128</v>
      </c>
      <c r="D2" s="93"/>
      <c r="I2" s="93"/>
      <c r="J2" s="107"/>
      <c r="K2" s="93"/>
    </row>
    <row r="3" spans="1:19" ht="43.75" x14ac:dyDescent="0.4">
      <c r="A3" s="89" t="s">
        <v>161</v>
      </c>
      <c r="B3" s="95" t="s">
        <v>57</v>
      </c>
      <c r="C3" s="95" t="s">
        <v>1</v>
      </c>
      <c r="D3" s="95" t="s">
        <v>137</v>
      </c>
      <c r="E3" s="95" t="s">
        <v>98</v>
      </c>
      <c r="F3" s="95" t="s">
        <v>100</v>
      </c>
      <c r="G3" s="95" t="s">
        <v>96</v>
      </c>
      <c r="H3" s="95" t="s">
        <v>97</v>
      </c>
      <c r="I3" s="95" t="s">
        <v>127</v>
      </c>
      <c r="J3" s="95" t="s">
        <v>99</v>
      </c>
      <c r="K3" s="95" t="s">
        <v>101</v>
      </c>
      <c r="L3" s="95" t="s">
        <v>138</v>
      </c>
      <c r="M3" s="95" t="s">
        <v>38</v>
      </c>
      <c r="N3" s="95" t="s">
        <v>102</v>
      </c>
      <c r="Q3" s="89"/>
      <c r="R3" s="89" t="s">
        <v>94</v>
      </c>
      <c r="S3" s="89" t="s">
        <v>95</v>
      </c>
    </row>
    <row r="4" spans="1:19" x14ac:dyDescent="0.4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Q4" s="89" t="s">
        <v>86</v>
      </c>
      <c r="R4" s="89">
        <v>0.86919999999999997</v>
      </c>
      <c r="S4" s="89">
        <v>0.87239999999999995</v>
      </c>
    </row>
    <row r="5" spans="1:19" x14ac:dyDescent="0.4">
      <c r="A5" s="96" t="s">
        <v>34</v>
      </c>
      <c r="B5" s="123">
        <v>67745.847924550311</v>
      </c>
      <c r="C5" s="53"/>
      <c r="D5" s="124">
        <v>4777.1812413528951</v>
      </c>
      <c r="E5" s="53">
        <v>72523.029165903208</v>
      </c>
      <c r="F5" s="53"/>
      <c r="G5" s="53">
        <v>61932.897083214695</v>
      </c>
      <c r="H5" s="53">
        <v>10590.132082688511</v>
      </c>
      <c r="I5" s="53">
        <v>1006.8593256883595</v>
      </c>
      <c r="J5" s="53">
        <v>11596.991408376871</v>
      </c>
      <c r="K5" s="53"/>
      <c r="L5" s="53">
        <v>8368.2745189979105</v>
      </c>
      <c r="M5" s="53">
        <v>3228.7168893789612</v>
      </c>
      <c r="N5" s="53">
        <v>3228.7168893789612</v>
      </c>
      <c r="Q5" s="89" t="s">
        <v>87</v>
      </c>
      <c r="R5" s="89">
        <v>15</v>
      </c>
      <c r="S5" s="89">
        <v>50</v>
      </c>
    </row>
    <row r="6" spans="1:19" x14ac:dyDescent="0.4">
      <c r="A6" s="96" t="s">
        <v>33</v>
      </c>
      <c r="B6" s="123">
        <v>11696.014143600332</v>
      </c>
      <c r="C6" s="53"/>
      <c r="D6" s="53"/>
      <c r="E6" s="53">
        <v>11696.014143600332</v>
      </c>
      <c r="F6" s="53"/>
      <c r="G6" s="53">
        <v>0</v>
      </c>
      <c r="H6" s="53">
        <v>11696.014143600332</v>
      </c>
      <c r="I6" s="53"/>
      <c r="J6" s="53">
        <v>11696.014143600332</v>
      </c>
      <c r="K6" s="53"/>
      <c r="L6" s="53">
        <v>0</v>
      </c>
      <c r="M6" s="53">
        <v>11696.014143600332</v>
      </c>
      <c r="N6" s="53">
        <v>11696.014143600332</v>
      </c>
      <c r="Q6" s="89" t="s">
        <v>88</v>
      </c>
      <c r="R6" s="89">
        <v>4.95</v>
      </c>
      <c r="S6" s="89">
        <v>11.8</v>
      </c>
    </row>
    <row r="7" spans="1:19" x14ac:dyDescent="0.4">
      <c r="A7" s="96" t="s">
        <v>58</v>
      </c>
      <c r="B7" s="53"/>
      <c r="C7" s="53">
        <v>14982.842761710672</v>
      </c>
      <c r="D7" s="125">
        <v>236682.14742781073</v>
      </c>
      <c r="E7" s="53">
        <v>251664.9901895214</v>
      </c>
      <c r="F7" s="53">
        <v>60696.240176458799</v>
      </c>
      <c r="G7" s="53">
        <v>216648.93450706784</v>
      </c>
      <c r="H7" s="53">
        <v>95712.295858912374</v>
      </c>
      <c r="I7" s="53">
        <v>54287.704141087619</v>
      </c>
      <c r="J7" s="125">
        <v>150000</v>
      </c>
      <c r="K7" s="53">
        <v>39767.818215359926</v>
      </c>
      <c r="L7" s="53">
        <v>104518.05888254788</v>
      </c>
      <c r="M7" s="53">
        <v>85249.759332812057</v>
      </c>
      <c r="N7" s="53"/>
      <c r="Q7" s="89" t="s">
        <v>89</v>
      </c>
      <c r="R7" s="89">
        <v>91</v>
      </c>
      <c r="S7" s="89">
        <v>136</v>
      </c>
    </row>
    <row r="8" spans="1:19" x14ac:dyDescent="0.4">
      <c r="A8" s="97" t="s">
        <v>136</v>
      </c>
      <c r="B8" s="126">
        <v>79441.862068150644</v>
      </c>
      <c r="C8" s="126">
        <v>14982.842761710672</v>
      </c>
      <c r="D8" s="126">
        <v>241459.32866916363</v>
      </c>
      <c r="E8" s="126">
        <v>335884.03349902492</v>
      </c>
      <c r="F8" s="126">
        <v>60696.240176458799</v>
      </c>
      <c r="G8" s="126">
        <v>278581.83159028256</v>
      </c>
      <c r="H8" s="126">
        <v>117998.44208520121</v>
      </c>
      <c r="I8" s="126">
        <v>55294.56346677598</v>
      </c>
      <c r="J8" s="126">
        <v>173293.0055519772</v>
      </c>
      <c r="K8" s="126">
        <v>39767.818215359926</v>
      </c>
      <c r="L8" s="126">
        <v>112886.33340154579</v>
      </c>
      <c r="M8" s="126">
        <v>100174.49036579135</v>
      </c>
      <c r="N8" s="126">
        <v>14924.731032979293</v>
      </c>
      <c r="Q8" s="89" t="s">
        <v>90</v>
      </c>
      <c r="R8" s="89">
        <v>13.5</v>
      </c>
      <c r="S8" s="89">
        <v>22</v>
      </c>
    </row>
    <row r="9" spans="1:19" x14ac:dyDescent="0.4">
      <c r="A9" s="98" t="s">
        <v>232</v>
      </c>
      <c r="B9" s="99">
        <v>0</v>
      </c>
      <c r="C9" s="113">
        <v>1</v>
      </c>
      <c r="D9" s="113">
        <v>0.98021537926207702</v>
      </c>
      <c r="E9" s="113">
        <v>0.74926154592058625</v>
      </c>
      <c r="F9" s="113">
        <v>1</v>
      </c>
      <c r="G9" s="113">
        <v>0.77768508186743124</v>
      </c>
      <c r="H9" s="113">
        <v>0.81113186045119945</v>
      </c>
      <c r="I9" s="113">
        <v>0.98179098879597204</v>
      </c>
      <c r="J9" s="113">
        <v>0.86558600286385634</v>
      </c>
      <c r="K9" s="113">
        <v>1</v>
      </c>
      <c r="L9" s="113">
        <v>0.9258699058881531</v>
      </c>
      <c r="M9" s="113">
        <v>0.85101265822784811</v>
      </c>
      <c r="N9" s="113"/>
      <c r="Q9" s="89"/>
      <c r="R9" s="89"/>
      <c r="S9" s="89"/>
    </row>
    <row r="10" spans="1:19" x14ac:dyDescent="0.4">
      <c r="A10" s="98" t="s">
        <v>231</v>
      </c>
      <c r="B10" s="99">
        <v>53.707680000000003</v>
      </c>
      <c r="C10" s="114">
        <v>53.351999999999997</v>
      </c>
      <c r="D10" s="114">
        <v>53.351999999999997</v>
      </c>
      <c r="E10" s="114">
        <v>54.287999999999997</v>
      </c>
      <c r="F10" s="114">
        <v>53.664000000000001</v>
      </c>
      <c r="G10" s="99"/>
      <c r="H10" s="107">
        <v>51.167999999999999</v>
      </c>
      <c r="I10" s="114">
        <v>54.911999999999999</v>
      </c>
      <c r="J10" s="114">
        <v>53.664000000000001</v>
      </c>
      <c r="K10" s="114">
        <v>53.664000000000001</v>
      </c>
      <c r="L10" s="99">
        <v>54.287999999999997</v>
      </c>
      <c r="M10" s="99"/>
      <c r="N10" s="99"/>
      <c r="Q10" s="89"/>
      <c r="R10" s="89"/>
      <c r="S10" s="89"/>
    </row>
    <row r="11" spans="1:19" ht="15" thickBot="1" x14ac:dyDescent="0.45">
      <c r="A11" s="100"/>
      <c r="B11" s="101"/>
      <c r="C11" s="101"/>
      <c r="D11" s="101"/>
      <c r="E11" s="101"/>
      <c r="F11" s="102"/>
      <c r="G11" s="101"/>
      <c r="H11" s="130"/>
      <c r="I11" s="101"/>
      <c r="J11" s="101"/>
      <c r="K11" s="101"/>
      <c r="L11" s="101"/>
      <c r="M11" s="101">
        <v>0.76641372484328607</v>
      </c>
      <c r="N11" s="101"/>
      <c r="Q11" s="89" t="s">
        <v>91</v>
      </c>
      <c r="R11" s="89"/>
      <c r="S11" s="89"/>
    </row>
    <row r="12" spans="1:19" ht="15" thickTop="1" x14ac:dyDescent="0.4">
      <c r="A12" s="103"/>
      <c r="B12" s="104"/>
      <c r="C12" s="104"/>
      <c r="D12" s="104"/>
      <c r="E12" s="104"/>
      <c r="F12" s="104"/>
      <c r="G12" s="104"/>
      <c r="H12" s="114"/>
      <c r="I12" s="105"/>
      <c r="J12" s="104"/>
      <c r="K12" s="104" t="s">
        <v>139</v>
      </c>
      <c r="L12" s="106">
        <v>35552.245687539616</v>
      </c>
      <c r="M12" s="104"/>
      <c r="N12" s="104"/>
      <c r="Q12" s="89"/>
      <c r="R12" s="89"/>
      <c r="S12" s="89"/>
    </row>
    <row r="13" spans="1:19" x14ac:dyDescent="0.4">
      <c r="A13" s="103"/>
      <c r="E13" s="31"/>
      <c r="G13" s="107"/>
      <c r="J13" s="108"/>
      <c r="K13" s="104"/>
      <c r="L13" s="109"/>
      <c r="M13" s="104"/>
      <c r="Q13" s="96" t="s">
        <v>92</v>
      </c>
      <c r="R13" s="89">
        <v>599</v>
      </c>
      <c r="S13" s="89"/>
    </row>
    <row r="14" spans="1:19" x14ac:dyDescent="0.4">
      <c r="D14" s="93"/>
      <c r="E14" s="169"/>
      <c r="F14" s="107"/>
      <c r="G14" s="167"/>
      <c r="H14" s="170"/>
      <c r="I14" s="107"/>
      <c r="J14" s="107"/>
      <c r="K14" s="107"/>
      <c r="L14" s="107"/>
      <c r="M14" s="107"/>
      <c r="Q14" s="96">
        <v>0.05</v>
      </c>
      <c r="R14" s="89">
        <v>667</v>
      </c>
      <c r="S14" s="89"/>
    </row>
    <row r="15" spans="1:19" x14ac:dyDescent="0.4">
      <c r="B15" s="93"/>
      <c r="D15" s="93"/>
      <c r="H15" s="115"/>
      <c r="I15" s="167"/>
      <c r="J15" s="107"/>
      <c r="K15" s="93"/>
      <c r="L15" s="93"/>
      <c r="Q15" s="96">
        <v>0.5</v>
      </c>
      <c r="R15" s="89">
        <v>796</v>
      </c>
      <c r="S15" s="89"/>
    </row>
    <row r="16" spans="1:19" x14ac:dyDescent="0.4">
      <c r="B16" s="107"/>
      <c r="C16" s="107"/>
      <c r="D16" s="167"/>
      <c r="E16" s="168"/>
      <c r="F16" s="107"/>
      <c r="K16" s="107"/>
      <c r="L16" s="167"/>
      <c r="M16" s="122"/>
      <c r="N16" s="107"/>
      <c r="Q16" s="96">
        <v>0.95</v>
      </c>
      <c r="R16" s="89">
        <v>882</v>
      </c>
      <c r="S16" s="89">
        <v>988</v>
      </c>
    </row>
    <row r="17" spans="1:19" x14ac:dyDescent="0.4">
      <c r="H17" s="153"/>
      <c r="I17" s="153"/>
      <c r="J17" s="153"/>
      <c r="K17" s="153"/>
      <c r="L17" s="153"/>
      <c r="M17" s="153"/>
      <c r="N17" s="153"/>
      <c r="Q17" s="96" t="s">
        <v>93</v>
      </c>
      <c r="R17" s="89">
        <v>919</v>
      </c>
      <c r="S17" s="89"/>
    </row>
    <row r="18" spans="1:19" x14ac:dyDescent="0.4">
      <c r="A18" s="90" t="s">
        <v>129</v>
      </c>
      <c r="H18" s="154"/>
      <c r="I18" s="153"/>
      <c r="J18" s="153"/>
      <c r="K18" s="153"/>
      <c r="L18" s="153"/>
      <c r="M18" s="153"/>
      <c r="N18" s="153"/>
    </row>
    <row r="19" spans="1:19" x14ac:dyDescent="0.4">
      <c r="A19" s="91" t="s">
        <v>128</v>
      </c>
      <c r="H19" s="153"/>
      <c r="I19" s="153"/>
      <c r="J19" s="153"/>
      <c r="K19" s="153"/>
      <c r="L19" s="153"/>
      <c r="M19" s="153"/>
      <c r="N19" s="153"/>
    </row>
    <row r="20" spans="1:19" ht="29.15" x14ac:dyDescent="0.4">
      <c r="A20" s="89" t="s">
        <v>161</v>
      </c>
      <c r="B20" s="110" t="s">
        <v>130</v>
      </c>
      <c r="C20" s="185" t="s">
        <v>132</v>
      </c>
      <c r="D20" s="110" t="s">
        <v>133</v>
      </c>
      <c r="E20" s="110" t="s">
        <v>134</v>
      </c>
      <c r="H20" s="153"/>
      <c r="I20" s="155"/>
      <c r="J20" s="155"/>
      <c r="K20" s="155"/>
      <c r="L20" s="155"/>
      <c r="M20" s="153"/>
      <c r="N20" s="153"/>
    </row>
    <row r="21" spans="1:19" x14ac:dyDescent="0.4">
      <c r="A21" s="89"/>
      <c r="B21" s="89"/>
      <c r="C21" s="186"/>
      <c r="D21" s="89"/>
      <c r="E21" s="89"/>
      <c r="F21" s="31"/>
      <c r="H21" s="153"/>
      <c r="I21" s="153"/>
      <c r="J21" s="153"/>
      <c r="K21" s="153"/>
      <c r="L21" s="153"/>
      <c r="M21" s="153"/>
      <c r="N21" s="153"/>
    </row>
    <row r="22" spans="1:19" x14ac:dyDescent="0.4">
      <c r="A22" s="96" t="s">
        <v>34</v>
      </c>
      <c r="B22" s="53">
        <v>64517.131035171347</v>
      </c>
      <c r="C22" s="187">
        <v>64517.131035171347</v>
      </c>
      <c r="D22" s="53">
        <v>64517.131035171347</v>
      </c>
      <c r="E22" s="53">
        <v>64517.131035171347</v>
      </c>
      <c r="F22" s="127"/>
      <c r="G22" s="127"/>
      <c r="H22" s="156"/>
      <c r="I22" s="157"/>
      <c r="J22" s="157"/>
      <c r="K22" s="157"/>
      <c r="L22" s="157"/>
      <c r="M22" s="153"/>
      <c r="N22" s="153"/>
    </row>
    <row r="23" spans="1:19" x14ac:dyDescent="0.4">
      <c r="A23" s="96" t="s">
        <v>33</v>
      </c>
      <c r="B23" s="53">
        <v>0</v>
      </c>
      <c r="C23" s="187">
        <v>0</v>
      </c>
      <c r="D23" s="53">
        <v>0</v>
      </c>
      <c r="E23" s="53">
        <v>0</v>
      </c>
      <c r="F23" s="127"/>
      <c r="G23" s="127"/>
      <c r="H23" s="156"/>
      <c r="I23" s="157"/>
      <c r="J23" s="157"/>
      <c r="K23" s="157"/>
      <c r="L23" s="157"/>
      <c r="M23" s="158"/>
      <c r="N23" s="153"/>
    </row>
    <row r="24" spans="1:19" x14ac:dyDescent="0.4">
      <c r="A24" s="96" t="s">
        <v>58</v>
      </c>
      <c r="B24" s="53">
        <v>249565.68887590265</v>
      </c>
      <c r="C24" s="187">
        <v>103856.81806336489</v>
      </c>
      <c r="D24" s="53">
        <v>42717.626832941321</v>
      </c>
      <c r="E24" s="53">
        <v>0</v>
      </c>
      <c r="F24" s="127"/>
      <c r="G24" s="127"/>
      <c r="H24" s="156"/>
      <c r="I24" s="157"/>
      <c r="J24" s="157"/>
      <c r="K24" s="157"/>
      <c r="L24" s="157"/>
      <c r="M24" s="153"/>
      <c r="N24" s="153"/>
    </row>
    <row r="25" spans="1:19" x14ac:dyDescent="0.4">
      <c r="A25" s="96" t="s">
        <v>135</v>
      </c>
      <c r="B25" s="53">
        <v>146410.53765714879</v>
      </c>
      <c r="C25" s="187">
        <v>45582.440903282353</v>
      </c>
      <c r="D25" s="53">
        <v>14683.40265683174</v>
      </c>
      <c r="E25" s="53"/>
      <c r="F25" s="127"/>
      <c r="G25" s="127"/>
      <c r="H25" s="156"/>
      <c r="I25" s="157"/>
      <c r="J25" s="157"/>
      <c r="K25" s="157"/>
      <c r="L25" s="157"/>
      <c r="M25" s="153"/>
      <c r="N25" s="153"/>
    </row>
    <row r="26" spans="1:19" x14ac:dyDescent="0.4">
      <c r="A26" s="96" t="s">
        <v>147</v>
      </c>
      <c r="B26" s="53">
        <v>103155.15121875386</v>
      </c>
      <c r="C26" s="187">
        <v>58274.377160082535</v>
      </c>
      <c r="D26" s="53">
        <v>28034.224176109579</v>
      </c>
      <c r="E26" s="53"/>
      <c r="F26" s="127"/>
      <c r="G26" s="127"/>
      <c r="H26" s="156"/>
      <c r="I26" s="157"/>
      <c r="J26" s="157"/>
      <c r="K26" s="157"/>
      <c r="L26" s="157"/>
      <c r="M26" s="153"/>
      <c r="N26" s="153"/>
    </row>
    <row r="27" spans="1:19" x14ac:dyDescent="0.4">
      <c r="A27" s="98" t="s">
        <v>136</v>
      </c>
      <c r="B27" s="128">
        <v>314082.81991107401</v>
      </c>
      <c r="C27" s="188">
        <v>168373.94909853622</v>
      </c>
      <c r="D27" s="128">
        <v>107234.75786811268</v>
      </c>
      <c r="E27" s="128">
        <v>64517.131035171347</v>
      </c>
      <c r="F27" s="129"/>
      <c r="G27" s="129"/>
      <c r="H27" s="159"/>
      <c r="I27" s="160"/>
      <c r="J27" s="160"/>
      <c r="K27" s="160"/>
      <c r="L27" s="160"/>
      <c r="M27" s="153"/>
      <c r="N27" s="153"/>
    </row>
    <row r="28" spans="1:19" x14ac:dyDescent="0.4">
      <c r="A28" s="98" t="s">
        <v>146</v>
      </c>
      <c r="B28" s="131">
        <v>0.79458560944709411</v>
      </c>
      <c r="C28" s="189">
        <v>0.61682236842105276</v>
      </c>
      <c r="D28" s="131">
        <v>0.39835616438356164</v>
      </c>
      <c r="E28" s="131">
        <v>0</v>
      </c>
      <c r="F28" s="94"/>
      <c r="G28" s="94"/>
      <c r="H28" s="161"/>
      <c r="I28" s="162"/>
      <c r="J28" s="162"/>
      <c r="K28" s="162"/>
      <c r="L28" s="162"/>
      <c r="M28" s="163"/>
      <c r="N28" s="153"/>
    </row>
    <row r="29" spans="1:19" x14ac:dyDescent="0.4">
      <c r="A29" s="98"/>
      <c r="B29" s="121"/>
      <c r="C29" s="120"/>
      <c r="D29" s="104"/>
      <c r="E29" s="99">
        <v>54.032159999999998</v>
      </c>
      <c r="F29" s="94"/>
      <c r="G29" s="94"/>
      <c r="H29" s="161"/>
      <c r="I29" s="164"/>
      <c r="J29" s="164"/>
      <c r="K29" s="164"/>
      <c r="L29" s="164"/>
      <c r="M29" s="153"/>
      <c r="N29" s="153"/>
    </row>
    <row r="30" spans="1:19" x14ac:dyDescent="0.4">
      <c r="A30" s="98" t="s">
        <v>236</v>
      </c>
      <c r="B30" s="119">
        <v>51.791999999999994</v>
      </c>
      <c r="C30" s="118">
        <v>47.423999999999999</v>
      </c>
      <c r="D30" s="118">
        <v>45.552</v>
      </c>
      <c r="E30" s="99"/>
      <c r="F30" s="94"/>
      <c r="G30" s="94"/>
      <c r="H30" s="161"/>
      <c r="I30" s="118"/>
      <c r="J30" s="118"/>
      <c r="K30" s="118"/>
      <c r="L30" s="164"/>
      <c r="M30" s="153"/>
      <c r="N30" s="153"/>
    </row>
    <row r="31" spans="1:19" x14ac:dyDescent="0.4">
      <c r="A31" s="105" t="s">
        <v>233</v>
      </c>
      <c r="B31" s="111">
        <v>25613.733367617184</v>
      </c>
      <c r="C31" s="111">
        <v>14377.736672699204</v>
      </c>
      <c r="D31" s="104"/>
      <c r="E31" s="111"/>
      <c r="F31" s="94"/>
      <c r="G31" s="94"/>
      <c r="H31" s="161"/>
      <c r="I31" s="164"/>
      <c r="J31" s="164"/>
      <c r="K31" s="164"/>
      <c r="L31" s="164"/>
      <c r="M31" s="153"/>
      <c r="N31" s="153"/>
    </row>
    <row r="32" spans="1:19" x14ac:dyDescent="0.4">
      <c r="A32" s="112" t="s">
        <v>131</v>
      </c>
      <c r="B32" s="91">
        <v>29631.899286489017</v>
      </c>
      <c r="C32" s="91">
        <v>16189.073859668169</v>
      </c>
      <c r="E32" s="91">
        <v>5107.0839630026903</v>
      </c>
      <c r="H32" s="112"/>
      <c r="I32" s="153"/>
      <c r="J32" s="153"/>
      <c r="K32" s="153"/>
      <c r="L32" s="153"/>
      <c r="M32" s="153"/>
      <c r="N32" s="153"/>
    </row>
    <row r="33" spans="1:14" x14ac:dyDescent="0.4">
      <c r="A33" s="93" t="s">
        <v>234</v>
      </c>
      <c r="B33" s="92">
        <v>0.8</v>
      </c>
      <c r="C33" s="92">
        <v>0.61</v>
      </c>
      <c r="D33" s="92">
        <v>0.4</v>
      </c>
      <c r="H33" s="112"/>
      <c r="I33" s="153"/>
      <c r="J33" s="153"/>
      <c r="K33" s="165"/>
      <c r="L33" s="165"/>
      <c r="M33" s="153"/>
      <c r="N33" s="153"/>
    </row>
    <row r="34" spans="1:14" x14ac:dyDescent="0.4">
      <c r="A34" s="93" t="s">
        <v>239</v>
      </c>
      <c r="B34" s="92">
        <v>0.60899999999999999</v>
      </c>
      <c r="C34" s="92">
        <v>0.44800000000000001</v>
      </c>
      <c r="D34" s="92">
        <v>0.34899999999999998</v>
      </c>
      <c r="H34" s="112"/>
      <c r="I34" s="153"/>
      <c r="J34" s="153"/>
      <c r="K34" s="165"/>
      <c r="L34" s="165"/>
      <c r="M34" s="153"/>
      <c r="N34" s="153"/>
    </row>
    <row r="35" spans="1:14" x14ac:dyDescent="0.4">
      <c r="A35" s="93" t="s">
        <v>238</v>
      </c>
      <c r="B35" s="116">
        <v>0.78072289156626529</v>
      </c>
      <c r="C35" s="116">
        <v>0.61682236842105265</v>
      </c>
      <c r="D35" s="116">
        <v>0.39835616438356164</v>
      </c>
      <c r="H35" s="112"/>
      <c r="I35" s="158"/>
      <c r="J35" s="158"/>
      <c r="K35" s="158"/>
      <c r="L35" s="153"/>
      <c r="M35" s="153"/>
      <c r="N35" s="153"/>
    </row>
    <row r="36" spans="1:14" x14ac:dyDescent="0.4">
      <c r="A36" s="93"/>
      <c r="B36" s="117"/>
      <c r="C36" s="117"/>
      <c r="D36" s="117"/>
      <c r="H36" s="112"/>
      <c r="I36" s="166"/>
      <c r="J36" s="166"/>
      <c r="K36" s="166"/>
      <c r="L36" s="153"/>
      <c r="M36" s="153"/>
      <c r="N36" s="153"/>
    </row>
    <row r="37" spans="1:14" x14ac:dyDescent="0.4">
      <c r="A37" s="112" t="s">
        <v>221</v>
      </c>
      <c r="B37" s="91">
        <v>49.295999999999999</v>
      </c>
      <c r="C37" s="91" t="s">
        <v>224</v>
      </c>
      <c r="D37" s="91" t="s">
        <v>250</v>
      </c>
      <c r="H37" s="112"/>
    </row>
    <row r="38" spans="1:14" x14ac:dyDescent="0.4">
      <c r="B38" s="91">
        <v>46.176000000000002</v>
      </c>
      <c r="C38" s="91" t="s">
        <v>224</v>
      </c>
      <c r="D38" s="91" t="s">
        <v>229</v>
      </c>
    </row>
    <row r="39" spans="1:14" x14ac:dyDescent="0.4">
      <c r="A39" s="112" t="s">
        <v>222</v>
      </c>
      <c r="B39" s="91">
        <v>45.552</v>
      </c>
      <c r="C39" s="91" t="s">
        <v>224</v>
      </c>
      <c r="D39" s="91" t="s">
        <v>227</v>
      </c>
      <c r="H39" s="112"/>
    </row>
    <row r="40" spans="1:14" x14ac:dyDescent="0.4">
      <c r="B40" s="91">
        <v>43.055999999999997</v>
      </c>
      <c r="C40" s="91" t="s">
        <v>224</v>
      </c>
      <c r="D40" s="91" t="s">
        <v>228</v>
      </c>
    </row>
    <row r="41" spans="1:14" x14ac:dyDescent="0.4">
      <c r="A41" s="112" t="s">
        <v>223</v>
      </c>
      <c r="B41" s="91">
        <v>50.544000000000004</v>
      </c>
      <c r="C41" s="91" t="s">
        <v>224</v>
      </c>
      <c r="D41" s="91" t="s">
        <v>225</v>
      </c>
      <c r="H41" s="112"/>
    </row>
    <row r="42" spans="1:14" x14ac:dyDescent="0.4">
      <c r="B42" s="91">
        <v>45.364799999999995</v>
      </c>
      <c r="C42" s="91" t="s">
        <v>224</v>
      </c>
      <c r="D42" s="91" t="s">
        <v>226</v>
      </c>
    </row>
    <row r="43" spans="1:14" x14ac:dyDescent="0.4">
      <c r="B43" s="91">
        <v>47.9544</v>
      </c>
    </row>
    <row r="44" spans="1:14" x14ac:dyDescent="0.4">
      <c r="A44" s="93" t="s">
        <v>240</v>
      </c>
      <c r="B44" s="91">
        <v>48.69</v>
      </c>
      <c r="C44" s="91" t="s">
        <v>224</v>
      </c>
      <c r="D44" s="91" t="s">
        <v>241</v>
      </c>
    </row>
    <row r="45" spans="1:14" x14ac:dyDescent="0.4">
      <c r="B45" s="91">
        <v>46.98</v>
      </c>
      <c r="C45" s="91" t="s">
        <v>224</v>
      </c>
      <c r="D45" s="91" t="s">
        <v>242</v>
      </c>
    </row>
    <row r="46" spans="1:14" x14ac:dyDescent="0.4">
      <c r="B46" s="91">
        <v>44.68</v>
      </c>
      <c r="C46" s="91" t="s">
        <v>224</v>
      </c>
      <c r="D46" s="91" t="s">
        <v>243</v>
      </c>
    </row>
  </sheetData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0"/>
  <sheetViews>
    <sheetView tabSelected="1" zoomScale="75" zoomScaleNormal="75" workbookViewId="0">
      <selection activeCell="B13" sqref="B13"/>
    </sheetView>
  </sheetViews>
  <sheetFormatPr defaultColWidth="9.15234375" defaultRowHeight="14.6" x14ac:dyDescent="0.4"/>
  <cols>
    <col min="1" max="1" width="9.84375" bestFit="1" customWidth="1"/>
    <col min="2" max="2" width="8.84375" style="1" customWidth="1"/>
    <col min="3" max="3" width="9" customWidth="1"/>
    <col min="4" max="5" width="8.84375" customWidth="1"/>
    <col min="6" max="6" width="12.15234375" customWidth="1"/>
    <col min="7" max="7" width="13.3828125" customWidth="1"/>
    <col min="8" max="8" width="16.53515625" hidden="1" customWidth="1"/>
    <col min="9" max="11" width="13.3828125" customWidth="1"/>
    <col min="12" max="12" width="15.53515625" customWidth="1"/>
    <col min="13" max="23" width="13.3828125" customWidth="1"/>
  </cols>
  <sheetData>
    <row r="1" spans="1:22" ht="15" customHeight="1" x14ac:dyDescent="0.4">
      <c r="B1" s="210" t="s">
        <v>247</v>
      </c>
      <c r="C1" s="210"/>
      <c r="D1" s="210"/>
      <c r="E1" s="211" t="s">
        <v>248</v>
      </c>
      <c r="F1" s="213" t="s">
        <v>244</v>
      </c>
      <c r="G1" s="214"/>
      <c r="H1" s="211" t="s">
        <v>245</v>
      </c>
    </row>
    <row r="2" spans="1:22" ht="14.5" customHeight="1" x14ac:dyDescent="0.4">
      <c r="B2" s="135" t="s">
        <v>195</v>
      </c>
      <c r="C2" s="135" t="s">
        <v>246</v>
      </c>
      <c r="D2" s="132" t="s">
        <v>249</v>
      </c>
      <c r="E2" s="212"/>
      <c r="F2" s="135" t="s">
        <v>246</v>
      </c>
      <c r="G2" s="135" t="s">
        <v>195</v>
      </c>
      <c r="H2" s="212"/>
    </row>
    <row r="3" spans="1:22" x14ac:dyDescent="0.4">
      <c r="A3" s="33" t="s">
        <v>143</v>
      </c>
      <c r="B3" s="133">
        <v>94.55</v>
      </c>
      <c r="C3" s="133">
        <v>22.949755417234101</v>
      </c>
      <c r="D3" s="133">
        <v>65.635061902836966</v>
      </c>
      <c r="E3" s="133">
        <v>75.385783787646716</v>
      </c>
      <c r="F3" s="134">
        <v>0.30443081260362009</v>
      </c>
      <c r="G3" s="134">
        <v>0.69418362668256972</v>
      </c>
      <c r="H3" s="134">
        <v>0.43854507784699975</v>
      </c>
      <c r="I3" s="176"/>
      <c r="J3" s="177"/>
      <c r="K3" s="175"/>
      <c r="L3" s="57"/>
      <c r="M3" s="175"/>
      <c r="N3" s="175"/>
      <c r="O3" s="175"/>
      <c r="P3" s="175"/>
      <c r="Q3" s="175"/>
      <c r="R3" s="175"/>
      <c r="S3" s="175"/>
      <c r="T3" s="177"/>
      <c r="U3" s="178"/>
      <c r="V3" s="83"/>
    </row>
    <row r="4" spans="1:22" x14ac:dyDescent="0.4">
      <c r="B4" s="57"/>
      <c r="C4" s="57"/>
      <c r="D4" s="57"/>
      <c r="E4" s="57"/>
      <c r="F4" s="171"/>
      <c r="G4" s="171"/>
      <c r="H4" s="175"/>
      <c r="I4" s="176"/>
      <c r="J4" s="177"/>
      <c r="K4" s="175"/>
      <c r="L4" s="179"/>
      <c r="M4" s="175"/>
      <c r="N4" s="175"/>
      <c r="O4" s="175"/>
      <c r="P4" s="175"/>
      <c r="Q4" s="175"/>
      <c r="R4" s="175"/>
      <c r="S4" s="175"/>
      <c r="T4" s="177"/>
      <c r="U4" s="175"/>
    </row>
    <row r="5" spans="1:22" x14ac:dyDescent="0.4">
      <c r="M5" s="11"/>
    </row>
    <row r="6" spans="1:22" x14ac:dyDescent="0.4">
      <c r="B6" s="1" t="s">
        <v>80</v>
      </c>
      <c r="C6" s="62" t="s">
        <v>203</v>
      </c>
      <c r="M6" s="11"/>
    </row>
    <row r="7" spans="1:22" x14ac:dyDescent="0.4">
      <c r="B7" s="215" t="s">
        <v>63</v>
      </c>
      <c r="C7" s="215"/>
      <c r="D7" s="215" t="s">
        <v>193</v>
      </c>
      <c r="E7" s="215"/>
    </row>
    <row r="8" spans="1:22" ht="29.15" x14ac:dyDescent="0.4">
      <c r="B8" s="42" t="s">
        <v>153</v>
      </c>
      <c r="C8" s="42" t="s">
        <v>154</v>
      </c>
      <c r="D8" s="42" t="s">
        <v>155</v>
      </c>
      <c r="E8" s="42" t="s">
        <v>156</v>
      </c>
      <c r="F8" s="43" t="s">
        <v>157</v>
      </c>
      <c r="G8" s="42" t="s">
        <v>158</v>
      </c>
      <c r="H8" s="42" t="s">
        <v>188</v>
      </c>
      <c r="I8" s="42" t="s">
        <v>161</v>
      </c>
      <c r="J8" s="42" t="s">
        <v>184</v>
      </c>
      <c r="K8" s="42" t="s">
        <v>162</v>
      </c>
      <c r="L8" s="42" t="s">
        <v>189</v>
      </c>
      <c r="M8" s="42" t="s">
        <v>163</v>
      </c>
      <c r="N8" s="42" t="s">
        <v>170</v>
      </c>
      <c r="O8" s="42" t="s">
        <v>171</v>
      </c>
      <c r="P8" s="42" t="s">
        <v>172</v>
      </c>
      <c r="Q8" s="42" t="s">
        <v>166</v>
      </c>
      <c r="R8" s="42" t="s">
        <v>173</v>
      </c>
      <c r="S8" s="42" t="s">
        <v>180</v>
      </c>
      <c r="T8" s="42" t="s">
        <v>181</v>
      </c>
      <c r="U8" s="54" t="s">
        <v>194</v>
      </c>
    </row>
    <row r="9" spans="1:22" x14ac:dyDescent="0.4">
      <c r="A9" t="s">
        <v>196</v>
      </c>
      <c r="B9" s="30">
        <v>438.48900866899334</v>
      </c>
      <c r="C9" s="30">
        <v>346</v>
      </c>
      <c r="D9" s="30">
        <v>189.85704340700244</v>
      </c>
      <c r="E9" s="30">
        <v>294.14813757724448</v>
      </c>
      <c r="F9" s="3">
        <v>373</v>
      </c>
      <c r="G9" s="3">
        <v>285</v>
      </c>
      <c r="H9" s="28">
        <v>14591.668465721974</v>
      </c>
      <c r="I9" s="124">
        <v>168373.94909853622</v>
      </c>
      <c r="J9" s="67">
        <v>0.61682236842105276</v>
      </c>
      <c r="K9" s="28">
        <v>3.5661379598429366</v>
      </c>
      <c r="L9" s="30">
        <v>61139.191230423545</v>
      </c>
      <c r="M9" s="28">
        <v>11.310750377628356</v>
      </c>
      <c r="N9" s="28">
        <v>14.876888337471293</v>
      </c>
      <c r="O9" s="28">
        <v>83.342268561364691</v>
      </c>
      <c r="P9" s="28">
        <v>129.81175341192764</v>
      </c>
      <c r="Q9" s="28">
        <v>94.481465827673304</v>
      </c>
      <c r="R9" s="28">
        <v>22.949755417234101</v>
      </c>
      <c r="S9" s="28">
        <v>75.385783787646716</v>
      </c>
      <c r="T9" s="44">
        <v>0.30443081260362009</v>
      </c>
      <c r="U9" s="55">
        <v>0.43854507784699975</v>
      </c>
      <c r="V9" t="s">
        <v>237</v>
      </c>
    </row>
    <row r="10" spans="1:22" x14ac:dyDescent="0.4">
      <c r="A10" t="s">
        <v>195</v>
      </c>
      <c r="B10" s="30">
        <v>373</v>
      </c>
      <c r="C10" s="30">
        <v>373</v>
      </c>
      <c r="D10" s="30">
        <v>212</v>
      </c>
      <c r="E10" s="30">
        <v>350</v>
      </c>
      <c r="F10" s="3">
        <v>373</v>
      </c>
      <c r="G10" s="3">
        <v>285</v>
      </c>
      <c r="H10" s="28"/>
      <c r="I10" s="53">
        <v>245600</v>
      </c>
      <c r="J10" s="44">
        <v>0.57003257328990231</v>
      </c>
      <c r="K10" s="28">
        <v>7.7235839999999989</v>
      </c>
      <c r="L10" s="59">
        <v>121295</v>
      </c>
      <c r="M10" s="28">
        <v>22.439575000000001</v>
      </c>
      <c r="N10" s="28">
        <v>30.163159</v>
      </c>
      <c r="O10" s="28">
        <v>48.44085295122165</v>
      </c>
      <c r="P10" s="28">
        <v>120.84741174860362</v>
      </c>
      <c r="Q10" s="28">
        <v>66.981289615117447</v>
      </c>
      <c r="R10" s="28">
        <v>65.635061902836966</v>
      </c>
      <c r="S10" s="28">
        <v>94.55</v>
      </c>
      <c r="T10" s="44">
        <v>0.69418362668256972</v>
      </c>
      <c r="U10" s="28">
        <v>52.331576790016662</v>
      </c>
    </row>
    <row r="11" spans="1:22" x14ac:dyDescent="0.4">
      <c r="B11"/>
      <c r="M11" s="11" t="s">
        <v>215</v>
      </c>
      <c r="N11">
        <v>37.299999999999997</v>
      </c>
    </row>
    <row r="12" spans="1:22" x14ac:dyDescent="0.4">
      <c r="B12" s="181">
        <f>B9-C9</f>
        <v>92.489008668993336</v>
      </c>
      <c r="C12" s="173"/>
      <c r="D12" s="173"/>
      <c r="E12" s="173"/>
      <c r="F12" s="4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4"/>
    </row>
    <row r="13" spans="1:22" x14ac:dyDescent="0.4">
      <c r="B13" s="57"/>
      <c r="C13" s="57"/>
      <c r="D13" s="57"/>
      <c r="E13" s="57"/>
      <c r="H13" s="175"/>
      <c r="I13" s="176"/>
      <c r="J13" s="177"/>
      <c r="K13" s="175"/>
      <c r="L13" s="57"/>
      <c r="M13" s="175"/>
      <c r="N13" s="175"/>
      <c r="O13" s="175"/>
      <c r="P13" s="175"/>
      <c r="Q13" s="175"/>
      <c r="R13" s="175"/>
      <c r="S13" s="175"/>
      <c r="T13" s="177"/>
      <c r="U13" s="178"/>
    </row>
    <row r="14" spans="1:22" x14ac:dyDescent="0.4">
      <c r="B14" s="57"/>
      <c r="C14" s="57"/>
      <c r="D14" s="57"/>
      <c r="E14" s="57"/>
      <c r="H14" s="175"/>
      <c r="I14" s="176"/>
      <c r="J14" s="177"/>
      <c r="K14" s="175"/>
      <c r="L14" s="180"/>
      <c r="M14" s="175"/>
      <c r="N14" s="175"/>
      <c r="O14" s="175"/>
      <c r="P14" s="175"/>
      <c r="Q14" s="175"/>
      <c r="R14" s="175"/>
      <c r="S14" s="175"/>
      <c r="T14" s="177"/>
      <c r="U14" s="175"/>
    </row>
    <row r="15" spans="1:22" x14ac:dyDescent="0.4">
      <c r="L15" s="57"/>
      <c r="M15" s="11"/>
    </row>
    <row r="16" spans="1:22" x14ac:dyDescent="0.4">
      <c r="C16" s="62"/>
      <c r="L16" s="57"/>
    </row>
    <row r="17" spans="2:21" x14ac:dyDescent="0.4">
      <c r="B17"/>
      <c r="L17" s="57"/>
    </row>
    <row r="18" spans="2:21" x14ac:dyDescent="0.4">
      <c r="B18" s="173"/>
      <c r="C18" s="173"/>
      <c r="D18" s="173"/>
      <c r="E18" s="173"/>
      <c r="F18" s="4"/>
      <c r="G18" s="173"/>
      <c r="H18" s="173"/>
      <c r="I18" s="173"/>
      <c r="J18" s="173"/>
      <c r="K18" s="173"/>
      <c r="L18" s="181"/>
      <c r="M18" s="173"/>
      <c r="N18" s="173"/>
      <c r="O18" s="173"/>
      <c r="P18" s="173"/>
      <c r="Q18" s="173"/>
      <c r="R18" s="173"/>
      <c r="S18" s="173"/>
      <c r="T18" s="173"/>
      <c r="U18" s="174"/>
    </row>
    <row r="19" spans="2:21" x14ac:dyDescent="0.4">
      <c r="B19" s="57"/>
      <c r="C19" s="57"/>
      <c r="D19" s="57"/>
      <c r="E19" s="57"/>
      <c r="H19" s="175"/>
      <c r="I19" s="176"/>
      <c r="J19" s="177"/>
      <c r="K19" s="175"/>
      <c r="L19" s="57"/>
      <c r="M19" s="175"/>
      <c r="N19" s="175"/>
      <c r="O19" s="175"/>
      <c r="P19" s="175"/>
      <c r="Q19" s="175"/>
      <c r="R19" s="175"/>
      <c r="S19" s="175"/>
      <c r="T19" s="177"/>
      <c r="U19" s="178"/>
    </row>
    <row r="20" spans="2:21" x14ac:dyDescent="0.4">
      <c r="B20" s="57"/>
      <c r="C20" s="57"/>
      <c r="D20" s="57"/>
      <c r="E20" s="57"/>
      <c r="H20" s="175"/>
      <c r="I20" s="176"/>
      <c r="J20" s="177"/>
      <c r="K20" s="175"/>
      <c r="L20" s="180"/>
      <c r="M20" s="175"/>
      <c r="N20" s="175"/>
      <c r="O20" s="175"/>
      <c r="P20" s="175"/>
      <c r="Q20" s="175"/>
      <c r="R20" s="175"/>
      <c r="S20" s="175"/>
      <c r="T20" s="177"/>
      <c r="U20" s="175"/>
    </row>
    <row r="21" spans="2:21" x14ac:dyDescent="0.4">
      <c r="L21" s="182"/>
      <c r="M21" s="11"/>
    </row>
    <row r="22" spans="2:21" x14ac:dyDescent="0.4">
      <c r="C22" s="62"/>
    </row>
    <row r="23" spans="2:21" x14ac:dyDescent="0.4">
      <c r="B23"/>
    </row>
    <row r="24" spans="2:21" x14ac:dyDescent="0.4">
      <c r="B24" s="173"/>
      <c r="C24" s="173"/>
      <c r="D24" s="173"/>
      <c r="E24" s="173"/>
      <c r="F24" s="4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4"/>
    </row>
    <row r="25" spans="2:21" x14ac:dyDescent="0.4">
      <c r="B25" s="57"/>
      <c r="C25" s="57"/>
      <c r="D25" s="57"/>
      <c r="E25" s="57"/>
      <c r="F25" s="171"/>
      <c r="G25" s="171"/>
      <c r="H25" s="175"/>
      <c r="I25" s="176"/>
      <c r="J25" s="177"/>
      <c r="K25" s="175"/>
      <c r="L25" s="179"/>
      <c r="M25" s="175"/>
      <c r="N25" s="175"/>
      <c r="O25" s="175"/>
      <c r="P25" s="175"/>
      <c r="Q25" s="175"/>
      <c r="R25" s="175"/>
      <c r="S25" s="175"/>
      <c r="T25" s="177"/>
      <c r="U25" s="178"/>
    </row>
    <row r="26" spans="2:21" x14ac:dyDescent="0.4">
      <c r="B26" s="57"/>
      <c r="C26" s="57"/>
      <c r="D26" s="57"/>
      <c r="E26" s="57"/>
      <c r="F26" s="171"/>
      <c r="G26" s="171"/>
      <c r="H26" s="175"/>
      <c r="I26" s="176"/>
      <c r="J26" s="177"/>
      <c r="K26" s="175"/>
      <c r="L26" s="179"/>
      <c r="M26" s="175"/>
      <c r="N26" s="175"/>
      <c r="O26" s="175"/>
      <c r="P26" s="175"/>
      <c r="Q26" s="175"/>
      <c r="R26" s="175"/>
      <c r="S26" s="175"/>
      <c r="T26" s="177"/>
      <c r="U26" s="175"/>
    </row>
    <row r="27" spans="2:21" x14ac:dyDescent="0.4">
      <c r="M27" s="11"/>
    </row>
    <row r="28" spans="2:21" x14ac:dyDescent="0.4">
      <c r="B28"/>
    </row>
    <row r="29" spans="2:21" x14ac:dyDescent="0.4">
      <c r="B29" s="173"/>
      <c r="C29" s="173"/>
      <c r="D29" s="173"/>
      <c r="E29" s="173"/>
      <c r="F29" s="4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4"/>
    </row>
    <row r="30" spans="2:21" x14ac:dyDescent="0.4">
      <c r="B30" s="57"/>
      <c r="C30" s="57"/>
      <c r="D30" s="57"/>
      <c r="E30" s="57"/>
      <c r="F30" s="171"/>
      <c r="G30" s="172"/>
      <c r="H30" s="175"/>
      <c r="I30" s="176"/>
      <c r="J30" s="177"/>
      <c r="K30" s="175"/>
      <c r="L30" s="180"/>
      <c r="M30" s="175"/>
      <c r="N30" s="175"/>
      <c r="O30" s="175"/>
      <c r="P30" s="175"/>
      <c r="Q30" s="175"/>
      <c r="R30" s="175"/>
      <c r="S30" s="175"/>
      <c r="T30" s="177"/>
      <c r="U30" s="178"/>
    </row>
    <row r="31" spans="2:21" x14ac:dyDescent="0.4">
      <c r="B31" s="57"/>
      <c r="C31" s="57"/>
      <c r="D31" s="57"/>
      <c r="E31" s="57"/>
      <c r="F31" s="171"/>
      <c r="G31" s="171"/>
      <c r="H31" s="175"/>
      <c r="I31" s="176"/>
      <c r="J31" s="177"/>
      <c r="K31" s="175"/>
      <c r="L31" s="180"/>
      <c r="M31" s="175"/>
      <c r="N31" s="175"/>
      <c r="O31" s="175"/>
      <c r="P31" s="175"/>
      <c r="Q31" s="175"/>
      <c r="R31" s="175"/>
      <c r="S31" s="175"/>
      <c r="T31" s="177"/>
      <c r="U31" s="175"/>
    </row>
    <row r="32" spans="2:21" x14ac:dyDescent="0.4">
      <c r="C32" s="62"/>
      <c r="F32" s="66"/>
      <c r="M32" s="11"/>
    </row>
    <row r="33" spans="2:21" x14ac:dyDescent="0.4">
      <c r="B33"/>
    </row>
    <row r="34" spans="2:21" x14ac:dyDescent="0.4">
      <c r="B34" s="173"/>
      <c r="C34" s="173"/>
      <c r="D34" s="173"/>
      <c r="E34" s="173"/>
      <c r="F34" s="4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4"/>
    </row>
    <row r="35" spans="2:21" x14ac:dyDescent="0.4">
      <c r="B35" s="57"/>
      <c r="C35" s="57"/>
      <c r="D35" s="57"/>
      <c r="E35" s="57"/>
      <c r="H35" s="175"/>
      <c r="I35" s="176"/>
      <c r="J35" s="177"/>
      <c r="K35" s="175"/>
      <c r="L35" s="57"/>
      <c r="M35" s="175"/>
      <c r="N35" s="175"/>
      <c r="O35" s="175"/>
      <c r="P35" s="175"/>
      <c r="Q35" s="175"/>
      <c r="R35" s="175"/>
      <c r="S35" s="175"/>
      <c r="T35" s="177"/>
      <c r="U35" s="178"/>
    </row>
    <row r="36" spans="2:21" x14ac:dyDescent="0.4">
      <c r="B36" s="57"/>
      <c r="C36" s="57"/>
      <c r="D36" s="57"/>
      <c r="E36" s="57"/>
      <c r="H36" s="175"/>
      <c r="I36" s="176"/>
      <c r="J36" s="177"/>
      <c r="K36" s="175"/>
      <c r="L36" s="180"/>
      <c r="M36" s="175"/>
      <c r="N36" s="175"/>
      <c r="O36" s="175"/>
      <c r="P36" s="175"/>
      <c r="Q36" s="175"/>
      <c r="R36" s="175"/>
      <c r="S36" s="175"/>
      <c r="T36" s="177"/>
      <c r="U36" s="175"/>
    </row>
    <row r="37" spans="2:21" x14ac:dyDescent="0.4">
      <c r="K37" s="183"/>
      <c r="L37" s="57"/>
      <c r="M37" s="11"/>
    </row>
    <row r="38" spans="2:21" x14ac:dyDescent="0.4">
      <c r="C38" s="62"/>
      <c r="L38" s="57"/>
    </row>
    <row r="39" spans="2:21" x14ac:dyDescent="0.4">
      <c r="B39"/>
      <c r="L39" s="57"/>
    </row>
    <row r="40" spans="2:21" x14ac:dyDescent="0.4">
      <c r="B40" s="173"/>
      <c r="C40" s="173"/>
      <c r="D40" s="173"/>
      <c r="E40" s="173"/>
      <c r="F40" s="4"/>
      <c r="G40" s="173"/>
      <c r="H40" s="173"/>
      <c r="I40" s="173"/>
      <c r="J40" s="173"/>
      <c r="K40" s="173"/>
      <c r="L40" s="181"/>
      <c r="M40" s="173"/>
      <c r="N40" s="173"/>
      <c r="O40" s="173"/>
      <c r="P40" s="173"/>
      <c r="Q40" s="173"/>
      <c r="R40" s="173"/>
      <c r="S40" s="173"/>
      <c r="T40" s="173"/>
      <c r="U40" s="174"/>
    </row>
    <row r="41" spans="2:21" x14ac:dyDescent="0.4">
      <c r="B41" s="57"/>
      <c r="C41" s="57"/>
      <c r="D41" s="57"/>
      <c r="E41" s="57"/>
      <c r="H41" s="175"/>
      <c r="I41" s="176"/>
      <c r="J41" s="177"/>
      <c r="K41" s="175"/>
      <c r="L41" s="57"/>
      <c r="M41" s="175"/>
      <c r="N41" s="175"/>
      <c r="O41" s="175"/>
      <c r="P41" s="175"/>
      <c r="Q41" s="175"/>
      <c r="R41" s="175"/>
      <c r="S41" s="175"/>
      <c r="T41" s="177"/>
      <c r="U41" s="178"/>
    </row>
    <row r="42" spans="2:21" x14ac:dyDescent="0.4">
      <c r="B42" s="57"/>
      <c r="C42" s="57"/>
      <c r="D42" s="57"/>
      <c r="E42" s="57"/>
      <c r="H42" s="175"/>
      <c r="I42" s="176"/>
      <c r="J42" s="177"/>
      <c r="K42" s="175"/>
      <c r="L42" s="180"/>
      <c r="M42" s="175"/>
      <c r="N42" s="175"/>
      <c r="O42" s="175"/>
      <c r="P42" s="175"/>
      <c r="Q42" s="175"/>
      <c r="R42" s="175"/>
      <c r="S42" s="175"/>
      <c r="T42" s="177"/>
      <c r="U42" s="175"/>
    </row>
    <row r="43" spans="2:21" x14ac:dyDescent="0.4">
      <c r="L43" s="182"/>
      <c r="M43" s="11"/>
    </row>
    <row r="45" spans="2:21" x14ac:dyDescent="0.4">
      <c r="B45"/>
    </row>
    <row r="46" spans="2:21" x14ac:dyDescent="0.4">
      <c r="B46" s="173"/>
      <c r="C46" s="173"/>
      <c r="D46" s="173"/>
      <c r="E46" s="173"/>
      <c r="F46" s="4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4"/>
    </row>
    <row r="47" spans="2:21" x14ac:dyDescent="0.4">
      <c r="B47" s="57"/>
      <c r="C47" s="57"/>
      <c r="D47" s="57"/>
      <c r="E47" s="57"/>
      <c r="F47" s="171"/>
      <c r="G47" s="171"/>
      <c r="H47" s="175"/>
      <c r="I47" s="176"/>
      <c r="J47" s="177"/>
      <c r="K47" s="175"/>
      <c r="L47" s="57"/>
      <c r="M47" s="175"/>
      <c r="N47" s="175"/>
      <c r="O47" s="175"/>
      <c r="P47" s="175"/>
      <c r="Q47" s="175"/>
      <c r="R47" s="175"/>
      <c r="S47" s="175"/>
      <c r="T47" s="177"/>
      <c r="U47" s="178"/>
    </row>
    <row r="48" spans="2:21" x14ac:dyDescent="0.4">
      <c r="B48" s="57"/>
      <c r="C48" s="57"/>
      <c r="D48" s="57"/>
      <c r="E48" s="57"/>
      <c r="F48" s="171"/>
      <c r="G48" s="171"/>
      <c r="H48" s="175"/>
      <c r="I48" s="176"/>
      <c r="J48" s="177"/>
      <c r="K48" s="175"/>
      <c r="L48" s="57"/>
      <c r="M48" s="175"/>
      <c r="N48" s="175"/>
      <c r="O48" s="175"/>
      <c r="P48" s="175"/>
      <c r="Q48" s="175"/>
      <c r="R48" s="175"/>
      <c r="S48" s="175"/>
      <c r="T48" s="177"/>
      <c r="U48" s="178"/>
    </row>
    <row r="49" spans="2:21" x14ac:dyDescent="0.4">
      <c r="B49" s="57"/>
      <c r="C49" s="57"/>
      <c r="D49" s="57"/>
      <c r="E49" s="57"/>
      <c r="F49" s="171"/>
      <c r="G49" s="171"/>
      <c r="H49" s="175"/>
      <c r="I49" s="176"/>
      <c r="J49" s="177"/>
      <c r="K49" s="175"/>
      <c r="L49" s="179"/>
      <c r="M49" s="175"/>
      <c r="N49" s="175"/>
      <c r="O49" s="175"/>
      <c r="P49" s="175"/>
      <c r="Q49" s="175"/>
      <c r="R49" s="175"/>
      <c r="S49" s="175"/>
      <c r="T49" s="177"/>
      <c r="U49" s="175"/>
    </row>
    <row r="50" spans="2:21" x14ac:dyDescent="0.4">
      <c r="M50" s="11"/>
    </row>
  </sheetData>
  <mergeCells count="6">
    <mergeCell ref="B1:D1"/>
    <mergeCell ref="E1:E2"/>
    <mergeCell ref="F1:G1"/>
    <mergeCell ref="H1:H2"/>
    <mergeCell ref="B7:C7"/>
    <mergeCell ref="D7:E7"/>
  </mergeCells>
  <conditionalFormatting sqref="F3:H3">
    <cfRule type="cellIs" dxfId="1" priority="1" operator="lessThan">
      <formula>0.9</formula>
    </cfRule>
    <cfRule type="cellIs" dxfId="0" priority="2" operator="greaterThan">
      <formula>0.95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52"/>
  <sheetViews>
    <sheetView workbookViewId="0">
      <selection activeCell="I5" sqref="I5"/>
    </sheetView>
  </sheetViews>
  <sheetFormatPr defaultRowHeight="14.6" x14ac:dyDescent="0.4"/>
  <cols>
    <col min="1" max="1" width="9.84375" bestFit="1" customWidth="1"/>
    <col min="2" max="2" width="8.84375" style="1" customWidth="1"/>
    <col min="3" max="3" width="9" customWidth="1"/>
    <col min="4" max="5" width="8.84375" customWidth="1"/>
    <col min="6" max="6" width="12.15234375" customWidth="1"/>
    <col min="7" max="7" width="13.3828125" customWidth="1"/>
    <col min="8" max="8" width="16.53515625" hidden="1" customWidth="1"/>
    <col min="9" max="11" width="13.3828125" customWidth="1"/>
    <col min="12" max="12" width="15.53515625" customWidth="1"/>
    <col min="13" max="24" width="13.3828125" customWidth="1"/>
  </cols>
  <sheetData>
    <row r="2" spans="1:22" x14ac:dyDescent="0.4">
      <c r="B2" s="1" t="s">
        <v>29</v>
      </c>
      <c r="C2" s="62" t="s">
        <v>204</v>
      </c>
    </row>
    <row r="3" spans="1:22" x14ac:dyDescent="0.4">
      <c r="B3" s="215" t="s">
        <v>193</v>
      </c>
      <c r="C3" s="215"/>
      <c r="D3" s="215" t="s">
        <v>198</v>
      </c>
      <c r="E3" s="215"/>
    </row>
    <row r="4" spans="1:22" ht="29.15" x14ac:dyDescent="0.4">
      <c r="B4" s="42" t="s">
        <v>153</v>
      </c>
      <c r="C4" s="42" t="s">
        <v>154</v>
      </c>
      <c r="D4" s="42" t="s">
        <v>155</v>
      </c>
      <c r="E4" s="42" t="s">
        <v>156</v>
      </c>
      <c r="F4" s="43" t="s">
        <v>157</v>
      </c>
      <c r="G4" s="42" t="s">
        <v>158</v>
      </c>
      <c r="H4" s="42" t="s">
        <v>188</v>
      </c>
      <c r="I4" s="42" t="s">
        <v>161</v>
      </c>
      <c r="J4" s="42" t="s">
        <v>200</v>
      </c>
      <c r="K4" s="42" t="s">
        <v>162</v>
      </c>
      <c r="L4" s="42" t="s">
        <v>189</v>
      </c>
      <c r="M4" s="42" t="s">
        <v>201</v>
      </c>
      <c r="N4" s="42" t="s">
        <v>190</v>
      </c>
      <c r="O4" s="42" t="s">
        <v>202</v>
      </c>
      <c r="P4" s="42" t="s">
        <v>172</v>
      </c>
      <c r="Q4" s="42" t="s">
        <v>166</v>
      </c>
      <c r="R4" s="42" t="s">
        <v>191</v>
      </c>
      <c r="S4" s="42" t="s">
        <v>180</v>
      </c>
      <c r="T4" s="42" t="s">
        <v>181</v>
      </c>
      <c r="U4" s="54" t="s">
        <v>194</v>
      </c>
    </row>
    <row r="5" spans="1:22" x14ac:dyDescent="0.4">
      <c r="A5" t="s">
        <v>196</v>
      </c>
      <c r="B5" s="30" t="e">
        <f>#REF!</f>
        <v>#REF!</v>
      </c>
      <c r="C5" s="30" t="e">
        <f>#REF!</f>
        <v>#REF!</v>
      </c>
      <c r="D5" s="30" t="e">
        <f>#REF!</f>
        <v>#REF!</v>
      </c>
      <c r="E5" s="30" t="e">
        <f>#REF!</f>
        <v>#REF!</v>
      </c>
      <c r="F5" s="60" t="s">
        <v>199</v>
      </c>
      <c r="G5" s="60" t="s">
        <v>199</v>
      </c>
      <c r="H5" s="28" t="e">
        <f>#REF!</f>
        <v>#REF!</v>
      </c>
      <c r="I5" s="71" t="e">
        <f>#REF!</f>
        <v>#REF!</v>
      </c>
      <c r="J5" s="72" t="e">
        <f>#REF!</f>
        <v>#REF!</v>
      </c>
      <c r="K5" s="28" t="e">
        <f>(1-J5)*I5*'Reference Data U values'!#REF!*(C5-B5)/10^6</f>
        <v>#REF!</v>
      </c>
      <c r="L5" s="30">
        <v>0</v>
      </c>
      <c r="M5" s="28" t="e">
        <f>(J5)*I5*'Reference Data U values'!#REF!*(C5-B5)/10^6</f>
        <v>#REF!</v>
      </c>
      <c r="N5" s="28" t="e">
        <f>K5+M5</f>
        <v>#REF!</v>
      </c>
      <c r="O5" s="28" t="e">
        <f>((D5-C5)-(E5-B5))/LN((D5-C5)/(E5-B5))</f>
        <v>#REF!</v>
      </c>
      <c r="P5" s="28"/>
      <c r="Q5" s="28"/>
      <c r="R5" s="28" t="e">
        <f>N5*10^6/'Reference Data U values'!#REF!/O5</f>
        <v>#REF!</v>
      </c>
      <c r="S5" s="28" t="e">
        <f>(I5/'Reference Data U values'!#REF!)^0.6*'Reference Data U values'!#REF!</f>
        <v>#REF!</v>
      </c>
      <c r="T5" s="44" t="e">
        <f>R5/S5</f>
        <v>#REF!</v>
      </c>
      <c r="U5" s="55" t="e">
        <f>R5/U6</f>
        <v>#REF!</v>
      </c>
      <c r="V5" s="83" t="s">
        <v>220</v>
      </c>
    </row>
    <row r="6" spans="1:22" x14ac:dyDescent="0.4">
      <c r="A6" t="s">
        <v>195</v>
      </c>
      <c r="B6" s="30">
        <v>66</v>
      </c>
      <c r="C6" s="30">
        <v>172</v>
      </c>
      <c r="D6" s="30">
        <v>202</v>
      </c>
      <c r="E6" s="30">
        <v>192</v>
      </c>
      <c r="F6" s="60" t="s">
        <v>199</v>
      </c>
      <c r="G6" s="60" t="s">
        <v>199</v>
      </c>
      <c r="H6" s="28"/>
      <c r="I6" s="53">
        <v>369200</v>
      </c>
      <c r="J6" s="44">
        <f>(125953+121295+12333+6372)/I6</f>
        <v>0.72034940411700976</v>
      </c>
      <c r="K6" s="28" t="e">
        <f>(1-J6)*I6*'Reference Data U values'!#REF!*(C6-B6)/10^6</f>
        <v>#REF!</v>
      </c>
      <c r="L6" s="61">
        <v>0</v>
      </c>
      <c r="M6" s="28" t="e">
        <f>(J6)*I6*'Reference Data U values'!#REF!*(C6-B6)/10^6</f>
        <v>#REF!</v>
      </c>
      <c r="N6" s="28" t="e">
        <f>K6+M6</f>
        <v>#REF!</v>
      </c>
      <c r="O6" s="28">
        <f>((D6-C6)-(E6-B6))/LN((D6-C6)/(E6-B6))</f>
        <v>66.895014410838101</v>
      </c>
      <c r="P6" s="28"/>
      <c r="Q6" s="28"/>
      <c r="R6" s="28" t="e">
        <f>N6*10^6/'Reference Data U values'!#REF!/O6</f>
        <v>#REF!</v>
      </c>
      <c r="S6" s="28" t="e">
        <f>(I6/'Reference Data U values'!#REF!)^0.6*'Reference Data U values'!#REF!</f>
        <v>#REF!</v>
      </c>
      <c r="T6" s="44" t="e">
        <f>R6/S6</f>
        <v>#REF!</v>
      </c>
      <c r="U6" s="28" t="e">
        <f>(I5/'Reference Data U values'!#REF!)^0.6*R6</f>
        <v>#REF!</v>
      </c>
    </row>
    <row r="7" spans="1:22" x14ac:dyDescent="0.4">
      <c r="B7" s="1" t="s">
        <v>150</v>
      </c>
      <c r="M7" s="11" t="s">
        <v>215</v>
      </c>
      <c r="N7" t="e">
        <f>'Reference Data U values'!#REF!</f>
        <v>#REF!</v>
      </c>
    </row>
    <row r="8" spans="1:22" x14ac:dyDescent="0.4">
      <c r="B8" s="215" t="s">
        <v>209</v>
      </c>
      <c r="C8" s="215"/>
      <c r="D8" s="215" t="s">
        <v>193</v>
      </c>
      <c r="E8" s="215"/>
    </row>
    <row r="9" spans="1:22" ht="29.15" x14ac:dyDescent="0.4">
      <c r="B9" s="42" t="s">
        <v>153</v>
      </c>
      <c r="C9" s="42" t="s">
        <v>154</v>
      </c>
      <c r="D9" s="42" t="s">
        <v>155</v>
      </c>
      <c r="E9" s="42" t="s">
        <v>156</v>
      </c>
      <c r="F9" s="43" t="s">
        <v>210</v>
      </c>
      <c r="G9" s="42" t="s">
        <v>158</v>
      </c>
      <c r="H9" s="42" t="s">
        <v>188</v>
      </c>
      <c r="I9" s="42" t="s">
        <v>161</v>
      </c>
      <c r="J9" s="42" t="s">
        <v>211</v>
      </c>
      <c r="K9" s="42" t="s">
        <v>162</v>
      </c>
      <c r="L9" s="42" t="s">
        <v>189</v>
      </c>
      <c r="M9" s="42" t="s">
        <v>163</v>
      </c>
      <c r="N9" s="42" t="s">
        <v>170</v>
      </c>
      <c r="O9" s="42" t="s">
        <v>171</v>
      </c>
      <c r="P9" s="42" t="s">
        <v>172</v>
      </c>
      <c r="Q9" s="42" t="s">
        <v>166</v>
      </c>
      <c r="R9" s="42" t="s">
        <v>173</v>
      </c>
      <c r="S9" s="42" t="s">
        <v>180</v>
      </c>
      <c r="T9" s="42" t="s">
        <v>181</v>
      </c>
      <c r="U9" s="54" t="s">
        <v>194</v>
      </c>
    </row>
    <row r="10" spans="1:22" x14ac:dyDescent="0.4">
      <c r="A10" t="s">
        <v>196</v>
      </c>
      <c r="B10" s="30" t="e">
        <f>#REF!</f>
        <v>#REF!</v>
      </c>
      <c r="C10" s="30" t="e">
        <f>#REF!</f>
        <v>#REF!</v>
      </c>
      <c r="D10" s="30" t="e">
        <f>#REF!</f>
        <v>#REF!</v>
      </c>
      <c r="E10" s="30" t="e">
        <f>#REF!</f>
        <v>#REF!</v>
      </c>
      <c r="F10" s="60">
        <v>251</v>
      </c>
      <c r="G10" s="63">
        <v>190</v>
      </c>
      <c r="H10" s="28" t="e">
        <f>#REF!</f>
        <v>#REF!</v>
      </c>
      <c r="I10" s="71" t="e">
        <f>#REF!</f>
        <v>#REF!</v>
      </c>
      <c r="J10" s="72" t="e">
        <f>#REF!</f>
        <v>#REF!</v>
      </c>
      <c r="K10" s="28" t="e">
        <f>-(1-J10)*I10*'Reference Data U values'!$A$11*(D10-E10)/10^6</f>
        <v>#REF!</v>
      </c>
      <c r="L10" s="73" t="e">
        <f>#REF!-#REF!</f>
        <v>#REF!</v>
      </c>
      <c r="M10" s="28" t="e">
        <f>(L10*'Reference Data U values'!#REF!/10^6)</f>
        <v>#REF!</v>
      </c>
      <c r="N10" s="28" t="e">
        <f>K10+M10</f>
        <v>#REF!</v>
      </c>
      <c r="O10" s="28" t="e">
        <f>((F10-G10)-(F10-E10))/LN((F10-G10)/(F10-E10))</f>
        <v>#REF!</v>
      </c>
      <c r="P10" s="28" t="e">
        <f>((F10-D10)-(F10-G10))/LN((F10-D10)/(F10-G10))</f>
        <v>#REF!</v>
      </c>
      <c r="Q10" s="28" t="e">
        <f>O10*(M10/N10)+P10*(K10/N10)</f>
        <v>#REF!</v>
      </c>
      <c r="R10" s="28" t="e">
        <f>N10/'Reference Data U values'!#REF!/Q10*10^6</f>
        <v>#REF!</v>
      </c>
      <c r="S10" s="28" t="e">
        <f>(I10/'Reference Data U values'!#REF!)^0.6*'Reference Data U values'!#REF!</f>
        <v>#REF!</v>
      </c>
      <c r="T10" s="44" t="e">
        <f>R10/S10</f>
        <v>#REF!</v>
      </c>
      <c r="U10" s="55" t="e">
        <f>R10/U11</f>
        <v>#REF!</v>
      </c>
    </row>
    <row r="11" spans="1:22" x14ac:dyDescent="0.4">
      <c r="A11" t="s">
        <v>195</v>
      </c>
      <c r="B11" s="30">
        <v>272</v>
      </c>
      <c r="C11" s="30">
        <v>251</v>
      </c>
      <c r="D11" s="29">
        <v>202.5</v>
      </c>
      <c r="E11" s="30">
        <v>212</v>
      </c>
      <c r="F11" s="60">
        <v>251</v>
      </c>
      <c r="G11" s="60">
        <v>203</v>
      </c>
      <c r="H11" s="28"/>
      <c r="I11" s="53">
        <v>369200</v>
      </c>
      <c r="J11" s="44">
        <f>(125953+121295+12333+6372)/I6</f>
        <v>0.72034940411700976</v>
      </c>
      <c r="K11" s="28">
        <f>-(1-J11)*I11*'Reference Data U values'!$A$11*(D11-E11)/10^6</f>
        <v>0.51984864500000005</v>
      </c>
      <c r="L11" s="59">
        <v>123600</v>
      </c>
      <c r="M11" s="28" t="e">
        <f>(L11*'Reference Data U values'!#REF!/10^6)</f>
        <v>#REF!</v>
      </c>
      <c r="N11" s="28" t="e">
        <f>K11+M11</f>
        <v>#REF!</v>
      </c>
      <c r="O11" s="28">
        <f>((F11-G11)-(F11-E11))/LN((F11-G11)/(F11-E11))</f>
        <v>43.344382263988592</v>
      </c>
      <c r="P11" s="28">
        <f>((F11-D11)-(F11-G11))/LN((F11-D11)/(F11-G11))</f>
        <v>48.249568217979309</v>
      </c>
      <c r="Q11" s="28" t="e">
        <f>O11*(M11/N11)+P11*(K11/N11)</f>
        <v>#REF!</v>
      </c>
      <c r="R11" s="28" t="e">
        <f>N11/'Reference Data U values'!#REF!/Q11*10^6</f>
        <v>#REF!</v>
      </c>
      <c r="S11" s="28" t="e">
        <f>(I11/'Reference Data U values'!#REF!)^0.6*'Reference Data U values'!#REF!</f>
        <v>#REF!</v>
      </c>
      <c r="T11" s="44" t="e">
        <f>R11/S11</f>
        <v>#REF!</v>
      </c>
      <c r="U11" s="28" t="e">
        <f>(I10/'Reference Data U values'!#REF!)^0.6*R11</f>
        <v>#REF!</v>
      </c>
    </row>
    <row r="12" spans="1:22" x14ac:dyDescent="0.4">
      <c r="B12" s="1" t="s">
        <v>80</v>
      </c>
      <c r="C12" s="62" t="s">
        <v>203</v>
      </c>
      <c r="M12" s="11" t="s">
        <v>215</v>
      </c>
      <c r="N12" t="e">
        <f>'Reference Data U values'!#REF!</f>
        <v>#REF!</v>
      </c>
    </row>
    <row r="13" spans="1:22" x14ac:dyDescent="0.4">
      <c r="B13" s="215" t="s">
        <v>63</v>
      </c>
      <c r="C13" s="215"/>
      <c r="D13" s="215" t="s">
        <v>193</v>
      </c>
      <c r="E13" s="215"/>
    </row>
    <row r="14" spans="1:22" ht="29.15" x14ac:dyDescent="0.4">
      <c r="B14" s="42" t="s">
        <v>153</v>
      </c>
      <c r="C14" s="42" t="s">
        <v>154</v>
      </c>
      <c r="D14" s="42" t="s">
        <v>155</v>
      </c>
      <c r="E14" s="42" t="s">
        <v>156</v>
      </c>
      <c r="F14" s="43" t="s">
        <v>157</v>
      </c>
      <c r="G14" s="42" t="s">
        <v>158</v>
      </c>
      <c r="H14" s="42" t="s">
        <v>188</v>
      </c>
      <c r="I14" s="42" t="s">
        <v>161</v>
      </c>
      <c r="J14" s="42" t="s">
        <v>184</v>
      </c>
      <c r="K14" s="42" t="s">
        <v>162</v>
      </c>
      <c r="L14" s="42" t="s">
        <v>189</v>
      </c>
      <c r="M14" s="42" t="s">
        <v>163</v>
      </c>
      <c r="N14" s="42" t="s">
        <v>170</v>
      </c>
      <c r="O14" s="42" t="s">
        <v>171</v>
      </c>
      <c r="P14" s="42" t="s">
        <v>172</v>
      </c>
      <c r="Q14" s="42" t="s">
        <v>166</v>
      </c>
      <c r="R14" s="42" t="s">
        <v>173</v>
      </c>
      <c r="S14" s="42" t="s">
        <v>180</v>
      </c>
      <c r="T14" s="42" t="s">
        <v>181</v>
      </c>
      <c r="U14" s="54" t="s">
        <v>194</v>
      </c>
    </row>
    <row r="15" spans="1:22" x14ac:dyDescent="0.4">
      <c r="A15" t="s">
        <v>196</v>
      </c>
      <c r="B15" s="30" t="e">
        <f>#REF!</f>
        <v>#REF!</v>
      </c>
      <c r="C15" s="30">
        <v>346</v>
      </c>
      <c r="D15" s="30" t="e">
        <f>#REF!</f>
        <v>#REF!</v>
      </c>
      <c r="E15" s="30" t="e">
        <f>#REF!</f>
        <v>#REF!</v>
      </c>
      <c r="F15" s="3">
        <v>373</v>
      </c>
      <c r="G15" s="3">
        <v>285</v>
      </c>
      <c r="H15" s="28" t="e">
        <f>#REF!</f>
        <v>#REF!</v>
      </c>
      <c r="I15" s="71" t="e">
        <f>#REF!</f>
        <v>#REF!</v>
      </c>
      <c r="J15" s="72" t="e">
        <f>#REF!</f>
        <v>#REF!</v>
      </c>
      <c r="K15" s="28" t="e">
        <f>-(1-J15)*I15*'Reference Data U values'!$A$11*(D15-E15)/10^6</f>
        <v>#REF!</v>
      </c>
      <c r="L15" s="64" t="e">
        <f>(#REF!-#REF!)</f>
        <v>#REF!</v>
      </c>
      <c r="M15" s="28" t="e">
        <f>(L15*'Reference Data U values'!$A$13/10^6)</f>
        <v>#REF!</v>
      </c>
      <c r="N15" s="28" t="e">
        <f>K15+M15</f>
        <v>#REF!</v>
      </c>
      <c r="O15" s="28" t="e">
        <f>((F15-G15)-(F15-E15))/LN((F15-G15)/(F15-E15))</f>
        <v>#REF!</v>
      </c>
      <c r="P15" s="28" t="e">
        <f>((F15-D15)-(F15-G15))/LN((F15-D15)/(F15-G15))</f>
        <v>#REF!</v>
      </c>
      <c r="Q15" s="28" t="e">
        <f>O15*(M15/N15)+P15*(K15/N15)</f>
        <v>#REF!</v>
      </c>
      <c r="R15" s="28" t="e">
        <f>N15/'Reference Data U values'!$A$17/Q15*10^6</f>
        <v>#REF!</v>
      </c>
      <c r="S15" s="28" t="e">
        <f>(I15/'Reference Data U values'!$A$25)^0.6*'Reference Data U values'!$A$19</f>
        <v>#REF!</v>
      </c>
      <c r="T15" s="44" t="e">
        <f>R15/S15</f>
        <v>#REF!</v>
      </c>
      <c r="U15" s="55" t="e">
        <f>R15/U16</f>
        <v>#REF!</v>
      </c>
    </row>
    <row r="16" spans="1:22" x14ac:dyDescent="0.4">
      <c r="A16" t="s">
        <v>195</v>
      </c>
      <c r="B16" s="30">
        <v>373</v>
      </c>
      <c r="C16" s="30">
        <v>373</v>
      </c>
      <c r="D16" s="30">
        <v>212</v>
      </c>
      <c r="E16" s="30">
        <v>350</v>
      </c>
      <c r="F16" s="3">
        <v>373</v>
      </c>
      <c r="G16" s="3">
        <v>285</v>
      </c>
      <c r="H16" s="28"/>
      <c r="I16" s="53">
        <v>245600</v>
      </c>
      <c r="J16" s="44">
        <f>(121295+12333+6372)/I16</f>
        <v>0.57003257328990231</v>
      </c>
      <c r="K16" s="28">
        <f>-(1-J16)*I16*'Reference Data U values'!$A$11*(D16-E16)/10^6</f>
        <v>7.7235839999999989</v>
      </c>
      <c r="L16" s="59">
        <v>121295</v>
      </c>
      <c r="M16" s="28">
        <f>(L16*'Reference Data U values'!$A$13/10^6)</f>
        <v>22.439575000000001</v>
      </c>
      <c r="N16" s="28">
        <f>K16+M16</f>
        <v>30.163159</v>
      </c>
      <c r="O16" s="28">
        <f>((F16-G16)-(F16-E16))/LN((F16-G16)/(F16-E16))</f>
        <v>48.44085295122165</v>
      </c>
      <c r="P16" s="28">
        <f>((F16-D16)-(F16-G16))/LN((F16-D16)/(F16-G16))</f>
        <v>120.84741174860362</v>
      </c>
      <c r="Q16" s="28">
        <f>O16*(M16/N16)+P16*(K16/N16)</f>
        <v>66.981289615117447</v>
      </c>
      <c r="R16" s="28">
        <f>N16/'Reference Data U values'!$A$17/Q16*10^6</f>
        <v>65.635061902836966</v>
      </c>
      <c r="S16" s="28">
        <f>(I16/'Reference Data U values'!$A$25)^0.6*'Reference Data U values'!$A$19</f>
        <v>94.55</v>
      </c>
      <c r="T16" s="44">
        <f>R16/S16</f>
        <v>0.69418362668256972</v>
      </c>
      <c r="U16" s="28" t="e">
        <f>(I15/'Reference Data U values'!$A$25)^0.6*R16</f>
        <v>#REF!</v>
      </c>
    </row>
    <row r="17" spans="1:21" x14ac:dyDescent="0.4">
      <c r="L17" s="57"/>
      <c r="M17" s="11" t="s">
        <v>215</v>
      </c>
      <c r="N17">
        <f>'Reference Data U values'!A21</f>
        <v>37.299999999999997</v>
      </c>
    </row>
    <row r="18" spans="1:21" x14ac:dyDescent="0.4">
      <c r="B18" s="1" t="s">
        <v>81</v>
      </c>
      <c r="C18" s="62" t="s">
        <v>203</v>
      </c>
      <c r="L18" s="57"/>
    </row>
    <row r="19" spans="1:21" x14ac:dyDescent="0.4">
      <c r="B19" s="215" t="s">
        <v>193</v>
      </c>
      <c r="C19" s="215"/>
      <c r="D19" s="215" t="s">
        <v>63</v>
      </c>
      <c r="E19" s="215"/>
      <c r="L19" s="57"/>
    </row>
    <row r="20" spans="1:21" ht="29.15" x14ac:dyDescent="0.4">
      <c r="B20" s="42" t="s">
        <v>153</v>
      </c>
      <c r="C20" s="42" t="s">
        <v>154</v>
      </c>
      <c r="D20" s="42" t="s">
        <v>155</v>
      </c>
      <c r="E20" s="42" t="s">
        <v>156</v>
      </c>
      <c r="F20" s="43" t="s">
        <v>157</v>
      </c>
      <c r="G20" s="42" t="s">
        <v>158</v>
      </c>
      <c r="H20" s="42" t="s">
        <v>188</v>
      </c>
      <c r="I20" s="42" t="s">
        <v>161</v>
      </c>
      <c r="J20" s="42" t="s">
        <v>197</v>
      </c>
      <c r="K20" s="42" t="s">
        <v>162</v>
      </c>
      <c r="L20" s="58" t="s">
        <v>189</v>
      </c>
      <c r="M20" s="42" t="s">
        <v>163</v>
      </c>
      <c r="N20" s="42" t="s">
        <v>190</v>
      </c>
      <c r="O20" s="42" t="s">
        <v>171</v>
      </c>
      <c r="P20" s="42" t="s">
        <v>172</v>
      </c>
      <c r="Q20" s="42" t="s">
        <v>192</v>
      </c>
      <c r="R20" s="42" t="s">
        <v>191</v>
      </c>
      <c r="S20" s="42" t="s">
        <v>180</v>
      </c>
      <c r="T20" s="42" t="s">
        <v>181</v>
      </c>
      <c r="U20" s="54" t="s">
        <v>194</v>
      </c>
    </row>
    <row r="21" spans="1:21" x14ac:dyDescent="0.4">
      <c r="A21" t="s">
        <v>196</v>
      </c>
      <c r="B21" s="30" t="e">
        <f>#REF!</f>
        <v>#REF!</v>
      </c>
      <c r="C21" s="30" t="e">
        <f>#REF!</f>
        <v>#REF!</v>
      </c>
      <c r="D21" s="30" t="e">
        <f>#REF!</f>
        <v>#REF!</v>
      </c>
      <c r="E21" s="30" t="e">
        <f>#REF!</f>
        <v>#REF!</v>
      </c>
      <c r="F21" s="3">
        <v>373</v>
      </c>
      <c r="G21" s="3">
        <v>310</v>
      </c>
      <c r="H21" s="28" t="e">
        <f>#REF!</f>
        <v>#REF!</v>
      </c>
      <c r="I21" s="71" t="e">
        <f>#REF!</f>
        <v>#REF!</v>
      </c>
      <c r="J21" s="72" t="e">
        <f>#REF!</f>
        <v>#REF!</v>
      </c>
      <c r="K21" s="28" t="e">
        <f>(1-J21)*I21*'Reference Data U values'!$A$11*(C21-B21)/10^6</f>
        <v>#REF!</v>
      </c>
      <c r="L21" s="30" t="e">
        <f>I21*J21*L23</f>
        <v>#REF!</v>
      </c>
      <c r="M21" s="28" t="e">
        <f>(L21*'Reference Data U values'!$A$13/10^6)</f>
        <v>#REF!</v>
      </c>
      <c r="N21" s="28" t="e">
        <f>K21+M21</f>
        <v>#REF!</v>
      </c>
      <c r="O21" s="28" t="e">
        <f>((F21-G21)-(F21-B21))/LN((F21-G21)/(F21-B21))</f>
        <v>#REF!</v>
      </c>
      <c r="P21" s="28" t="e">
        <f>((F21-C21)-(F21-G21))/LN((F21-C21)/(F21-G21))</f>
        <v>#REF!</v>
      </c>
      <c r="Q21" s="28" t="e">
        <f>O21*(M21/N21)+P21*(K21/N21)</f>
        <v>#REF!</v>
      </c>
      <c r="R21" s="28" t="e">
        <f>N21/'Reference Data U values'!#REF!/Q21*10^6</f>
        <v>#REF!</v>
      </c>
      <c r="S21" s="28" t="e">
        <f>(I21/'Reference Data U values'!#REF!)^0.6*'Reference Data U values'!#REF!</f>
        <v>#REF!</v>
      </c>
      <c r="T21" s="44" t="e">
        <f>R21/S21</f>
        <v>#REF!</v>
      </c>
      <c r="U21" s="55" t="e">
        <f>R21/U22</f>
        <v>#REF!</v>
      </c>
    </row>
    <row r="22" spans="1:21" x14ac:dyDescent="0.4">
      <c r="A22" t="s">
        <v>195</v>
      </c>
      <c r="B22" s="30">
        <v>331</v>
      </c>
      <c r="C22" s="30">
        <v>350</v>
      </c>
      <c r="D22" s="30">
        <v>375</v>
      </c>
      <c r="E22" s="30">
        <v>375</v>
      </c>
      <c r="F22" s="3">
        <v>373</v>
      </c>
      <c r="G22" s="3">
        <v>333</v>
      </c>
      <c r="H22" s="28"/>
      <c r="I22" s="53">
        <v>124305</v>
      </c>
      <c r="J22" s="44">
        <f>(12333+6372)/I22</f>
        <v>0.15047665017497286</v>
      </c>
      <c r="K22" s="28">
        <f>(1-J22)*I22*'Reference Data U values'!$A$11*(C22-B22)/10^6</f>
        <v>1.0633919999999999</v>
      </c>
      <c r="L22" s="59">
        <v>2305</v>
      </c>
      <c r="M22" s="28">
        <f>(L22*'Reference Data U values'!$A$13/10^6)</f>
        <v>0.426425</v>
      </c>
      <c r="N22" s="28">
        <f>K22+M22</f>
        <v>1.4898169999999999</v>
      </c>
      <c r="O22" s="28">
        <f>((F22-G22)-(F22-B22))/LN((F22-G22)/(F22-B22))</f>
        <v>40.991868628575702</v>
      </c>
      <c r="P22" s="28">
        <f>((F22-C22)-(F22-G22))/LN((F22-C22)/(F22-G22))</f>
        <v>30.720009908040502</v>
      </c>
      <c r="Q22" s="28">
        <f>O22*(M22/N22)+P22*(K22/N22)</f>
        <v>33.660087350373502</v>
      </c>
      <c r="R22" s="28" t="e">
        <f>N22/'Reference Data U values'!#REF!/Q22*10^6</f>
        <v>#REF!</v>
      </c>
      <c r="S22" s="28" t="e">
        <f>(I22/'Reference Data U values'!#REF!)^0.6*'Reference Data U values'!#REF!</f>
        <v>#REF!</v>
      </c>
      <c r="T22" s="44" t="e">
        <f>R22/S22</f>
        <v>#REF!</v>
      </c>
      <c r="U22" s="28" t="e">
        <f>(I21/'Reference Data U values'!#REF!)^0.6*R22</f>
        <v>#REF!</v>
      </c>
    </row>
    <row r="23" spans="1:21" x14ac:dyDescent="0.4">
      <c r="L23" s="31">
        <f>L22/(I22*J22)</f>
        <v>0.12322908313285218</v>
      </c>
      <c r="M23" s="11" t="s">
        <v>215</v>
      </c>
      <c r="N23" t="e">
        <f>'Reference Data U values'!#REF!</f>
        <v>#REF!</v>
      </c>
    </row>
    <row r="24" spans="1:21" x14ac:dyDescent="0.4">
      <c r="B24" s="1" t="s">
        <v>151</v>
      </c>
      <c r="C24" s="62" t="s">
        <v>204</v>
      </c>
    </row>
    <row r="25" spans="1:21" x14ac:dyDescent="0.4">
      <c r="B25" s="215" t="s">
        <v>216</v>
      </c>
      <c r="C25" s="215"/>
      <c r="D25" s="215" t="s">
        <v>198</v>
      </c>
      <c r="E25" s="215"/>
    </row>
    <row r="26" spans="1:21" ht="29.15" x14ac:dyDescent="0.4">
      <c r="B26" s="42" t="s">
        <v>153</v>
      </c>
      <c r="C26" s="42" t="s">
        <v>154</v>
      </c>
      <c r="D26" s="42" t="s">
        <v>155</v>
      </c>
      <c r="E26" s="42" t="s">
        <v>156</v>
      </c>
      <c r="F26" s="43" t="s">
        <v>157</v>
      </c>
      <c r="G26" s="42" t="s">
        <v>158</v>
      </c>
      <c r="H26" s="42" t="s">
        <v>188</v>
      </c>
      <c r="I26" s="42" t="s">
        <v>161</v>
      </c>
      <c r="J26" s="42" t="s">
        <v>200</v>
      </c>
      <c r="K26" s="42" t="s">
        <v>162</v>
      </c>
      <c r="L26" s="42" t="s">
        <v>189</v>
      </c>
      <c r="M26" s="42" t="s">
        <v>201</v>
      </c>
      <c r="N26" s="42" t="s">
        <v>190</v>
      </c>
      <c r="O26" s="42" t="s">
        <v>202</v>
      </c>
      <c r="P26" s="42" t="s">
        <v>172</v>
      </c>
      <c r="Q26" s="42" t="s">
        <v>166</v>
      </c>
      <c r="R26" s="42" t="s">
        <v>191</v>
      </c>
      <c r="S26" s="42" t="s">
        <v>180</v>
      </c>
      <c r="T26" s="42" t="s">
        <v>181</v>
      </c>
      <c r="U26" s="54" t="s">
        <v>194</v>
      </c>
    </row>
    <row r="27" spans="1:21" x14ac:dyDescent="0.4">
      <c r="A27" t="s">
        <v>196</v>
      </c>
      <c r="B27" s="30" t="e">
        <f>#REF!</f>
        <v>#REF!</v>
      </c>
      <c r="C27" s="30" t="e">
        <f>#REF!</f>
        <v>#REF!</v>
      </c>
      <c r="D27" s="30" t="e">
        <f>#REF!</f>
        <v>#REF!</v>
      </c>
      <c r="E27" s="30" t="e">
        <f>#REF!</f>
        <v>#REF!</v>
      </c>
      <c r="F27" s="60" t="s">
        <v>199</v>
      </c>
      <c r="G27" s="60" t="s">
        <v>199</v>
      </c>
      <c r="H27" s="28" t="e">
        <f>#REF!</f>
        <v>#REF!</v>
      </c>
      <c r="I27" s="71" t="e">
        <f>#REF!</f>
        <v>#REF!</v>
      </c>
      <c r="J27" s="72" t="e">
        <f>#REF!</f>
        <v>#REF!</v>
      </c>
      <c r="K27" s="28" t="e">
        <f>(1-J27)*I27*'Reference Data U values'!#REF!*(C27-B27)/10^6</f>
        <v>#REF!</v>
      </c>
      <c r="L27" s="61">
        <v>0</v>
      </c>
      <c r="M27" s="28" t="e">
        <f>(J27)*I27*'Reference Data U values'!#REF!*(C27-B27)/10^6</f>
        <v>#REF!</v>
      </c>
      <c r="N27" s="28" t="e">
        <f>K27+M27</f>
        <v>#REF!</v>
      </c>
      <c r="O27" s="28" t="e">
        <f>((D27-C27)-(E27-B27))/LN((D27-C27)/(E27-B27))</f>
        <v>#REF!</v>
      </c>
      <c r="P27" s="28"/>
      <c r="Q27" s="28"/>
      <c r="R27" s="28" t="e">
        <f>N27*10^6/'Reference Data U values'!#REF!/O27</f>
        <v>#REF!</v>
      </c>
      <c r="S27" s="28" t="e">
        <f>(I27/'Reference Data U values'!#REF!)^0.6*'Reference Data U values'!#REF!</f>
        <v>#REF!</v>
      </c>
      <c r="T27" s="44" t="e">
        <f>R27/S27</f>
        <v>#REF!</v>
      </c>
      <c r="U27" s="55" t="e">
        <f>R27/U28</f>
        <v>#REF!</v>
      </c>
    </row>
    <row r="28" spans="1:21" x14ac:dyDescent="0.4">
      <c r="A28" t="s">
        <v>195</v>
      </c>
      <c r="B28" s="30">
        <v>130</v>
      </c>
      <c r="C28" s="30">
        <v>173</v>
      </c>
      <c r="D28" s="30">
        <v>201</v>
      </c>
      <c r="E28" s="30">
        <v>199</v>
      </c>
      <c r="F28" s="60" t="s">
        <v>199</v>
      </c>
      <c r="G28" s="60" t="s">
        <v>199</v>
      </c>
      <c r="H28" s="28"/>
      <c r="I28" s="53">
        <v>144654</v>
      </c>
      <c r="J28" s="44">
        <f>(56228+64475+2065+1055)/I28</f>
        <v>0.85599430364870654</v>
      </c>
      <c r="K28" s="28" t="e">
        <f>(1-J28)*I28*'Reference Data U values'!#REF!*(C28-B28)/10^6</f>
        <v>#REF!</v>
      </c>
      <c r="L28" s="61">
        <v>0</v>
      </c>
      <c r="M28" s="28" t="e">
        <f>(J28)*I28*'Reference Data U values'!#REF!*(C28-B28)/10^6</f>
        <v>#REF!</v>
      </c>
      <c r="N28" s="28" t="e">
        <f>K28+M28</f>
        <v>#REF!</v>
      </c>
      <c r="O28" s="28">
        <f>((D28-C28)-(E28-B28))/LN((D28-C28)/(E28-B28))</f>
        <v>45.459484792771818</v>
      </c>
      <c r="P28" s="28"/>
      <c r="Q28" s="28"/>
      <c r="R28" s="28" t="e">
        <f>N28*10^6/'Reference Data U values'!#REF!/O28</f>
        <v>#REF!</v>
      </c>
      <c r="S28" s="28" t="e">
        <f>(I28/'Reference Data U values'!#REF!)^0.6*'Reference Data U values'!#REF!</f>
        <v>#REF!</v>
      </c>
      <c r="T28" s="44" t="e">
        <f>R28/S28</f>
        <v>#REF!</v>
      </c>
      <c r="U28" s="28" t="e">
        <f>(I27/'Reference Data U values'!#REF!)^0.6*R28</f>
        <v>#REF!</v>
      </c>
    </row>
    <row r="29" spans="1:21" x14ac:dyDescent="0.4">
      <c r="B29" s="65" t="s">
        <v>35</v>
      </c>
      <c r="M29" s="11" t="s">
        <v>215</v>
      </c>
      <c r="N29" t="e">
        <f>'Reference Data U values'!#REF!</f>
        <v>#REF!</v>
      </c>
    </row>
    <row r="30" spans="1:21" x14ac:dyDescent="0.4">
      <c r="B30" s="215" t="s">
        <v>209</v>
      </c>
      <c r="C30" s="215"/>
      <c r="D30" s="215" t="s">
        <v>193</v>
      </c>
      <c r="E30" s="215"/>
    </row>
    <row r="31" spans="1:21" ht="29.15" x14ac:dyDescent="0.4">
      <c r="B31" s="42" t="s">
        <v>153</v>
      </c>
      <c r="C31" s="42" t="s">
        <v>154</v>
      </c>
      <c r="D31" s="42" t="s">
        <v>155</v>
      </c>
      <c r="E31" s="42" t="s">
        <v>156</v>
      </c>
      <c r="F31" s="43" t="s">
        <v>210</v>
      </c>
      <c r="G31" s="42" t="s">
        <v>158</v>
      </c>
      <c r="H31" s="42" t="s">
        <v>188</v>
      </c>
      <c r="I31" s="42" t="s">
        <v>161</v>
      </c>
      <c r="J31" s="42" t="s">
        <v>211</v>
      </c>
      <c r="K31" s="42" t="s">
        <v>162</v>
      </c>
      <c r="L31" s="42" t="s">
        <v>189</v>
      </c>
      <c r="M31" s="42" t="s">
        <v>163</v>
      </c>
      <c r="N31" s="42" t="s">
        <v>170</v>
      </c>
      <c r="O31" s="42" t="s">
        <v>171</v>
      </c>
      <c r="P31" s="42" t="s">
        <v>172</v>
      </c>
      <c r="Q31" s="42" t="s">
        <v>166</v>
      </c>
      <c r="R31" s="42" t="s">
        <v>173</v>
      </c>
      <c r="S31" s="42" t="s">
        <v>180</v>
      </c>
      <c r="T31" s="42" t="s">
        <v>181</v>
      </c>
      <c r="U31" s="54" t="s">
        <v>194</v>
      </c>
    </row>
    <row r="32" spans="1:21" x14ac:dyDescent="0.4">
      <c r="A32" t="s">
        <v>196</v>
      </c>
      <c r="B32" s="30" t="e">
        <f>#REF!</f>
        <v>#REF!</v>
      </c>
      <c r="C32" s="30" t="e">
        <f>#REF!</f>
        <v>#REF!</v>
      </c>
      <c r="D32" s="30" t="e">
        <f>#REF!</f>
        <v>#REF!</v>
      </c>
      <c r="E32" s="30" t="e">
        <f>#REF!</f>
        <v>#REF!</v>
      </c>
      <c r="F32" s="60">
        <v>251</v>
      </c>
      <c r="G32" s="63">
        <v>190</v>
      </c>
      <c r="H32" s="28" t="e">
        <f>#REF!</f>
        <v>#REF!</v>
      </c>
      <c r="I32" s="71" t="e">
        <f>#REF!</f>
        <v>#REF!</v>
      </c>
      <c r="J32" s="72" t="e">
        <f>#REF!</f>
        <v>#REF!</v>
      </c>
      <c r="K32" s="28" t="e">
        <f>-(1-J32)*I32*'Reference Data U values'!$A$11*(D32-E32)/10^6</f>
        <v>#REF!</v>
      </c>
      <c r="L32" s="73" t="e">
        <f>#REF!-#REF!</f>
        <v>#REF!</v>
      </c>
      <c r="M32" s="28" t="e">
        <f>(L32*'Reference Data U values'!#REF!/10^6)</f>
        <v>#REF!</v>
      </c>
      <c r="N32" s="28" t="e">
        <f>K32+M32</f>
        <v>#REF!</v>
      </c>
      <c r="O32" s="28" t="e">
        <f>((F32-G32)-(F32-E32))/LN((F32-G32)/(F32-E32))</f>
        <v>#REF!</v>
      </c>
      <c r="P32" s="28" t="e">
        <f>((F32-D32)-(F32-G32))/LN((F32-D32)/(F32-G32))</f>
        <v>#REF!</v>
      </c>
      <c r="Q32" s="28" t="e">
        <f>O32*(M32/N32)+P32*(K32/N32)</f>
        <v>#REF!</v>
      </c>
      <c r="R32" s="28" t="e">
        <f>N32/'Reference Data U values'!#REF!/Q32*10^6</f>
        <v>#REF!</v>
      </c>
      <c r="S32" s="28" t="e">
        <f>(I32/'Reference Data U values'!#REF!)^0.6*'Reference Data U values'!#REF!</f>
        <v>#REF!</v>
      </c>
      <c r="T32" s="67" t="e">
        <f>R32/S32</f>
        <v>#REF!</v>
      </c>
      <c r="U32" s="85" t="e">
        <f>R32/U33</f>
        <v>#REF!</v>
      </c>
    </row>
    <row r="33" spans="1:21" x14ac:dyDescent="0.4">
      <c r="A33" t="s">
        <v>195</v>
      </c>
      <c r="B33" s="30">
        <v>274</v>
      </c>
      <c r="C33" s="30">
        <v>252</v>
      </c>
      <c r="D33" s="30">
        <v>173</v>
      </c>
      <c r="E33" s="30">
        <v>205</v>
      </c>
      <c r="F33" s="60">
        <v>252</v>
      </c>
      <c r="G33" s="60">
        <v>203</v>
      </c>
      <c r="H33" s="28"/>
      <c r="I33" s="53">
        <f>I28</f>
        <v>144654</v>
      </c>
      <c r="J33" s="44">
        <f>(56228+64475+2065+1055)/I33</f>
        <v>0.85599430364870654</v>
      </c>
      <c r="K33" s="28">
        <f>-(1-J33)*I33*'Reference Data U values'!$A$11*(D33-E33)/10^6</f>
        <v>0.35329376000000007</v>
      </c>
      <c r="L33" s="59">
        <v>55459</v>
      </c>
      <c r="M33" s="28" t="e">
        <f>(L33*'Reference Data U values'!#REF!/10^6)</f>
        <v>#REF!</v>
      </c>
      <c r="N33" s="28" t="e">
        <f>K33+M33</f>
        <v>#REF!</v>
      </c>
      <c r="O33" s="28">
        <f>((F33-G33)-(F33-E33))/LN((F33-G33)/(F33-E33))</f>
        <v>47.993054751617564</v>
      </c>
      <c r="P33" s="28">
        <f>((F33-D33)-(F33-G33))/LN((F33-D33)/(F33-G33))</f>
        <v>62.810446605043808</v>
      </c>
      <c r="Q33" s="28" t="e">
        <f>O33*(M33/N33)+P33*(K33/N33)</f>
        <v>#REF!</v>
      </c>
      <c r="R33" s="28" t="e">
        <f>N33/'Reference Data U values'!#REF!/Q33*10^6</f>
        <v>#REF!</v>
      </c>
      <c r="S33" s="28" t="e">
        <f>(I33/'Reference Data U values'!#REF!)^0.6*'Reference Data U values'!#REF!</f>
        <v>#REF!</v>
      </c>
      <c r="T33" s="44" t="e">
        <f>R33/S33</f>
        <v>#REF!</v>
      </c>
      <c r="U33" s="28" t="e">
        <f>(I32/'Reference Data U values'!#REF!)^0.6*R33</f>
        <v>#REF!</v>
      </c>
    </row>
    <row r="34" spans="1:21" x14ac:dyDescent="0.4">
      <c r="B34" s="1" t="s">
        <v>79</v>
      </c>
      <c r="C34" s="62"/>
      <c r="F34" s="66"/>
      <c r="M34" s="11" t="s">
        <v>215</v>
      </c>
      <c r="N34" t="e">
        <f>'Reference Data U values'!#REF!</f>
        <v>#REF!</v>
      </c>
    </row>
    <row r="35" spans="1:21" x14ac:dyDescent="0.4">
      <c r="B35" s="215" t="s">
        <v>63</v>
      </c>
      <c r="C35" s="215"/>
      <c r="D35" s="215" t="s">
        <v>193</v>
      </c>
      <c r="E35" s="215"/>
    </row>
    <row r="36" spans="1:21" ht="29.15" x14ac:dyDescent="0.4">
      <c r="B36" s="42" t="s">
        <v>153</v>
      </c>
      <c r="C36" s="42" t="s">
        <v>154</v>
      </c>
      <c r="D36" s="42" t="s">
        <v>155</v>
      </c>
      <c r="E36" s="42" t="s">
        <v>156</v>
      </c>
      <c r="F36" s="43" t="s">
        <v>157</v>
      </c>
      <c r="G36" s="42" t="s">
        <v>158</v>
      </c>
      <c r="H36" s="42" t="s">
        <v>214</v>
      </c>
      <c r="I36" s="42" t="s">
        <v>161</v>
      </c>
      <c r="J36" s="42" t="s">
        <v>212</v>
      </c>
      <c r="K36" s="42" t="s">
        <v>162</v>
      </c>
      <c r="L36" s="42" t="s">
        <v>189</v>
      </c>
      <c r="M36" s="42" t="s">
        <v>163</v>
      </c>
      <c r="N36" s="42" t="s">
        <v>170</v>
      </c>
      <c r="O36" s="42" t="s">
        <v>171</v>
      </c>
      <c r="P36" s="42" t="s">
        <v>172</v>
      </c>
      <c r="Q36" s="42" t="s">
        <v>166</v>
      </c>
      <c r="R36" s="42" t="s">
        <v>173</v>
      </c>
      <c r="S36" s="42" t="s">
        <v>180</v>
      </c>
      <c r="T36" s="42" t="s">
        <v>181</v>
      </c>
      <c r="U36" s="54" t="s">
        <v>194</v>
      </c>
    </row>
    <row r="37" spans="1:21" x14ac:dyDescent="0.4">
      <c r="B37" s="64" t="e">
        <f>#REF!</f>
        <v>#REF!</v>
      </c>
      <c r="C37" s="64" t="e">
        <f>#REF!</f>
        <v>#REF!</v>
      </c>
      <c r="D37" s="30" t="e">
        <f>#REF!-1</f>
        <v>#REF!</v>
      </c>
      <c r="E37" s="30" t="e">
        <f>#REF!</f>
        <v>#REF!</v>
      </c>
      <c r="F37" s="3">
        <v>373</v>
      </c>
      <c r="G37" s="3">
        <v>282</v>
      </c>
      <c r="H37" s="28" t="e">
        <f>#REF!</f>
        <v>#REF!</v>
      </c>
      <c r="I37" s="71" t="e">
        <f>#REF!</f>
        <v>#REF!</v>
      </c>
      <c r="J37" s="72" t="e">
        <f>#REF!</f>
        <v>#REF!</v>
      </c>
      <c r="K37" s="28" t="e">
        <f>-(1-J37)*I37*'Reference Data U values'!$A$11*(D37-E37)/10^6</f>
        <v>#REF!</v>
      </c>
      <c r="L37" s="64" t="e">
        <f>#REF!-#REF!</f>
        <v>#REF!</v>
      </c>
      <c r="M37" s="28" t="e">
        <f>(L37*'Reference Data U values'!$A$13/10^6)</f>
        <v>#REF!</v>
      </c>
      <c r="N37" s="28" t="e">
        <f>K37+M37</f>
        <v>#REF!</v>
      </c>
      <c r="O37" s="28" t="e">
        <f>((F37-G37)-(F37-E37))/LN((F37-G37)/(F37-E37))</f>
        <v>#REF!</v>
      </c>
      <c r="P37" s="28" t="e">
        <f>((F37-D37)-(F37-G37))/LN((F37-D37)/(F37-G37))</f>
        <v>#REF!</v>
      </c>
      <c r="Q37" s="28" t="e">
        <f>O37*(M37/N37)+P37*(K37/N37)</f>
        <v>#REF!</v>
      </c>
      <c r="R37" s="28" t="e">
        <f>N37/'Reference Data U values'!#REF!/Q37*10^6</f>
        <v>#REF!</v>
      </c>
      <c r="S37" s="28" t="e">
        <f>(I37/'Reference Data U values'!#REF!)^0.6*'Reference Data U values'!#REF!</f>
        <v>#REF!</v>
      </c>
      <c r="T37" s="44" t="e">
        <f>R37/S37</f>
        <v>#REF!</v>
      </c>
      <c r="U37" s="55" t="e">
        <f>R37/U38</f>
        <v>#REF!</v>
      </c>
    </row>
    <row r="38" spans="1:21" x14ac:dyDescent="0.4">
      <c r="B38" s="30">
        <v>373</v>
      </c>
      <c r="C38" s="30">
        <v>373</v>
      </c>
      <c r="D38" s="30">
        <v>205</v>
      </c>
      <c r="E38" s="30">
        <v>350</v>
      </c>
      <c r="F38" s="3">
        <v>373</v>
      </c>
      <c r="G38" s="3">
        <v>282</v>
      </c>
      <c r="H38" s="28"/>
      <c r="I38" s="53">
        <v>89195</v>
      </c>
      <c r="J38" s="44">
        <f>(64475+2065+1055)/I38</f>
        <v>0.75783395930265152</v>
      </c>
      <c r="K38" s="28">
        <f>-(1-J38)*I38*'Reference Data U values'!$A$11*(D38-E38)/10^6</f>
        <v>1.6599599999999997</v>
      </c>
      <c r="L38" s="59">
        <v>64475</v>
      </c>
      <c r="M38" s="28">
        <f>(L38*'Reference Data U values'!$A$13/10^6)</f>
        <v>11.927875</v>
      </c>
      <c r="N38" s="28">
        <f>K38+M38</f>
        <v>13.587835</v>
      </c>
      <c r="O38" s="28">
        <f>((F38-G38)-(F38-E38))/LN((F38-G38)/(F38-E38))</f>
        <v>49.441410558603863</v>
      </c>
      <c r="P38" s="28">
        <f>((F38-D38)-(F38-G38))/LN((F38-D38)/(F38-G38))</f>
        <v>125.59034129614962</v>
      </c>
      <c r="Q38" s="28">
        <f>O38*(M38/N38)+P38*(K38/N38)</f>
        <v>58.744156659590253</v>
      </c>
      <c r="R38" s="28" t="e">
        <f>N38/'Reference Data U values'!#REF!/Q38*10^6</f>
        <v>#REF!</v>
      </c>
      <c r="S38" s="28" t="e">
        <f>(I38/'Reference Data U values'!#REF!)^0.6*'Reference Data U values'!#REF!</f>
        <v>#REF!</v>
      </c>
      <c r="T38" s="44" t="e">
        <f>R38/S38</f>
        <v>#REF!</v>
      </c>
      <c r="U38" s="28" t="e">
        <f>(I37/'Reference Data U values'!#REF!)^0.6*R38</f>
        <v>#REF!</v>
      </c>
    </row>
    <row r="39" spans="1:21" x14ac:dyDescent="0.4">
      <c r="K39" s="35"/>
      <c r="L39" s="57"/>
      <c r="M39" s="11" t="s">
        <v>215</v>
      </c>
      <c r="N39" t="e">
        <f>'Reference Data U values'!#REF!</f>
        <v>#REF!</v>
      </c>
    </row>
    <row r="40" spans="1:21" x14ac:dyDescent="0.4">
      <c r="B40" s="1" t="s">
        <v>78</v>
      </c>
      <c r="C40" s="62" t="s">
        <v>203</v>
      </c>
      <c r="L40" s="57"/>
    </row>
    <row r="41" spans="1:21" x14ac:dyDescent="0.4">
      <c r="B41" s="215" t="s">
        <v>193</v>
      </c>
      <c r="C41" s="215"/>
      <c r="D41" s="215" t="s">
        <v>63</v>
      </c>
      <c r="E41" s="215"/>
      <c r="L41" s="57"/>
    </row>
    <row r="42" spans="1:21" ht="29.15" x14ac:dyDescent="0.4">
      <c r="B42" s="42" t="s">
        <v>153</v>
      </c>
      <c r="C42" s="42" t="s">
        <v>154</v>
      </c>
      <c r="D42" s="42" t="s">
        <v>155</v>
      </c>
      <c r="E42" s="42" t="s">
        <v>156</v>
      </c>
      <c r="F42" s="43" t="s">
        <v>157</v>
      </c>
      <c r="G42" s="42" t="s">
        <v>158</v>
      </c>
      <c r="H42" s="42" t="s">
        <v>214</v>
      </c>
      <c r="I42" s="42" t="s">
        <v>161</v>
      </c>
      <c r="J42" s="42" t="s">
        <v>213</v>
      </c>
      <c r="K42" s="42" t="s">
        <v>162</v>
      </c>
      <c r="L42" s="58" t="s">
        <v>189</v>
      </c>
      <c r="M42" s="42" t="s">
        <v>163</v>
      </c>
      <c r="N42" s="42" t="s">
        <v>190</v>
      </c>
      <c r="O42" s="42" t="s">
        <v>171</v>
      </c>
      <c r="P42" s="42" t="s">
        <v>172</v>
      </c>
      <c r="Q42" s="42" t="s">
        <v>192</v>
      </c>
      <c r="R42" s="42" t="s">
        <v>191</v>
      </c>
      <c r="S42" s="42" t="s">
        <v>180</v>
      </c>
      <c r="T42" s="42" t="s">
        <v>181</v>
      </c>
      <c r="U42" s="54" t="s">
        <v>194</v>
      </c>
    </row>
    <row r="43" spans="1:21" x14ac:dyDescent="0.4">
      <c r="B43" s="30" t="e">
        <f>#REF!</f>
        <v>#REF!</v>
      </c>
      <c r="C43" s="30" t="e">
        <f>#REF!</f>
        <v>#REF!</v>
      </c>
      <c r="D43" s="30" t="e">
        <f>#REF!</f>
        <v>#REF!</v>
      </c>
      <c r="E43" s="30" t="e">
        <f>#REF!</f>
        <v>#REF!</v>
      </c>
      <c r="F43" s="3">
        <v>373</v>
      </c>
      <c r="G43" s="3">
        <v>315</v>
      </c>
      <c r="H43" s="28" t="e">
        <f>#REF!</f>
        <v>#REF!</v>
      </c>
      <c r="I43" s="71" t="e">
        <f>#REF!</f>
        <v>#REF!</v>
      </c>
      <c r="J43" s="72" t="e">
        <f>#REF!</f>
        <v>#REF!</v>
      </c>
      <c r="K43" s="28" t="e">
        <f>(1-J43)*I43*'Reference Data U values'!$A$11*(C43-B43)/10^6</f>
        <v>#REF!</v>
      </c>
      <c r="L43" s="64" t="e">
        <f>I43*J43*L45</f>
        <v>#REF!</v>
      </c>
      <c r="M43" s="28" t="e">
        <f>(L43*'Reference Data U values'!$A$13/10^6)</f>
        <v>#REF!</v>
      </c>
      <c r="N43" s="28" t="e">
        <f>K43+M43</f>
        <v>#REF!</v>
      </c>
      <c r="O43" s="28" t="e">
        <f>((F43-G43)-(F43-B43))/LN((F43-G43)/(F43-B43))</f>
        <v>#REF!</v>
      </c>
      <c r="P43" s="28" t="e">
        <f>((F43-C43)-(F43-G43))/LN((F43-C43)/(F43-G43))</f>
        <v>#REF!</v>
      </c>
      <c r="Q43" s="28" t="e">
        <f>O43*(M43/N43)+P43*(K43/N43)</f>
        <v>#REF!</v>
      </c>
      <c r="R43" s="28" t="e">
        <f>N43/'Reference Data U values'!#REF!/Q43*10^6</f>
        <v>#REF!</v>
      </c>
      <c r="S43" s="28" t="e">
        <f>(I43/'Reference Data U values'!#REF!)^0.6*'Reference Data U values'!#REF!</f>
        <v>#REF!</v>
      </c>
      <c r="T43" s="44" t="e">
        <f>R43/S43</f>
        <v>#REF!</v>
      </c>
      <c r="U43" s="55" t="e">
        <f>R43/U44</f>
        <v>#REF!</v>
      </c>
    </row>
    <row r="44" spans="1:21" x14ac:dyDescent="0.4">
      <c r="B44" s="30">
        <v>328</v>
      </c>
      <c r="C44" s="30">
        <v>350</v>
      </c>
      <c r="D44" s="30">
        <v>375</v>
      </c>
      <c r="E44" s="30">
        <v>375</v>
      </c>
      <c r="F44" s="3">
        <v>373</v>
      </c>
      <c r="G44" s="3">
        <v>331</v>
      </c>
      <c r="H44" s="28"/>
      <c r="I44" s="53">
        <v>34562</v>
      </c>
      <c r="J44" s="67">
        <f>(2065+1055)/I44</f>
        <v>9.0272553671662523E-2</v>
      </c>
      <c r="K44" s="28">
        <f>(1-J44)*I44*'Reference Data U values'!$A$11*(C44-B44)/10^6</f>
        <v>0.36661372000000003</v>
      </c>
      <c r="L44" s="59">
        <v>775</v>
      </c>
      <c r="M44" s="28">
        <f>(L44*'Reference Data U values'!$A$13/10^6)</f>
        <v>0.143375</v>
      </c>
      <c r="N44" s="28">
        <f>K44+M44</f>
        <v>0.50998872000000006</v>
      </c>
      <c r="O44" s="28">
        <f>((F44-G44)-(F44-B44))/LN((F44-G44)/(F44-B44))</f>
        <v>43.482753150336521</v>
      </c>
      <c r="P44" s="28">
        <f>((F44-C44)-(F44-G44))/LN((F44-C44)/(F44-G44))</f>
        <v>31.552268534581561</v>
      </c>
      <c r="Q44" s="28">
        <f>O44*(M44/N44)+P44*(K44/N44)</f>
        <v>34.906329447505016</v>
      </c>
      <c r="R44" s="28" t="e">
        <f>N44/'Reference Data U values'!#REF!/Q44*10^6</f>
        <v>#REF!</v>
      </c>
      <c r="S44" s="28" t="e">
        <f>(I44/'Reference Data U values'!#REF!)^0.6*'Reference Data U values'!#REF!</f>
        <v>#REF!</v>
      </c>
      <c r="T44" s="44" t="e">
        <f>R44/S44</f>
        <v>#REF!</v>
      </c>
      <c r="U44" s="28" t="e">
        <f>(I43/'Reference Data U values'!#REF!)^0.6*R44</f>
        <v>#REF!</v>
      </c>
    </row>
    <row r="45" spans="1:21" x14ac:dyDescent="0.4">
      <c r="L45" s="31">
        <f>L44/(I44*J44)</f>
        <v>0.2483974358974359</v>
      </c>
      <c r="M45" s="11" t="s">
        <v>215</v>
      </c>
      <c r="N45" t="e">
        <f>'Reference Data U values'!#REF!</f>
        <v>#REF!</v>
      </c>
    </row>
    <row r="46" spans="1:21" x14ac:dyDescent="0.4">
      <c r="B46" s="1" t="s">
        <v>152</v>
      </c>
    </row>
    <row r="47" spans="1:21" x14ac:dyDescent="0.4">
      <c r="B47" s="215" t="s">
        <v>193</v>
      </c>
      <c r="C47" s="215"/>
      <c r="D47" s="215" t="s">
        <v>33</v>
      </c>
      <c r="E47" s="215"/>
    </row>
    <row r="48" spans="1:21" ht="29.15" x14ac:dyDescent="0.4">
      <c r="A48" t="s">
        <v>196</v>
      </c>
      <c r="B48" s="42" t="s">
        <v>153</v>
      </c>
      <c r="C48" s="42" t="s">
        <v>154</v>
      </c>
      <c r="D48" s="42" t="s">
        <v>155</v>
      </c>
      <c r="E48" s="42" t="s">
        <v>156</v>
      </c>
      <c r="F48" s="43" t="s">
        <v>157</v>
      </c>
      <c r="G48" s="42" t="s">
        <v>158</v>
      </c>
      <c r="H48" s="42" t="s">
        <v>188</v>
      </c>
      <c r="I48" s="42" t="s">
        <v>161</v>
      </c>
      <c r="J48" s="42" t="s">
        <v>207</v>
      </c>
      <c r="K48" s="42" t="s">
        <v>162</v>
      </c>
      <c r="L48" s="42" t="s">
        <v>189</v>
      </c>
      <c r="M48" s="42" t="s">
        <v>201</v>
      </c>
      <c r="N48" s="42" t="s">
        <v>206</v>
      </c>
      <c r="O48" s="42" t="s">
        <v>202</v>
      </c>
      <c r="P48" s="42" t="s">
        <v>172</v>
      </c>
      <c r="Q48" s="42" t="s">
        <v>166</v>
      </c>
      <c r="R48" s="42" t="s">
        <v>173</v>
      </c>
      <c r="S48" s="42" t="s">
        <v>180</v>
      </c>
      <c r="T48" s="42" t="s">
        <v>181</v>
      </c>
      <c r="U48" s="54" t="s">
        <v>194</v>
      </c>
    </row>
    <row r="49" spans="1:21" x14ac:dyDescent="0.4">
      <c r="A49" t="s">
        <v>208</v>
      </c>
      <c r="B49" s="30" t="e">
        <f>#REF!</f>
        <v>#REF!</v>
      </c>
      <c r="C49" s="30" t="e">
        <f>#REF!</f>
        <v>#REF!</v>
      </c>
      <c r="D49" s="30" t="e">
        <f>#REF!</f>
        <v>#REF!</v>
      </c>
      <c r="E49" s="30" t="e">
        <f>#REF!</f>
        <v>#REF!</v>
      </c>
      <c r="F49" s="60" t="s">
        <v>199</v>
      </c>
      <c r="G49" s="60" t="s">
        <v>199</v>
      </c>
      <c r="H49" s="28" t="e">
        <f>#REF!</f>
        <v>#REF!</v>
      </c>
      <c r="I49" s="71" t="e">
        <f>#REF!</f>
        <v>#REF!</v>
      </c>
      <c r="J49" s="72" t="e">
        <f>#REF!</f>
        <v>#REF!</v>
      </c>
      <c r="K49" s="28" t="e">
        <f>(1-J49)*I49*'Reference Data U values'!#REF!*(C49-B49)/10^6</f>
        <v>#REF!</v>
      </c>
      <c r="L49" s="30">
        <v>0</v>
      </c>
      <c r="M49" s="28" t="e">
        <f>(J49)*I49*'Reference Data U values'!#REF!*(C49-B49)/10^6</f>
        <v>#REF!</v>
      </c>
      <c r="N49" s="28" t="e">
        <f>K49+M49</f>
        <v>#REF!</v>
      </c>
      <c r="O49" s="28" t="e">
        <f>((D49-C49)-(E49-B49))/LN((D49-C49)/(E49-B49))</f>
        <v>#REF!</v>
      </c>
      <c r="P49" s="28"/>
      <c r="Q49" s="28"/>
      <c r="R49" s="28" t="e">
        <f>N49*10^6/'Reference Data U values'!#REF!/O49</f>
        <v>#REF!</v>
      </c>
      <c r="S49" s="28" t="e">
        <f>(I49/'Reference Data U values'!#REF!)^0.6*'Reference Data U values'!#REF!</f>
        <v>#REF!</v>
      </c>
      <c r="T49" s="44" t="e">
        <f>R49/S49</f>
        <v>#REF!</v>
      </c>
      <c r="U49" s="55" t="e">
        <f>R49/U51</f>
        <v>#REF!</v>
      </c>
    </row>
    <row r="50" spans="1:21" x14ac:dyDescent="0.4">
      <c r="A50" t="s">
        <v>205</v>
      </c>
      <c r="B50" s="30" t="e">
        <f>B49</f>
        <v>#REF!</v>
      </c>
      <c r="C50" s="30" t="e">
        <f t="shared" ref="C50:E50" si="0">C49</f>
        <v>#REF!</v>
      </c>
      <c r="D50" s="30" t="e">
        <f t="shared" si="0"/>
        <v>#REF!</v>
      </c>
      <c r="E50" s="30" t="e">
        <f t="shared" si="0"/>
        <v>#REF!</v>
      </c>
      <c r="F50" s="60"/>
      <c r="G50" s="60"/>
      <c r="H50" s="28" t="e">
        <f>#REF!</f>
        <v>#REF!</v>
      </c>
      <c r="I50" s="71" t="e">
        <f>#REF!</f>
        <v>#REF!</v>
      </c>
      <c r="J50" s="44">
        <v>0</v>
      </c>
      <c r="K50" s="28" t="e">
        <f>(1-J50)*I50*'Reference Data U values'!#REF!*(D50-E50)/10^6</f>
        <v>#REF!</v>
      </c>
      <c r="L50" s="30">
        <v>0</v>
      </c>
      <c r="M50" s="28" t="e">
        <f>(J50)*I50*'Reference Data U values'!#REF!*(C50-B50)/10^6</f>
        <v>#REF!</v>
      </c>
      <c r="N50" s="28" t="e">
        <f>K50+M50</f>
        <v>#REF!</v>
      </c>
      <c r="O50" s="28" t="e">
        <f>((D50-C50)-(E50-B50))/LN((D50-C50)/(E50-B50))</f>
        <v>#REF!</v>
      </c>
      <c r="P50" s="28"/>
      <c r="Q50" s="28"/>
      <c r="R50" s="28" t="e">
        <f>N50*10^6/'Reference Data U values'!#REF!/O50</f>
        <v>#REF!</v>
      </c>
      <c r="S50" s="28" t="e">
        <f>(I50/105600)^0.6*'Reference Data U values'!#REF!</f>
        <v>#REF!</v>
      </c>
      <c r="T50" s="44" t="e">
        <f>R50/S50</f>
        <v>#REF!</v>
      </c>
      <c r="U50" s="55"/>
    </row>
    <row r="51" spans="1:21" x14ac:dyDescent="0.4">
      <c r="A51" t="s">
        <v>195</v>
      </c>
      <c r="B51" s="30">
        <v>172</v>
      </c>
      <c r="C51" s="30">
        <v>203</v>
      </c>
      <c r="D51" s="30">
        <v>330</v>
      </c>
      <c r="E51" s="30">
        <v>227</v>
      </c>
      <c r="F51" s="60" t="s">
        <v>199</v>
      </c>
      <c r="G51" s="60" t="s">
        <v>199</v>
      </c>
      <c r="H51" s="28"/>
      <c r="I51" s="53">
        <v>369200</v>
      </c>
      <c r="J51" s="44">
        <f>(125953+121295+12333+6372)/I51</f>
        <v>0.72034940411700976</v>
      </c>
      <c r="K51" s="28" t="e">
        <f>(1-J51)*I51*'Reference Data U values'!#REF!*(C51-B51)/10^6</f>
        <v>#REF!</v>
      </c>
      <c r="L51" s="61">
        <v>0</v>
      </c>
      <c r="M51" s="28" t="e">
        <f>(J51)*I51*'Reference Data U values'!#REF!*(C51-B51)/10^6</f>
        <v>#REF!</v>
      </c>
      <c r="N51" s="28" t="e">
        <f>K51+M51</f>
        <v>#REF!</v>
      </c>
      <c r="O51" s="28">
        <f>((D51-C51)-(E51-B51))/LN((D51-C51)/(E51-B51))</f>
        <v>86.036523095021565</v>
      </c>
      <c r="P51" s="28"/>
      <c r="Q51" s="28"/>
      <c r="R51" s="28" t="e">
        <f>N51*10^6/'Reference Data U values'!#REF!/O51</f>
        <v>#REF!</v>
      </c>
      <c r="S51" s="28" t="e">
        <f>(I51/'Reference Data U values'!#REF!)^0.6*'Reference Data U values'!#REF!</f>
        <v>#REF!</v>
      </c>
      <c r="T51" s="44" t="e">
        <f>R51/S51</f>
        <v>#REF!</v>
      </c>
      <c r="U51" s="28" t="e">
        <f>(I49/'Reference Data U values'!#REF!)^0.6*R51</f>
        <v>#REF!</v>
      </c>
    </row>
    <row r="52" spans="1:21" x14ac:dyDescent="0.4">
      <c r="M52" s="11" t="s">
        <v>215</v>
      </c>
      <c r="N52" t="e">
        <f>'Reference Data U values'!#REF!</f>
        <v>#REF!</v>
      </c>
    </row>
  </sheetData>
  <mergeCells count="18">
    <mergeCell ref="B35:C35"/>
    <mergeCell ref="D35:E35"/>
    <mergeCell ref="B41:C41"/>
    <mergeCell ref="D41:E41"/>
    <mergeCell ref="B47:C47"/>
    <mergeCell ref="D47:E47"/>
    <mergeCell ref="B19:C19"/>
    <mergeCell ref="D19:E19"/>
    <mergeCell ref="B25:C25"/>
    <mergeCell ref="D25:E25"/>
    <mergeCell ref="B30:C30"/>
    <mergeCell ref="D30:E30"/>
    <mergeCell ref="B3:C3"/>
    <mergeCell ref="D3:E3"/>
    <mergeCell ref="B8:C8"/>
    <mergeCell ref="D8:E8"/>
    <mergeCell ref="B13:C13"/>
    <mergeCell ref="D13:E1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D25"/>
  <sheetViews>
    <sheetView workbookViewId="0">
      <selection activeCell="K16" sqref="K16"/>
    </sheetView>
  </sheetViews>
  <sheetFormatPr defaultRowHeight="14.6" x14ac:dyDescent="0.4"/>
  <cols>
    <col min="1" max="3" width="11.84375" customWidth="1"/>
    <col min="4" max="4" width="3.3046875" customWidth="1"/>
  </cols>
  <sheetData>
    <row r="2" spans="1:4" x14ac:dyDescent="0.4">
      <c r="A2" t="s">
        <v>185</v>
      </c>
    </row>
    <row r="4" spans="1:4" x14ac:dyDescent="0.4">
      <c r="A4" t="s">
        <v>186</v>
      </c>
      <c r="B4">
        <v>0.80500000000000005</v>
      </c>
      <c r="C4" t="s">
        <v>187</v>
      </c>
      <c r="D4">
        <v>0.86699999999999999</v>
      </c>
    </row>
    <row r="6" spans="1:4" x14ac:dyDescent="0.4">
      <c r="A6" s="45" t="s">
        <v>80</v>
      </c>
      <c r="B6" s="46"/>
      <c r="C6" s="47"/>
    </row>
    <row r="7" spans="1:4" x14ac:dyDescent="0.4">
      <c r="A7" s="48"/>
      <c r="C7" s="49"/>
    </row>
    <row r="8" spans="1:4" x14ac:dyDescent="0.4">
      <c r="A8" s="48" t="s">
        <v>182</v>
      </c>
      <c r="C8" s="49"/>
    </row>
    <row r="9" spans="1:4" x14ac:dyDescent="0.4">
      <c r="A9" s="48">
        <v>0.86</v>
      </c>
      <c r="B9" t="s">
        <v>159</v>
      </c>
      <c r="C9" s="49"/>
    </row>
    <row r="10" spans="1:4" x14ac:dyDescent="0.4">
      <c r="A10" s="48" t="s">
        <v>167</v>
      </c>
      <c r="C10" s="49"/>
    </row>
    <row r="11" spans="1:4" x14ac:dyDescent="0.4">
      <c r="A11" s="48">
        <v>0.53</v>
      </c>
      <c r="B11" t="s">
        <v>160</v>
      </c>
      <c r="C11" s="49" t="s">
        <v>183</v>
      </c>
    </row>
    <row r="12" spans="1:4" x14ac:dyDescent="0.4">
      <c r="A12" s="48" t="s">
        <v>168</v>
      </c>
      <c r="C12" s="49"/>
    </row>
    <row r="13" spans="1:4" x14ac:dyDescent="0.4">
      <c r="A13" s="48">
        <v>185</v>
      </c>
      <c r="B13" t="s">
        <v>165</v>
      </c>
      <c r="C13" s="49" t="s">
        <v>183</v>
      </c>
    </row>
    <row r="14" spans="1:4" x14ac:dyDescent="0.4">
      <c r="A14" s="48" t="s">
        <v>169</v>
      </c>
      <c r="C14" s="49"/>
    </row>
    <row r="15" spans="1:4" x14ac:dyDescent="0.4">
      <c r="A15" s="48">
        <v>847.40599999999995</v>
      </c>
      <c r="B15" t="s">
        <v>165</v>
      </c>
      <c r="C15" s="49"/>
    </row>
    <row r="16" spans="1:4" x14ac:dyDescent="0.4">
      <c r="A16" s="48" t="s">
        <v>174</v>
      </c>
      <c r="C16" s="49"/>
    </row>
    <row r="17" spans="1:3" x14ac:dyDescent="0.4">
      <c r="A17" s="48">
        <v>6861</v>
      </c>
      <c r="B17" t="s">
        <v>175</v>
      </c>
      <c r="C17" s="49"/>
    </row>
    <row r="18" spans="1:3" x14ac:dyDescent="0.4">
      <c r="A18" s="48" t="s">
        <v>176</v>
      </c>
      <c r="C18" s="49"/>
    </row>
    <row r="19" spans="1:3" x14ac:dyDescent="0.4">
      <c r="A19" s="48">
        <v>94.55</v>
      </c>
      <c r="C19" s="49"/>
    </row>
    <row r="20" spans="1:3" x14ac:dyDescent="0.4">
      <c r="A20" s="48" t="s">
        <v>177</v>
      </c>
      <c r="C20" s="49"/>
    </row>
    <row r="21" spans="1:3" x14ac:dyDescent="0.4">
      <c r="A21" s="48">
        <v>37.299999999999997</v>
      </c>
      <c r="B21" t="s">
        <v>164</v>
      </c>
      <c r="C21" s="49"/>
    </row>
    <row r="22" spans="1:3" x14ac:dyDescent="0.4">
      <c r="A22" s="48" t="s">
        <v>178</v>
      </c>
      <c r="C22" s="49"/>
    </row>
    <row r="23" spans="1:3" x14ac:dyDescent="0.4">
      <c r="A23" s="48">
        <v>43796</v>
      </c>
      <c r="B23" t="s">
        <v>161</v>
      </c>
      <c r="C23" s="49"/>
    </row>
    <row r="24" spans="1:3" x14ac:dyDescent="0.4">
      <c r="A24" s="48" t="s">
        <v>179</v>
      </c>
      <c r="C24" s="49"/>
    </row>
    <row r="25" spans="1:3" x14ac:dyDescent="0.4">
      <c r="A25" s="50">
        <v>245600</v>
      </c>
      <c r="B25" s="51" t="s">
        <v>161</v>
      </c>
      <c r="C25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V52"/>
  <sheetViews>
    <sheetView topLeftCell="A7" workbookViewId="0">
      <selection activeCell="I27" sqref="I27"/>
    </sheetView>
  </sheetViews>
  <sheetFormatPr defaultRowHeight="14.6" x14ac:dyDescent="0.4"/>
  <cols>
    <col min="1" max="1" width="9.84375" bestFit="1" customWidth="1"/>
    <col min="2" max="2" width="8.84375" style="1" customWidth="1"/>
    <col min="3" max="3" width="9" customWidth="1"/>
    <col min="4" max="5" width="8.84375" customWidth="1"/>
    <col min="6" max="6" width="12.15234375" customWidth="1"/>
    <col min="7" max="7" width="13.3828125" customWidth="1"/>
    <col min="8" max="8" width="16.53515625" hidden="1" customWidth="1"/>
    <col min="9" max="11" width="13.3828125" customWidth="1"/>
    <col min="12" max="12" width="15.53515625" customWidth="1"/>
    <col min="13" max="24" width="13.3828125" customWidth="1"/>
  </cols>
  <sheetData>
    <row r="2" spans="1:22" x14ac:dyDescent="0.4">
      <c r="B2" s="1" t="s">
        <v>29</v>
      </c>
      <c r="C2" s="62" t="s">
        <v>204</v>
      </c>
    </row>
    <row r="3" spans="1:22" x14ac:dyDescent="0.4">
      <c r="B3" s="215" t="s">
        <v>193</v>
      </c>
      <c r="C3" s="215"/>
      <c r="D3" s="215" t="s">
        <v>198</v>
      </c>
      <c r="E3" s="215"/>
    </row>
    <row r="4" spans="1:22" ht="29.15" x14ac:dyDescent="0.4">
      <c r="B4" s="42" t="s">
        <v>153</v>
      </c>
      <c r="C4" s="42" t="s">
        <v>154</v>
      </c>
      <c r="D4" s="42" t="s">
        <v>155</v>
      </c>
      <c r="E4" s="42" t="s">
        <v>156</v>
      </c>
      <c r="F4" s="43" t="s">
        <v>157</v>
      </c>
      <c r="G4" s="42" t="s">
        <v>158</v>
      </c>
      <c r="H4" s="42" t="s">
        <v>188</v>
      </c>
      <c r="I4" s="42" t="s">
        <v>161</v>
      </c>
      <c r="J4" s="42" t="s">
        <v>200</v>
      </c>
      <c r="K4" s="42" t="s">
        <v>162</v>
      </c>
      <c r="L4" s="42" t="s">
        <v>189</v>
      </c>
      <c r="M4" s="42" t="s">
        <v>201</v>
      </c>
      <c r="N4" s="42" t="s">
        <v>190</v>
      </c>
      <c r="O4" s="42" t="s">
        <v>202</v>
      </c>
      <c r="P4" s="42" t="s">
        <v>172</v>
      </c>
      <c r="Q4" s="42" t="s">
        <v>166</v>
      </c>
      <c r="R4" s="42" t="s">
        <v>191</v>
      </c>
      <c r="S4" s="42" t="s">
        <v>180</v>
      </c>
      <c r="T4" s="42" t="s">
        <v>181</v>
      </c>
      <c r="U4" s="54" t="s">
        <v>194</v>
      </c>
    </row>
    <row r="5" spans="1:22" x14ac:dyDescent="0.4">
      <c r="A5" t="s">
        <v>196</v>
      </c>
      <c r="B5" s="30" t="e">
        <f>#REF!</f>
        <v>#REF!</v>
      </c>
      <c r="C5" s="30" t="e">
        <f>#REF!</f>
        <v>#REF!</v>
      </c>
      <c r="D5" s="30" t="e">
        <f>#REF!</f>
        <v>#REF!</v>
      </c>
      <c r="E5" s="30" t="e">
        <f>#REF!</f>
        <v>#REF!</v>
      </c>
      <c r="F5" s="60" t="s">
        <v>199</v>
      </c>
      <c r="G5" s="60" t="s">
        <v>199</v>
      </c>
      <c r="H5" s="28" t="e">
        <f>#REF!</f>
        <v>#REF!</v>
      </c>
      <c r="I5" s="53" t="e">
        <f>H5/24*42/7.4805*'Reference Data U values'!$A$9*62.4</f>
        <v>#REF!</v>
      </c>
      <c r="J5" s="44" t="e">
        <f>#REF!/#REF!</f>
        <v>#REF!</v>
      </c>
      <c r="K5" s="28" t="e">
        <f>(1-J5)*I5*'Reference Data U values'!#REF!*(C5-B5)/10^6</f>
        <v>#REF!</v>
      </c>
      <c r="L5" s="30">
        <v>0</v>
      </c>
      <c r="M5" s="28" t="e">
        <f>(J5)*I5*'Reference Data U values'!#REF!*(C5-B5)/10^6</f>
        <v>#REF!</v>
      </c>
      <c r="N5" s="28" t="e">
        <f>K5+M5</f>
        <v>#REF!</v>
      </c>
      <c r="O5" s="28" t="e">
        <f>((D5-C5)-(E5-B5))/LN((D5-C5)/(E5-B5))</f>
        <v>#REF!</v>
      </c>
      <c r="P5" s="28"/>
      <c r="Q5" s="28"/>
      <c r="R5" s="28" t="e">
        <f>N5*10^6/'Reference Data U values'!#REF!/O5</f>
        <v>#REF!</v>
      </c>
      <c r="S5" s="28" t="e">
        <f>(I5/'Reference Data U values'!#REF!)^0.6*'Reference Data U values'!#REF!</f>
        <v>#REF!</v>
      </c>
      <c r="T5" s="44" t="e">
        <f>R5/S5</f>
        <v>#REF!</v>
      </c>
      <c r="U5" s="55" t="e">
        <f>R5/U6</f>
        <v>#REF!</v>
      </c>
      <c r="V5" s="83" t="s">
        <v>220</v>
      </c>
    </row>
    <row r="6" spans="1:22" x14ac:dyDescent="0.4">
      <c r="A6" t="s">
        <v>195</v>
      </c>
      <c r="B6" s="30">
        <v>66</v>
      </c>
      <c r="C6" s="30">
        <v>172</v>
      </c>
      <c r="D6" s="30">
        <v>202</v>
      </c>
      <c r="E6" s="30">
        <v>192</v>
      </c>
      <c r="F6" s="60" t="s">
        <v>199</v>
      </c>
      <c r="G6" s="60" t="s">
        <v>199</v>
      </c>
      <c r="H6" s="28"/>
      <c r="I6" s="53">
        <v>369200</v>
      </c>
      <c r="J6" s="44">
        <f>(125953+121295+12333+6372)/I6</f>
        <v>0.72034940411700976</v>
      </c>
      <c r="K6" s="28" t="e">
        <f>(1-J6)*I6*'Reference Data U values'!#REF!*(C6-B6)/10^6</f>
        <v>#REF!</v>
      </c>
      <c r="L6" s="61">
        <v>0</v>
      </c>
      <c r="M6" s="28" t="e">
        <f>(J6)*I6*'Reference Data U values'!#REF!*(C6-B6)/10^6</f>
        <v>#REF!</v>
      </c>
      <c r="N6" s="28" t="e">
        <f>K6+M6</f>
        <v>#REF!</v>
      </c>
      <c r="O6" s="28">
        <f>((D6-C6)-(E6-B6))/LN((D6-C6)/(E6-B6))</f>
        <v>66.895014410838101</v>
      </c>
      <c r="P6" s="28"/>
      <c r="Q6" s="28"/>
      <c r="R6" s="28" t="e">
        <f>N6*10^6/'Reference Data U values'!#REF!/O6</f>
        <v>#REF!</v>
      </c>
      <c r="S6" s="28" t="e">
        <f>(I6/'Reference Data U values'!#REF!)^0.6*'Reference Data U values'!#REF!</f>
        <v>#REF!</v>
      </c>
      <c r="T6" s="44" t="e">
        <f>R6/S6</f>
        <v>#REF!</v>
      </c>
      <c r="U6" s="28" t="e">
        <f>(I5/'Reference Data U values'!#REF!)^0.6*R6</f>
        <v>#REF!</v>
      </c>
    </row>
    <row r="7" spans="1:22" x14ac:dyDescent="0.4">
      <c r="B7" s="1" t="s">
        <v>150</v>
      </c>
      <c r="M7" s="11" t="s">
        <v>215</v>
      </c>
      <c r="N7" t="e">
        <f>'Reference Data U values'!#REF!</f>
        <v>#REF!</v>
      </c>
    </row>
    <row r="8" spans="1:22" x14ac:dyDescent="0.4">
      <c r="B8" s="215" t="s">
        <v>209</v>
      </c>
      <c r="C8" s="215"/>
      <c r="D8" s="215" t="s">
        <v>193</v>
      </c>
      <c r="E8" s="215"/>
    </row>
    <row r="9" spans="1:22" ht="29.15" x14ac:dyDescent="0.4">
      <c r="B9" s="42" t="s">
        <v>153</v>
      </c>
      <c r="C9" s="42" t="s">
        <v>154</v>
      </c>
      <c r="D9" s="42" t="s">
        <v>155</v>
      </c>
      <c r="E9" s="42" t="s">
        <v>156</v>
      </c>
      <c r="F9" s="43" t="s">
        <v>210</v>
      </c>
      <c r="G9" s="42" t="s">
        <v>158</v>
      </c>
      <c r="H9" s="42" t="s">
        <v>188</v>
      </c>
      <c r="I9" s="42" t="s">
        <v>161</v>
      </c>
      <c r="J9" s="42" t="s">
        <v>211</v>
      </c>
      <c r="K9" s="42" t="s">
        <v>162</v>
      </c>
      <c r="L9" s="42" t="s">
        <v>189</v>
      </c>
      <c r="M9" s="42" t="s">
        <v>163</v>
      </c>
      <c r="N9" s="42" t="s">
        <v>170</v>
      </c>
      <c r="O9" s="42" t="s">
        <v>171</v>
      </c>
      <c r="P9" s="42" t="s">
        <v>172</v>
      </c>
      <c r="Q9" s="42" t="s">
        <v>166</v>
      </c>
      <c r="R9" s="42" t="s">
        <v>173</v>
      </c>
      <c r="S9" s="42" t="s">
        <v>180</v>
      </c>
      <c r="T9" s="42" t="s">
        <v>181</v>
      </c>
      <c r="U9" s="54" t="s">
        <v>194</v>
      </c>
    </row>
    <row r="10" spans="1:22" x14ac:dyDescent="0.4">
      <c r="A10" t="s">
        <v>196</v>
      </c>
      <c r="B10" s="30" t="e">
        <f>#REF!</f>
        <v>#REF!</v>
      </c>
      <c r="C10" s="30" t="e">
        <f>#REF!</f>
        <v>#REF!</v>
      </c>
      <c r="D10" s="30" t="e">
        <f>#REF!</f>
        <v>#REF!</v>
      </c>
      <c r="E10" s="30" t="e">
        <f>#REF!</f>
        <v>#REF!</v>
      </c>
      <c r="F10" s="60">
        <v>251</v>
      </c>
      <c r="G10" s="63">
        <v>190</v>
      </c>
      <c r="H10" s="28" t="e">
        <f>#REF!</f>
        <v>#REF!</v>
      </c>
      <c r="I10" s="53" t="e">
        <f>H10/24*42/7.4805*'Reference Data U values'!$A$9*62.4</f>
        <v>#REF!</v>
      </c>
      <c r="J10" s="44" t="e">
        <f>#REF!/#REF!</f>
        <v>#REF!</v>
      </c>
      <c r="K10" s="28" t="e">
        <f>-(1-J10)*I10*'Reference Data U values'!$A$11*(D10-E10)/10^6</f>
        <v>#REF!</v>
      </c>
      <c r="L10" s="59" t="e">
        <f>(#REF!-#REF!)/24*42/7.4805*'Reference Data U values'!B4*62.4+(#REF!-#REF!)/24*42/7.4805*'Reference Data U values'!D4*62.4</f>
        <v>#REF!</v>
      </c>
      <c r="M10" s="28" t="e">
        <f>(L10*'Reference Data U values'!#REF!/10^6)</f>
        <v>#REF!</v>
      </c>
      <c r="N10" s="28" t="e">
        <f>K10+M10</f>
        <v>#REF!</v>
      </c>
      <c r="O10" s="28" t="e">
        <f>((F10-G10)-(F10-E10))/LN((F10-G10)/(F10-E10))</f>
        <v>#REF!</v>
      </c>
      <c r="P10" s="28" t="e">
        <f>((F10-D10)-(F10-G10))/LN((F10-D10)/(F10-G10))</f>
        <v>#REF!</v>
      </c>
      <c r="Q10" s="28" t="e">
        <f>O10*(M10/N10)+P10*(K10/N10)</f>
        <v>#REF!</v>
      </c>
      <c r="R10" s="28" t="e">
        <f>N10/'Reference Data U values'!#REF!/Q10*10^6</f>
        <v>#REF!</v>
      </c>
      <c r="S10" s="28" t="e">
        <f>(I10/'Reference Data U values'!#REF!)^0.6*'Reference Data U values'!#REF!</f>
        <v>#REF!</v>
      </c>
      <c r="T10" s="44" t="e">
        <f>R10/S10</f>
        <v>#REF!</v>
      </c>
      <c r="U10" s="55" t="e">
        <f>R10/U11</f>
        <v>#REF!</v>
      </c>
    </row>
    <row r="11" spans="1:22" x14ac:dyDescent="0.4">
      <c r="A11" t="s">
        <v>195</v>
      </c>
      <c r="B11" s="30">
        <v>272</v>
      </c>
      <c r="C11" s="30">
        <v>251</v>
      </c>
      <c r="D11" s="29">
        <v>202.5</v>
      </c>
      <c r="E11" s="30">
        <v>212</v>
      </c>
      <c r="F11" s="60">
        <v>251</v>
      </c>
      <c r="G11" s="60">
        <v>203</v>
      </c>
      <c r="H11" s="28"/>
      <c r="I11" s="53">
        <v>369200</v>
      </c>
      <c r="J11" s="44">
        <f>(125953+121295+12333+6372)/I6</f>
        <v>0.72034940411700976</v>
      </c>
      <c r="K11" s="28">
        <f>-(1-J11)*I11*'Reference Data U values'!$A$11*(D11-E11)/10^6</f>
        <v>0.51984864500000005</v>
      </c>
      <c r="L11" s="59">
        <v>123600</v>
      </c>
      <c r="M11" s="28" t="e">
        <f>(L11*'Reference Data U values'!#REF!/10^6)</f>
        <v>#REF!</v>
      </c>
      <c r="N11" s="28" t="e">
        <f>K11+M11</f>
        <v>#REF!</v>
      </c>
      <c r="O11" s="28">
        <f>((F11-G11)-(F11-E11))/LN((F11-G11)/(F11-E11))</f>
        <v>43.344382263988592</v>
      </c>
      <c r="P11" s="28">
        <f>((F11-D11)-(F11-G11))/LN((F11-D11)/(F11-G11))</f>
        <v>48.249568217979309</v>
      </c>
      <c r="Q11" s="28" t="e">
        <f>O11*(M11/N11)+P11*(K11/N11)</f>
        <v>#REF!</v>
      </c>
      <c r="R11" s="28" t="e">
        <f>N11/'Reference Data U values'!#REF!/Q11*10^6</f>
        <v>#REF!</v>
      </c>
      <c r="S11" s="28" t="e">
        <f>(I11/'Reference Data U values'!#REF!)^0.6*'Reference Data U values'!#REF!</f>
        <v>#REF!</v>
      </c>
      <c r="T11" s="44" t="e">
        <f>R11/S11</f>
        <v>#REF!</v>
      </c>
      <c r="U11" s="28" t="e">
        <f>(I10/'Reference Data U values'!#REF!)^0.6*R11</f>
        <v>#REF!</v>
      </c>
    </row>
    <row r="12" spans="1:22" x14ac:dyDescent="0.4">
      <c r="B12" s="1" t="s">
        <v>80</v>
      </c>
      <c r="C12" s="62" t="s">
        <v>203</v>
      </c>
      <c r="M12" s="11" t="s">
        <v>215</v>
      </c>
      <c r="N12" t="e">
        <f>'Reference Data U values'!#REF!</f>
        <v>#REF!</v>
      </c>
    </row>
    <row r="13" spans="1:22" x14ac:dyDescent="0.4">
      <c r="B13" s="215" t="s">
        <v>63</v>
      </c>
      <c r="C13" s="215"/>
      <c r="D13" s="215" t="s">
        <v>193</v>
      </c>
      <c r="E13" s="215"/>
    </row>
    <row r="14" spans="1:22" ht="29.15" x14ac:dyDescent="0.4">
      <c r="B14" s="42" t="s">
        <v>153</v>
      </c>
      <c r="C14" s="42" t="s">
        <v>154</v>
      </c>
      <c r="D14" s="42" t="s">
        <v>155</v>
      </c>
      <c r="E14" s="42" t="s">
        <v>156</v>
      </c>
      <c r="F14" s="43" t="s">
        <v>157</v>
      </c>
      <c r="G14" s="42" t="s">
        <v>158</v>
      </c>
      <c r="H14" s="42" t="s">
        <v>188</v>
      </c>
      <c r="I14" s="42" t="s">
        <v>161</v>
      </c>
      <c r="J14" s="42" t="s">
        <v>184</v>
      </c>
      <c r="K14" s="42" t="s">
        <v>162</v>
      </c>
      <c r="L14" s="42" t="s">
        <v>189</v>
      </c>
      <c r="M14" s="42" t="s">
        <v>163</v>
      </c>
      <c r="N14" s="42" t="s">
        <v>170</v>
      </c>
      <c r="O14" s="42" t="s">
        <v>171</v>
      </c>
      <c r="P14" s="42" t="s">
        <v>172</v>
      </c>
      <c r="Q14" s="42" t="s">
        <v>166</v>
      </c>
      <c r="R14" s="42" t="s">
        <v>173</v>
      </c>
      <c r="S14" s="42" t="s">
        <v>180</v>
      </c>
      <c r="T14" s="42" t="s">
        <v>181</v>
      </c>
      <c r="U14" s="54" t="s">
        <v>194</v>
      </c>
    </row>
    <row r="15" spans="1:22" x14ac:dyDescent="0.4">
      <c r="A15" t="s">
        <v>196</v>
      </c>
      <c r="B15" s="30" t="e">
        <f>#REF!</f>
        <v>#REF!</v>
      </c>
      <c r="C15" s="30">
        <v>346</v>
      </c>
      <c r="D15" s="30" t="e">
        <f>#REF!</f>
        <v>#REF!</v>
      </c>
      <c r="E15" s="30" t="e">
        <f>#REF!</f>
        <v>#REF!</v>
      </c>
      <c r="F15" s="3">
        <v>373</v>
      </c>
      <c r="G15" s="3">
        <v>285</v>
      </c>
      <c r="H15" s="28" t="e">
        <f>#REF!</f>
        <v>#REF!</v>
      </c>
      <c r="I15" s="53" t="e">
        <f>H15/24*42/7.4805*'Reference Data U values'!$A$9*62.4</f>
        <v>#REF!</v>
      </c>
      <c r="J15" s="44" t="e">
        <f>(#REF!*'Reference Data U values'!B4+#REF!*'Reference Data U values'!D4)/('U Value Calculations - old'!H15*'Reference Data U values'!A9)</f>
        <v>#REF!</v>
      </c>
      <c r="K15" s="28" t="e">
        <f>-(1-J15)*I15*'Reference Data U values'!$A$11*(D15-E15)/10^6</f>
        <v>#REF!</v>
      </c>
      <c r="L15" s="64" t="e">
        <f>(#REF!-#REF!)/24*42/7.4805*'Reference Data U values'!B4*62.4+(#REF!-#REF!)/24*42/7.4805*'Reference Data U values'!D4*62.4</f>
        <v>#REF!</v>
      </c>
      <c r="M15" s="28" t="e">
        <f>(L15*'Reference Data U values'!$A$13/10^6)</f>
        <v>#REF!</v>
      </c>
      <c r="N15" s="28" t="e">
        <f>K15+M15</f>
        <v>#REF!</v>
      </c>
      <c r="O15" s="28" t="e">
        <f>((F15-G15)-(F15-E15))/LN((F15-G15)/(F15-E15))</f>
        <v>#REF!</v>
      </c>
      <c r="P15" s="28" t="e">
        <f>((F15-D15)-(F15-G15))/LN((F15-D15)/(F15-G15))</f>
        <v>#REF!</v>
      </c>
      <c r="Q15" s="28" t="e">
        <f>O15*(M15/N15)+P15*(K15/N15)</f>
        <v>#REF!</v>
      </c>
      <c r="R15" s="28" t="e">
        <f>N15/'Reference Data U values'!$A$17/Q15*10^6</f>
        <v>#REF!</v>
      </c>
      <c r="S15" s="28" t="e">
        <f>(I15/'Reference Data U values'!$A$25)^0.6*'Reference Data U values'!$A$19</f>
        <v>#REF!</v>
      </c>
      <c r="T15" s="44" t="e">
        <f>R15/S15</f>
        <v>#REF!</v>
      </c>
      <c r="U15" s="55" t="e">
        <f>R15/U16</f>
        <v>#REF!</v>
      </c>
    </row>
    <row r="16" spans="1:22" x14ac:dyDescent="0.4">
      <c r="A16" t="s">
        <v>195</v>
      </c>
      <c r="B16" s="30">
        <v>373</v>
      </c>
      <c r="C16" s="30">
        <v>373</v>
      </c>
      <c r="D16" s="30">
        <v>212</v>
      </c>
      <c r="E16" s="30">
        <v>350</v>
      </c>
      <c r="F16" s="3">
        <v>373</v>
      </c>
      <c r="G16" s="3">
        <v>285</v>
      </c>
      <c r="H16" s="28"/>
      <c r="I16" s="53">
        <v>245600</v>
      </c>
      <c r="J16" s="44">
        <f>(121295+12333+6372)/I16</f>
        <v>0.57003257328990231</v>
      </c>
      <c r="K16" s="28">
        <f>-(1-J16)*I16*'Reference Data U values'!$A$11*(D16-E16)/10^6</f>
        <v>7.7235839999999989</v>
      </c>
      <c r="L16" s="84">
        <v>121295</v>
      </c>
      <c r="M16" s="28">
        <f>(L16*'Reference Data U values'!$A$13/10^6)</f>
        <v>22.439575000000001</v>
      </c>
      <c r="N16" s="28">
        <f>K16+M16</f>
        <v>30.163159</v>
      </c>
      <c r="O16" s="28">
        <f>((F16-G16)-(F16-E16))/LN((F16-G16)/(F16-E16))</f>
        <v>48.44085295122165</v>
      </c>
      <c r="P16" s="28">
        <f>((F16-D16)-(F16-G16))/LN((F16-D16)/(F16-G16))</f>
        <v>120.84741174860362</v>
      </c>
      <c r="Q16" s="28">
        <f>O16*(M16/N16)+P16*(K16/N16)</f>
        <v>66.981289615117447</v>
      </c>
      <c r="R16" s="28">
        <f>N16/'Reference Data U values'!$A$17/Q16*10^6</f>
        <v>65.635061902836966</v>
      </c>
      <c r="S16" s="28">
        <f>(I16/'Reference Data U values'!$A$25)^0.6*'Reference Data U values'!$A$19</f>
        <v>94.55</v>
      </c>
      <c r="T16" s="44">
        <f>R16/S16</f>
        <v>0.69418362668256972</v>
      </c>
      <c r="U16" s="28" t="e">
        <f>(I15/'Reference Data U values'!$A$25)^0.6*R16</f>
        <v>#REF!</v>
      </c>
    </row>
    <row r="17" spans="1:21" x14ac:dyDescent="0.4">
      <c r="L17" s="57"/>
      <c r="M17" s="11" t="s">
        <v>215</v>
      </c>
      <c r="N17">
        <f>'Reference Data U values'!A21</f>
        <v>37.299999999999997</v>
      </c>
    </row>
    <row r="18" spans="1:21" x14ac:dyDescent="0.4">
      <c r="B18" s="1" t="s">
        <v>81</v>
      </c>
      <c r="C18" s="62" t="s">
        <v>203</v>
      </c>
      <c r="L18" s="57"/>
    </row>
    <row r="19" spans="1:21" x14ac:dyDescent="0.4">
      <c r="B19" s="215" t="s">
        <v>193</v>
      </c>
      <c r="C19" s="215"/>
      <c r="D19" s="215" t="s">
        <v>63</v>
      </c>
      <c r="E19" s="215"/>
      <c r="L19" s="57"/>
    </row>
    <row r="20" spans="1:21" ht="29.15" x14ac:dyDescent="0.4">
      <c r="B20" s="42" t="s">
        <v>153</v>
      </c>
      <c r="C20" s="42" t="s">
        <v>154</v>
      </c>
      <c r="D20" s="42" t="s">
        <v>155</v>
      </c>
      <c r="E20" s="42" t="s">
        <v>156</v>
      </c>
      <c r="F20" s="43" t="s">
        <v>157</v>
      </c>
      <c r="G20" s="42" t="s">
        <v>158</v>
      </c>
      <c r="H20" s="42" t="s">
        <v>188</v>
      </c>
      <c r="I20" s="42" t="s">
        <v>161</v>
      </c>
      <c r="J20" s="42" t="s">
        <v>197</v>
      </c>
      <c r="K20" s="42" t="s">
        <v>162</v>
      </c>
      <c r="L20" s="58" t="s">
        <v>189</v>
      </c>
      <c r="M20" s="42" t="s">
        <v>163</v>
      </c>
      <c r="N20" s="42" t="s">
        <v>190</v>
      </c>
      <c r="O20" s="42" t="s">
        <v>171</v>
      </c>
      <c r="P20" s="42" t="s">
        <v>172</v>
      </c>
      <c r="Q20" s="42" t="s">
        <v>192</v>
      </c>
      <c r="R20" s="42" t="s">
        <v>191</v>
      </c>
      <c r="S20" s="42" t="s">
        <v>180</v>
      </c>
      <c r="T20" s="42" t="s">
        <v>181</v>
      </c>
      <c r="U20" s="54" t="s">
        <v>194</v>
      </c>
    </row>
    <row r="21" spans="1:21" x14ac:dyDescent="0.4">
      <c r="A21" t="s">
        <v>196</v>
      </c>
      <c r="B21" s="30" t="e">
        <f>#REF!</f>
        <v>#REF!</v>
      </c>
      <c r="C21" s="30" t="e">
        <f>#REF!</f>
        <v>#REF!</v>
      </c>
      <c r="D21" s="30" t="e">
        <f>#REF!</f>
        <v>#REF!</v>
      </c>
      <c r="E21" s="30" t="e">
        <f>#REF!</f>
        <v>#REF!</v>
      </c>
      <c r="F21" s="3">
        <v>373</v>
      </c>
      <c r="G21" s="3">
        <v>310</v>
      </c>
      <c r="H21" s="28" t="e">
        <f>#REF!</f>
        <v>#REF!</v>
      </c>
      <c r="I21" s="53" t="e">
        <f>H21/24*42/7.4805*'Reference Data U values'!$A$9*62.4</f>
        <v>#REF!</v>
      </c>
      <c r="J21" s="44" t="e">
        <f>(#REF!*'Reference Data U values'!$B$4+#REF!*'Reference Data U values'!$D$4)/('U Value Calculations - old'!H15*'Reference Data U values'!A9)</f>
        <v>#REF!</v>
      </c>
      <c r="K21" s="28" t="e">
        <f>(1-J21)*I21*'Reference Data U values'!$A$11*(C21-B21)/10^6</f>
        <v>#REF!</v>
      </c>
      <c r="L21" s="30" t="e">
        <f>I21*J21*L23</f>
        <v>#REF!</v>
      </c>
      <c r="M21" s="28" t="e">
        <f>(L21*'Reference Data U values'!$A$13/10^6)</f>
        <v>#REF!</v>
      </c>
      <c r="N21" s="28" t="e">
        <f>K21+M21</f>
        <v>#REF!</v>
      </c>
      <c r="O21" s="28" t="e">
        <f>((F21-G21)-(F21-B21))/LN((F21-G21)/(F21-B21))</f>
        <v>#REF!</v>
      </c>
      <c r="P21" s="28" t="e">
        <f>((F21-C21)-(F21-G21))/LN((F21-C21)/(F21-G21))</f>
        <v>#REF!</v>
      </c>
      <c r="Q21" s="28" t="e">
        <f>O21*(M21/N21)+P21*(K21/N21)</f>
        <v>#REF!</v>
      </c>
      <c r="R21" s="28" t="e">
        <f>N21/'Reference Data U values'!#REF!/Q21*10^6</f>
        <v>#REF!</v>
      </c>
      <c r="S21" s="28" t="e">
        <f>(I21/'Reference Data U values'!#REF!)^0.6*'Reference Data U values'!#REF!</f>
        <v>#REF!</v>
      </c>
      <c r="T21" s="44" t="e">
        <f>R21/S21</f>
        <v>#REF!</v>
      </c>
      <c r="U21" s="55" t="e">
        <f>R21/U22</f>
        <v>#REF!</v>
      </c>
    </row>
    <row r="22" spans="1:21" x14ac:dyDescent="0.4">
      <c r="A22" t="s">
        <v>195</v>
      </c>
      <c r="B22" s="30">
        <v>331</v>
      </c>
      <c r="C22" s="30">
        <v>350</v>
      </c>
      <c r="D22" s="30">
        <v>375</v>
      </c>
      <c r="E22" s="30">
        <v>375</v>
      </c>
      <c r="F22" s="3">
        <v>373</v>
      </c>
      <c r="G22" s="3">
        <v>333</v>
      </c>
      <c r="H22" s="28"/>
      <c r="I22" s="53">
        <v>124305</v>
      </c>
      <c r="J22" s="44">
        <f>(12333+6372)/I22</f>
        <v>0.15047665017497286</v>
      </c>
      <c r="K22" s="28">
        <f>(1-J22)*I22*'Reference Data U values'!$A$11*(C22-B22)/10^6</f>
        <v>1.0633919999999999</v>
      </c>
      <c r="L22" s="59">
        <v>2305</v>
      </c>
      <c r="M22" s="28">
        <f>(L22*'Reference Data U values'!$A$13/10^6)</f>
        <v>0.426425</v>
      </c>
      <c r="N22" s="28">
        <f>K22+M22</f>
        <v>1.4898169999999999</v>
      </c>
      <c r="O22" s="28">
        <f>((F22-G22)-(F22-B22))/LN((F22-G22)/(F22-B22))</f>
        <v>40.991868628575702</v>
      </c>
      <c r="P22" s="28">
        <f>((F22-C22)-(F22-G22))/LN((F22-C22)/(F22-G22))</f>
        <v>30.720009908040502</v>
      </c>
      <c r="Q22" s="28">
        <f>O22*(M22/N22)+P22*(K22/N22)</f>
        <v>33.660087350373502</v>
      </c>
      <c r="R22" s="28" t="e">
        <f>N22/'Reference Data U values'!#REF!/Q22*10^6</f>
        <v>#REF!</v>
      </c>
      <c r="S22" s="28" t="e">
        <f>(I22/'Reference Data U values'!#REF!)^0.6*'Reference Data U values'!#REF!</f>
        <v>#REF!</v>
      </c>
      <c r="T22" s="44" t="e">
        <f>R22/S22</f>
        <v>#REF!</v>
      </c>
      <c r="U22" s="28" t="e">
        <f>(I21/'Reference Data U values'!#REF!)^0.6*R22</f>
        <v>#REF!</v>
      </c>
    </row>
    <row r="23" spans="1:21" x14ac:dyDescent="0.4">
      <c r="L23" s="31">
        <f>L22/(I22*J22)</f>
        <v>0.12322908313285218</v>
      </c>
      <c r="M23" s="11" t="s">
        <v>215</v>
      </c>
      <c r="N23" t="e">
        <f>'Reference Data U values'!#REF!</f>
        <v>#REF!</v>
      </c>
    </row>
    <row r="24" spans="1:21" x14ac:dyDescent="0.4">
      <c r="B24" s="1" t="s">
        <v>151</v>
      </c>
      <c r="C24" s="62" t="s">
        <v>204</v>
      </c>
    </row>
    <row r="25" spans="1:21" x14ac:dyDescent="0.4">
      <c r="B25" s="215" t="s">
        <v>216</v>
      </c>
      <c r="C25" s="215"/>
      <c r="D25" s="215" t="s">
        <v>198</v>
      </c>
      <c r="E25" s="215"/>
    </row>
    <row r="26" spans="1:21" ht="29.15" x14ac:dyDescent="0.4">
      <c r="B26" s="42" t="s">
        <v>153</v>
      </c>
      <c r="C26" s="42" t="s">
        <v>154</v>
      </c>
      <c r="D26" s="42" t="s">
        <v>155</v>
      </c>
      <c r="E26" s="42" t="s">
        <v>156</v>
      </c>
      <c r="F26" s="43" t="s">
        <v>157</v>
      </c>
      <c r="G26" s="42" t="s">
        <v>158</v>
      </c>
      <c r="H26" s="42" t="s">
        <v>188</v>
      </c>
      <c r="I26" s="42" t="s">
        <v>161</v>
      </c>
      <c r="J26" s="42" t="s">
        <v>200</v>
      </c>
      <c r="K26" s="42" t="s">
        <v>162</v>
      </c>
      <c r="L26" s="42" t="s">
        <v>189</v>
      </c>
      <c r="M26" s="42" t="s">
        <v>201</v>
      </c>
      <c r="N26" s="42" t="s">
        <v>190</v>
      </c>
      <c r="O26" s="42" t="s">
        <v>202</v>
      </c>
      <c r="P26" s="42" t="s">
        <v>172</v>
      </c>
      <c r="Q26" s="42" t="s">
        <v>166</v>
      </c>
      <c r="R26" s="42" t="s">
        <v>191</v>
      </c>
      <c r="S26" s="42" t="s">
        <v>180</v>
      </c>
      <c r="T26" s="42" t="s">
        <v>181</v>
      </c>
      <c r="U26" s="54" t="s">
        <v>194</v>
      </c>
    </row>
    <row r="27" spans="1:21" x14ac:dyDescent="0.4">
      <c r="A27" t="s">
        <v>196</v>
      </c>
      <c r="B27" s="30" t="e">
        <f>#REF!</f>
        <v>#REF!</v>
      </c>
      <c r="C27" s="30" t="e">
        <f>#REF!</f>
        <v>#REF!</v>
      </c>
      <c r="D27" s="30" t="e">
        <f>#REF!</f>
        <v>#REF!</v>
      </c>
      <c r="E27" s="30" t="e">
        <f>#REF!</f>
        <v>#REF!</v>
      </c>
      <c r="F27" s="60" t="s">
        <v>199</v>
      </c>
      <c r="G27" s="60" t="s">
        <v>199</v>
      </c>
      <c r="H27" s="28" t="e">
        <f>#REF!</f>
        <v>#REF!</v>
      </c>
      <c r="I27" s="53" t="e">
        <f>H27/24*42/7.4805*'Reference Data U values'!#REF!*62.4</f>
        <v>#REF!</v>
      </c>
      <c r="J27" s="44" t="e">
        <f>(#REF!*'Reference Data U values'!$B$4+#REF!*'Reference Data U values'!$D$4)/('U Value Calculations - old'!H27*'Reference Data U values'!#REF!)</f>
        <v>#REF!</v>
      </c>
      <c r="K27" s="28" t="e">
        <f>(1-J27)*I27*'Reference Data U values'!#REF!*(C27-B27)/10^6</f>
        <v>#REF!</v>
      </c>
      <c r="L27" s="61">
        <v>0</v>
      </c>
      <c r="M27" s="28" t="e">
        <f>(J27)*I27*'Reference Data U values'!#REF!*(C27-B27)/10^6</f>
        <v>#REF!</v>
      </c>
      <c r="N27" s="28" t="e">
        <f>K27+M27</f>
        <v>#REF!</v>
      </c>
      <c r="O27" s="28" t="e">
        <f>((D27-C27)-(E27-B27))/LN((D27-C27)/(E27-B27))</f>
        <v>#REF!</v>
      </c>
      <c r="P27" s="28"/>
      <c r="Q27" s="28"/>
      <c r="R27" s="28" t="e">
        <f>N27*10^6/'Reference Data U values'!#REF!/O27</f>
        <v>#REF!</v>
      </c>
      <c r="S27" s="28" t="e">
        <f>(I27/'Reference Data U values'!#REF!)^0.6*'Reference Data U values'!#REF!</f>
        <v>#REF!</v>
      </c>
      <c r="T27" s="44" t="e">
        <f>R27/S27</f>
        <v>#REF!</v>
      </c>
      <c r="U27" s="55" t="e">
        <f>R27/U28</f>
        <v>#REF!</v>
      </c>
    </row>
    <row r="28" spans="1:21" x14ac:dyDescent="0.4">
      <c r="A28" t="s">
        <v>195</v>
      </c>
      <c r="B28" s="30">
        <v>130</v>
      </c>
      <c r="C28" s="30">
        <v>173</v>
      </c>
      <c r="D28" s="30">
        <v>201</v>
      </c>
      <c r="E28" s="30">
        <v>199</v>
      </c>
      <c r="F28" s="60" t="s">
        <v>199</v>
      </c>
      <c r="G28" s="60" t="s">
        <v>199</v>
      </c>
      <c r="H28" s="28"/>
      <c r="I28" s="53">
        <v>144654</v>
      </c>
      <c r="J28" s="44">
        <f>(56228+64475+2065+1055)/I28</f>
        <v>0.85599430364870654</v>
      </c>
      <c r="K28" s="28" t="e">
        <f>(1-J28)*I28*'Reference Data U values'!#REF!*(C28-B28)/10^6</f>
        <v>#REF!</v>
      </c>
      <c r="L28" s="61">
        <v>0</v>
      </c>
      <c r="M28" s="28" t="e">
        <f>(J28)*I28*'Reference Data U values'!#REF!*(C28-B28)/10^6</f>
        <v>#REF!</v>
      </c>
      <c r="N28" s="28" t="e">
        <f>K28+M28</f>
        <v>#REF!</v>
      </c>
      <c r="O28" s="28">
        <f>((D28-C28)-(E28-B28))/LN((D28-C28)/(E28-B28))</f>
        <v>45.459484792771818</v>
      </c>
      <c r="P28" s="28"/>
      <c r="Q28" s="28"/>
      <c r="R28" s="28" t="e">
        <f>N28*10^6/'Reference Data U values'!#REF!/O28</f>
        <v>#REF!</v>
      </c>
      <c r="S28" s="28" t="e">
        <f>(I28/'Reference Data U values'!#REF!)^0.6*'Reference Data U values'!#REF!</f>
        <v>#REF!</v>
      </c>
      <c r="T28" s="44" t="e">
        <f>R28/S28</f>
        <v>#REF!</v>
      </c>
      <c r="U28" s="28" t="e">
        <f>(I27/'Reference Data U values'!#REF!)^0.6*R28</f>
        <v>#REF!</v>
      </c>
    </row>
    <row r="29" spans="1:21" x14ac:dyDescent="0.4">
      <c r="B29" s="65" t="s">
        <v>35</v>
      </c>
      <c r="M29" s="11" t="s">
        <v>215</v>
      </c>
      <c r="N29" t="e">
        <f>'Reference Data U values'!#REF!</f>
        <v>#REF!</v>
      </c>
    </row>
    <row r="30" spans="1:21" x14ac:dyDescent="0.4">
      <c r="B30" s="215" t="s">
        <v>209</v>
      </c>
      <c r="C30" s="215"/>
      <c r="D30" s="215" t="s">
        <v>193</v>
      </c>
      <c r="E30" s="215"/>
    </row>
    <row r="31" spans="1:21" ht="29.15" x14ac:dyDescent="0.4">
      <c r="B31" s="42" t="s">
        <v>153</v>
      </c>
      <c r="C31" s="42" t="s">
        <v>154</v>
      </c>
      <c r="D31" s="42" t="s">
        <v>155</v>
      </c>
      <c r="E31" s="42" t="s">
        <v>156</v>
      </c>
      <c r="F31" s="43" t="s">
        <v>210</v>
      </c>
      <c r="G31" s="42" t="s">
        <v>158</v>
      </c>
      <c r="H31" s="42" t="s">
        <v>188</v>
      </c>
      <c r="I31" s="42" t="s">
        <v>161</v>
      </c>
      <c r="J31" s="42" t="s">
        <v>211</v>
      </c>
      <c r="K31" s="42" t="s">
        <v>162</v>
      </c>
      <c r="L31" s="42" t="s">
        <v>189</v>
      </c>
      <c r="M31" s="42" t="s">
        <v>163</v>
      </c>
      <c r="N31" s="42" t="s">
        <v>170</v>
      </c>
      <c r="O31" s="42" t="s">
        <v>171</v>
      </c>
      <c r="P31" s="42" t="s">
        <v>172</v>
      </c>
      <c r="Q31" s="42" t="s">
        <v>166</v>
      </c>
      <c r="R31" s="42" t="s">
        <v>173</v>
      </c>
      <c r="S31" s="42" t="s">
        <v>180</v>
      </c>
      <c r="T31" s="42" t="s">
        <v>181</v>
      </c>
      <c r="U31" s="54" t="s">
        <v>194</v>
      </c>
    </row>
    <row r="32" spans="1:21" x14ac:dyDescent="0.4">
      <c r="A32" t="s">
        <v>196</v>
      </c>
      <c r="B32" s="64" t="e">
        <f>#REF!</f>
        <v>#REF!</v>
      </c>
      <c r="C32" s="64" t="e">
        <f>#REF!</f>
        <v>#REF!</v>
      </c>
      <c r="D32" s="64" t="e">
        <f>#REF!</f>
        <v>#REF!</v>
      </c>
      <c r="E32" s="64" t="e">
        <f>#REF!</f>
        <v>#REF!</v>
      </c>
      <c r="F32" s="68">
        <v>251</v>
      </c>
      <c r="G32" s="69">
        <v>190</v>
      </c>
      <c r="H32" s="70" t="e">
        <f>#REF!</f>
        <v>#REF!</v>
      </c>
      <c r="I32" s="71" t="e">
        <f>H32/24*42/7.4805*'Reference Data U values'!$A$9*62.4</f>
        <v>#REF!</v>
      </c>
      <c r="J32" s="72" t="e">
        <f>#REF!/#REF!</f>
        <v>#REF!</v>
      </c>
      <c r="K32" s="70" t="e">
        <f>-(1-J32)*I32*'Reference Data U values'!$A$11*(D32-E32)/10^6</f>
        <v>#REF!</v>
      </c>
      <c r="L32" s="73" t="e">
        <f>(#REF!-#REF!)/24*42/7.4805*'Reference Data U values'!B26*62.4+(#REF!-#REF!)/24*42/7.4805*'Reference Data U values'!D26*62.4</f>
        <v>#REF!</v>
      </c>
      <c r="M32" s="70" t="e">
        <f>(L32*'Reference Data U values'!#REF!/10^6)</f>
        <v>#REF!</v>
      </c>
      <c r="N32" s="70" t="e">
        <f>K32+M32</f>
        <v>#REF!</v>
      </c>
      <c r="O32" s="70" t="e">
        <f>((F32-G32)-(F32-E32))/LN((F32-G32)/(F32-E32))</f>
        <v>#REF!</v>
      </c>
      <c r="P32" s="70" t="e">
        <f>((F32-D32)-(F32-G32))/LN((F32-D32)/(F32-G32))</f>
        <v>#REF!</v>
      </c>
      <c r="Q32" s="70" t="e">
        <f>O32*(M32/N32)+P32*(K32/N32)</f>
        <v>#REF!</v>
      </c>
      <c r="R32" s="70" t="e">
        <f>N32/'Reference Data U values'!#REF!/Q32*10^6</f>
        <v>#REF!</v>
      </c>
      <c r="S32" s="70" t="e">
        <f>(I32/'Reference Data U values'!#REF!)^0.6*'Reference Data U values'!#REF!</f>
        <v>#REF!</v>
      </c>
      <c r="T32" s="72" t="e">
        <f>R32/S32</f>
        <v>#REF!</v>
      </c>
      <c r="U32" s="74" t="e">
        <f>R32/U33</f>
        <v>#REF!</v>
      </c>
    </row>
    <row r="33" spans="1:21" x14ac:dyDescent="0.4">
      <c r="A33" t="s">
        <v>195</v>
      </c>
      <c r="B33" s="30">
        <v>274</v>
      </c>
      <c r="C33" s="30">
        <v>252</v>
      </c>
      <c r="D33" s="30">
        <v>173</v>
      </c>
      <c r="E33" s="30">
        <v>205</v>
      </c>
      <c r="F33" s="60">
        <v>252</v>
      </c>
      <c r="G33" s="60">
        <v>203</v>
      </c>
      <c r="H33" s="28"/>
      <c r="I33" s="53">
        <f>I28</f>
        <v>144654</v>
      </c>
      <c r="J33" s="44">
        <f>(56228+64475+2065+1055)/I33</f>
        <v>0.85599430364870654</v>
      </c>
      <c r="K33" s="28">
        <f>-(1-J33)*I33*'Reference Data U values'!$A$11*(D33-E33)/10^6</f>
        <v>0.35329376000000007</v>
      </c>
      <c r="L33" s="59">
        <v>55459</v>
      </c>
      <c r="M33" s="28" t="e">
        <f>(L33*'Reference Data U values'!#REF!/10^6)</f>
        <v>#REF!</v>
      </c>
      <c r="N33" s="28" t="e">
        <f>K33+M33</f>
        <v>#REF!</v>
      </c>
      <c r="O33" s="28">
        <f>((F33-G33)-(F33-E33))/LN((F33-G33)/(F33-E33))</f>
        <v>47.993054751617564</v>
      </c>
      <c r="P33" s="28">
        <f>((F33-D33)-(F33-G33))/LN((F33-D33)/(F33-G33))</f>
        <v>62.810446605043808</v>
      </c>
      <c r="Q33" s="28" t="e">
        <f>O33*(M33/N33)+P33*(K33/N33)</f>
        <v>#REF!</v>
      </c>
      <c r="R33" s="28" t="e">
        <f>N33/'Reference Data U values'!#REF!/Q33*10^6</f>
        <v>#REF!</v>
      </c>
      <c r="S33" s="28" t="e">
        <f>(I33/'Reference Data U values'!#REF!)^0.6*'Reference Data U values'!#REF!</f>
        <v>#REF!</v>
      </c>
      <c r="T33" s="44" t="e">
        <f>R33/S33</f>
        <v>#REF!</v>
      </c>
      <c r="U33" s="28" t="e">
        <f>(I32/'Reference Data U values'!#REF!)^0.6*R33</f>
        <v>#REF!</v>
      </c>
    </row>
    <row r="34" spans="1:21" x14ac:dyDescent="0.4">
      <c r="B34" s="1" t="s">
        <v>79</v>
      </c>
      <c r="C34" s="62"/>
      <c r="F34" s="66"/>
      <c r="M34" s="11" t="s">
        <v>215</v>
      </c>
      <c r="N34" t="e">
        <f>'Reference Data U values'!#REF!</f>
        <v>#REF!</v>
      </c>
    </row>
    <row r="35" spans="1:21" x14ac:dyDescent="0.4">
      <c r="B35" s="215" t="s">
        <v>63</v>
      </c>
      <c r="C35" s="215"/>
      <c r="D35" s="215" t="s">
        <v>193</v>
      </c>
      <c r="E35" s="215"/>
    </row>
    <row r="36" spans="1:21" ht="29.15" x14ac:dyDescent="0.4">
      <c r="B36" s="42" t="s">
        <v>153</v>
      </c>
      <c r="C36" s="42" t="s">
        <v>154</v>
      </c>
      <c r="D36" s="42" t="s">
        <v>155</v>
      </c>
      <c r="E36" s="42" t="s">
        <v>156</v>
      </c>
      <c r="F36" s="43" t="s">
        <v>157</v>
      </c>
      <c r="G36" s="42" t="s">
        <v>158</v>
      </c>
      <c r="H36" s="42" t="s">
        <v>214</v>
      </c>
      <c r="I36" s="42" t="s">
        <v>161</v>
      </c>
      <c r="J36" s="42" t="s">
        <v>212</v>
      </c>
      <c r="K36" s="42" t="s">
        <v>162</v>
      </c>
      <c r="L36" s="42" t="s">
        <v>189</v>
      </c>
      <c r="M36" s="42" t="s">
        <v>163</v>
      </c>
      <c r="N36" s="42" t="s">
        <v>170</v>
      </c>
      <c r="O36" s="42" t="s">
        <v>171</v>
      </c>
      <c r="P36" s="42" t="s">
        <v>172</v>
      </c>
      <c r="Q36" s="42" t="s">
        <v>166</v>
      </c>
      <c r="R36" s="42" t="s">
        <v>173</v>
      </c>
      <c r="S36" s="42" t="s">
        <v>180</v>
      </c>
      <c r="T36" s="42" t="s">
        <v>181</v>
      </c>
      <c r="U36" s="54" t="s">
        <v>194</v>
      </c>
    </row>
    <row r="37" spans="1:21" x14ac:dyDescent="0.4">
      <c r="B37" s="64" t="e">
        <f>#REF!</f>
        <v>#REF!</v>
      </c>
      <c r="C37" s="64" t="e">
        <f>#REF!</f>
        <v>#REF!</v>
      </c>
      <c r="D37" s="30" t="e">
        <f>#REF!-1</f>
        <v>#REF!</v>
      </c>
      <c r="E37" s="30" t="e">
        <f>#REF!</f>
        <v>#REF!</v>
      </c>
      <c r="F37" s="3">
        <v>373</v>
      </c>
      <c r="G37" s="3">
        <v>282</v>
      </c>
      <c r="H37" s="28" t="e">
        <f>#REF!</f>
        <v>#REF!</v>
      </c>
      <c r="I37" s="53" t="e">
        <f>H37/24*42/7.4805*'Reference Data U values'!#REF!*62.4</f>
        <v>#REF!</v>
      </c>
      <c r="J37" s="44" t="e">
        <f>(#REF!*'Reference Data U values'!$B$4+#REF!*'Reference Data U values'!D4)/(H37*'Reference Data U values'!#REF!)</f>
        <v>#REF!</v>
      </c>
      <c r="K37" s="28" t="e">
        <f>-(1-J37)*I37*'Reference Data U values'!$A$11*(D37-E37)/10^6</f>
        <v>#REF!</v>
      </c>
      <c r="L37" s="56" t="e">
        <f>(#REF!-#REF!)/24*42/7.4805*'Reference Data U values'!B4*62.4+(#REF!-#REF!)/24*42/7.4805*'Reference Data U values'!D4*62.4</f>
        <v>#REF!</v>
      </c>
      <c r="M37" s="28" t="e">
        <f>(L37*'Reference Data U values'!$A$13/10^6)</f>
        <v>#REF!</v>
      </c>
      <c r="N37" s="28" t="e">
        <f>K37+M37</f>
        <v>#REF!</v>
      </c>
      <c r="O37" s="28" t="e">
        <f>((F37-G37)-(F37-E37))/LN((F37-G37)/(F37-E37))</f>
        <v>#REF!</v>
      </c>
      <c r="P37" s="28" t="e">
        <f>((F37-D37)-(F37-G37))/LN((F37-D37)/(F37-G37))</f>
        <v>#REF!</v>
      </c>
      <c r="Q37" s="28" t="e">
        <f>O37*(M37/N37)+P37*(K37/N37)</f>
        <v>#REF!</v>
      </c>
      <c r="R37" s="28" t="e">
        <f>N37/'Reference Data U values'!#REF!/Q37*10^6</f>
        <v>#REF!</v>
      </c>
      <c r="S37" s="28" t="e">
        <f>(I37/'Reference Data U values'!#REF!)^0.6*'Reference Data U values'!#REF!</f>
        <v>#REF!</v>
      </c>
      <c r="T37" s="44" t="e">
        <f>R37/S37</f>
        <v>#REF!</v>
      </c>
      <c r="U37" s="55" t="e">
        <f>R37/U38</f>
        <v>#REF!</v>
      </c>
    </row>
    <row r="38" spans="1:21" x14ac:dyDescent="0.4">
      <c r="B38" s="30">
        <v>373</v>
      </c>
      <c r="C38" s="30">
        <v>373</v>
      </c>
      <c r="D38" s="30">
        <v>205</v>
      </c>
      <c r="E38" s="30">
        <v>350</v>
      </c>
      <c r="F38" s="3">
        <v>373</v>
      </c>
      <c r="G38" s="3">
        <v>282</v>
      </c>
      <c r="H38" s="28"/>
      <c r="I38" s="53">
        <v>89195</v>
      </c>
      <c r="J38" s="44">
        <f>(64475+2065+1055)/I38</f>
        <v>0.75783395930265152</v>
      </c>
      <c r="K38" s="28">
        <f>-(1-J38)*I38*'Reference Data U values'!$A$11*(D38-E38)/10^6</f>
        <v>1.6599599999999997</v>
      </c>
      <c r="L38" s="59">
        <v>64475</v>
      </c>
      <c r="M38" s="28">
        <f>(L38*'Reference Data U values'!$A$13/10^6)</f>
        <v>11.927875</v>
      </c>
      <c r="N38" s="28">
        <f>K38+M38</f>
        <v>13.587835</v>
      </c>
      <c r="O38" s="28">
        <f>((F38-G38)-(F38-E38))/LN((F38-G38)/(F38-E38))</f>
        <v>49.441410558603863</v>
      </c>
      <c r="P38" s="28">
        <f>((F38-D38)-(F38-G38))/LN((F38-D38)/(F38-G38))</f>
        <v>125.59034129614962</v>
      </c>
      <c r="Q38" s="28">
        <f>O38*(M38/N38)+P38*(K38/N38)</f>
        <v>58.744156659590253</v>
      </c>
      <c r="R38" s="28" t="e">
        <f>N38/'Reference Data U values'!#REF!/Q38*10^6</f>
        <v>#REF!</v>
      </c>
      <c r="S38" s="28" t="e">
        <f>(I38/'Reference Data U values'!#REF!)^0.6*'Reference Data U values'!#REF!</f>
        <v>#REF!</v>
      </c>
      <c r="T38" s="44" t="e">
        <f>R38/S38</f>
        <v>#REF!</v>
      </c>
      <c r="U38" s="28" t="e">
        <f>(I37/'Reference Data U values'!#REF!)^0.6*R38</f>
        <v>#REF!</v>
      </c>
    </row>
    <row r="39" spans="1:21" x14ac:dyDescent="0.4">
      <c r="K39" s="35"/>
      <c r="L39" s="57"/>
      <c r="M39" s="11" t="s">
        <v>215</v>
      </c>
      <c r="N39" t="e">
        <f>'Reference Data U values'!#REF!</f>
        <v>#REF!</v>
      </c>
    </row>
    <row r="40" spans="1:21" x14ac:dyDescent="0.4">
      <c r="B40" s="1" t="s">
        <v>78</v>
      </c>
      <c r="C40" s="62" t="s">
        <v>203</v>
      </c>
      <c r="L40" s="57"/>
    </row>
    <row r="41" spans="1:21" x14ac:dyDescent="0.4">
      <c r="B41" s="215" t="s">
        <v>193</v>
      </c>
      <c r="C41" s="215"/>
      <c r="D41" s="215" t="s">
        <v>63</v>
      </c>
      <c r="E41" s="215"/>
      <c r="L41" s="57"/>
    </row>
    <row r="42" spans="1:21" ht="29.15" x14ac:dyDescent="0.4">
      <c r="B42" s="42" t="s">
        <v>153</v>
      </c>
      <c r="C42" s="42" t="s">
        <v>154</v>
      </c>
      <c r="D42" s="42" t="s">
        <v>155</v>
      </c>
      <c r="E42" s="42" t="s">
        <v>156</v>
      </c>
      <c r="F42" s="43" t="s">
        <v>157</v>
      </c>
      <c r="G42" s="42" t="s">
        <v>158</v>
      </c>
      <c r="H42" s="42" t="s">
        <v>214</v>
      </c>
      <c r="I42" s="42" t="s">
        <v>161</v>
      </c>
      <c r="J42" s="42" t="s">
        <v>213</v>
      </c>
      <c r="K42" s="42" t="s">
        <v>162</v>
      </c>
      <c r="L42" s="58" t="s">
        <v>189</v>
      </c>
      <c r="M42" s="42" t="s">
        <v>163</v>
      </c>
      <c r="N42" s="42" t="s">
        <v>190</v>
      </c>
      <c r="O42" s="42" t="s">
        <v>171</v>
      </c>
      <c r="P42" s="42" t="s">
        <v>172</v>
      </c>
      <c r="Q42" s="42" t="s">
        <v>192</v>
      </c>
      <c r="R42" s="42" t="s">
        <v>191</v>
      </c>
      <c r="S42" s="42" t="s">
        <v>180</v>
      </c>
      <c r="T42" s="42" t="s">
        <v>181</v>
      </c>
      <c r="U42" s="54" t="s">
        <v>194</v>
      </c>
    </row>
    <row r="43" spans="1:21" x14ac:dyDescent="0.4">
      <c r="B43" s="30" t="e">
        <f>#REF!</f>
        <v>#REF!</v>
      </c>
      <c r="C43" s="30" t="e">
        <f>#REF!</f>
        <v>#REF!</v>
      </c>
      <c r="D43" s="30" t="e">
        <f>#REF!</f>
        <v>#REF!</v>
      </c>
      <c r="E43" s="30" t="e">
        <f>#REF!</f>
        <v>#REF!</v>
      </c>
      <c r="F43" s="3">
        <v>373</v>
      </c>
      <c r="G43" s="3">
        <v>315</v>
      </c>
      <c r="H43" s="28" t="e">
        <f>#REF!</f>
        <v>#REF!</v>
      </c>
      <c r="I43" s="53" t="e">
        <f>H43/24*42/7.4805*'Reference Data U values'!$A$9*62.4</f>
        <v>#REF!</v>
      </c>
      <c r="J43" s="44" t="e">
        <f>(#REF!*'Reference Data U values'!$B$4+#REF!*'Reference Data U values'!$D$4)/('U Value Calculations - old'!H43*'Reference Data U values'!A9)</f>
        <v>#REF!</v>
      </c>
      <c r="K43" s="28" t="e">
        <f>(1-J43)*I43*'Reference Data U values'!$A$11*(C43-B43)/10^6</f>
        <v>#REF!</v>
      </c>
      <c r="L43" s="30" t="e">
        <f>I43*J43*L45</f>
        <v>#REF!</v>
      </c>
      <c r="M43" s="28" t="e">
        <f>(L43*'Reference Data U values'!$A$13/10^6)</f>
        <v>#REF!</v>
      </c>
      <c r="N43" s="28" t="e">
        <f>K43+M43</f>
        <v>#REF!</v>
      </c>
      <c r="O43" s="28" t="e">
        <f>((F43-G43)-(F43-B43))/LN((F43-G43)/(F43-B43))</f>
        <v>#REF!</v>
      </c>
      <c r="P43" s="28" t="e">
        <f>((F43-C43)-(F43-G43))/LN((F43-C43)/(F43-G43))</f>
        <v>#REF!</v>
      </c>
      <c r="Q43" s="28" t="e">
        <f>O43*(M43/N43)+P43*(K43/N43)</f>
        <v>#REF!</v>
      </c>
      <c r="R43" s="28" t="e">
        <f>N43/'Reference Data U values'!#REF!/Q43*10^6</f>
        <v>#REF!</v>
      </c>
      <c r="S43" s="28" t="e">
        <f>(I43/'Reference Data U values'!#REF!)^0.6*'Reference Data U values'!#REF!</f>
        <v>#REF!</v>
      </c>
      <c r="T43" s="44" t="e">
        <f>R43/S43</f>
        <v>#REF!</v>
      </c>
      <c r="U43" s="55" t="e">
        <f>R43/U44</f>
        <v>#REF!</v>
      </c>
    </row>
    <row r="44" spans="1:21" x14ac:dyDescent="0.4">
      <c r="B44" s="30">
        <v>328</v>
      </c>
      <c r="C44" s="30">
        <v>350</v>
      </c>
      <c r="D44" s="30">
        <v>375</v>
      </c>
      <c r="E44" s="30">
        <v>375</v>
      </c>
      <c r="F44" s="3">
        <v>373</v>
      </c>
      <c r="G44" s="3">
        <v>331</v>
      </c>
      <c r="H44" s="28"/>
      <c r="I44" s="53">
        <v>34562</v>
      </c>
      <c r="J44" s="67">
        <f>(2065+1055)/I44</f>
        <v>9.0272553671662523E-2</v>
      </c>
      <c r="K44" s="28">
        <f>(1-J44)*I44*'Reference Data U values'!$A$11*(C44-B44)/10^6</f>
        <v>0.36661372000000003</v>
      </c>
      <c r="L44" s="59">
        <v>775</v>
      </c>
      <c r="M44" s="28">
        <f>(L44*'Reference Data U values'!$A$13/10^6)</f>
        <v>0.143375</v>
      </c>
      <c r="N44" s="28">
        <f>K44+M44</f>
        <v>0.50998872000000006</v>
      </c>
      <c r="O44" s="28">
        <f>((F44-G44)-(F44-B44))/LN((F44-G44)/(F44-B44))</f>
        <v>43.482753150336521</v>
      </c>
      <c r="P44" s="28">
        <f>((F44-C44)-(F44-G44))/LN((F44-C44)/(F44-G44))</f>
        <v>31.552268534581561</v>
      </c>
      <c r="Q44" s="28">
        <f>O44*(M44/N44)+P44*(K44/N44)</f>
        <v>34.906329447505016</v>
      </c>
      <c r="R44" s="28" t="e">
        <f>N44/'Reference Data U values'!#REF!/Q44*10^6</f>
        <v>#REF!</v>
      </c>
      <c r="S44" s="28" t="e">
        <f>(I44/'Reference Data U values'!#REF!)^0.6*'Reference Data U values'!#REF!</f>
        <v>#REF!</v>
      </c>
      <c r="T44" s="44" t="e">
        <f>R44/S44</f>
        <v>#REF!</v>
      </c>
      <c r="U44" s="28" t="e">
        <f>(I43/'Reference Data U values'!#REF!)^0.6*R44</f>
        <v>#REF!</v>
      </c>
    </row>
    <row r="45" spans="1:21" x14ac:dyDescent="0.4">
      <c r="L45" s="31">
        <f>L44/(I44*J44)</f>
        <v>0.2483974358974359</v>
      </c>
      <c r="M45" s="11" t="s">
        <v>215</v>
      </c>
      <c r="N45" t="e">
        <f>'Reference Data U values'!#REF!</f>
        <v>#REF!</v>
      </c>
    </row>
    <row r="46" spans="1:21" x14ac:dyDescent="0.4">
      <c r="B46" s="1" t="s">
        <v>152</v>
      </c>
    </row>
    <row r="47" spans="1:21" x14ac:dyDescent="0.4">
      <c r="B47" s="215" t="s">
        <v>193</v>
      </c>
      <c r="C47" s="215"/>
      <c r="D47" s="215" t="s">
        <v>34</v>
      </c>
      <c r="E47" s="215"/>
    </row>
    <row r="48" spans="1:21" ht="29.15" x14ac:dyDescent="0.4">
      <c r="A48" t="s">
        <v>196</v>
      </c>
      <c r="B48" s="42" t="s">
        <v>153</v>
      </c>
      <c r="C48" s="42" t="s">
        <v>154</v>
      </c>
      <c r="D48" s="42" t="s">
        <v>155</v>
      </c>
      <c r="E48" s="42" t="s">
        <v>156</v>
      </c>
      <c r="F48" s="43" t="s">
        <v>157</v>
      </c>
      <c r="G48" s="42" t="s">
        <v>158</v>
      </c>
      <c r="H48" s="42" t="s">
        <v>188</v>
      </c>
      <c r="I48" s="42" t="s">
        <v>161</v>
      </c>
      <c r="J48" s="42" t="s">
        <v>207</v>
      </c>
      <c r="K48" s="42" t="s">
        <v>162</v>
      </c>
      <c r="L48" s="42" t="s">
        <v>189</v>
      </c>
      <c r="M48" s="42" t="s">
        <v>201</v>
      </c>
      <c r="N48" s="42" t="s">
        <v>206</v>
      </c>
      <c r="O48" s="42" t="s">
        <v>202</v>
      </c>
      <c r="P48" s="42" t="s">
        <v>172</v>
      </c>
      <c r="Q48" s="42" t="s">
        <v>166</v>
      </c>
      <c r="R48" s="42" t="s">
        <v>173</v>
      </c>
      <c r="S48" s="42" t="s">
        <v>180</v>
      </c>
      <c r="T48" s="42" t="s">
        <v>181</v>
      </c>
      <c r="U48" s="54" t="s">
        <v>194</v>
      </c>
    </row>
    <row r="49" spans="1:21" x14ac:dyDescent="0.4">
      <c r="A49" t="s">
        <v>208</v>
      </c>
      <c r="B49" s="30" t="e">
        <f>#REF!</f>
        <v>#REF!</v>
      </c>
      <c r="C49" s="30" t="e">
        <f>#REF!</f>
        <v>#REF!</v>
      </c>
      <c r="D49" s="30" t="e">
        <f>#REF!</f>
        <v>#REF!</v>
      </c>
      <c r="E49" s="30" t="e">
        <f>#REF!</f>
        <v>#REF!</v>
      </c>
      <c r="F49" s="60" t="s">
        <v>199</v>
      </c>
      <c r="G49" s="60" t="s">
        <v>199</v>
      </c>
      <c r="H49" s="28" t="e">
        <f>#REF!</f>
        <v>#REF!</v>
      </c>
      <c r="I49" s="53" t="e">
        <f>H49/24*42/7.4805*'Reference Data U values'!#REF!*62.4</f>
        <v>#REF!</v>
      </c>
      <c r="J49" s="44" t="e">
        <f>#REF!/#REF!</f>
        <v>#REF!</v>
      </c>
      <c r="K49" s="28" t="e">
        <f>(1-J49)*I49*'Reference Data U values'!#REF!*(C49-B49)/10^6</f>
        <v>#REF!</v>
      </c>
      <c r="L49" s="30">
        <v>0</v>
      </c>
      <c r="M49" s="28" t="e">
        <f>(J49)*I49*'Reference Data U values'!#REF!*(C49-B49)/10^6</f>
        <v>#REF!</v>
      </c>
      <c r="N49" s="28" t="e">
        <f>K49+M49</f>
        <v>#REF!</v>
      </c>
      <c r="O49" s="28" t="e">
        <f>((D49-C49)-(E49-B49))/LN((D49-C49)/(E49-B49))</f>
        <v>#REF!</v>
      </c>
      <c r="P49" s="28"/>
      <c r="Q49" s="28"/>
      <c r="R49" s="28" t="e">
        <f>N49*10^6/'Reference Data U values'!#REF!/O49</f>
        <v>#REF!</v>
      </c>
      <c r="S49" s="28" t="e">
        <f>(I49/'Reference Data U values'!#REF!)^0.6*'Reference Data U values'!#REF!</f>
        <v>#REF!</v>
      </c>
      <c r="T49" s="44" t="e">
        <f>R49/S49</f>
        <v>#REF!</v>
      </c>
      <c r="U49" s="55" t="e">
        <f>R49/U51</f>
        <v>#REF!</v>
      </c>
    </row>
    <row r="50" spans="1:21" x14ac:dyDescent="0.4">
      <c r="A50" t="s">
        <v>205</v>
      </c>
      <c r="B50" s="30" t="e">
        <f>B49</f>
        <v>#REF!</v>
      </c>
      <c r="C50" s="30" t="e">
        <f t="shared" ref="C50:E50" si="0">C49</f>
        <v>#REF!</v>
      </c>
      <c r="D50" s="30" t="e">
        <f t="shared" si="0"/>
        <v>#REF!</v>
      </c>
      <c r="E50" s="30" t="e">
        <f t="shared" si="0"/>
        <v>#REF!</v>
      </c>
      <c r="F50" s="60"/>
      <c r="G50" s="60"/>
      <c r="H50" s="28" t="e">
        <f>#REF!</f>
        <v>#REF!</v>
      </c>
      <c r="I50" s="53" t="e">
        <f>H50/24*42/7.4805*'Reference Data U values'!#REF!*62.4</f>
        <v>#REF!</v>
      </c>
      <c r="J50" s="44">
        <v>0</v>
      </c>
      <c r="K50" s="28" t="e">
        <f>(1-J50)*I50*'Reference Data U values'!#REF!*(D50-E50)/10^6</f>
        <v>#REF!</v>
      </c>
      <c r="L50" s="30">
        <v>0</v>
      </c>
      <c r="M50" s="28" t="e">
        <f>(J50)*I50*'Reference Data U values'!#REF!*(C50-B50)/10^6</f>
        <v>#REF!</v>
      </c>
      <c r="N50" s="28" t="e">
        <f>K50+M50</f>
        <v>#REF!</v>
      </c>
      <c r="O50" s="28" t="e">
        <f>((D50-C50)-(E50-B50))/LN((D50-C50)/(E50-B50))</f>
        <v>#REF!</v>
      </c>
      <c r="P50" s="28"/>
      <c r="Q50" s="28"/>
      <c r="R50" s="28" t="e">
        <f>N50*10^6/'Reference Data U values'!#REF!/O50</f>
        <v>#REF!</v>
      </c>
      <c r="S50" s="28" t="e">
        <f>(I50/105600)^0.6*'Reference Data U values'!#REF!</f>
        <v>#REF!</v>
      </c>
      <c r="T50" s="44" t="e">
        <f>R50/S50</f>
        <v>#REF!</v>
      </c>
      <c r="U50" s="55"/>
    </row>
    <row r="51" spans="1:21" x14ac:dyDescent="0.4">
      <c r="A51" t="s">
        <v>195</v>
      </c>
      <c r="B51" s="30">
        <v>172</v>
      </c>
      <c r="C51" s="30">
        <v>203</v>
      </c>
      <c r="D51" s="30">
        <v>330</v>
      </c>
      <c r="E51" s="30">
        <v>227</v>
      </c>
      <c r="F51" s="60" t="s">
        <v>199</v>
      </c>
      <c r="G51" s="60" t="s">
        <v>199</v>
      </c>
      <c r="H51" s="28"/>
      <c r="I51" s="53">
        <v>369200</v>
      </c>
      <c r="J51" s="44">
        <f>(125953+121295+12333+6372)/I51</f>
        <v>0.72034940411700976</v>
      </c>
      <c r="K51" s="28" t="e">
        <f>(1-J51)*I51*'Reference Data U values'!#REF!*(C51-B51)/10^6</f>
        <v>#REF!</v>
      </c>
      <c r="L51" s="61">
        <v>0</v>
      </c>
      <c r="M51" s="28" t="e">
        <f>(J51)*I51*'Reference Data U values'!#REF!*(C51-B51)/10^6</f>
        <v>#REF!</v>
      </c>
      <c r="N51" s="28" t="e">
        <f>K51+M51</f>
        <v>#REF!</v>
      </c>
      <c r="O51" s="28">
        <f>((D51-C51)-(E51-B51))/LN((D51-C51)/(E51-B51))</f>
        <v>86.036523095021565</v>
      </c>
      <c r="P51" s="28"/>
      <c r="Q51" s="28"/>
      <c r="R51" s="28" t="e">
        <f>N51*10^6/'Reference Data U values'!#REF!/O51</f>
        <v>#REF!</v>
      </c>
      <c r="S51" s="28" t="e">
        <f>(I51/'Reference Data U values'!#REF!)^0.6*'Reference Data U values'!#REF!</f>
        <v>#REF!</v>
      </c>
      <c r="T51" s="44" t="e">
        <f>R51/S51</f>
        <v>#REF!</v>
      </c>
      <c r="U51" s="28" t="e">
        <f>(I49/'Reference Data U values'!#REF!)^0.6*R51</f>
        <v>#REF!</v>
      </c>
    </row>
    <row r="52" spans="1:21" x14ac:dyDescent="0.4">
      <c r="M52" s="11" t="s">
        <v>215</v>
      </c>
      <c r="N52" t="e">
        <f>'Reference Data U values'!#REF!</f>
        <v>#REF!</v>
      </c>
    </row>
  </sheetData>
  <mergeCells count="18">
    <mergeCell ref="B47:C47"/>
    <mergeCell ref="D47:E47"/>
    <mergeCell ref="B8:C8"/>
    <mergeCell ref="D8:E8"/>
    <mergeCell ref="B35:C35"/>
    <mergeCell ref="D35:E35"/>
    <mergeCell ref="B41:C41"/>
    <mergeCell ref="D41:E41"/>
    <mergeCell ref="B25:C25"/>
    <mergeCell ref="D25:E25"/>
    <mergeCell ref="B30:C30"/>
    <mergeCell ref="D30:E30"/>
    <mergeCell ref="B13:C13"/>
    <mergeCell ref="D13:E13"/>
    <mergeCell ref="B19:C19"/>
    <mergeCell ref="D19:E19"/>
    <mergeCell ref="B3:C3"/>
    <mergeCell ref="D3:E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Flagsheet</vt:lpstr>
      <vt:lpstr>Lab Data</vt:lpstr>
      <vt:lpstr>Mass Balance</vt:lpstr>
      <vt:lpstr>U Value Calculations (2)</vt:lpstr>
      <vt:lpstr>U Value Calculations</vt:lpstr>
      <vt:lpstr>Reference Data U values</vt:lpstr>
      <vt:lpstr>U Value Calculations - old</vt:lpstr>
      <vt:lpstr>Flagsheet!Print_Area</vt:lpstr>
    </vt:vector>
  </TitlesOfParts>
  <Company>HollyFrontier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Rossi, Angela</dc:creator>
  <cp:lastModifiedBy>Ricky Fan</cp:lastModifiedBy>
  <cp:lastPrinted>2018-12-13T22:25:39Z</cp:lastPrinted>
  <dcterms:created xsi:type="dcterms:W3CDTF">2018-11-28T21:06:14Z</dcterms:created>
  <dcterms:modified xsi:type="dcterms:W3CDTF">2023-10-16T21:38:32Z</dcterms:modified>
</cp:coreProperties>
</file>