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BE2A7BB95F210A1/Documents/Masters/"/>
    </mc:Choice>
  </mc:AlternateContent>
  <xr:revisionPtr revIDLastSave="233" documentId="8_{18778165-0B4E-4C28-8E3F-D81619E2242C}" xr6:coauthVersionLast="47" xr6:coauthVersionMax="47" xr10:uidLastSave="{F913F0B4-7352-40F1-B049-B581C272AD7F}"/>
  <bookViews>
    <workbookView xWindow="-103" yWindow="-103" windowWidth="23657" windowHeight="15840" activeTab="2" xr2:uid="{A77D0D93-6695-4CD8-A013-84B0C58AC81F}"/>
  </bookViews>
  <sheets>
    <sheet name="Sheet1" sheetId="1" r:id="rId1"/>
    <sheet name="percolation information" sheetId="2" r:id="rId2"/>
    <sheet name="Actual Tortuosit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21" i="1" l="1"/>
  <c r="L22" i="1"/>
  <c r="L20" i="1"/>
  <c r="J22" i="1"/>
  <c r="H22" i="1"/>
  <c r="H21" i="1"/>
  <c r="J20" i="1"/>
  <c r="H20" i="1"/>
  <c r="F75" i="1"/>
  <c r="F74" i="1"/>
  <c r="F73" i="1"/>
  <c r="F72" i="1"/>
  <c r="F71" i="1"/>
  <c r="F70" i="1"/>
  <c r="F69" i="1"/>
  <c r="F68" i="1"/>
  <c r="F67" i="1"/>
  <c r="F66" i="1"/>
  <c r="F65" i="1"/>
  <c r="F64" i="1"/>
  <c r="N59" i="1"/>
  <c r="M59" i="1"/>
  <c r="L59" i="1"/>
  <c r="K59" i="1"/>
  <c r="J59" i="1"/>
  <c r="I59" i="1"/>
  <c r="H59" i="1"/>
  <c r="G59" i="1"/>
  <c r="F59" i="1"/>
  <c r="E59" i="1"/>
  <c r="D59" i="1"/>
  <c r="C59" i="1"/>
  <c r="J57" i="1"/>
  <c r="K57" i="1"/>
  <c r="L57" i="1"/>
  <c r="M57" i="1"/>
  <c r="N57" i="1"/>
  <c r="C57" i="1"/>
  <c r="N32" i="1"/>
  <c r="M32" i="1"/>
  <c r="L32" i="1"/>
  <c r="K32" i="1"/>
  <c r="J32" i="1"/>
  <c r="I32" i="1"/>
  <c r="I57" i="1" s="1"/>
  <c r="H32" i="1"/>
  <c r="H57" i="1" s="1"/>
  <c r="G32" i="1"/>
  <c r="G57" i="1" s="1"/>
  <c r="F32" i="1"/>
  <c r="F57" i="1" s="1"/>
  <c r="E32" i="1"/>
  <c r="E57" i="1" s="1"/>
  <c r="D32" i="1"/>
  <c r="D57" i="1" s="1"/>
  <c r="C32" i="1"/>
  <c r="C56" i="1"/>
  <c r="D56" i="1"/>
  <c r="E56" i="1"/>
  <c r="F56" i="1"/>
  <c r="G56" i="1"/>
  <c r="H56" i="1"/>
  <c r="I56" i="1"/>
  <c r="J56" i="1"/>
  <c r="K56" i="1"/>
  <c r="L56" i="1"/>
  <c r="M56" i="1"/>
  <c r="N56" i="1"/>
  <c r="Z28" i="1"/>
  <c r="AA28" i="1"/>
  <c r="Z29" i="1"/>
  <c r="AA29" i="1"/>
  <c r="Z30" i="1"/>
  <c r="AA30" i="1"/>
  <c r="Z31" i="1"/>
  <c r="AA31" i="1"/>
  <c r="Z33" i="1"/>
  <c r="AA33" i="1"/>
  <c r="Z34" i="1"/>
  <c r="AA34" i="1"/>
  <c r="Z35" i="1"/>
  <c r="AA35" i="1"/>
  <c r="Z36" i="1"/>
  <c r="AA36" i="1"/>
  <c r="Z37" i="1"/>
  <c r="AA37" i="1"/>
  <c r="Z38" i="1"/>
  <c r="AA38" i="1"/>
  <c r="Z39" i="1"/>
  <c r="AA39" i="1"/>
  <c r="AA27" i="1"/>
  <c r="Z27" i="1"/>
  <c r="D53" i="1"/>
  <c r="E53" i="1"/>
  <c r="F53" i="1"/>
  <c r="G53" i="1"/>
  <c r="H53" i="1"/>
  <c r="I53" i="1"/>
  <c r="J53" i="1"/>
  <c r="K53" i="1"/>
  <c r="L53" i="1"/>
  <c r="M53" i="1"/>
  <c r="N53" i="1"/>
  <c r="C53" i="1"/>
  <c r="N52" i="1"/>
  <c r="M52" i="1"/>
  <c r="L52" i="1"/>
  <c r="K52" i="1"/>
  <c r="J52" i="1"/>
  <c r="I52" i="1"/>
  <c r="H52" i="1"/>
  <c r="G52" i="1"/>
  <c r="F52" i="1"/>
  <c r="E52" i="1"/>
  <c r="D52" i="1"/>
  <c r="C52" i="1"/>
  <c r="V18" i="1"/>
  <c r="V19" i="1" s="1"/>
  <c r="B15" i="1"/>
  <c r="G15" i="1"/>
  <c r="F15" i="1"/>
  <c r="R20" i="1"/>
  <c r="R21" i="1" s="1"/>
  <c r="R22" i="1" s="1"/>
  <c r="J3" i="3"/>
  <c r="K3" i="3"/>
  <c r="J4" i="3"/>
  <c r="K4" i="3"/>
  <c r="J5" i="3"/>
  <c r="K5" i="3"/>
  <c r="J6" i="3"/>
  <c r="K6" i="3"/>
  <c r="J7" i="3"/>
  <c r="K7" i="3"/>
  <c r="J8" i="3"/>
  <c r="K8" i="3"/>
  <c r="J9" i="3"/>
  <c r="K9" i="3"/>
  <c r="J10" i="3"/>
  <c r="K10" i="3"/>
  <c r="J11" i="3"/>
  <c r="K11" i="3"/>
  <c r="J12" i="3"/>
  <c r="K12" i="3"/>
  <c r="J13" i="3"/>
  <c r="K13" i="3"/>
  <c r="J14" i="3"/>
  <c r="K14" i="3"/>
  <c r="I4" i="3"/>
  <c r="I5" i="3"/>
  <c r="I6" i="3"/>
  <c r="I7" i="3"/>
  <c r="I8" i="3"/>
  <c r="I9" i="3"/>
  <c r="I10" i="3"/>
  <c r="I11" i="3"/>
  <c r="I12" i="3"/>
  <c r="I13" i="3"/>
  <c r="I14" i="3"/>
  <c r="I3" i="3"/>
  <c r="H14" i="3"/>
  <c r="H13" i="3"/>
  <c r="H12" i="3"/>
  <c r="H11" i="3"/>
  <c r="H10" i="3"/>
  <c r="H9" i="3"/>
  <c r="H8" i="3"/>
  <c r="H7" i="3"/>
  <c r="H6" i="3"/>
  <c r="H5" i="3"/>
  <c r="H4" i="3"/>
  <c r="H3" i="3"/>
  <c r="E20" i="1"/>
  <c r="G14" i="1"/>
  <c r="P14" i="1" s="1"/>
  <c r="F14" i="1"/>
  <c r="I14" i="1" s="1"/>
  <c r="L14" i="1" s="1"/>
  <c r="G13" i="1"/>
  <c r="J13" i="1" s="1"/>
  <c r="M13" i="1" s="1"/>
  <c r="F13" i="1"/>
  <c r="I13" i="1" s="1"/>
  <c r="L13" i="1" s="1"/>
  <c r="G12" i="1"/>
  <c r="J12" i="1" s="1"/>
  <c r="M12" i="1" s="1"/>
  <c r="F12" i="1"/>
  <c r="I12" i="1" s="1"/>
  <c r="L12" i="1" s="1"/>
  <c r="G11" i="1"/>
  <c r="J11" i="1" s="1"/>
  <c r="M11" i="1" s="1"/>
  <c r="F11" i="1"/>
  <c r="O11" i="1" s="1"/>
  <c r="G10" i="1"/>
  <c r="P10" i="1" s="1"/>
  <c r="F10" i="1"/>
  <c r="I10" i="1" s="1"/>
  <c r="L10" i="1" s="1"/>
  <c r="G9" i="1"/>
  <c r="J9" i="1" s="1"/>
  <c r="M9" i="1" s="1"/>
  <c r="F9" i="1"/>
  <c r="I9" i="1" s="1"/>
  <c r="L9" i="1" s="1"/>
  <c r="O9" i="1" s="1"/>
  <c r="G8" i="1"/>
  <c r="J8" i="1" s="1"/>
  <c r="M8" i="1" s="1"/>
  <c r="F8" i="1"/>
  <c r="I8" i="1" s="1"/>
  <c r="L8" i="1" s="1"/>
  <c r="G7" i="1"/>
  <c r="J7" i="1" s="1"/>
  <c r="M7" i="1" s="1"/>
  <c r="F7" i="1"/>
  <c r="I7" i="1" s="1"/>
  <c r="L7" i="1" s="1"/>
  <c r="G6" i="1"/>
  <c r="J6" i="1" s="1"/>
  <c r="M6" i="1" s="1"/>
  <c r="F6" i="1"/>
  <c r="G5" i="1"/>
  <c r="P5" i="1" s="1"/>
  <c r="F5" i="1"/>
  <c r="I5" i="1" s="1"/>
  <c r="L5" i="1" s="1"/>
  <c r="G4" i="1"/>
  <c r="P4" i="1" s="1"/>
  <c r="F4" i="1"/>
  <c r="I4" i="1" s="1"/>
  <c r="L4" i="1" s="1"/>
  <c r="G3" i="1"/>
  <c r="J3" i="1" s="1"/>
  <c r="M3" i="1" s="1"/>
  <c r="F3" i="1"/>
  <c r="I3" i="1" s="1"/>
  <c r="L3" i="1" s="1"/>
  <c r="O3" i="1" s="1"/>
  <c r="I11" i="1" l="1"/>
  <c r="L11" i="1" s="1"/>
  <c r="P3" i="1"/>
  <c r="P9" i="1"/>
  <c r="J10" i="1"/>
  <c r="M10" i="1" s="1"/>
  <c r="O7" i="1"/>
  <c r="J5" i="1"/>
  <c r="M5" i="1" s="1"/>
  <c r="I15" i="1"/>
  <c r="L15" i="1" s="1"/>
  <c r="O15" i="1" s="1"/>
  <c r="J15" i="1"/>
  <c r="M15" i="1" s="1"/>
  <c r="P15" i="1" s="1"/>
  <c r="O13" i="1"/>
  <c r="O8" i="1"/>
  <c r="O10" i="1"/>
  <c r="O5" i="1"/>
  <c r="P11" i="1"/>
  <c r="I6" i="1"/>
  <c r="L6" i="1" s="1"/>
  <c r="O6" i="1" s="1"/>
  <c r="O12" i="1"/>
  <c r="J4" i="1"/>
  <c r="M4" i="1" s="1"/>
  <c r="P12" i="1"/>
  <c r="O4" i="1"/>
  <c r="P6" i="1"/>
  <c r="J14" i="1"/>
  <c r="M14" i="1" s="1"/>
  <c r="P7" i="1"/>
  <c r="P13" i="1"/>
  <c r="O14" i="1"/>
  <c r="P8" i="1"/>
</calcChain>
</file>

<file path=xl/sharedStrings.xml><?xml version="1.0" encoding="utf-8"?>
<sst xmlns="http://schemas.openxmlformats.org/spreadsheetml/2006/main" count="173" uniqueCount="82">
  <si>
    <t>A1</t>
  </si>
  <si>
    <t>C1</t>
  </si>
  <si>
    <t>C2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</si>
  <si>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</si>
  <si>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</si>
  <si>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</si>
  <si>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</si>
  <si>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</si>
  <si>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</si>
  <si>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</si>
  <si>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</si>
  <si>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</si>
  <si>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Convergence Size</t>
  </si>
  <si>
    <t>Porosity</t>
  </si>
  <si>
    <t>Tortuosity</t>
  </si>
  <si>
    <t>Unnamed: 0</t>
  </si>
  <si>
    <t>name</t>
  </si>
  <si>
    <t>eps_orig</t>
  </si>
  <si>
    <t>eps_orig_perc</t>
  </si>
  <si>
    <t>eps_thresh</t>
  </si>
  <si>
    <t>eps_thresh_perc</t>
  </si>
  <si>
    <t>axis</t>
  </si>
  <si>
    <t>image A1</t>
  </si>
  <si>
    <t>image C1</t>
  </si>
  <si>
    <t>image C2</t>
  </si>
  <si>
    <t>image S1</t>
  </si>
  <si>
    <t>image S2</t>
  </si>
  <si>
    <t>image S3</t>
  </si>
  <si>
    <t>image S4</t>
  </si>
  <si>
    <t>image S5</t>
  </si>
  <si>
    <t>image S6</t>
  </si>
  <si>
    <t>image S7</t>
  </si>
  <si>
    <t>image S8</t>
  </si>
  <si>
    <t>image S9</t>
  </si>
  <si>
    <t>tau_x</t>
  </si>
  <si>
    <t>tau_y</t>
  </si>
  <si>
    <t>tau_z</t>
  </si>
  <si>
    <t>x</t>
  </si>
  <si>
    <t>y</t>
  </si>
  <si>
    <t>z</t>
  </si>
  <si>
    <t>Sample Name</t>
  </si>
  <si>
    <t>Samples</t>
  </si>
  <si>
    <t>Resolution (um)</t>
  </si>
  <si>
    <t>Size</t>
  </si>
  <si>
    <t>Rock Type</t>
  </si>
  <si>
    <t>image</t>
  </si>
  <si>
    <t>Porosity (%)</t>
  </si>
  <si>
    <t>Network porosity (%)</t>
  </si>
  <si>
    <t>No. of pores</t>
  </si>
  <si>
    <t>No. of throats</t>
  </si>
  <si>
    <t>Average Coordination Number</t>
  </si>
  <si>
    <t>Average Pore Radius</t>
  </si>
  <si>
    <t>Average Throat Radius</t>
  </si>
  <si>
    <t>Average Aspect Ratio</t>
  </si>
  <si>
    <t>Average Pore Volume</t>
  </si>
  <si>
    <t>Average Throat Volume</t>
  </si>
  <si>
    <t>Vpore/Vspaceb (%)</t>
  </si>
  <si>
    <t>Average Throat Length</t>
  </si>
  <si>
    <t>Kxa (mD)</t>
  </si>
  <si>
    <t>Kya (mD)</t>
  </si>
  <si>
    <t>Kza (mD)</t>
  </si>
  <si>
    <t>Kavga (mD)</t>
  </si>
  <si>
    <t>Fxa</t>
  </si>
  <si>
    <t>Fya</t>
  </si>
  <si>
    <t>Fza</t>
  </si>
  <si>
    <t>Favga</t>
  </si>
  <si>
    <t>35^3</t>
  </si>
  <si>
    <t>44^3</t>
  </si>
  <si>
    <t>-</t>
  </si>
  <si>
    <t>70^3</t>
  </si>
  <si>
    <t>99^3</t>
  </si>
  <si>
    <t>55^3</t>
  </si>
  <si>
    <t>65^3</t>
  </si>
  <si>
    <t>48^3</t>
  </si>
  <si>
    <t>95^3</t>
  </si>
  <si>
    <t>41^3</t>
  </si>
  <si>
    <t>60^3</t>
  </si>
  <si>
    <t>Characteristic PORE SIZE</t>
  </si>
  <si>
    <t>Characteristic PORE SIZE (percolation threshold)</t>
  </si>
  <si>
    <t>Percolating Porosity</t>
  </si>
  <si>
    <t>e/ep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</si>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</sst>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2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0">
    <xf numFmtId="0" fontId="0" fillId="0" borderId="0" xfId="0"/>
    <xf numFmtId="0" fontId="1" fillId="2" borderId="0" xfId="1"/>
    <xf numFmtId="2" fontId="0" fillId="0" borderId="0" xfId="0" applyNumberFormat="1"/>
    <xf numFmtId="3" fontId="0" fillId="0" borderId="0" xfId="0" applyNumberFormat="1"/>
    <xf numFmtId="0" fontId="3" fillId="0" borderId="1" xfId="0" applyFont="1" applyBorder="1" applyAlignment="1">
      <alignment horizontal="justify" vertical="center"/>
    </xf>
    <xf numFmtId="0" fontId="3" fillId="0" borderId="2" xfId="0" applyFont="1" applyBorder="1" applyAlignment="1">
      <alignment horizontal="justify" vertical="center"/>
    </xf>
    <xf numFmtId="0" fontId="3" fillId="0" borderId="3" xfId="0" applyFont="1" applyBorder="1" applyAlignment="1">
      <alignment horizontal="justify" vertical="center"/>
    </xf>
    <xf numFmtId="0" fontId="3" fillId="0" borderId="4" xfId="0" applyFont="1" applyBorder="1" applyAlignment="1">
      <alignment horizontal="justify" vertical="center"/>
    </xf>
    <xf numFmtId="0" fontId="2" fillId="3" borderId="0" xfId="2"/>
    <xf numFmtId="0" fontId="0" fillId="0" borderId="0" xfId="0" applyAlignment="1">
      <alignment horizontal="center"/>
    </xf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intercept val="0"/>
            <c:dispRSqr val="0"/>
            <c:dispEq val="1"/>
            <c:trendlineLbl>
              <c:layout>
                <c:manualLayout>
                  <c:x val="-3.3750911344415283E-2"/>
                  <c:y val="-5.9085070248571868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Sheet1!$C$54:$N$54</c:f>
              <c:numCache>
                <c:formatCode>General</c:formatCode>
                <c:ptCount val="12"/>
                <c:pt idx="0">
                  <c:v>44</c:v>
                </c:pt>
                <c:pt idx="4">
                  <c:v>65</c:v>
                </c:pt>
                <c:pt idx="5">
                  <c:v>95</c:v>
                </c:pt>
                <c:pt idx="9">
                  <c:v>95</c:v>
                </c:pt>
                <c:pt idx="10">
                  <c:v>65</c:v>
                </c:pt>
              </c:numCache>
            </c:numRef>
          </c:xVal>
          <c:yVal>
            <c:numRef>
              <c:f>Sheet1!$C$53:$N$53</c:f>
              <c:numCache>
                <c:formatCode>General</c:formatCode>
                <c:ptCount val="12"/>
                <c:pt idx="0">
                  <c:v>1.727334068350122E-6</c:v>
                </c:pt>
                <c:pt idx="1">
                  <c:v>2.0085653496833249E-6</c:v>
                </c:pt>
                <c:pt idx="2">
                  <c:v>3.9641248358604596E-6</c:v>
                </c:pt>
                <c:pt idx="3">
                  <c:v>9.0074830986824316E-6</c:v>
                </c:pt>
                <c:pt idx="4">
                  <c:v>3.4334556770371829E-6</c:v>
                </c:pt>
                <c:pt idx="5">
                  <c:v>4.4522449626116253E-6</c:v>
                </c:pt>
                <c:pt idx="6">
                  <c:v>4.3996278417837603E-6</c:v>
                </c:pt>
                <c:pt idx="7">
                  <c:v>5.0962303696990241E-6</c:v>
                </c:pt>
                <c:pt idx="8">
                  <c:v>6.6583281184793935E-6</c:v>
                </c:pt>
                <c:pt idx="9">
                  <c:v>4.3726422218150897E-6</c:v>
                </c:pt>
                <c:pt idx="10">
                  <c:v>3.9704793013379311E-6</c:v>
                </c:pt>
                <c:pt idx="11">
                  <c:v>3.8379330022460955E-6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BA1-4B7B-AE0B-4D17E2947F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87801264"/>
        <c:axId val="1287801744"/>
      </c:scatterChart>
      <c:valAx>
        <c:axId val="1287801264"/>
        <c:scaling>
          <c:orientation val="minMax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7801744"/>
        <c:crosses val="autoZero"/>
        <c:crossBetween val="midCat"/>
      </c:valAx>
      <c:valAx>
        <c:axId val="1287801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Characteristic</a:t>
                </a:r>
                <a:r>
                  <a:rPr lang="en-US" baseline="0"/>
                  <a:t> Pore Size (m)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78012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intercept val="0"/>
            <c:dispRSqr val="0"/>
            <c:dispEq val="1"/>
            <c:trendlineLbl>
              <c:layout>
                <c:manualLayout>
                  <c:x val="-3.3750911344415283E-2"/>
                  <c:y val="-5.9085070248571868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Sheet1!$C$54:$N$54</c:f>
              <c:numCache>
                <c:formatCode>General</c:formatCode>
                <c:ptCount val="12"/>
                <c:pt idx="0">
                  <c:v>44</c:v>
                </c:pt>
                <c:pt idx="4">
                  <c:v>65</c:v>
                </c:pt>
                <c:pt idx="5">
                  <c:v>95</c:v>
                </c:pt>
                <c:pt idx="9">
                  <c:v>95</c:v>
                </c:pt>
                <c:pt idx="10">
                  <c:v>65</c:v>
                </c:pt>
              </c:numCache>
            </c:numRef>
          </c:xVal>
          <c:yVal>
            <c:numRef>
              <c:f>Sheet1!$C$57:$N$57</c:f>
              <c:numCache>
                <c:formatCode>General</c:formatCode>
                <c:ptCount val="12"/>
                <c:pt idx="0">
                  <c:v>0.4486581995714603</c:v>
                </c:pt>
                <c:pt idx="1">
                  <c:v>0.70475977181871052</c:v>
                </c:pt>
                <c:pt idx="2">
                  <c:v>0.74095791324494575</c:v>
                </c:pt>
                <c:pt idx="3">
                  <c:v>1.0377284675901419</c:v>
                </c:pt>
                <c:pt idx="4">
                  <c:v>0.69222896714459337</c:v>
                </c:pt>
                <c:pt idx="5">
                  <c:v>0.48925768819907972</c:v>
                </c:pt>
                <c:pt idx="6">
                  <c:v>0.49102989305622319</c:v>
                </c:pt>
                <c:pt idx="7">
                  <c:v>1.2740575924247561</c:v>
                </c:pt>
                <c:pt idx="8">
                  <c:v>1.3055545330351754</c:v>
                </c:pt>
                <c:pt idx="9">
                  <c:v>0.91096712954481041</c:v>
                </c:pt>
                <c:pt idx="10">
                  <c:v>0.81195895732882029</c:v>
                </c:pt>
                <c:pt idx="11">
                  <c:v>1.1288038241900282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391-4668-A22C-930861089A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87801264"/>
        <c:axId val="1287801744"/>
      </c:scatterChart>
      <c:valAx>
        <c:axId val="1287801264"/>
        <c:scaling>
          <c:orientation val="minMax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7801744"/>
        <c:crosses val="autoZero"/>
        <c:crossBetween val="midCat"/>
      </c:valAx>
      <c:valAx>
        <c:axId val="1287801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Characteristic</a:t>
                </a:r>
                <a:r>
                  <a:rPr lang="en-US" baseline="0"/>
                  <a:t> Pore Size (m)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78012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Sheet1!$C$60:$N$60</c:f>
              <c:numCache>
                <c:formatCode>General</c:formatCode>
                <c:ptCount val="12"/>
                <c:pt idx="0">
                  <c:v>6.5</c:v>
                </c:pt>
                <c:pt idx="1">
                  <c:v>11.5</c:v>
                </c:pt>
                <c:pt idx="2">
                  <c:v>7.5</c:v>
                </c:pt>
                <c:pt idx="3">
                  <c:v>6.7</c:v>
                </c:pt>
                <c:pt idx="4">
                  <c:v>6.8</c:v>
                </c:pt>
                <c:pt idx="5">
                  <c:v>4</c:v>
                </c:pt>
                <c:pt idx="6">
                  <c:v>3.9</c:v>
                </c:pt>
                <c:pt idx="7">
                  <c:v>12.5</c:v>
                </c:pt>
                <c:pt idx="8">
                  <c:v>15</c:v>
                </c:pt>
                <c:pt idx="9">
                  <c:v>10</c:v>
                </c:pt>
                <c:pt idx="10">
                  <c:v>9.5</c:v>
                </c:pt>
                <c:pt idx="11">
                  <c:v>13</c:v>
                </c:pt>
              </c:numCache>
            </c:numRef>
          </c:xVal>
          <c:yVal>
            <c:numRef>
              <c:f>Sheet1!$C$59:$N$59</c:f>
              <c:numCache>
                <c:formatCode>General</c:formatCode>
                <c:ptCount val="12"/>
                <c:pt idx="0">
                  <c:v>3.5649992967259623</c:v>
                </c:pt>
                <c:pt idx="1">
                  <c:v>3.5278175225030854</c:v>
                </c:pt>
                <c:pt idx="2">
                  <c:v>2.047742569505548</c:v>
                </c:pt>
                <c:pt idx="3">
                  <c:v>2.1083458263115156</c:v>
                </c:pt>
                <c:pt idx="4">
                  <c:v>3.7250903511074358</c:v>
                </c:pt>
                <c:pt idx="5">
                  <c:v>1.0025486663444236</c:v>
                </c:pt>
                <c:pt idx="6">
                  <c:v>0.99849630824535074</c:v>
                </c:pt>
                <c:pt idx="7">
                  <c:v>5.0026431377645562</c:v>
                </c:pt>
                <c:pt idx="8">
                  <c:v>3.1110411233547004</c:v>
                </c:pt>
                <c:pt idx="9">
                  <c:v>3.9870783221665644</c:v>
                </c:pt>
                <c:pt idx="10">
                  <c:v>4.4764350802320534</c:v>
                </c:pt>
                <c:pt idx="11">
                  <c:v>3.5377483772040148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5E4-4027-8BF8-895E934AA4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87801264"/>
        <c:axId val="1287801744"/>
      </c:scatterChart>
      <c:valAx>
        <c:axId val="1287801264"/>
        <c:scaling>
          <c:orientation val="minMax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Size</a:t>
                </a:r>
                <a:r>
                  <a:rPr lang="en-CA" baseline="0"/>
                  <a:t> Value</a:t>
                </a:r>
                <a:endParaRPr lang="en-CA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7801744"/>
        <c:crosses val="autoZero"/>
        <c:crossBetween val="midCat"/>
      </c:valAx>
      <c:valAx>
        <c:axId val="1287801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 sz="1000" b="0" i="0">
                    <a:latin typeface="Cambria Math" panose="02040503050406030204" pitchFamily="18" charset="0"/>
                  </a:rPr>
                  <a:t>𝜀/𝜀_𝑝 </a:t>
                </a:r>
                <a:endParaRPr lang="en-CA" sz="10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78012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chart" Target="../charts/chart2.xml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chart" Target="../charts/chart1.xml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0</xdr:colOff>
      <xdr:row>28</xdr:row>
      <xdr:rowOff>0</xdr:rowOff>
    </xdr:from>
    <xdr:to>
      <xdr:col>18</xdr:col>
      <xdr:colOff>238125</xdr:colOff>
      <xdr:row>29</xdr:row>
      <xdr:rowOff>152400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D6D25B5-C1A5-DF54-D033-882D5AA602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63300" y="5334000"/>
          <a:ext cx="238125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19</xdr:col>
      <xdr:colOff>0</xdr:colOff>
      <xdr:row>28</xdr:row>
      <xdr:rowOff>0</xdr:rowOff>
    </xdr:from>
    <xdr:to>
      <xdr:col>19</xdr:col>
      <xdr:colOff>238125</xdr:colOff>
      <xdr:row>29</xdr:row>
      <xdr:rowOff>152400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B88C794-AC37-D9F7-91A1-274BECA59D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0" y="5334000"/>
          <a:ext cx="238125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18</xdr:col>
      <xdr:colOff>0</xdr:colOff>
      <xdr:row>29</xdr:row>
      <xdr:rowOff>0</xdr:rowOff>
    </xdr:from>
    <xdr:to>
      <xdr:col>18</xdr:col>
      <xdr:colOff>114300</xdr:colOff>
      <xdr:row>30</xdr:row>
      <xdr:rowOff>152400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BDF488F3-774E-BA72-9181-BC1345EBD7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63300" y="5524500"/>
          <a:ext cx="1143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19</xdr:col>
      <xdr:colOff>0</xdr:colOff>
      <xdr:row>29</xdr:row>
      <xdr:rowOff>0</xdr:rowOff>
    </xdr:from>
    <xdr:to>
      <xdr:col>19</xdr:col>
      <xdr:colOff>114300</xdr:colOff>
      <xdr:row>30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A7B026B6-0E63-39FE-5053-07E787C7F5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0" y="5524500"/>
          <a:ext cx="1143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18</xdr:col>
      <xdr:colOff>0</xdr:colOff>
      <xdr:row>30</xdr:row>
      <xdr:rowOff>0</xdr:rowOff>
    </xdr:from>
    <xdr:to>
      <xdr:col>18</xdr:col>
      <xdr:colOff>114300</xdr:colOff>
      <xdr:row>32</xdr:row>
      <xdr:rowOff>152400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943BBD25-6D6C-8C0C-FC04-836990BD2E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63300" y="5715000"/>
          <a:ext cx="1143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19</xdr:col>
      <xdr:colOff>0</xdr:colOff>
      <xdr:row>30</xdr:row>
      <xdr:rowOff>0</xdr:rowOff>
    </xdr:from>
    <xdr:to>
      <xdr:col>19</xdr:col>
      <xdr:colOff>114300</xdr:colOff>
      <xdr:row>32</xdr:row>
      <xdr:rowOff>152400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29834517-0411-08D8-8E49-2DF8B5FC7F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0" y="5715000"/>
          <a:ext cx="1143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18</xdr:col>
      <xdr:colOff>0</xdr:colOff>
      <xdr:row>32</xdr:row>
      <xdr:rowOff>0</xdr:rowOff>
    </xdr:from>
    <xdr:to>
      <xdr:col>18</xdr:col>
      <xdr:colOff>238125</xdr:colOff>
      <xdr:row>33</xdr:row>
      <xdr:rowOff>152400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93DA3C65-F009-5FBD-1673-AF15CE14AA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63300" y="5905500"/>
          <a:ext cx="238125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19</xdr:col>
      <xdr:colOff>0</xdr:colOff>
      <xdr:row>32</xdr:row>
      <xdr:rowOff>0</xdr:rowOff>
    </xdr:from>
    <xdr:to>
      <xdr:col>19</xdr:col>
      <xdr:colOff>238125</xdr:colOff>
      <xdr:row>33</xdr:row>
      <xdr:rowOff>152400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D44BE2A1-5C8C-0EEF-EF2E-63FAFCFB24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0" y="5905500"/>
          <a:ext cx="238125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18</xdr:col>
      <xdr:colOff>0</xdr:colOff>
      <xdr:row>33</xdr:row>
      <xdr:rowOff>0</xdr:rowOff>
    </xdr:from>
    <xdr:to>
      <xdr:col>18</xdr:col>
      <xdr:colOff>238125</xdr:colOff>
      <xdr:row>34</xdr:row>
      <xdr:rowOff>152400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E493FF0E-E8DE-E65E-D183-7AC7A014A3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63300" y="6096000"/>
          <a:ext cx="238125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19</xdr:col>
      <xdr:colOff>0</xdr:colOff>
      <xdr:row>33</xdr:row>
      <xdr:rowOff>0</xdr:rowOff>
    </xdr:from>
    <xdr:to>
      <xdr:col>19</xdr:col>
      <xdr:colOff>238125</xdr:colOff>
      <xdr:row>34</xdr:row>
      <xdr:rowOff>152400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47A10B2C-EDC2-8A81-C66D-3B6D5568BA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0" y="6096000"/>
          <a:ext cx="238125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18</xdr:col>
      <xdr:colOff>0</xdr:colOff>
      <xdr:row>34</xdr:row>
      <xdr:rowOff>0</xdr:rowOff>
    </xdr:from>
    <xdr:to>
      <xdr:col>18</xdr:col>
      <xdr:colOff>238125</xdr:colOff>
      <xdr:row>35</xdr:row>
      <xdr:rowOff>152400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25603D99-317B-5C44-65CD-8FAC1DD693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63300" y="6286500"/>
          <a:ext cx="238125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19</xdr:col>
      <xdr:colOff>0</xdr:colOff>
      <xdr:row>34</xdr:row>
      <xdr:rowOff>0</xdr:rowOff>
    </xdr:from>
    <xdr:to>
      <xdr:col>19</xdr:col>
      <xdr:colOff>238125</xdr:colOff>
      <xdr:row>35</xdr:row>
      <xdr:rowOff>152400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0829DF02-E78F-C497-9063-4EDE82CA86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0" y="6286500"/>
          <a:ext cx="238125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18</xdr:col>
      <xdr:colOff>0</xdr:colOff>
      <xdr:row>35</xdr:row>
      <xdr:rowOff>0</xdr:rowOff>
    </xdr:from>
    <xdr:to>
      <xdr:col>18</xdr:col>
      <xdr:colOff>238125</xdr:colOff>
      <xdr:row>36</xdr:row>
      <xdr:rowOff>152400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995A486D-42E7-A57E-928A-FF659327CE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63300" y="6477000"/>
          <a:ext cx="238125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19</xdr:col>
      <xdr:colOff>0</xdr:colOff>
      <xdr:row>35</xdr:row>
      <xdr:rowOff>0</xdr:rowOff>
    </xdr:from>
    <xdr:to>
      <xdr:col>19</xdr:col>
      <xdr:colOff>114300</xdr:colOff>
      <xdr:row>36</xdr:row>
      <xdr:rowOff>152400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7C4EC5C0-18CD-9D75-E4E0-D394F1476C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0" y="6477000"/>
          <a:ext cx="1143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18</xdr:col>
      <xdr:colOff>0</xdr:colOff>
      <xdr:row>36</xdr:row>
      <xdr:rowOff>0</xdr:rowOff>
    </xdr:from>
    <xdr:to>
      <xdr:col>18</xdr:col>
      <xdr:colOff>114300</xdr:colOff>
      <xdr:row>37</xdr:row>
      <xdr:rowOff>152400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39366DBE-56A7-E6EE-24E1-9F7FA90397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63300" y="6667500"/>
          <a:ext cx="1143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19</xdr:col>
      <xdr:colOff>0</xdr:colOff>
      <xdr:row>36</xdr:row>
      <xdr:rowOff>0</xdr:rowOff>
    </xdr:from>
    <xdr:to>
      <xdr:col>19</xdr:col>
      <xdr:colOff>114300</xdr:colOff>
      <xdr:row>37</xdr:row>
      <xdr:rowOff>152400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D890BC74-0456-DB74-F57C-172A1DE0B9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0" y="6667500"/>
          <a:ext cx="1143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18</xdr:col>
      <xdr:colOff>0</xdr:colOff>
      <xdr:row>37</xdr:row>
      <xdr:rowOff>0</xdr:rowOff>
    </xdr:from>
    <xdr:to>
      <xdr:col>18</xdr:col>
      <xdr:colOff>114300</xdr:colOff>
      <xdr:row>38</xdr:row>
      <xdr:rowOff>152400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3A91E1CA-10BC-BC2B-E6A2-9C4EFC821E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63300" y="6858000"/>
          <a:ext cx="1143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19</xdr:col>
      <xdr:colOff>0</xdr:colOff>
      <xdr:row>37</xdr:row>
      <xdr:rowOff>0</xdr:rowOff>
    </xdr:from>
    <xdr:to>
      <xdr:col>19</xdr:col>
      <xdr:colOff>114300</xdr:colOff>
      <xdr:row>38</xdr:row>
      <xdr:rowOff>152400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782D58C0-110D-19E7-B39B-516C02468E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0" y="6858000"/>
          <a:ext cx="1143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18</xdr:col>
      <xdr:colOff>0</xdr:colOff>
      <xdr:row>38</xdr:row>
      <xdr:rowOff>0</xdr:rowOff>
    </xdr:from>
    <xdr:to>
      <xdr:col>18</xdr:col>
      <xdr:colOff>238125</xdr:colOff>
      <xdr:row>39</xdr:row>
      <xdr:rowOff>152400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964A0EB8-4ACE-993A-D675-C2D6308706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63300" y="7048500"/>
          <a:ext cx="238125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19</xdr:col>
      <xdr:colOff>0</xdr:colOff>
      <xdr:row>38</xdr:row>
      <xdr:rowOff>0</xdr:rowOff>
    </xdr:from>
    <xdr:to>
      <xdr:col>19</xdr:col>
      <xdr:colOff>238125</xdr:colOff>
      <xdr:row>39</xdr:row>
      <xdr:rowOff>152400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57CF71C1-75B8-6BCB-70C3-6719D19082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0" y="7048500"/>
          <a:ext cx="238125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18</xdr:col>
      <xdr:colOff>0</xdr:colOff>
      <xdr:row>39</xdr:row>
      <xdr:rowOff>0</xdr:rowOff>
    </xdr:from>
    <xdr:to>
      <xdr:col>18</xdr:col>
      <xdr:colOff>238125</xdr:colOff>
      <xdr:row>41</xdr:row>
      <xdr:rowOff>133350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02307681-51D9-005D-57A6-E7591CD4CA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63300" y="7239000"/>
          <a:ext cx="238125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19</xdr:col>
      <xdr:colOff>0</xdr:colOff>
      <xdr:row>39</xdr:row>
      <xdr:rowOff>0</xdr:rowOff>
    </xdr:from>
    <xdr:to>
      <xdr:col>19</xdr:col>
      <xdr:colOff>238125</xdr:colOff>
      <xdr:row>41</xdr:row>
      <xdr:rowOff>133350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632D791D-89E9-58A3-C571-9122318D94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0" y="7239000"/>
          <a:ext cx="238125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18</xdr:col>
      <xdr:colOff>0</xdr:colOff>
      <xdr:row>40</xdr:row>
      <xdr:rowOff>0</xdr:rowOff>
    </xdr:from>
    <xdr:to>
      <xdr:col>18</xdr:col>
      <xdr:colOff>114300</xdr:colOff>
      <xdr:row>42</xdr:row>
      <xdr:rowOff>133350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7E34BCF9-33AD-40D3-7559-801BED0272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63300" y="7429500"/>
          <a:ext cx="1143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19</xdr:col>
      <xdr:colOff>0</xdr:colOff>
      <xdr:row>40</xdr:row>
      <xdr:rowOff>0</xdr:rowOff>
    </xdr:from>
    <xdr:to>
      <xdr:col>19</xdr:col>
      <xdr:colOff>114300</xdr:colOff>
      <xdr:row>42</xdr:row>
      <xdr:rowOff>133350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C8ED1FC8-2FA9-40F6-177A-087043B293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0" y="7429500"/>
          <a:ext cx="1143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17</xdr:col>
      <xdr:colOff>0</xdr:colOff>
      <xdr:row>44</xdr:row>
      <xdr:rowOff>0</xdr:rowOff>
    </xdr:from>
    <xdr:to>
      <xdr:col>26</xdr:col>
      <xdr:colOff>0</xdr:colOff>
      <xdr:row>60</xdr:row>
      <xdr:rowOff>0</xdr:rowOff>
    </xdr:to>
    <xdr:graphicFrame macro="">
      <xdr:nvGraphicFramePr>
        <xdr:cNvPr id="26" name="Chart 25">
          <a:extLst>
            <a:ext uri="{FF2B5EF4-FFF2-40B4-BE49-F238E27FC236}">
              <a16:creationId xmlns:a16="http://schemas.microsoft.com/office/drawing/2014/main" id="{2669A279-C844-213A-780D-4DAEF0584A0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17</xdr:col>
      <xdr:colOff>0</xdr:colOff>
      <xdr:row>61</xdr:row>
      <xdr:rowOff>0</xdr:rowOff>
    </xdr:from>
    <xdr:to>
      <xdr:col>26</xdr:col>
      <xdr:colOff>0</xdr:colOff>
      <xdr:row>78</xdr:row>
      <xdr:rowOff>0</xdr:rowOff>
    </xdr:to>
    <xdr:graphicFrame macro="">
      <xdr:nvGraphicFramePr>
        <xdr:cNvPr id="27" name="Chart 26">
          <a:extLst>
            <a:ext uri="{FF2B5EF4-FFF2-40B4-BE49-F238E27FC236}">
              <a16:creationId xmlns:a16="http://schemas.microsoft.com/office/drawing/2014/main" id="{5E198CD7-EF32-4DFF-A763-A56E8D0D923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17</xdr:col>
      <xdr:colOff>0</xdr:colOff>
      <xdr:row>79</xdr:row>
      <xdr:rowOff>0</xdr:rowOff>
    </xdr:from>
    <xdr:to>
      <xdr:col>26</xdr:col>
      <xdr:colOff>0</xdr:colOff>
      <xdr:row>95</xdr:row>
      <xdr:rowOff>184584</xdr:rowOff>
    </xdr:to>
    <xdr:graphicFrame macro="">
      <xdr:nvGraphicFramePr>
        <xdr:cNvPr id="28" name="Chart 27">
          <a:extLst>
            <a:ext uri="{FF2B5EF4-FFF2-40B4-BE49-F238E27FC236}">
              <a16:creationId xmlns:a16="http://schemas.microsoft.com/office/drawing/2014/main" id="{D4DCF16E-EF1D-429A-96E3-C99C179A2B1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oneCellAnchor>
    <xdr:from>
      <xdr:col>14</xdr:col>
      <xdr:colOff>539079</xdr:colOff>
      <xdr:row>85</xdr:row>
      <xdr:rowOff>11359</xdr:rowOff>
    </xdr:from>
    <xdr:ext cx="159979" cy="33708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9" name="TextBox 28">
              <a:extLst>
                <a:ext uri="{FF2B5EF4-FFF2-40B4-BE49-F238E27FC236}">
                  <a16:creationId xmlns:a16="http://schemas.microsoft.com/office/drawing/2014/main" id="{6679EA94-5E34-5C38-C299-A1EAE0416829}"/>
                </a:ext>
              </a:extLst>
            </xdr:cNvPr>
            <xdr:cNvSpPr txBox="1"/>
          </xdr:nvSpPr>
          <xdr:spPr>
            <a:xfrm>
              <a:off x="12366644" y="16013359"/>
              <a:ext cx="159979" cy="33708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n-CA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CA" sz="1100" b="0" i="1">
                            <a:latin typeface="Cambria Math" panose="02040503050406030204" pitchFamily="18" charset="0"/>
                          </a:rPr>
                          <m:t>𝜀</m:t>
                        </m:r>
                      </m:num>
                      <m:den>
                        <m:sSub>
                          <m:sSubPr>
                            <m:ctrlPr>
                              <a:rPr lang="en-CA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CA" sz="1100" b="0" i="1">
                                <a:latin typeface="Cambria Math" panose="02040503050406030204" pitchFamily="18" charset="0"/>
                              </a:rPr>
                              <m:t>𝜀</m:t>
                            </m:r>
                          </m:e>
                          <m:sub>
                            <m:r>
                              <a:rPr lang="en-CA" sz="1100" b="0" i="1">
                                <a:latin typeface="Cambria Math" panose="02040503050406030204" pitchFamily="18" charset="0"/>
                              </a:rPr>
                              <m:t>𝑝</m:t>
                            </m:r>
                          </m:sub>
                        </m:sSub>
                      </m:den>
                    </m:f>
                  </m:oMath>
                </m:oMathPara>
              </a14:m>
              <a:endParaRPr lang="en-CA" sz="1100"/>
            </a:p>
          </xdr:txBody>
        </xdr:sp>
      </mc:Choice>
      <mc:Fallback>
        <xdr:sp macro="" textlink="">
          <xdr:nvSpPr>
            <xdr:cNvPr id="29" name="TextBox 28">
              <a:extLst>
                <a:ext uri="{FF2B5EF4-FFF2-40B4-BE49-F238E27FC236}">
                  <a16:creationId xmlns:a16="http://schemas.microsoft.com/office/drawing/2014/main" id="{6679EA94-5E34-5C38-C299-A1EAE0416829}"/>
                </a:ext>
              </a:extLst>
            </xdr:cNvPr>
            <xdr:cNvSpPr txBox="1"/>
          </xdr:nvSpPr>
          <xdr:spPr>
            <a:xfrm>
              <a:off x="12366644" y="16013359"/>
              <a:ext cx="159979" cy="33708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CA" sz="1100" b="0" i="0">
                  <a:latin typeface="Cambria Math" panose="02040503050406030204" pitchFamily="18" charset="0"/>
                </a:rPr>
                <a:t>𝜀/𝜀_𝑝 </a:t>
              </a:r>
              <a:endParaRPr lang="en-CA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332556-BD36-452F-85D9-25408C3ADB0A}">
  <dimension ref="A1:AA75"/>
  <sheetViews>
    <sheetView topLeftCell="A26" zoomScale="115" zoomScaleNormal="115" workbookViewId="0">
      <selection activeCell="F55" sqref="F55"/>
    </sheetView>
  </sheetViews>
  <sheetFormatPr defaultRowHeight="14.6" x14ac:dyDescent="0.4"/>
  <cols>
    <col min="2" max="2" width="44.3828125" bestFit="1" customWidth="1"/>
    <col min="3" max="3" width="12" bestFit="1" customWidth="1"/>
    <col min="8" max="8" width="10.84375" bestFit="1" customWidth="1"/>
  </cols>
  <sheetData>
    <row r="1" spans="1:16" x14ac:dyDescent="0.4">
      <c r="O1" s="9" t="s">
        <v>12</v>
      </c>
      <c r="P1" s="9"/>
    </row>
    <row r="2" spans="1:16" x14ac:dyDescent="0.4">
      <c r="O2" t="s">
        <v>13</v>
      </c>
      <c r="P2" t="s">
        <v>14</v>
      </c>
    </row>
    <row r="3" spans="1:16" x14ac:dyDescent="0.4">
      <c r="A3" t="s">
        <v>0</v>
      </c>
      <c r="B3">
        <v>27000000</v>
      </c>
      <c r="C3">
        <v>-2.8</v>
      </c>
      <c r="D3">
        <v>-2.5</v>
      </c>
      <c r="F3">
        <f>10^C3</f>
        <v>1.5848931924611134E-3</v>
      </c>
      <c r="G3">
        <f>10^D3</f>
        <v>3.1622776601683764E-3</v>
      </c>
      <c r="I3">
        <f>F3*$B3</f>
        <v>42792.116196450064</v>
      </c>
      <c r="J3">
        <f>G3*$B3</f>
        <v>85381.496824546164</v>
      </c>
      <c r="L3">
        <f>ROUND(I3^(1/3),0)</f>
        <v>35</v>
      </c>
      <c r="M3">
        <f>ROUND(J3^(1/3),0)</f>
        <v>44</v>
      </c>
      <c r="O3">
        <f>IF(F3=1, "-",L3)</f>
        <v>35</v>
      </c>
      <c r="P3">
        <f t="shared" ref="P3:P14" si="0">IF(G3=1, "-",M3)</f>
        <v>44</v>
      </c>
    </row>
    <row r="4" spans="1:16" x14ac:dyDescent="0.4">
      <c r="A4" t="s">
        <v>1</v>
      </c>
      <c r="B4">
        <v>64000000</v>
      </c>
      <c r="C4">
        <v>0</v>
      </c>
      <c r="D4">
        <v>0</v>
      </c>
      <c r="F4">
        <f t="shared" ref="F4:F14" si="1">10^C4</f>
        <v>1</v>
      </c>
      <c r="G4">
        <f t="shared" ref="G4:G14" si="2">10^D4</f>
        <v>1</v>
      </c>
      <c r="I4">
        <f>F4*$B4</f>
        <v>64000000</v>
      </c>
      <c r="J4">
        <f t="shared" ref="J4:J14" si="3">G4*$B4</f>
        <v>64000000</v>
      </c>
      <c r="L4">
        <f t="shared" ref="L4:L14" si="4">ROUND(I4^(1/3),0)</f>
        <v>400</v>
      </c>
      <c r="M4">
        <f t="shared" ref="M4:M14" si="5">ROUND(J4^(1/3),0)</f>
        <v>400</v>
      </c>
      <c r="O4" t="str">
        <f t="shared" ref="O4:O14" si="6">IF(F4=1, "-",L4)</f>
        <v>-</v>
      </c>
      <c r="P4" t="str">
        <f t="shared" si="0"/>
        <v>-</v>
      </c>
    </row>
    <row r="5" spans="1:16" x14ac:dyDescent="0.4">
      <c r="A5" t="s">
        <v>2</v>
      </c>
      <c r="B5">
        <v>64000000</v>
      </c>
      <c r="C5">
        <v>0</v>
      </c>
      <c r="D5">
        <v>0</v>
      </c>
      <c r="F5">
        <f t="shared" si="1"/>
        <v>1</v>
      </c>
      <c r="G5">
        <f t="shared" si="2"/>
        <v>1</v>
      </c>
      <c r="I5">
        <f t="shared" ref="I5:I14" si="7">F5*$B5</f>
        <v>64000000</v>
      </c>
      <c r="J5">
        <f t="shared" si="3"/>
        <v>64000000</v>
      </c>
      <c r="L5">
        <f t="shared" si="4"/>
        <v>400</v>
      </c>
      <c r="M5">
        <f t="shared" si="5"/>
        <v>400</v>
      </c>
      <c r="O5" t="str">
        <f t="shared" si="6"/>
        <v>-</v>
      </c>
      <c r="P5" t="str">
        <f t="shared" si="0"/>
        <v>-</v>
      </c>
    </row>
    <row r="6" spans="1:16" x14ac:dyDescent="0.4">
      <c r="A6" t="s">
        <v>3</v>
      </c>
      <c r="B6">
        <v>27000000</v>
      </c>
      <c r="C6">
        <v>-1.9</v>
      </c>
      <c r="D6">
        <v>-1.45</v>
      </c>
      <c r="F6">
        <f t="shared" si="1"/>
        <v>1.2589254117941664E-2</v>
      </c>
      <c r="G6">
        <f t="shared" si="2"/>
        <v>3.548133892335753E-2</v>
      </c>
      <c r="I6">
        <f t="shared" si="7"/>
        <v>339909.86118442495</v>
      </c>
      <c r="J6">
        <f t="shared" si="3"/>
        <v>957996.15093065333</v>
      </c>
      <c r="L6">
        <f t="shared" si="4"/>
        <v>70</v>
      </c>
      <c r="M6">
        <f t="shared" si="5"/>
        <v>99</v>
      </c>
      <c r="O6">
        <f t="shared" si="6"/>
        <v>70</v>
      </c>
      <c r="P6">
        <f t="shared" si="0"/>
        <v>99</v>
      </c>
    </row>
    <row r="7" spans="1:16" x14ac:dyDescent="0.4">
      <c r="A7" t="s">
        <v>4</v>
      </c>
      <c r="B7">
        <v>27000000</v>
      </c>
      <c r="C7">
        <v>-2.2000000000000002</v>
      </c>
      <c r="D7">
        <v>-2</v>
      </c>
      <c r="F7">
        <f t="shared" si="1"/>
        <v>6.3095734448019251E-3</v>
      </c>
      <c r="G7">
        <f t="shared" si="2"/>
        <v>0.01</v>
      </c>
      <c r="I7">
        <f t="shared" si="7"/>
        <v>170358.48300965197</v>
      </c>
      <c r="J7">
        <f t="shared" si="3"/>
        <v>270000</v>
      </c>
      <c r="L7">
        <f t="shared" si="4"/>
        <v>55</v>
      </c>
      <c r="M7">
        <f t="shared" si="5"/>
        <v>65</v>
      </c>
      <c r="O7">
        <f t="shared" si="6"/>
        <v>55</v>
      </c>
      <c r="P7">
        <f t="shared" si="0"/>
        <v>65</v>
      </c>
    </row>
    <row r="8" spans="1:16" x14ac:dyDescent="0.4">
      <c r="A8" t="s">
        <v>5</v>
      </c>
      <c r="B8">
        <v>27000000</v>
      </c>
      <c r="C8">
        <v>-2.4</v>
      </c>
      <c r="D8">
        <v>-1.5</v>
      </c>
      <c r="F8">
        <f t="shared" si="1"/>
        <v>3.9810717055349717E-3</v>
      </c>
      <c r="G8">
        <f t="shared" si="2"/>
        <v>3.1622776601683784E-2</v>
      </c>
      <c r="I8">
        <f t="shared" si="7"/>
        <v>107488.93604944424</v>
      </c>
      <c r="J8">
        <f t="shared" si="3"/>
        <v>853814.96824546217</v>
      </c>
      <c r="L8">
        <f t="shared" si="4"/>
        <v>48</v>
      </c>
      <c r="M8">
        <f t="shared" si="5"/>
        <v>95</v>
      </c>
      <c r="O8">
        <f t="shared" si="6"/>
        <v>48</v>
      </c>
      <c r="P8">
        <f t="shared" si="0"/>
        <v>95</v>
      </c>
    </row>
    <row r="9" spans="1:16" x14ac:dyDescent="0.4">
      <c r="A9" t="s">
        <v>6</v>
      </c>
      <c r="B9">
        <v>27000000</v>
      </c>
      <c r="C9">
        <v>-2.6</v>
      </c>
      <c r="D9">
        <v>-1.6</v>
      </c>
      <c r="F9">
        <f t="shared" si="1"/>
        <v>2.5118864315095777E-3</v>
      </c>
      <c r="G9">
        <f t="shared" si="2"/>
        <v>2.511886431509578E-2</v>
      </c>
      <c r="I9">
        <f t="shared" si="7"/>
        <v>67820.933650758598</v>
      </c>
      <c r="J9">
        <f t="shared" si="3"/>
        <v>678209.33650758606</v>
      </c>
      <c r="L9">
        <f t="shared" si="4"/>
        <v>41</v>
      </c>
      <c r="M9">
        <f t="shared" si="5"/>
        <v>88</v>
      </c>
      <c r="O9">
        <f t="shared" si="6"/>
        <v>41</v>
      </c>
      <c r="P9">
        <f t="shared" si="0"/>
        <v>88</v>
      </c>
    </row>
    <row r="10" spans="1:16" x14ac:dyDescent="0.4">
      <c r="A10" t="s">
        <v>7</v>
      </c>
      <c r="B10">
        <v>27000000</v>
      </c>
      <c r="C10">
        <v>0</v>
      </c>
      <c r="D10">
        <v>0</v>
      </c>
      <c r="F10">
        <f t="shared" si="1"/>
        <v>1</v>
      </c>
      <c r="G10">
        <f t="shared" si="2"/>
        <v>1</v>
      </c>
      <c r="I10">
        <f t="shared" si="7"/>
        <v>27000000</v>
      </c>
      <c r="J10">
        <f t="shared" si="3"/>
        <v>27000000</v>
      </c>
      <c r="L10">
        <f t="shared" si="4"/>
        <v>300</v>
      </c>
      <c r="M10">
        <f t="shared" si="5"/>
        <v>300</v>
      </c>
      <c r="O10" t="str">
        <f t="shared" si="6"/>
        <v>-</v>
      </c>
      <c r="P10" t="str">
        <f t="shared" si="0"/>
        <v>-</v>
      </c>
    </row>
    <row r="11" spans="1:16" x14ac:dyDescent="0.4">
      <c r="A11" t="s">
        <v>8</v>
      </c>
      <c r="B11">
        <v>27000000</v>
      </c>
      <c r="C11">
        <v>0</v>
      </c>
      <c r="D11">
        <v>0</v>
      </c>
      <c r="F11">
        <f t="shared" si="1"/>
        <v>1</v>
      </c>
      <c r="G11">
        <f t="shared" si="2"/>
        <v>1</v>
      </c>
      <c r="I11">
        <f t="shared" si="7"/>
        <v>27000000</v>
      </c>
      <c r="J11">
        <f t="shared" si="3"/>
        <v>27000000</v>
      </c>
      <c r="L11">
        <f t="shared" si="4"/>
        <v>300</v>
      </c>
      <c r="M11">
        <f t="shared" si="5"/>
        <v>300</v>
      </c>
      <c r="O11" t="str">
        <f t="shared" si="6"/>
        <v>-</v>
      </c>
      <c r="P11" t="str">
        <f t="shared" si="0"/>
        <v>-</v>
      </c>
    </row>
    <row r="12" spans="1:16" x14ac:dyDescent="0.4">
      <c r="A12" t="s">
        <v>9</v>
      </c>
      <c r="B12">
        <v>27000000</v>
      </c>
      <c r="C12">
        <v>-1.5</v>
      </c>
      <c r="D12">
        <v>-1.5</v>
      </c>
      <c r="F12">
        <f t="shared" si="1"/>
        <v>3.1622776601683784E-2</v>
      </c>
      <c r="G12">
        <f t="shared" si="2"/>
        <v>3.1622776601683784E-2</v>
      </c>
      <c r="I12">
        <f>F12*$B12</f>
        <v>853814.96824546217</v>
      </c>
      <c r="J12">
        <f t="shared" si="3"/>
        <v>853814.96824546217</v>
      </c>
      <c r="L12">
        <f t="shared" si="4"/>
        <v>95</v>
      </c>
      <c r="M12">
        <f t="shared" si="5"/>
        <v>95</v>
      </c>
      <c r="O12">
        <f t="shared" si="6"/>
        <v>95</v>
      </c>
      <c r="P12">
        <f t="shared" si="0"/>
        <v>95</v>
      </c>
    </row>
    <row r="13" spans="1:16" x14ac:dyDescent="0.4">
      <c r="A13" t="s">
        <v>10</v>
      </c>
      <c r="B13">
        <v>27000000</v>
      </c>
      <c r="C13">
        <v>-2.1</v>
      </c>
      <c r="D13">
        <v>-2</v>
      </c>
      <c r="F13">
        <f t="shared" si="1"/>
        <v>7.9432823472428121E-3</v>
      </c>
      <c r="G13">
        <f t="shared" si="2"/>
        <v>0.01</v>
      </c>
      <c r="I13">
        <f t="shared" si="7"/>
        <v>214468.62337555594</v>
      </c>
      <c r="J13">
        <f t="shared" si="3"/>
        <v>270000</v>
      </c>
      <c r="L13">
        <f t="shared" si="4"/>
        <v>60</v>
      </c>
      <c r="M13">
        <f t="shared" si="5"/>
        <v>65</v>
      </c>
      <c r="O13">
        <f t="shared" si="6"/>
        <v>60</v>
      </c>
      <c r="P13">
        <f t="shared" si="0"/>
        <v>65</v>
      </c>
    </row>
    <row r="14" spans="1:16" x14ac:dyDescent="0.4">
      <c r="A14" t="s">
        <v>11</v>
      </c>
      <c r="B14">
        <v>27000000</v>
      </c>
      <c r="C14">
        <v>0</v>
      </c>
      <c r="D14">
        <v>0</v>
      </c>
      <c r="F14">
        <f t="shared" si="1"/>
        <v>1</v>
      </c>
      <c r="G14">
        <f t="shared" si="2"/>
        <v>1</v>
      </c>
      <c r="I14">
        <f t="shared" si="7"/>
        <v>27000000</v>
      </c>
      <c r="J14">
        <f t="shared" si="3"/>
        <v>27000000</v>
      </c>
      <c r="L14">
        <f t="shared" si="4"/>
        <v>300</v>
      </c>
      <c r="M14">
        <f t="shared" si="5"/>
        <v>300</v>
      </c>
      <c r="O14" t="str">
        <f t="shared" si="6"/>
        <v>-</v>
      </c>
      <c r="P14" t="str">
        <f t="shared" si="0"/>
        <v>-</v>
      </c>
    </row>
    <row r="15" spans="1:16" x14ac:dyDescent="0.4">
      <c r="A15" t="s">
        <v>0</v>
      </c>
      <c r="B15">
        <f>400^3</f>
        <v>64000000</v>
      </c>
      <c r="C15">
        <v>-1</v>
      </c>
      <c r="D15">
        <v>-2.5</v>
      </c>
      <c r="F15">
        <f>10^C15</f>
        <v>0.1</v>
      </c>
      <c r="G15">
        <f>10^D15</f>
        <v>3.1622776601683764E-3</v>
      </c>
      <c r="I15">
        <f>F15*$B15</f>
        <v>6400000</v>
      </c>
      <c r="J15">
        <f>G15*$B15</f>
        <v>202385.77025077608</v>
      </c>
      <c r="L15">
        <f>ROUND(I15^(1/3),0)</f>
        <v>186</v>
      </c>
      <c r="M15">
        <f>ROUND(J15^(1/3),0)</f>
        <v>59</v>
      </c>
      <c r="O15">
        <f>IF(F15=1, "-",L15)</f>
        <v>186</v>
      </c>
      <c r="P15">
        <f t="shared" ref="P15" si="8">IF(G15=1, "-",M15)</f>
        <v>59</v>
      </c>
    </row>
    <row r="18" spans="2:27" x14ac:dyDescent="0.4">
      <c r="V18">
        <f>2/0.15</f>
        <v>13.333333333333334</v>
      </c>
    </row>
    <row r="19" spans="2:27" x14ac:dyDescent="0.4">
      <c r="V19">
        <f>SQRT(V18)</f>
        <v>3.6514837167011076</v>
      </c>
    </row>
    <row r="20" spans="2:27" x14ac:dyDescent="0.4">
      <c r="E20">
        <f>LOG10(100^3 / B6)</f>
        <v>-1.4313637641589874</v>
      </c>
      <c r="H20">
        <f>10^3</f>
        <v>1000</v>
      </c>
      <c r="J20">
        <f>100^3</f>
        <v>1000000</v>
      </c>
      <c r="L20">
        <f>150^3</f>
        <v>3375000</v>
      </c>
      <c r="R20">
        <f>300^3</f>
        <v>27000000</v>
      </c>
    </row>
    <row r="21" spans="2:27" x14ac:dyDescent="0.4">
      <c r="H21">
        <f>H20/B3</f>
        <v>3.7037037037037037E-5</v>
      </c>
      <c r="J21">
        <f>J20/B3 * 100</f>
        <v>3.7037037037037033</v>
      </c>
      <c r="R21">
        <f>R20/4</f>
        <v>6750000</v>
      </c>
    </row>
    <row r="22" spans="2:27" x14ac:dyDescent="0.4">
      <c r="H22">
        <f>H21*100</f>
        <v>3.7037037037037038E-3</v>
      </c>
      <c r="J22">
        <f>J20/B4 *100</f>
        <v>1.5625</v>
      </c>
      <c r="L22">
        <f>L20/B3 * 100</f>
        <v>12.5</v>
      </c>
      <c r="R22">
        <f>R21^(1/3)</f>
        <v>188.98815748423087</v>
      </c>
    </row>
    <row r="26" spans="2:27" ht="15" thickBot="1" x14ac:dyDescent="0.45"/>
    <row r="27" spans="2:27" ht="16.3" thickBot="1" x14ac:dyDescent="0.45">
      <c r="B27" t="s">
        <v>41</v>
      </c>
      <c r="C27" t="s">
        <v>0</v>
      </c>
      <c r="D27" t="s">
        <v>1</v>
      </c>
      <c r="E27" t="s">
        <v>2</v>
      </c>
      <c r="F27" t="s">
        <v>3</v>
      </c>
      <c r="G27" t="s">
        <v>4</v>
      </c>
      <c r="H27" t="s">
        <v>5</v>
      </c>
      <c r="I27" t="s">
        <v>6</v>
      </c>
      <c r="J27" t="s">
        <v>7</v>
      </c>
      <c r="K27" t="s">
        <v>8</v>
      </c>
      <c r="L27" t="s">
        <v>9</v>
      </c>
      <c r="M27" t="s">
        <v>10</v>
      </c>
      <c r="N27" t="s">
        <v>11</v>
      </c>
      <c r="S27" t="s">
        <v>12</v>
      </c>
      <c r="W27" s="4" t="s">
        <v>66</v>
      </c>
      <c r="X27" s="5" t="s">
        <v>67</v>
      </c>
      <c r="Z27" t="str">
        <f>LEFT(W27,2)</f>
        <v>35</v>
      </c>
      <c r="AA27" t="str">
        <f>LEFT(X27,2)</f>
        <v>44</v>
      </c>
    </row>
    <row r="28" spans="2:27" ht="16.3" thickBot="1" x14ac:dyDescent="0.45">
      <c r="B28" t="s">
        <v>42</v>
      </c>
      <c r="C28">
        <v>3.85</v>
      </c>
      <c r="D28">
        <v>2.85</v>
      </c>
      <c r="E28">
        <v>5.35</v>
      </c>
      <c r="F28">
        <v>8.68</v>
      </c>
      <c r="G28">
        <v>4.96</v>
      </c>
      <c r="H28">
        <v>9.1</v>
      </c>
      <c r="I28">
        <v>8.9600000000000009</v>
      </c>
      <c r="J28">
        <v>4</v>
      </c>
      <c r="K28">
        <v>5.0999999999999996</v>
      </c>
      <c r="L28">
        <v>4.8</v>
      </c>
      <c r="M28">
        <v>4.8899999999999997</v>
      </c>
      <c r="N28">
        <v>3.4</v>
      </c>
      <c r="R28" t="s">
        <v>40</v>
      </c>
      <c r="S28" t="s">
        <v>13</v>
      </c>
      <c r="T28" t="s">
        <v>14</v>
      </c>
      <c r="W28" s="6" t="s">
        <v>68</v>
      </c>
      <c r="X28" s="7" t="s">
        <v>68</v>
      </c>
      <c r="Z28" t="str">
        <f t="shared" ref="Z28:Z39" si="9">LEFT(W28,2)</f>
        <v>-</v>
      </c>
      <c r="AA28" t="str">
        <f t="shared" ref="AA28:AA39" si="10">LEFT(X28,2)</f>
        <v>-</v>
      </c>
    </row>
    <row r="29" spans="2:27" ht="16.3" thickBot="1" x14ac:dyDescent="0.45">
      <c r="B29" t="s">
        <v>43</v>
      </c>
      <c r="C29">
        <v>3003</v>
      </c>
      <c r="D29">
        <v>4003</v>
      </c>
      <c r="E29">
        <v>4003</v>
      </c>
      <c r="F29">
        <v>3003</v>
      </c>
      <c r="G29">
        <v>3003</v>
      </c>
      <c r="H29">
        <v>3003</v>
      </c>
      <c r="I29">
        <v>3003</v>
      </c>
      <c r="J29">
        <v>3003</v>
      </c>
      <c r="K29">
        <v>3003</v>
      </c>
      <c r="L29">
        <v>3003</v>
      </c>
      <c r="M29">
        <v>3003</v>
      </c>
      <c r="N29">
        <v>3003</v>
      </c>
      <c r="R29" t="s">
        <v>0</v>
      </c>
      <c r="W29" s="6" t="s">
        <v>68</v>
      </c>
      <c r="X29" s="7" t="s">
        <v>68</v>
      </c>
      <c r="Z29" t="str">
        <f t="shared" si="9"/>
        <v>-</v>
      </c>
      <c r="AA29" t="str">
        <f t="shared" si="10"/>
        <v>-</v>
      </c>
    </row>
    <row r="30" spans="2:27" ht="16.3" thickBot="1" x14ac:dyDescent="0.45">
      <c r="B30" t="s">
        <v>44</v>
      </c>
      <c r="C30" t="s">
        <v>45</v>
      </c>
      <c r="D30" t="s">
        <v>45</v>
      </c>
      <c r="E30" t="s">
        <v>45</v>
      </c>
      <c r="F30" t="s">
        <v>45</v>
      </c>
      <c r="G30" t="s">
        <v>45</v>
      </c>
      <c r="H30" t="s">
        <v>45</v>
      </c>
      <c r="I30" t="s">
        <v>45</v>
      </c>
      <c r="J30" t="s">
        <v>45</v>
      </c>
      <c r="K30" t="s">
        <v>45</v>
      </c>
      <c r="L30" t="s">
        <v>45</v>
      </c>
      <c r="M30" t="s">
        <v>45</v>
      </c>
      <c r="N30" t="s">
        <v>45</v>
      </c>
      <c r="R30" t="s">
        <v>1</v>
      </c>
      <c r="W30" s="6" t="s">
        <v>69</v>
      </c>
      <c r="X30" s="7" t="s">
        <v>70</v>
      </c>
      <c r="Z30" t="str">
        <f t="shared" si="9"/>
        <v>70</v>
      </c>
      <c r="AA30" t="str">
        <f t="shared" si="10"/>
        <v>99</v>
      </c>
    </row>
    <row r="31" spans="2:27" ht="16.3" thickBot="1" x14ac:dyDescent="0.45">
      <c r="B31" t="s">
        <v>46</v>
      </c>
      <c r="C31">
        <v>42.9</v>
      </c>
      <c r="D31">
        <v>23.3</v>
      </c>
      <c r="E31">
        <v>16.8</v>
      </c>
      <c r="F31">
        <v>14.1</v>
      </c>
      <c r="G31">
        <v>24.6</v>
      </c>
      <c r="H31">
        <v>16.899999999999999</v>
      </c>
      <c r="I31">
        <v>17.100000000000001</v>
      </c>
      <c r="J31">
        <v>21.1</v>
      </c>
      <c r="K31">
        <v>24</v>
      </c>
      <c r="L31">
        <v>25</v>
      </c>
      <c r="M31">
        <v>34</v>
      </c>
      <c r="N31">
        <v>22.2</v>
      </c>
      <c r="R31" t="s">
        <v>2</v>
      </c>
      <c r="W31" s="6" t="s">
        <v>71</v>
      </c>
      <c r="X31" s="7" t="s">
        <v>72</v>
      </c>
      <c r="Z31" t="str">
        <f t="shared" si="9"/>
        <v>55</v>
      </c>
      <c r="AA31" t="str">
        <f t="shared" si="10"/>
        <v>65</v>
      </c>
    </row>
    <row r="32" spans="2:27" ht="16.3" thickBot="1" x14ac:dyDescent="0.45">
      <c r="C32">
        <f>C31/100</f>
        <v>0.42899999999999999</v>
      </c>
      <c r="D32">
        <f t="shared" ref="D32:N32" si="11">D31/100</f>
        <v>0.23300000000000001</v>
      </c>
      <c r="E32">
        <f t="shared" si="11"/>
        <v>0.16800000000000001</v>
      </c>
      <c r="F32">
        <f t="shared" si="11"/>
        <v>0.14099999999999999</v>
      </c>
      <c r="G32">
        <f t="shared" si="11"/>
        <v>0.24600000000000002</v>
      </c>
      <c r="H32">
        <f t="shared" si="11"/>
        <v>0.16899999999999998</v>
      </c>
      <c r="I32">
        <f t="shared" si="11"/>
        <v>0.17100000000000001</v>
      </c>
      <c r="J32">
        <f t="shared" si="11"/>
        <v>0.21100000000000002</v>
      </c>
      <c r="K32">
        <f t="shared" si="11"/>
        <v>0.24</v>
      </c>
      <c r="L32">
        <f t="shared" si="11"/>
        <v>0.25</v>
      </c>
      <c r="M32">
        <f t="shared" si="11"/>
        <v>0.34</v>
      </c>
      <c r="N32">
        <f t="shared" si="11"/>
        <v>0.222</v>
      </c>
      <c r="W32" s="6"/>
      <c r="X32" s="7"/>
    </row>
    <row r="33" spans="2:27" ht="16.3" thickBot="1" x14ac:dyDescent="0.45">
      <c r="B33" t="s">
        <v>47</v>
      </c>
      <c r="C33">
        <v>42.9</v>
      </c>
      <c r="D33">
        <v>21.3</v>
      </c>
      <c r="E33">
        <v>14.1</v>
      </c>
      <c r="F33">
        <v>14.1</v>
      </c>
      <c r="G33">
        <v>24.6</v>
      </c>
      <c r="H33">
        <v>16.600000000000001</v>
      </c>
      <c r="I33">
        <v>16.5</v>
      </c>
      <c r="J33">
        <v>21.1</v>
      </c>
      <c r="K33">
        <v>24</v>
      </c>
      <c r="L33">
        <v>25</v>
      </c>
      <c r="M33">
        <v>34</v>
      </c>
      <c r="N33">
        <v>22.1</v>
      </c>
      <c r="R33" t="s">
        <v>3</v>
      </c>
      <c r="W33" s="6" t="s">
        <v>73</v>
      </c>
      <c r="X33" s="7" t="s">
        <v>74</v>
      </c>
      <c r="Z33" t="str">
        <f t="shared" si="9"/>
        <v>48</v>
      </c>
      <c r="AA33" t="str">
        <f t="shared" si="10"/>
        <v>95</v>
      </c>
    </row>
    <row r="34" spans="2:27" ht="16.3" thickBot="1" x14ac:dyDescent="0.45">
      <c r="B34" t="s">
        <v>48</v>
      </c>
      <c r="C34">
        <v>4065</v>
      </c>
      <c r="D34">
        <v>2957</v>
      </c>
      <c r="E34">
        <v>4600</v>
      </c>
      <c r="F34">
        <v>1857</v>
      </c>
      <c r="G34">
        <v>2249</v>
      </c>
      <c r="H34">
        <v>8571</v>
      </c>
      <c r="I34">
        <v>8433</v>
      </c>
      <c r="J34">
        <v>577</v>
      </c>
      <c r="K34">
        <v>708</v>
      </c>
      <c r="L34">
        <v>1293</v>
      </c>
      <c r="M34">
        <v>1603</v>
      </c>
      <c r="N34">
        <v>610</v>
      </c>
      <c r="R34" t="s">
        <v>4</v>
      </c>
      <c r="W34" s="6" t="s">
        <v>75</v>
      </c>
      <c r="X34" s="7" t="s">
        <v>68</v>
      </c>
      <c r="Z34" t="str">
        <f t="shared" si="9"/>
        <v>41</v>
      </c>
      <c r="AA34" t="str">
        <f t="shared" si="10"/>
        <v>-</v>
      </c>
    </row>
    <row r="35" spans="2:27" ht="16.3" thickBot="1" x14ac:dyDescent="0.45">
      <c r="B35" t="s">
        <v>49</v>
      </c>
      <c r="C35">
        <v>10059</v>
      </c>
      <c r="D35">
        <v>4938</v>
      </c>
      <c r="E35">
        <v>7093</v>
      </c>
      <c r="F35">
        <v>2725</v>
      </c>
      <c r="G35">
        <v>4608</v>
      </c>
      <c r="H35">
        <v>12911</v>
      </c>
      <c r="I35">
        <v>11057</v>
      </c>
      <c r="J35">
        <v>899</v>
      </c>
      <c r="K35">
        <v>1219</v>
      </c>
      <c r="L35">
        <v>2717</v>
      </c>
      <c r="M35">
        <v>3820</v>
      </c>
      <c r="N35">
        <v>992</v>
      </c>
      <c r="R35" t="s">
        <v>5</v>
      </c>
      <c r="W35" s="6" t="s">
        <v>68</v>
      </c>
      <c r="X35" s="7" t="s">
        <v>68</v>
      </c>
      <c r="Z35" t="str">
        <f t="shared" si="9"/>
        <v>-</v>
      </c>
      <c r="AA35" t="str">
        <f t="shared" si="10"/>
        <v>-</v>
      </c>
    </row>
    <row r="36" spans="2:27" ht="16.3" thickBot="1" x14ac:dyDescent="0.45">
      <c r="B36" t="s">
        <v>50</v>
      </c>
      <c r="C36">
        <v>4.95</v>
      </c>
      <c r="D36">
        <v>3.34</v>
      </c>
      <c r="E36">
        <v>3.08</v>
      </c>
      <c r="F36">
        <v>2.93</v>
      </c>
      <c r="G36">
        <v>4.0999999999999996</v>
      </c>
      <c r="H36">
        <v>3.01</v>
      </c>
      <c r="I36">
        <v>2.62</v>
      </c>
      <c r="J36">
        <v>3.12</v>
      </c>
      <c r="K36">
        <v>3.44</v>
      </c>
      <c r="L36">
        <v>4.2</v>
      </c>
      <c r="M36">
        <v>4.7699999999999996</v>
      </c>
      <c r="N36">
        <v>3.25</v>
      </c>
      <c r="R36" t="s">
        <v>6</v>
      </c>
      <c r="W36" s="6" t="s">
        <v>68</v>
      </c>
      <c r="X36" s="7" t="s">
        <v>68</v>
      </c>
      <c r="Z36" t="str">
        <f t="shared" si="9"/>
        <v>-</v>
      </c>
      <c r="AA36" t="str">
        <f t="shared" si="10"/>
        <v>-</v>
      </c>
    </row>
    <row r="37" spans="2:27" ht="16.3" thickBot="1" x14ac:dyDescent="0.45">
      <c r="B37" t="s">
        <v>51</v>
      </c>
      <c r="C37">
        <v>14.83</v>
      </c>
      <c r="D37">
        <v>9.7799999999999994</v>
      </c>
      <c r="E37">
        <v>16.260000000000002</v>
      </c>
      <c r="F37">
        <v>30.12</v>
      </c>
      <c r="G37">
        <v>18.829999999999998</v>
      </c>
      <c r="H37">
        <v>21.38</v>
      </c>
      <c r="I37">
        <v>21.84</v>
      </c>
      <c r="J37">
        <v>18.18</v>
      </c>
      <c r="K37">
        <v>20.89</v>
      </c>
      <c r="L37">
        <v>20.03</v>
      </c>
      <c r="M37">
        <v>21.91</v>
      </c>
      <c r="N37">
        <v>18.3</v>
      </c>
      <c r="R37" t="s">
        <v>7</v>
      </c>
      <c r="W37" s="6" t="s">
        <v>74</v>
      </c>
      <c r="X37" s="7" t="s">
        <v>74</v>
      </c>
      <c r="Z37" t="str">
        <f t="shared" si="9"/>
        <v>95</v>
      </c>
      <c r="AA37" t="str">
        <f t="shared" si="10"/>
        <v>95</v>
      </c>
    </row>
    <row r="38" spans="2:27" ht="16.3" thickBot="1" x14ac:dyDescent="0.45">
      <c r="B38" t="s">
        <v>52</v>
      </c>
      <c r="C38">
        <v>9.0299999999999994</v>
      </c>
      <c r="D38">
        <v>5.85</v>
      </c>
      <c r="E38">
        <v>9.16</v>
      </c>
      <c r="F38">
        <v>16.829999999999998</v>
      </c>
      <c r="G38">
        <v>10.63</v>
      </c>
      <c r="H38">
        <v>11.41</v>
      </c>
      <c r="I38">
        <v>11.97</v>
      </c>
      <c r="J38">
        <v>11.09</v>
      </c>
      <c r="K38">
        <v>12.25</v>
      </c>
      <c r="L38">
        <v>11.68</v>
      </c>
      <c r="M38">
        <v>12.89</v>
      </c>
      <c r="N38">
        <v>10.039999999999999</v>
      </c>
      <c r="R38" t="s">
        <v>8</v>
      </c>
      <c r="W38" s="6" t="s">
        <v>76</v>
      </c>
      <c r="X38" s="7" t="s">
        <v>72</v>
      </c>
      <c r="Z38" t="str">
        <f t="shared" si="9"/>
        <v>60</v>
      </c>
      <c r="AA38" t="str">
        <f t="shared" si="10"/>
        <v>65</v>
      </c>
    </row>
    <row r="39" spans="2:27" ht="16.3" thickBot="1" x14ac:dyDescent="0.45">
      <c r="B39" t="s">
        <v>53</v>
      </c>
      <c r="C39">
        <v>2.7</v>
      </c>
      <c r="D39">
        <v>3.44</v>
      </c>
      <c r="E39">
        <v>2.93</v>
      </c>
      <c r="F39">
        <v>2.75</v>
      </c>
      <c r="G39">
        <v>2.86</v>
      </c>
      <c r="H39">
        <v>2.5099999999999998</v>
      </c>
      <c r="I39">
        <v>2.41</v>
      </c>
      <c r="J39">
        <v>3.74</v>
      </c>
      <c r="K39">
        <v>3.88</v>
      </c>
      <c r="L39">
        <v>3.25</v>
      </c>
      <c r="M39">
        <v>3.1</v>
      </c>
      <c r="N39">
        <v>3.8</v>
      </c>
      <c r="R39" t="s">
        <v>9</v>
      </c>
      <c r="W39" s="6" t="s">
        <v>68</v>
      </c>
      <c r="X39" s="7" t="s">
        <v>68</v>
      </c>
      <c r="Z39" t="str">
        <f t="shared" si="9"/>
        <v>-</v>
      </c>
      <c r="AA39" t="str">
        <f t="shared" si="10"/>
        <v>-</v>
      </c>
    </row>
    <row r="40" spans="2:27" x14ac:dyDescent="0.4">
      <c r="B40" t="s">
        <v>54</v>
      </c>
      <c r="C40">
        <v>1.28</v>
      </c>
      <c r="D40">
        <v>0.94</v>
      </c>
      <c r="E40">
        <v>2.64</v>
      </c>
      <c r="F40">
        <v>11.44</v>
      </c>
      <c r="G40">
        <v>2.9</v>
      </c>
      <c r="H40">
        <v>3.35</v>
      </c>
      <c r="I40">
        <v>3.31</v>
      </c>
      <c r="J40">
        <v>5.48</v>
      </c>
      <c r="K40">
        <v>10.64</v>
      </c>
      <c r="L40">
        <v>4.78</v>
      </c>
      <c r="M40">
        <v>5.36</v>
      </c>
      <c r="N40">
        <v>3.27</v>
      </c>
      <c r="R40" t="s">
        <v>10</v>
      </c>
    </row>
    <row r="41" spans="2:27" x14ac:dyDescent="0.4">
      <c r="B41" t="s">
        <v>55</v>
      </c>
      <c r="C41">
        <v>1.39</v>
      </c>
      <c r="D41">
        <v>0.75</v>
      </c>
      <c r="E41">
        <v>2.29</v>
      </c>
      <c r="F41">
        <v>13.24</v>
      </c>
      <c r="G41">
        <v>3.37</v>
      </c>
      <c r="H41">
        <v>3.9</v>
      </c>
      <c r="I41">
        <v>3.74</v>
      </c>
      <c r="J41">
        <v>5.3</v>
      </c>
      <c r="K41">
        <v>8.7200000000000006</v>
      </c>
      <c r="L41">
        <v>4.84</v>
      </c>
      <c r="M41">
        <v>5.61</v>
      </c>
      <c r="N41">
        <v>3.52</v>
      </c>
      <c r="R41" t="s">
        <v>11</v>
      </c>
    </row>
    <row r="42" spans="2:27" x14ac:dyDescent="0.4">
      <c r="B42" t="s">
        <v>56</v>
      </c>
      <c r="C42">
        <v>78.84</v>
      </c>
      <c r="D42">
        <v>88.27</v>
      </c>
      <c r="E42">
        <v>88.22</v>
      </c>
      <c r="F42">
        <v>85.49</v>
      </c>
      <c r="G42">
        <v>80.8</v>
      </c>
      <c r="H42">
        <v>85.07</v>
      </c>
      <c r="I42">
        <v>87.08</v>
      </c>
      <c r="J42">
        <v>86.9</v>
      </c>
      <c r="K42">
        <v>87.63</v>
      </c>
      <c r="L42">
        <v>82.44</v>
      </c>
      <c r="M42">
        <v>80.02</v>
      </c>
      <c r="N42">
        <v>85.09</v>
      </c>
    </row>
    <row r="43" spans="2:27" x14ac:dyDescent="0.4">
      <c r="B43" t="s">
        <v>57</v>
      </c>
      <c r="C43">
        <v>99.2</v>
      </c>
      <c r="D43">
        <v>82.8</v>
      </c>
      <c r="E43">
        <v>115.6</v>
      </c>
      <c r="F43">
        <v>211.3</v>
      </c>
      <c r="G43">
        <v>132.6</v>
      </c>
      <c r="H43">
        <v>141.9</v>
      </c>
      <c r="I43">
        <v>135.6</v>
      </c>
      <c r="J43">
        <v>161.30000000000001</v>
      </c>
      <c r="K43">
        <v>190.6</v>
      </c>
      <c r="L43">
        <v>158.19999999999999</v>
      </c>
      <c r="M43">
        <v>162.19999999999999</v>
      </c>
      <c r="N43">
        <v>139.4</v>
      </c>
    </row>
    <row r="44" spans="2:27" x14ac:dyDescent="0.4">
      <c r="B44" t="s">
        <v>58</v>
      </c>
      <c r="C44" s="3">
        <v>6773</v>
      </c>
      <c r="D44" s="3">
        <v>1289</v>
      </c>
      <c r="E44">
        <v>136</v>
      </c>
      <c r="F44" s="3">
        <v>2138</v>
      </c>
      <c r="G44" s="3">
        <v>4198</v>
      </c>
      <c r="H44">
        <v>744</v>
      </c>
      <c r="I44">
        <v>439</v>
      </c>
      <c r="J44" s="3">
        <v>6847</v>
      </c>
      <c r="K44" s="3">
        <v>13175</v>
      </c>
      <c r="L44" s="3">
        <v>7915</v>
      </c>
      <c r="M44" s="3">
        <v>14999</v>
      </c>
      <c r="N44" s="3">
        <v>2283</v>
      </c>
    </row>
    <row r="45" spans="2:27" x14ac:dyDescent="0.4">
      <c r="B45" t="s">
        <v>59</v>
      </c>
      <c r="C45" s="3">
        <v>9232</v>
      </c>
      <c r="D45" s="3">
        <v>2282</v>
      </c>
      <c r="E45">
        <v>289</v>
      </c>
      <c r="F45" s="3">
        <v>2597</v>
      </c>
      <c r="G45" s="3">
        <v>4883</v>
      </c>
      <c r="H45" s="3">
        <v>1200</v>
      </c>
      <c r="I45">
        <v>596</v>
      </c>
      <c r="J45" s="3">
        <v>6396</v>
      </c>
      <c r="K45" s="3">
        <v>13976</v>
      </c>
      <c r="L45" s="3">
        <v>9254</v>
      </c>
      <c r="M45" s="3">
        <v>15666</v>
      </c>
      <c r="N45" s="3">
        <v>2790</v>
      </c>
    </row>
    <row r="46" spans="2:27" x14ac:dyDescent="0.4">
      <c r="B46" t="s">
        <v>60</v>
      </c>
      <c r="C46" s="3">
        <v>9664</v>
      </c>
      <c r="D46" s="3">
        <v>1138</v>
      </c>
      <c r="E46">
        <v>139</v>
      </c>
      <c r="F46" s="3">
        <v>2816</v>
      </c>
      <c r="G46" s="3">
        <v>5174</v>
      </c>
      <c r="H46">
        <v>733</v>
      </c>
      <c r="I46">
        <v>587</v>
      </c>
      <c r="J46" s="3">
        <v>6202</v>
      </c>
      <c r="K46" s="3">
        <v>14660</v>
      </c>
      <c r="L46" s="3">
        <v>9271</v>
      </c>
      <c r="M46" s="3">
        <v>14897</v>
      </c>
      <c r="N46" s="3">
        <v>3506</v>
      </c>
    </row>
    <row r="47" spans="2:27" x14ac:dyDescent="0.4">
      <c r="B47" t="s">
        <v>61</v>
      </c>
      <c r="C47" s="3">
        <v>8556</v>
      </c>
      <c r="D47">
        <v>1569</v>
      </c>
      <c r="E47">
        <v>188</v>
      </c>
      <c r="F47" s="3">
        <v>2517</v>
      </c>
      <c r="G47" s="3">
        <v>4751</v>
      </c>
      <c r="H47">
        <v>892</v>
      </c>
      <c r="I47">
        <v>541</v>
      </c>
      <c r="J47" s="3">
        <v>6481</v>
      </c>
      <c r="K47" s="3">
        <v>13937</v>
      </c>
      <c r="L47" s="3">
        <v>8813</v>
      </c>
      <c r="M47" s="3">
        <v>15187</v>
      </c>
      <c r="N47" s="3">
        <v>2860</v>
      </c>
    </row>
    <row r="48" spans="2:27" x14ac:dyDescent="0.4">
      <c r="B48" t="s">
        <v>62</v>
      </c>
      <c r="C48">
        <v>5.58</v>
      </c>
      <c r="D48">
        <v>27.94</v>
      </c>
      <c r="E48">
        <v>281.8</v>
      </c>
      <c r="F48">
        <v>50.41</v>
      </c>
      <c r="G48">
        <v>12.52</v>
      </c>
      <c r="H48">
        <v>62.4</v>
      </c>
      <c r="I48">
        <v>104.2</v>
      </c>
      <c r="J48">
        <v>15.74</v>
      </c>
      <c r="K48">
        <v>13.34</v>
      </c>
      <c r="L48">
        <v>10.58</v>
      </c>
      <c r="M48">
        <v>6.42</v>
      </c>
      <c r="N48">
        <v>17.690000000000001</v>
      </c>
    </row>
    <row r="49" spans="2:14" x14ac:dyDescent="0.4">
      <c r="B49" t="s">
        <v>63</v>
      </c>
      <c r="C49">
        <v>4.4000000000000004</v>
      </c>
      <c r="D49">
        <v>21.46</v>
      </c>
      <c r="E49">
        <v>136.19999999999999</v>
      </c>
      <c r="F49">
        <v>38.07</v>
      </c>
      <c r="G49">
        <v>11.03</v>
      </c>
      <c r="H49">
        <v>39.19</v>
      </c>
      <c r="I49">
        <v>67.78</v>
      </c>
      <c r="J49">
        <v>14.4</v>
      </c>
      <c r="K49">
        <v>11.78</v>
      </c>
      <c r="L49">
        <v>9.48</v>
      </c>
      <c r="M49">
        <v>6.05</v>
      </c>
      <c r="N49">
        <v>20.22</v>
      </c>
    </row>
    <row r="50" spans="2:14" x14ac:dyDescent="0.4">
      <c r="B50" t="s">
        <v>64</v>
      </c>
      <c r="C50">
        <v>4.29</v>
      </c>
      <c r="D50">
        <v>35.880000000000003</v>
      </c>
      <c r="E50">
        <v>214</v>
      </c>
      <c r="F50">
        <v>36.369999999999997</v>
      </c>
      <c r="G50">
        <v>10.88</v>
      </c>
      <c r="H50">
        <v>50.23</v>
      </c>
      <c r="I50">
        <v>69.599999999999994</v>
      </c>
      <c r="J50">
        <v>14.17</v>
      </c>
      <c r="K50">
        <v>11.52</v>
      </c>
      <c r="L50">
        <v>9.41</v>
      </c>
      <c r="M50">
        <v>6.21</v>
      </c>
      <c r="N50">
        <v>15.74</v>
      </c>
    </row>
    <row r="51" spans="2:14" x14ac:dyDescent="0.4">
      <c r="B51" t="s">
        <v>65</v>
      </c>
      <c r="C51">
        <v>4.6900000000000004</v>
      </c>
      <c r="D51">
        <v>27.21</v>
      </c>
      <c r="E51">
        <v>192.8</v>
      </c>
      <c r="F51">
        <v>40.76</v>
      </c>
      <c r="G51">
        <v>11.43</v>
      </c>
      <c r="H51">
        <v>48.82</v>
      </c>
      <c r="I51">
        <v>77.489999999999995</v>
      </c>
      <c r="J51">
        <v>14.74</v>
      </c>
      <c r="K51">
        <v>12.17</v>
      </c>
      <c r="L51">
        <v>9.7899999999999991</v>
      </c>
      <c r="M51">
        <v>6.22</v>
      </c>
      <c r="N51">
        <v>17.7</v>
      </c>
    </row>
    <row r="52" spans="2:14" x14ac:dyDescent="0.4">
      <c r="C52">
        <f>C48*C31/100</f>
        <v>2.3938199999999998</v>
      </c>
      <c r="D52">
        <f t="shared" ref="D52:N52" si="12">D48*D31/100</f>
        <v>6.5100200000000008</v>
      </c>
      <c r="E52">
        <f t="shared" si="12"/>
        <v>47.342400000000005</v>
      </c>
      <c r="F52">
        <f t="shared" si="12"/>
        <v>7.1078099999999997</v>
      </c>
      <c r="G52">
        <f t="shared" si="12"/>
        <v>3.07992</v>
      </c>
      <c r="H52">
        <f t="shared" si="12"/>
        <v>10.5456</v>
      </c>
      <c r="I52">
        <f t="shared" si="12"/>
        <v>17.818200000000001</v>
      </c>
      <c r="J52">
        <f t="shared" si="12"/>
        <v>3.3211400000000002</v>
      </c>
      <c r="K52">
        <f t="shared" si="12"/>
        <v>3.2015999999999996</v>
      </c>
      <c r="L52">
        <f t="shared" si="12"/>
        <v>2.645</v>
      </c>
      <c r="M52">
        <f t="shared" si="12"/>
        <v>2.1827999999999999</v>
      </c>
      <c r="N52">
        <f t="shared" si="12"/>
        <v>3.9271800000000003</v>
      </c>
    </row>
    <row r="53" spans="2:14" x14ac:dyDescent="0.4">
      <c r="B53" t="s">
        <v>77</v>
      </c>
      <c r="C53">
        <f>SQRT(C40*0.000000000001/(C31/100))</f>
        <v>1.727334068350122E-6</v>
      </c>
      <c r="D53">
        <f t="shared" ref="D53:N53" si="13">SQRT(D40*0.000000000001/(D31/100))</f>
        <v>2.0085653496833249E-6</v>
      </c>
      <c r="E53">
        <f t="shared" si="13"/>
        <v>3.9641248358604596E-6</v>
      </c>
      <c r="F53">
        <f t="shared" si="13"/>
        <v>9.0074830986824316E-6</v>
      </c>
      <c r="G53">
        <f t="shared" si="13"/>
        <v>3.4334556770371829E-6</v>
      </c>
      <c r="H53">
        <f t="shared" si="13"/>
        <v>4.4522449626116253E-6</v>
      </c>
      <c r="I53">
        <f t="shared" si="13"/>
        <v>4.3996278417837603E-6</v>
      </c>
      <c r="J53">
        <f t="shared" si="13"/>
        <v>5.0962303696990241E-6</v>
      </c>
      <c r="K53">
        <f t="shared" si="13"/>
        <v>6.6583281184793935E-6</v>
      </c>
      <c r="L53">
        <f t="shared" si="13"/>
        <v>4.3726422218150897E-6</v>
      </c>
      <c r="M53">
        <f t="shared" si="13"/>
        <v>3.9704793013379311E-6</v>
      </c>
      <c r="N53">
        <f t="shared" si="13"/>
        <v>3.8379330022460955E-6</v>
      </c>
    </row>
    <row r="54" spans="2:14" x14ac:dyDescent="0.4">
      <c r="C54">
        <v>44</v>
      </c>
      <c r="G54">
        <v>65</v>
      </c>
      <c r="H54">
        <v>95</v>
      </c>
      <c r="L54">
        <v>95</v>
      </c>
      <c r="M54">
        <v>65</v>
      </c>
    </row>
    <row r="55" spans="2:14" x14ac:dyDescent="0.4">
      <c r="B55" t="s">
        <v>79</v>
      </c>
      <c r="C55" s="1">
        <v>0.120336629629629</v>
      </c>
      <c r="D55" s="1">
        <v>6.6046499999999994E-2</v>
      </c>
      <c r="E55" s="1">
        <v>8.2041562499999998E-2</v>
      </c>
      <c r="F55" s="1">
        <v>6.6877074074074006E-2</v>
      </c>
      <c r="G55" s="1">
        <v>6.6038666666666607E-2</v>
      </c>
      <c r="H55" s="1">
        <v>0.16857037037037001</v>
      </c>
      <c r="I55" s="1">
        <v>0.171257518518518</v>
      </c>
      <c r="J55" s="1">
        <v>4.2177703703703703E-2</v>
      </c>
      <c r="K55" s="1">
        <v>7.7144592592592598E-2</v>
      </c>
      <c r="L55" s="1">
        <v>6.2702555555555498E-2</v>
      </c>
      <c r="M55" s="1">
        <v>7.5953296296296297E-2</v>
      </c>
      <c r="N55" s="1">
        <v>6.2751777777777698E-2</v>
      </c>
    </row>
    <row r="56" spans="2:14" x14ac:dyDescent="0.4">
      <c r="B56" t="s">
        <v>78</v>
      </c>
      <c r="C56">
        <f>SQRT(C40*0.000000000001 * (C31/100)/(C55))</f>
        <v>2.1361645769484222E-6</v>
      </c>
      <c r="D56">
        <f t="shared" ref="D56:N56" si="14">SQRT(D40*0.000000000001 * (D31/100)/(D55))</f>
        <v>1.8210295085892759E-6</v>
      </c>
      <c r="E56">
        <f t="shared" si="14"/>
        <v>2.3250893280677726E-6</v>
      </c>
      <c r="F56">
        <f t="shared" si="14"/>
        <v>4.9111583412677438E-6</v>
      </c>
      <c r="G56">
        <f t="shared" si="14"/>
        <v>3.2867555458554508E-6</v>
      </c>
      <c r="H56">
        <f t="shared" si="14"/>
        <v>1.8326314501977256E-6</v>
      </c>
      <c r="I56">
        <f t="shared" si="14"/>
        <v>1.8179721615833699E-6</v>
      </c>
      <c r="J56">
        <f t="shared" si="14"/>
        <v>5.2358842992325343E-6</v>
      </c>
      <c r="K56">
        <f t="shared" si="14"/>
        <v>5.7533883540479011E-6</v>
      </c>
      <c r="L56">
        <f t="shared" si="14"/>
        <v>4.365573774426012E-6</v>
      </c>
      <c r="M56">
        <f t="shared" si="14"/>
        <v>4.8983356387699496E-6</v>
      </c>
      <c r="N56">
        <f t="shared" si="14"/>
        <v>3.4012405374300019E-6</v>
      </c>
    </row>
    <row r="57" spans="2:14" x14ac:dyDescent="0.4">
      <c r="C57">
        <f>SQRT(C40*0.000000000001 / C32) / (C28*0.000001)</f>
        <v>0.4486581995714603</v>
      </c>
      <c r="D57" s="8">
        <f t="shared" ref="D57:N57" si="15">SQRT(D40*0.000000000001 / D32) / (D28*0.000001)</f>
        <v>0.70475977181871052</v>
      </c>
      <c r="E57" s="8">
        <f t="shared" si="15"/>
        <v>0.74095791324494575</v>
      </c>
      <c r="F57" s="8">
        <f t="shared" si="15"/>
        <v>1.0377284675901419</v>
      </c>
      <c r="G57">
        <f t="shared" si="15"/>
        <v>0.69222896714459337</v>
      </c>
      <c r="H57">
        <f t="shared" si="15"/>
        <v>0.48925768819907972</v>
      </c>
      <c r="I57" s="8">
        <f t="shared" si="15"/>
        <v>0.49102989305622319</v>
      </c>
      <c r="J57" s="8">
        <f t="shared" si="15"/>
        <v>1.2740575924247561</v>
      </c>
      <c r="K57" s="8">
        <f t="shared" si="15"/>
        <v>1.3055545330351754</v>
      </c>
      <c r="L57">
        <f t="shared" si="15"/>
        <v>0.91096712954481041</v>
      </c>
      <c r="M57">
        <f t="shared" si="15"/>
        <v>0.81195895732882029</v>
      </c>
      <c r="N57" s="8">
        <f t="shared" si="15"/>
        <v>1.1288038241900282</v>
      </c>
    </row>
    <row r="59" spans="2:14" x14ac:dyDescent="0.4">
      <c r="B59" t="s">
        <v>80</v>
      </c>
      <c r="C59">
        <f>C32/C55</f>
        <v>3.5649992967259623</v>
      </c>
      <c r="D59">
        <f t="shared" ref="D59:N59" si="16">D32/D55</f>
        <v>3.5278175225030854</v>
      </c>
      <c r="E59">
        <f t="shared" si="16"/>
        <v>2.047742569505548</v>
      </c>
      <c r="F59">
        <f t="shared" si="16"/>
        <v>2.1083458263115156</v>
      </c>
      <c r="G59">
        <f t="shared" si="16"/>
        <v>3.7250903511074358</v>
      </c>
      <c r="H59">
        <f t="shared" si="16"/>
        <v>1.0025486663444236</v>
      </c>
      <c r="I59">
        <f t="shared" si="16"/>
        <v>0.99849630824535074</v>
      </c>
      <c r="J59">
        <f t="shared" si="16"/>
        <v>5.0026431377645562</v>
      </c>
      <c r="K59">
        <f t="shared" si="16"/>
        <v>3.1110411233547004</v>
      </c>
      <c r="L59">
        <f t="shared" si="16"/>
        <v>3.9870783221665644</v>
      </c>
      <c r="M59">
        <f t="shared" si="16"/>
        <v>4.4764350802320534</v>
      </c>
      <c r="N59">
        <f t="shared" si="16"/>
        <v>3.5377483772040148</v>
      </c>
    </row>
    <row r="60" spans="2:14" x14ac:dyDescent="0.4">
      <c r="B60" t="s">
        <v>81</v>
      </c>
      <c r="C60">
        <v>6.5</v>
      </c>
      <c r="D60">
        <v>11.5</v>
      </c>
      <c r="E60">
        <v>7.5</v>
      </c>
      <c r="F60">
        <v>6.7</v>
      </c>
      <c r="G60">
        <v>6.8</v>
      </c>
      <c r="H60">
        <v>4</v>
      </c>
      <c r="I60">
        <v>3.9</v>
      </c>
      <c r="J60">
        <v>12.5</v>
      </c>
      <c r="K60">
        <v>15</v>
      </c>
      <c r="L60">
        <v>10</v>
      </c>
      <c r="M60">
        <v>9.5</v>
      </c>
      <c r="N60">
        <v>13</v>
      </c>
    </row>
    <row r="61" spans="2:14" x14ac:dyDescent="0.4">
      <c r="C61">
        <v>7.5</v>
      </c>
      <c r="D61">
        <v>14</v>
      </c>
      <c r="E61">
        <v>10</v>
      </c>
      <c r="F61">
        <v>7.5</v>
      </c>
      <c r="G61">
        <v>8.5</v>
      </c>
      <c r="H61">
        <v>5</v>
      </c>
      <c r="I61">
        <v>4.5</v>
      </c>
      <c r="J61">
        <v>15</v>
      </c>
      <c r="K61">
        <v>20</v>
      </c>
      <c r="L61">
        <v>11</v>
      </c>
      <c r="M61">
        <v>10</v>
      </c>
      <c r="N61">
        <v>17.5</v>
      </c>
    </row>
    <row r="62" spans="2:14" x14ac:dyDescent="0.4">
      <c r="C62">
        <v>6.5</v>
      </c>
    </row>
    <row r="63" spans="2:14" x14ac:dyDescent="0.4">
      <c r="C63">
        <v>11.5</v>
      </c>
    </row>
    <row r="64" spans="2:14" x14ac:dyDescent="0.4">
      <c r="C64">
        <v>7.5</v>
      </c>
      <c r="E64">
        <v>7.5</v>
      </c>
      <c r="F64" t="str">
        <f>_xlfn.CONCAT(E64,",")</f>
        <v>7.5,</v>
      </c>
    </row>
    <row r="65" spans="3:6" x14ac:dyDescent="0.4">
      <c r="C65">
        <v>6.7</v>
      </c>
      <c r="E65">
        <v>14</v>
      </c>
      <c r="F65" t="str">
        <f t="shared" ref="F65:F75" si="17">_xlfn.CONCAT(E65,",")</f>
        <v>14,</v>
      </c>
    </row>
    <row r="66" spans="3:6" x14ac:dyDescent="0.4">
      <c r="C66">
        <v>6.8</v>
      </c>
      <c r="E66">
        <v>10</v>
      </c>
      <c r="F66" t="str">
        <f t="shared" si="17"/>
        <v>10,</v>
      </c>
    </row>
    <row r="67" spans="3:6" x14ac:dyDescent="0.4">
      <c r="C67">
        <v>4</v>
      </c>
      <c r="E67">
        <v>7.5</v>
      </c>
      <c r="F67" t="str">
        <f t="shared" si="17"/>
        <v>7.5,</v>
      </c>
    </row>
    <row r="68" spans="3:6" x14ac:dyDescent="0.4">
      <c r="C68">
        <v>3.9</v>
      </c>
      <c r="E68">
        <v>8.5</v>
      </c>
      <c r="F68" t="str">
        <f t="shared" si="17"/>
        <v>8.5,</v>
      </c>
    </row>
    <row r="69" spans="3:6" x14ac:dyDescent="0.4">
      <c r="C69">
        <v>12.5</v>
      </c>
      <c r="E69">
        <v>5</v>
      </c>
      <c r="F69" t="str">
        <f t="shared" si="17"/>
        <v>5,</v>
      </c>
    </row>
    <row r="70" spans="3:6" x14ac:dyDescent="0.4">
      <c r="C70">
        <v>15</v>
      </c>
      <c r="E70">
        <v>4.5</v>
      </c>
      <c r="F70" t="str">
        <f t="shared" si="17"/>
        <v>4.5,</v>
      </c>
    </row>
    <row r="71" spans="3:6" x14ac:dyDescent="0.4">
      <c r="C71">
        <v>10</v>
      </c>
      <c r="E71">
        <v>15</v>
      </c>
      <c r="F71" t="str">
        <f t="shared" si="17"/>
        <v>15,</v>
      </c>
    </row>
    <row r="72" spans="3:6" x14ac:dyDescent="0.4">
      <c r="C72">
        <v>9.5</v>
      </c>
      <c r="E72">
        <v>20</v>
      </c>
      <c r="F72" t="str">
        <f t="shared" si="17"/>
        <v>20,</v>
      </c>
    </row>
    <row r="73" spans="3:6" x14ac:dyDescent="0.4">
      <c r="C73">
        <v>13</v>
      </c>
      <c r="E73">
        <v>11</v>
      </c>
      <c r="F73" t="str">
        <f t="shared" si="17"/>
        <v>11,</v>
      </c>
    </row>
    <row r="74" spans="3:6" x14ac:dyDescent="0.4">
      <c r="E74">
        <v>10</v>
      </c>
      <c r="F74" t="str">
        <f t="shared" si="17"/>
        <v>10,</v>
      </c>
    </row>
    <row r="75" spans="3:6" x14ac:dyDescent="0.4">
      <c r="E75">
        <v>17.5</v>
      </c>
      <c r="F75" t="str">
        <f t="shared" si="17"/>
        <v>17.5,</v>
      </c>
    </row>
  </sheetData>
  <mergeCells count="1">
    <mergeCell ref="O1:P1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06413-EEA2-4D2E-872A-09F21338AEFA}">
  <dimension ref="C2:M38"/>
  <sheetViews>
    <sheetView workbookViewId="0">
      <selection activeCell="G53" sqref="G53"/>
    </sheetView>
  </sheetViews>
  <sheetFormatPr defaultRowHeight="14.6" x14ac:dyDescent="0.4"/>
  <cols>
    <col min="3" max="3" width="11.53515625" bestFit="1" customWidth="1"/>
    <col min="4" max="4" width="9" bestFit="1" customWidth="1"/>
    <col min="5" max="5" width="12" bestFit="1" customWidth="1"/>
    <col min="6" max="6" width="13.3046875" bestFit="1" customWidth="1"/>
    <col min="7" max="7" width="12" bestFit="1" customWidth="1"/>
    <col min="8" max="8" width="15.3828125" bestFit="1" customWidth="1"/>
    <col min="9" max="9" width="4.53515625" bestFit="1" customWidth="1"/>
  </cols>
  <sheetData>
    <row r="2" spans="3:13" x14ac:dyDescent="0.4">
      <c r="C2" t="s">
        <v>15</v>
      </c>
      <c r="D2" t="s">
        <v>16</v>
      </c>
      <c r="E2" t="s">
        <v>17</v>
      </c>
      <c r="F2" t="s">
        <v>18</v>
      </c>
      <c r="G2" s="1" t="s">
        <v>19</v>
      </c>
      <c r="H2" t="s">
        <v>20</v>
      </c>
      <c r="I2" t="s">
        <v>21</v>
      </c>
    </row>
    <row r="3" spans="3:13" x14ac:dyDescent="0.4">
      <c r="C3">
        <v>0</v>
      </c>
      <c r="D3" t="s">
        <v>22</v>
      </c>
      <c r="E3">
        <v>0.42865229629629598</v>
      </c>
      <c r="F3">
        <v>0.42784003703703699</v>
      </c>
      <c r="G3" s="1">
        <v>0.120336629629629</v>
      </c>
      <c r="H3">
        <v>0.116627888888888</v>
      </c>
      <c r="I3">
        <v>0</v>
      </c>
      <c r="M3" s="1">
        <v>0.120336629629629</v>
      </c>
    </row>
    <row r="4" spans="3:13" x14ac:dyDescent="0.4">
      <c r="C4">
        <v>1</v>
      </c>
      <c r="D4" t="s">
        <v>22</v>
      </c>
      <c r="E4">
        <v>0.42865229629629598</v>
      </c>
      <c r="F4">
        <v>0.42784003703703699</v>
      </c>
      <c r="G4" s="1">
        <v>5.2784555555555501E-2</v>
      </c>
      <c r="H4">
        <v>1.5884037037036999E-2</v>
      </c>
      <c r="I4">
        <v>1</v>
      </c>
      <c r="M4" s="1">
        <v>6.6046499999999994E-2</v>
      </c>
    </row>
    <row r="5" spans="3:13" x14ac:dyDescent="0.4">
      <c r="C5">
        <v>2</v>
      </c>
      <c r="D5" t="s">
        <v>22</v>
      </c>
      <c r="E5">
        <v>0.42865229629629598</v>
      </c>
      <c r="F5">
        <v>0.42784003703703699</v>
      </c>
      <c r="G5" s="1">
        <v>0.120336629629629</v>
      </c>
      <c r="H5">
        <v>0.116627888888888</v>
      </c>
      <c r="I5">
        <v>2</v>
      </c>
      <c r="M5" s="1">
        <v>8.2041562499999998E-2</v>
      </c>
    </row>
    <row r="6" spans="3:13" x14ac:dyDescent="0.4">
      <c r="C6">
        <v>0</v>
      </c>
      <c r="D6" t="s">
        <v>23</v>
      </c>
      <c r="E6">
        <v>0.23261375000000001</v>
      </c>
      <c r="F6">
        <v>0.21222442187500001</v>
      </c>
      <c r="G6" s="1">
        <v>6.6046499999999994E-2</v>
      </c>
      <c r="H6">
        <v>4.7020625000000003E-2</v>
      </c>
      <c r="I6">
        <v>0</v>
      </c>
      <c r="M6" s="1">
        <v>6.6877074074074006E-2</v>
      </c>
    </row>
    <row r="7" spans="3:13" x14ac:dyDescent="0.4">
      <c r="C7">
        <v>1</v>
      </c>
      <c r="D7" t="s">
        <v>23</v>
      </c>
      <c r="E7">
        <v>0.23261375000000001</v>
      </c>
      <c r="F7">
        <v>0.21222442187500001</v>
      </c>
      <c r="G7" s="1">
        <v>4.5717843750000001E-2</v>
      </c>
      <c r="H7">
        <v>1.7518109375E-2</v>
      </c>
      <c r="I7">
        <v>1</v>
      </c>
      <c r="M7" s="1">
        <v>6.6038666666666607E-2</v>
      </c>
    </row>
    <row r="8" spans="3:13" x14ac:dyDescent="0.4">
      <c r="C8">
        <v>2</v>
      </c>
      <c r="D8" t="s">
        <v>23</v>
      </c>
      <c r="E8">
        <v>0.23261375000000001</v>
      </c>
      <c r="F8">
        <v>0.21222442187500001</v>
      </c>
      <c r="G8" s="1">
        <v>4.5717843750000001E-2</v>
      </c>
      <c r="H8">
        <v>1.7518109375E-2</v>
      </c>
      <c r="I8">
        <v>2</v>
      </c>
      <c r="M8" s="1">
        <v>0.16857037037037001</v>
      </c>
    </row>
    <row r="9" spans="3:13" x14ac:dyDescent="0.4">
      <c r="C9">
        <v>0</v>
      </c>
      <c r="D9" t="s">
        <v>24</v>
      </c>
      <c r="E9">
        <v>0.16830767187500001</v>
      </c>
      <c r="F9">
        <v>0.13859957812500001</v>
      </c>
      <c r="G9" s="1">
        <v>8.2041562499999998E-2</v>
      </c>
      <c r="H9">
        <v>4.4552406250000003E-2</v>
      </c>
      <c r="I9">
        <v>0</v>
      </c>
      <c r="M9" s="1">
        <v>0.171257518518518</v>
      </c>
    </row>
    <row r="10" spans="3:13" x14ac:dyDescent="0.4">
      <c r="C10">
        <v>1</v>
      </c>
      <c r="D10" t="s">
        <v>24</v>
      </c>
      <c r="E10">
        <v>0.16830767187500001</v>
      </c>
      <c r="F10">
        <v>0.13859957812500001</v>
      </c>
      <c r="G10" s="1">
        <v>8.2041562499999998E-2</v>
      </c>
      <c r="H10">
        <v>4.4552406250000003E-2</v>
      </c>
      <c r="I10">
        <v>1</v>
      </c>
      <c r="M10" s="1">
        <v>4.2177703703703703E-2</v>
      </c>
    </row>
    <row r="11" spans="3:13" x14ac:dyDescent="0.4">
      <c r="C11">
        <v>2</v>
      </c>
      <c r="D11" t="s">
        <v>24</v>
      </c>
      <c r="E11">
        <v>0.16830767187500001</v>
      </c>
      <c r="F11">
        <v>0.13859957812500001</v>
      </c>
      <c r="G11" s="1">
        <v>8.2041562499999998E-2</v>
      </c>
      <c r="H11">
        <v>4.4552406250000003E-2</v>
      </c>
      <c r="I11">
        <v>2</v>
      </c>
      <c r="M11" s="1">
        <v>7.7144592592592598E-2</v>
      </c>
    </row>
    <row r="12" spans="3:13" x14ac:dyDescent="0.4">
      <c r="C12">
        <v>0</v>
      </c>
      <c r="D12" t="s">
        <v>25</v>
      </c>
      <c r="E12">
        <v>0.141302777777777</v>
      </c>
      <c r="F12">
        <v>0.14051051851851801</v>
      </c>
      <c r="G12" s="1">
        <v>6.6877074074074006E-2</v>
      </c>
      <c r="H12">
        <v>5.6731814814814797E-2</v>
      </c>
      <c r="I12">
        <v>0</v>
      </c>
      <c r="M12" s="1">
        <v>6.2702555555555498E-2</v>
      </c>
    </row>
    <row r="13" spans="3:13" x14ac:dyDescent="0.4">
      <c r="C13">
        <v>1</v>
      </c>
      <c r="D13" t="s">
        <v>25</v>
      </c>
      <c r="E13">
        <v>0.141302777777777</v>
      </c>
      <c r="F13">
        <v>0.14051051851851801</v>
      </c>
      <c r="G13" s="1">
        <v>6.6877074074074006E-2</v>
      </c>
      <c r="H13">
        <v>5.6731814814814797E-2</v>
      </c>
      <c r="I13">
        <v>1</v>
      </c>
      <c r="M13" s="1">
        <v>7.5953296296296297E-2</v>
      </c>
    </row>
    <row r="14" spans="3:13" x14ac:dyDescent="0.4">
      <c r="C14">
        <v>2</v>
      </c>
      <c r="D14" t="s">
        <v>25</v>
      </c>
      <c r="E14">
        <v>0.141302777777777</v>
      </c>
      <c r="F14">
        <v>0.14051051851851801</v>
      </c>
      <c r="G14" s="1">
        <v>6.6877074074074006E-2</v>
      </c>
      <c r="H14">
        <v>5.6731814814814797E-2</v>
      </c>
      <c r="I14">
        <v>2</v>
      </c>
      <c r="M14" s="1">
        <v>6.2751777777777698E-2</v>
      </c>
    </row>
    <row r="15" spans="3:13" x14ac:dyDescent="0.4">
      <c r="C15">
        <v>0</v>
      </c>
      <c r="D15" t="s">
        <v>26</v>
      </c>
      <c r="E15">
        <v>0.246277</v>
      </c>
      <c r="F15">
        <v>0.24580085185185099</v>
      </c>
      <c r="G15" s="1">
        <v>6.6038666666666607E-2</v>
      </c>
      <c r="H15">
        <v>5.5013555555555503E-2</v>
      </c>
      <c r="I15">
        <v>0</v>
      </c>
    </row>
    <row r="16" spans="3:13" x14ac:dyDescent="0.4">
      <c r="C16">
        <v>1</v>
      </c>
      <c r="D16" t="s">
        <v>26</v>
      </c>
      <c r="E16">
        <v>0.246277</v>
      </c>
      <c r="F16">
        <v>0.24580085185185099</v>
      </c>
      <c r="G16" s="1">
        <v>6.6038666666666607E-2</v>
      </c>
      <c r="H16">
        <v>5.5013555555555503E-2</v>
      </c>
      <c r="I16">
        <v>1</v>
      </c>
    </row>
    <row r="17" spans="3:9" x14ac:dyDescent="0.4">
      <c r="C17">
        <v>2</v>
      </c>
      <c r="D17" t="s">
        <v>26</v>
      </c>
      <c r="E17">
        <v>0.246277</v>
      </c>
      <c r="F17">
        <v>0.24580085185185099</v>
      </c>
      <c r="G17" s="1">
        <v>6.6038666666666607E-2</v>
      </c>
      <c r="H17">
        <v>5.5013555555555503E-2</v>
      </c>
      <c r="I17">
        <v>2</v>
      </c>
    </row>
    <row r="18" spans="3:9" x14ac:dyDescent="0.4">
      <c r="C18">
        <v>0</v>
      </c>
      <c r="D18" t="s">
        <v>27</v>
      </c>
      <c r="E18">
        <v>0.16857037037037001</v>
      </c>
      <c r="F18">
        <v>0.16488396296296201</v>
      </c>
      <c r="G18" s="1">
        <v>0.16857037037037001</v>
      </c>
      <c r="H18">
        <v>0.16488396296296201</v>
      </c>
      <c r="I18">
        <v>0</v>
      </c>
    </row>
    <row r="19" spans="3:9" x14ac:dyDescent="0.4">
      <c r="C19">
        <v>1</v>
      </c>
      <c r="D19" t="s">
        <v>27</v>
      </c>
      <c r="E19">
        <v>0.16857037037037001</v>
      </c>
      <c r="F19">
        <v>0.16488396296296201</v>
      </c>
      <c r="G19" s="1">
        <v>0.16857037037037001</v>
      </c>
      <c r="H19">
        <v>0.16488396296296201</v>
      </c>
      <c r="I19">
        <v>1</v>
      </c>
    </row>
    <row r="20" spans="3:9" x14ac:dyDescent="0.4">
      <c r="C20">
        <v>2</v>
      </c>
      <c r="D20" t="s">
        <v>27</v>
      </c>
      <c r="E20">
        <v>0.16857037037037001</v>
      </c>
      <c r="F20">
        <v>0.16488396296296201</v>
      </c>
      <c r="G20" s="1">
        <v>0.16857037037037001</v>
      </c>
      <c r="H20">
        <v>0.16488396296296201</v>
      </c>
      <c r="I20">
        <v>2</v>
      </c>
    </row>
    <row r="21" spans="3:9" x14ac:dyDescent="0.4">
      <c r="C21">
        <v>0</v>
      </c>
      <c r="D21" t="s">
        <v>28</v>
      </c>
      <c r="E21">
        <v>0.171257518518518</v>
      </c>
      <c r="F21">
        <v>0.16294262962962899</v>
      </c>
      <c r="G21" s="1">
        <v>0.171257518518518</v>
      </c>
      <c r="H21">
        <v>0.16294262962962899</v>
      </c>
      <c r="I21">
        <v>0</v>
      </c>
    </row>
    <row r="22" spans="3:9" x14ac:dyDescent="0.4">
      <c r="C22">
        <v>1</v>
      </c>
      <c r="D22" t="s">
        <v>28</v>
      </c>
      <c r="E22">
        <v>0.171257518518518</v>
      </c>
      <c r="F22">
        <v>0.16294262962962899</v>
      </c>
      <c r="G22" s="1">
        <v>0.171257518518518</v>
      </c>
      <c r="H22">
        <v>0.16294262962962899</v>
      </c>
      <c r="I22">
        <v>1</v>
      </c>
    </row>
    <row r="23" spans="3:9" x14ac:dyDescent="0.4">
      <c r="C23">
        <v>2</v>
      </c>
      <c r="D23" t="s">
        <v>28</v>
      </c>
      <c r="E23">
        <v>0.171257518518518</v>
      </c>
      <c r="F23">
        <v>0.16294262962962899</v>
      </c>
      <c r="G23" s="1">
        <v>0.171257518518518</v>
      </c>
      <c r="H23">
        <v>0.16294262962962899</v>
      </c>
      <c r="I23">
        <v>2</v>
      </c>
    </row>
    <row r="24" spans="3:9" x14ac:dyDescent="0.4">
      <c r="C24">
        <v>0</v>
      </c>
      <c r="D24" t="s">
        <v>29</v>
      </c>
      <c r="E24">
        <v>0.211309148148148</v>
      </c>
      <c r="F24">
        <v>0.210880518518518</v>
      </c>
      <c r="G24" s="1">
        <v>4.2177703703703703E-2</v>
      </c>
      <c r="H24">
        <v>1.3525074074074E-2</v>
      </c>
      <c r="I24">
        <v>0</v>
      </c>
    </row>
    <row r="25" spans="3:9" x14ac:dyDescent="0.4">
      <c r="C25">
        <v>1</v>
      </c>
      <c r="D25" t="s">
        <v>29</v>
      </c>
      <c r="E25">
        <v>0.211309148148148</v>
      </c>
      <c r="F25">
        <v>0.210880518518518</v>
      </c>
      <c r="G25" s="1">
        <v>8.2056851851851798E-2</v>
      </c>
      <c r="H25">
        <v>7.4747888888888794E-2</v>
      </c>
      <c r="I25">
        <v>1</v>
      </c>
    </row>
    <row r="26" spans="3:9" x14ac:dyDescent="0.4">
      <c r="C26">
        <v>2</v>
      </c>
      <c r="D26" t="s">
        <v>29</v>
      </c>
      <c r="E26">
        <v>0.211309148148148</v>
      </c>
      <c r="F26">
        <v>0.210880518518518</v>
      </c>
      <c r="G26" s="1">
        <v>6.04083703703703E-2</v>
      </c>
      <c r="H26">
        <v>2.6323370370370299E-2</v>
      </c>
      <c r="I26">
        <v>2</v>
      </c>
    </row>
    <row r="27" spans="3:9" x14ac:dyDescent="0.4">
      <c r="C27">
        <v>0</v>
      </c>
      <c r="D27" t="s">
        <v>30</v>
      </c>
      <c r="E27">
        <v>0.23959288888888799</v>
      </c>
      <c r="F27">
        <v>0.239255</v>
      </c>
      <c r="G27" s="1">
        <v>7.7144592592592598E-2</v>
      </c>
      <c r="H27">
        <v>5.97046666666666E-2</v>
      </c>
      <c r="I27">
        <v>0</v>
      </c>
    </row>
    <row r="28" spans="3:9" x14ac:dyDescent="0.4">
      <c r="C28">
        <v>1</v>
      </c>
      <c r="D28" t="s">
        <v>30</v>
      </c>
      <c r="E28">
        <v>0.23959288888888799</v>
      </c>
      <c r="F28">
        <v>0.239255</v>
      </c>
      <c r="G28" s="1">
        <v>7.7144592592592598E-2</v>
      </c>
      <c r="H28">
        <v>5.97046666666666E-2</v>
      </c>
      <c r="I28">
        <v>1</v>
      </c>
    </row>
    <row r="29" spans="3:9" x14ac:dyDescent="0.4">
      <c r="C29">
        <v>2</v>
      </c>
      <c r="D29" t="s">
        <v>30</v>
      </c>
      <c r="E29">
        <v>0.23959288888888799</v>
      </c>
      <c r="F29">
        <v>0.239255</v>
      </c>
      <c r="G29" s="1">
        <v>5.7824592592592497E-2</v>
      </c>
      <c r="H29">
        <v>1.4542037037036999E-2</v>
      </c>
      <c r="I29">
        <v>2</v>
      </c>
    </row>
    <row r="30" spans="3:9" x14ac:dyDescent="0.4">
      <c r="C30">
        <v>0</v>
      </c>
      <c r="D30" t="s">
        <v>31</v>
      </c>
      <c r="E30">
        <v>0.25048199999999998</v>
      </c>
      <c r="F30">
        <v>0.25033166666666601</v>
      </c>
      <c r="G30" s="1">
        <v>6.2702555555555498E-2</v>
      </c>
      <c r="H30">
        <v>5.5905851851851797E-2</v>
      </c>
      <c r="I30">
        <v>0</v>
      </c>
    </row>
    <row r="31" spans="3:9" x14ac:dyDescent="0.4">
      <c r="C31">
        <v>1</v>
      </c>
      <c r="D31" t="s">
        <v>31</v>
      </c>
      <c r="E31">
        <v>0.25048199999999998</v>
      </c>
      <c r="F31">
        <v>0.25033166666666601</v>
      </c>
      <c r="G31" s="1">
        <v>3.9118925925925897E-2</v>
      </c>
      <c r="H31">
        <v>1.3315703703703699E-2</v>
      </c>
      <c r="I31">
        <v>1</v>
      </c>
    </row>
    <row r="32" spans="3:9" x14ac:dyDescent="0.4">
      <c r="C32">
        <v>2</v>
      </c>
      <c r="D32" t="s">
        <v>31</v>
      </c>
      <c r="E32">
        <v>0.25048199999999998</v>
      </c>
      <c r="F32">
        <v>0.25033166666666601</v>
      </c>
      <c r="G32" s="1">
        <v>6.2702555555555498E-2</v>
      </c>
      <c r="H32">
        <v>5.5905851851851797E-2</v>
      </c>
      <c r="I32">
        <v>2</v>
      </c>
    </row>
    <row r="33" spans="3:9" x14ac:dyDescent="0.4">
      <c r="C33">
        <v>0</v>
      </c>
      <c r="D33" t="s">
        <v>32</v>
      </c>
      <c r="E33">
        <v>0.33981174074074</v>
      </c>
      <c r="F33">
        <v>0.339244222222222</v>
      </c>
      <c r="G33" s="1">
        <v>7.5953296296296297E-2</v>
      </c>
      <c r="H33">
        <v>7.0435481481481405E-2</v>
      </c>
      <c r="I33">
        <v>0</v>
      </c>
    </row>
    <row r="34" spans="3:9" x14ac:dyDescent="0.4">
      <c r="C34">
        <v>1</v>
      </c>
      <c r="D34" t="s">
        <v>32</v>
      </c>
      <c r="E34">
        <v>0.33981174074074</v>
      </c>
      <c r="F34">
        <v>0.339244222222222</v>
      </c>
      <c r="G34" s="1">
        <v>7.5953296296296297E-2</v>
      </c>
      <c r="H34">
        <v>7.0435481481481405E-2</v>
      </c>
      <c r="I34">
        <v>1</v>
      </c>
    </row>
    <row r="35" spans="3:9" x14ac:dyDescent="0.4">
      <c r="C35">
        <v>2</v>
      </c>
      <c r="D35" t="s">
        <v>32</v>
      </c>
      <c r="E35">
        <v>0.33981174074074</v>
      </c>
      <c r="F35">
        <v>0.339244222222222</v>
      </c>
      <c r="G35" s="1">
        <v>7.5953296296296297E-2</v>
      </c>
      <c r="H35">
        <v>7.0435481481481405E-2</v>
      </c>
      <c r="I35">
        <v>2</v>
      </c>
    </row>
    <row r="36" spans="3:9" x14ac:dyDescent="0.4">
      <c r="C36">
        <v>0</v>
      </c>
      <c r="D36" t="s">
        <v>33</v>
      </c>
      <c r="E36">
        <v>0.22174588888888799</v>
      </c>
      <c r="F36">
        <v>0.22112188888888801</v>
      </c>
      <c r="G36" s="1">
        <v>6.2751777777777698E-2</v>
      </c>
      <c r="H36">
        <v>1.6823185185185101E-2</v>
      </c>
      <c r="I36">
        <v>0</v>
      </c>
    </row>
    <row r="37" spans="3:9" x14ac:dyDescent="0.4">
      <c r="C37">
        <v>1</v>
      </c>
      <c r="D37" t="s">
        <v>33</v>
      </c>
      <c r="E37">
        <v>0.22174588888888799</v>
      </c>
      <c r="F37">
        <v>0.22112188888888801</v>
      </c>
      <c r="G37" s="1">
        <v>8.5741592592592494E-2</v>
      </c>
      <c r="H37">
        <v>7.9155296296296196E-2</v>
      </c>
      <c r="I37">
        <v>1</v>
      </c>
    </row>
    <row r="38" spans="3:9" x14ac:dyDescent="0.4">
      <c r="C38">
        <v>2</v>
      </c>
      <c r="D38" t="s">
        <v>33</v>
      </c>
      <c r="E38">
        <v>0.22174588888888799</v>
      </c>
      <c r="F38">
        <v>0.22112188888888801</v>
      </c>
      <c r="G38" s="1">
        <v>6.2751777777777698E-2</v>
      </c>
      <c r="H38">
        <v>2.01313333333333E-2</v>
      </c>
      <c r="I38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2D37E-E053-4A82-A388-C6E09F1F3E93}">
  <dimension ref="C1:K14"/>
  <sheetViews>
    <sheetView tabSelected="1" workbookViewId="0">
      <selection activeCell="F6" sqref="F6"/>
    </sheetView>
  </sheetViews>
  <sheetFormatPr defaultRowHeight="14.6" x14ac:dyDescent="0.4"/>
  <cols>
    <col min="3" max="3" width="9" bestFit="1" customWidth="1"/>
    <col min="4" max="6" width="12" bestFit="1" customWidth="1"/>
    <col min="9" max="11" width="10.53515625" bestFit="1" customWidth="1"/>
  </cols>
  <sheetData>
    <row r="1" spans="3:11" x14ac:dyDescent="0.4">
      <c r="I1" s="9" t="s">
        <v>14</v>
      </c>
      <c r="J1" s="9"/>
      <c r="K1" s="9"/>
    </row>
    <row r="2" spans="3:11" x14ac:dyDescent="0.4">
      <c r="C2" t="s">
        <v>16</v>
      </c>
      <c r="D2" t="s">
        <v>34</v>
      </c>
      <c r="E2" t="s">
        <v>35</v>
      </c>
      <c r="F2" t="s">
        <v>36</v>
      </c>
      <c r="H2" t="s">
        <v>40</v>
      </c>
      <c r="I2" t="s">
        <v>37</v>
      </c>
      <c r="J2" t="s">
        <v>38</v>
      </c>
      <c r="K2" t="s">
        <v>39</v>
      </c>
    </row>
    <row r="3" spans="3:11" x14ac:dyDescent="0.4">
      <c r="C3" t="s">
        <v>22</v>
      </c>
      <c r="D3">
        <v>2.4285084733984799</v>
      </c>
      <c r="E3">
        <v>1.9803395313551699</v>
      </c>
      <c r="F3">
        <v>1.9022127897661201</v>
      </c>
      <c r="H3" t="str">
        <f>RIGHT(C3,2)</f>
        <v>A1</v>
      </c>
      <c r="I3" s="2">
        <f>D3</f>
        <v>2.4285084733984799</v>
      </c>
      <c r="J3" s="2">
        <f t="shared" ref="J3:K14" si="0">E3</f>
        <v>1.9803395313551699</v>
      </c>
      <c r="K3" s="2">
        <f t="shared" si="0"/>
        <v>1.9022127897661201</v>
      </c>
    </row>
    <row r="4" spans="3:11" x14ac:dyDescent="0.4">
      <c r="C4" t="s">
        <v>23</v>
      </c>
      <c r="D4">
        <v>5.7669185328620598</v>
      </c>
      <c r="E4">
        <v>4.6613690147307398</v>
      </c>
      <c r="F4">
        <v>7.1595803434413501</v>
      </c>
      <c r="H4" t="str">
        <f t="shared" ref="H4:H14" si="1">RIGHT(C4,2)</f>
        <v>C1</v>
      </c>
      <c r="I4" s="2">
        <f t="shared" ref="I4:I14" si="2">D4</f>
        <v>5.7669185328620598</v>
      </c>
      <c r="J4" s="2">
        <f t="shared" si="0"/>
        <v>4.6613690147307398</v>
      </c>
      <c r="K4" s="2">
        <f t="shared" si="0"/>
        <v>7.1595803434413501</v>
      </c>
    </row>
    <row r="5" spans="3:11" x14ac:dyDescent="0.4">
      <c r="C5" t="s">
        <v>24</v>
      </c>
      <c r="D5">
        <v>34.252083805230598</v>
      </c>
      <c r="E5">
        <v>16.755878794670501</v>
      </c>
      <c r="F5">
        <v>25.634854553398299</v>
      </c>
      <c r="H5" t="str">
        <f t="shared" si="1"/>
        <v>C2</v>
      </c>
      <c r="I5" s="2">
        <f t="shared" si="2"/>
        <v>34.252083805230598</v>
      </c>
      <c r="J5" s="2">
        <f t="shared" si="0"/>
        <v>16.755878794670501</v>
      </c>
      <c r="K5" s="2">
        <f t="shared" si="0"/>
        <v>25.634854553398299</v>
      </c>
    </row>
    <row r="6" spans="3:11" x14ac:dyDescent="0.4">
      <c r="C6" t="s">
        <v>25</v>
      </c>
      <c r="D6">
        <v>7.5402225450574001</v>
      </c>
      <c r="E6">
        <v>5.3371880647370302</v>
      </c>
      <c r="F6">
        <v>5.1134221128323896</v>
      </c>
      <c r="H6" t="str">
        <f t="shared" si="1"/>
        <v>S1</v>
      </c>
      <c r="I6" s="2">
        <f t="shared" si="2"/>
        <v>7.5402225450574001</v>
      </c>
      <c r="J6" s="2">
        <f t="shared" si="0"/>
        <v>5.3371880647370302</v>
      </c>
      <c r="K6" s="2">
        <f t="shared" si="0"/>
        <v>5.1134221128323896</v>
      </c>
    </row>
    <row r="7" spans="3:11" x14ac:dyDescent="0.4">
      <c r="C7" t="s">
        <v>26</v>
      </c>
      <c r="D7">
        <v>3.0856851695941301</v>
      </c>
      <c r="E7">
        <v>2.78598214780361</v>
      </c>
      <c r="F7">
        <v>2.6691400779739798</v>
      </c>
      <c r="H7" t="str">
        <f t="shared" si="1"/>
        <v>S2</v>
      </c>
      <c r="I7" s="2">
        <f t="shared" si="2"/>
        <v>3.0856851695941301</v>
      </c>
      <c r="J7" s="2">
        <f t="shared" si="0"/>
        <v>2.78598214780361</v>
      </c>
      <c r="K7" s="2">
        <f t="shared" si="0"/>
        <v>2.6691400779739798</v>
      </c>
    </row>
    <row r="8" spans="3:11" x14ac:dyDescent="0.4">
      <c r="C8" t="s">
        <v>27</v>
      </c>
      <c r="D8">
        <v>11.6354982229992</v>
      </c>
      <c r="E8">
        <v>6.9285287511517204</v>
      </c>
      <c r="F8">
        <v>8.6265485109340094</v>
      </c>
      <c r="H8" t="str">
        <f t="shared" si="1"/>
        <v>S3</v>
      </c>
      <c r="I8" s="2">
        <f t="shared" si="2"/>
        <v>11.6354982229992</v>
      </c>
      <c r="J8" s="2">
        <f t="shared" si="0"/>
        <v>6.9285287511517204</v>
      </c>
      <c r="K8" s="2">
        <f t="shared" si="0"/>
        <v>8.6265485109340094</v>
      </c>
    </row>
    <row r="9" spans="3:11" x14ac:dyDescent="0.4">
      <c r="C9" t="s">
        <v>28</v>
      </c>
      <c r="D9">
        <v>18.706630107294799</v>
      </c>
      <c r="E9">
        <v>11.6131511911641</v>
      </c>
      <c r="F9">
        <v>12.1681704379236</v>
      </c>
      <c r="H9" t="str">
        <f t="shared" si="1"/>
        <v>S4</v>
      </c>
      <c r="I9" s="2">
        <f t="shared" si="2"/>
        <v>18.706630107294799</v>
      </c>
      <c r="J9" s="2">
        <f t="shared" si="0"/>
        <v>11.6131511911641</v>
      </c>
      <c r="K9" s="2">
        <f t="shared" si="0"/>
        <v>12.1681704379236</v>
      </c>
    </row>
    <row r="10" spans="3:11" x14ac:dyDescent="0.4">
      <c r="C10" t="s">
        <v>29</v>
      </c>
      <c r="D10">
        <v>3.3510054403209799</v>
      </c>
      <c r="E10">
        <v>3.0780824398870701</v>
      </c>
      <c r="F10">
        <v>2.9677806441429202</v>
      </c>
      <c r="H10" t="str">
        <f t="shared" si="1"/>
        <v>S5</v>
      </c>
      <c r="I10" s="2">
        <f t="shared" si="2"/>
        <v>3.3510054403209799</v>
      </c>
      <c r="J10" s="2">
        <f t="shared" si="0"/>
        <v>3.0780824398870701</v>
      </c>
      <c r="K10" s="2">
        <f t="shared" si="0"/>
        <v>2.9677806441429202</v>
      </c>
    </row>
    <row r="11" spans="3:11" x14ac:dyDescent="0.4">
      <c r="C11" t="s">
        <v>30</v>
      </c>
      <c r="D11">
        <v>3.0917065537072399</v>
      </c>
      <c r="E11">
        <v>2.6735300729882301</v>
      </c>
      <c r="F11">
        <v>2.4525871865203599</v>
      </c>
      <c r="H11" t="str">
        <f t="shared" si="1"/>
        <v>S6</v>
      </c>
      <c r="I11" s="2">
        <f t="shared" si="2"/>
        <v>3.0917065537072399</v>
      </c>
      <c r="J11" s="2">
        <f t="shared" si="0"/>
        <v>2.6735300729882301</v>
      </c>
      <c r="K11" s="2">
        <f t="shared" si="0"/>
        <v>2.4525871865203599</v>
      </c>
    </row>
    <row r="12" spans="3:11" x14ac:dyDescent="0.4">
      <c r="C12" t="s">
        <v>31</v>
      </c>
      <c r="D12">
        <v>2.79444100804547</v>
      </c>
      <c r="E12">
        <v>2.3233935169383702</v>
      </c>
      <c r="F12">
        <v>2.39911593164878</v>
      </c>
      <c r="H12" t="str">
        <f t="shared" si="1"/>
        <v>S7</v>
      </c>
      <c r="I12" s="2">
        <f t="shared" si="2"/>
        <v>2.79444100804547</v>
      </c>
      <c r="J12" s="2">
        <f t="shared" si="0"/>
        <v>2.3233935169383702</v>
      </c>
      <c r="K12" s="2">
        <f t="shared" si="0"/>
        <v>2.39911593164878</v>
      </c>
    </row>
    <row r="13" spans="3:11" x14ac:dyDescent="0.4">
      <c r="C13" t="s">
        <v>32</v>
      </c>
      <c r="D13">
        <v>2.21355605540196</v>
      </c>
      <c r="E13">
        <v>2.0251918335772099</v>
      </c>
      <c r="F13">
        <v>2.0428751287583999</v>
      </c>
      <c r="H13" t="str">
        <f t="shared" si="1"/>
        <v>S8</v>
      </c>
      <c r="I13" s="2">
        <f t="shared" si="2"/>
        <v>2.21355605540196</v>
      </c>
      <c r="J13" s="2">
        <f t="shared" si="0"/>
        <v>2.0251918335772099</v>
      </c>
      <c r="K13" s="2">
        <f t="shared" si="0"/>
        <v>2.0428751287583999</v>
      </c>
    </row>
    <row r="14" spans="3:11" x14ac:dyDescent="0.4">
      <c r="C14" t="s">
        <v>33</v>
      </c>
      <c r="D14">
        <v>4.0089877934279601</v>
      </c>
      <c r="E14">
        <v>4.3959967717247297</v>
      </c>
      <c r="F14">
        <v>3.6309180394317999</v>
      </c>
      <c r="H14" t="str">
        <f t="shared" si="1"/>
        <v>S9</v>
      </c>
      <c r="I14" s="2">
        <f t="shared" si="2"/>
        <v>4.0089877934279601</v>
      </c>
      <c r="J14" s="2">
        <f t="shared" si="0"/>
        <v>4.3959967717247297</v>
      </c>
      <c r="K14" s="2">
        <f t="shared" si="0"/>
        <v>3.6309180394317999</v>
      </c>
    </row>
  </sheetData>
  <mergeCells count="1">
    <mergeCell ref="I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percolation information</vt:lpstr>
      <vt:lpstr>Actual Tortuosity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Ricky Fan</dc:creator>
  <cp:lastModifiedBy>Ricky Fan</cp:lastModifiedBy>
  <dcterms:created xsi:type="dcterms:W3CDTF">2025-08-28T09:19:19Z</dcterms:created>
  <dcterms:modified xsi:type="dcterms:W3CDTF">2025-08-31T14:32:56Z</dcterms:modified>
</cp:coreProperties>
</file>