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showInkAnnotation="0"/>
  <mc:AlternateContent xmlns:mc="http://schemas.openxmlformats.org/markup-compatibility/2006">
    <mc:Choice Requires="x15">
      <x15ac:absPath xmlns:x15ac="http://schemas.microsoft.com/office/spreadsheetml/2010/11/ac" url="D:\python_src\pythonConceptStudyProject\unitedsite\static\"/>
    </mc:Choice>
  </mc:AlternateContent>
  <xr:revisionPtr revIDLastSave="0" documentId="13_ncr:1_{C8193F07-192C-4D95-830D-DD97209A12A4}" xr6:coauthVersionLast="47" xr6:coauthVersionMax="47" xr10:uidLastSave="{00000000-0000-0000-0000-000000000000}"/>
  <bookViews>
    <workbookView xWindow="3495" yWindow="240" windowWidth="24495" windowHeight="1543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Sheet1!$A$1:$AN$71</definedName>
    <definedName name="_xlnm._FilterDatabase" localSheetId="1" hidden="1">Sheet2!$A$1:$O$7</definedName>
    <definedName name="_xlnm._FilterDatabase" localSheetId="2" hidden="1">Sheet3!$A$1:$AB$18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3" i="1" l="1"/>
  <c r="V13" i="1"/>
  <c r="W13" i="1"/>
  <c r="Z13" i="1" s="1"/>
  <c r="AB13" i="1" s="1"/>
  <c r="AD13" i="1"/>
  <c r="V64" i="1"/>
  <c r="AE13" i="1" l="1"/>
  <c r="T56" i="1"/>
  <c r="AD56" i="1"/>
  <c r="AE56" i="1" l="1"/>
  <c r="P18" i="3"/>
  <c r="P17" i="3"/>
  <c r="P16" i="3"/>
  <c r="P15" i="3"/>
  <c r="AD59" i="1"/>
  <c r="AD58" i="1"/>
  <c r="AD55" i="1"/>
  <c r="AD54" i="1"/>
  <c r="AE54" i="1" s="1"/>
  <c r="AD53" i="1"/>
  <c r="AE53" i="1" s="1"/>
  <c r="AD52" i="1"/>
  <c r="AE52" i="1" s="1"/>
  <c r="AE55" i="1"/>
  <c r="V59" i="1"/>
  <c r="V58" i="1"/>
  <c r="P14" i="3" l="1"/>
  <c r="P13" i="3"/>
  <c r="P12" i="3"/>
  <c r="AD50" i="1" l="1"/>
  <c r="AE50" i="1" l="1"/>
  <c r="AD51" i="1"/>
  <c r="AE51" i="1" s="1"/>
  <c r="P11" i="3" l="1"/>
  <c r="AD46" i="1" l="1"/>
  <c r="AE46" i="1" s="1"/>
  <c r="AD45" i="1"/>
  <c r="AE45" i="1" s="1"/>
  <c r="AD48" i="1" l="1"/>
  <c r="Z36" i="1" l="1"/>
  <c r="AB36" i="1" s="1"/>
  <c r="Z35" i="1"/>
  <c r="AB35" i="1" s="1"/>
  <c r="Z33" i="1"/>
  <c r="AB33" i="1" s="1"/>
  <c r="Z32" i="1"/>
  <c r="AB32" i="1" s="1"/>
  <c r="Z39" i="1" l="1"/>
  <c r="AB39" i="1" s="1"/>
  <c r="Z38" i="1"/>
  <c r="AB38" i="1" s="1"/>
  <c r="Z37" i="1"/>
  <c r="AB37" i="1" s="1"/>
  <c r="Z34" i="1"/>
  <c r="AB34" i="1" s="1"/>
  <c r="V32" i="1"/>
  <c r="T39" i="1" l="1"/>
  <c r="X30" i="1" l="1"/>
  <c r="W30" i="1"/>
  <c r="Z30" i="1" s="1"/>
  <c r="AB30" i="1" s="1"/>
  <c r="X24" i="1"/>
  <c r="W24" i="1"/>
  <c r="Z24" i="1" s="1"/>
  <c r="AB24" i="1" s="1"/>
  <c r="X31" i="1"/>
  <c r="W31" i="1"/>
  <c r="Z31" i="1" s="1"/>
  <c r="AB31" i="1" s="1"/>
  <c r="X29" i="1"/>
  <c r="W29" i="1"/>
  <c r="Z29" i="1" s="1"/>
  <c r="AB29" i="1" s="1"/>
  <c r="X26" i="1"/>
  <c r="W26" i="1"/>
  <c r="Z26" i="1" s="1"/>
  <c r="AB26" i="1" s="1"/>
  <c r="X25" i="1"/>
  <c r="W25" i="1"/>
  <c r="Z25" i="1" s="1"/>
  <c r="AB25" i="1" s="1"/>
  <c r="X27" i="1"/>
  <c r="W27" i="1"/>
  <c r="Z27" i="1" s="1"/>
  <c r="AB27" i="1" s="1"/>
  <c r="W14" i="1"/>
  <c r="Z14" i="1" s="1"/>
  <c r="X2" i="1"/>
  <c r="X3" i="1"/>
  <c r="W9" i="1"/>
  <c r="Z9" i="1" s="1"/>
  <c r="AB9" i="1" s="1"/>
  <c r="W8" i="1"/>
  <c r="Z8" i="1" s="1"/>
  <c r="AB8" i="1" s="1"/>
  <c r="W7" i="1"/>
  <c r="Z7" i="1" s="1"/>
  <c r="AB7" i="1" s="1"/>
  <c r="W2" i="1"/>
  <c r="Z2" i="1" s="1"/>
  <c r="AB2" i="1" s="1"/>
  <c r="W3" i="1"/>
  <c r="Z3" i="1" s="1"/>
  <c r="AB3" i="1" s="1"/>
  <c r="W4" i="1"/>
  <c r="Z4" i="1" s="1"/>
  <c r="AB4" i="1" s="1"/>
  <c r="W5" i="1"/>
  <c r="Z5" i="1" s="1"/>
  <c r="AB5" i="1" s="1"/>
  <c r="W6" i="1"/>
  <c r="Z6" i="1" s="1"/>
  <c r="AB6" i="1" s="1"/>
  <c r="P9" i="3" l="1"/>
  <c r="AD43" i="1" l="1"/>
  <c r="AD44" i="1"/>
  <c r="AD49" i="1"/>
  <c r="AE49" i="1" s="1"/>
  <c r="AD39" i="1" l="1"/>
  <c r="AE39" i="1" s="1"/>
  <c r="P5" i="3" l="1"/>
  <c r="P4" i="3"/>
  <c r="P3" i="3"/>
  <c r="P2" i="3"/>
  <c r="AD47" i="1" l="1"/>
  <c r="AE47" i="1" s="1"/>
  <c r="AE44" i="1"/>
  <c r="AE43" i="1"/>
  <c r="T48" i="1"/>
  <c r="AE48" i="1" s="1"/>
  <c r="AD37" i="1" l="1"/>
  <c r="AD34" i="1"/>
  <c r="AD24" i="1"/>
  <c r="AD30" i="1" l="1"/>
  <c r="AE24" i="1"/>
  <c r="V36" i="1" l="1"/>
  <c r="V35" i="1"/>
  <c r="AD36" i="1" l="1"/>
  <c r="AD35" i="1"/>
  <c r="AE34" i="1" l="1"/>
  <c r="AE35" i="1"/>
  <c r="AE36" i="1"/>
  <c r="AE37" i="1"/>
  <c r="V33" i="1"/>
  <c r="AE30" i="1"/>
  <c r="V29" i="1"/>
  <c r="AE28" i="1"/>
  <c r="T27" i="1"/>
  <c r="V2" i="1"/>
  <c r="AD33" i="1" l="1"/>
  <c r="AE33" i="1" s="1"/>
  <c r="AD32" i="1"/>
  <c r="AE32" i="1" s="1"/>
  <c r="AD38" i="1" l="1"/>
  <c r="AE38" i="1" s="1"/>
  <c r="AD31" i="1"/>
  <c r="AE31" i="1" s="1"/>
  <c r="AD21" i="1" l="1"/>
  <c r="AD20" i="1"/>
  <c r="V21" i="1" l="1"/>
  <c r="V20" i="1"/>
  <c r="AD27" i="1" l="1"/>
  <c r="AE27" i="1" s="1"/>
  <c r="AD29" i="1" l="1"/>
  <c r="AE29" i="1" s="1"/>
  <c r="AE21" i="1" l="1"/>
  <c r="AE20" i="1"/>
  <c r="AE22" i="1" l="1"/>
  <c r="AE23" i="1"/>
  <c r="AD26" i="1"/>
  <c r="AE26" i="1" s="1"/>
  <c r="AD25" i="1"/>
  <c r="AE25" i="1" s="1"/>
  <c r="AE19" i="1" l="1"/>
  <c r="AD14" i="1"/>
  <c r="V14" i="1"/>
  <c r="AB14" i="1" s="1"/>
  <c r="AD11" i="1"/>
  <c r="AD10" i="1"/>
  <c r="AD2" i="1"/>
  <c r="AD8" i="1" l="1"/>
  <c r="T5" i="1" l="1"/>
  <c r="T6" i="1"/>
  <c r="T7" i="1"/>
  <c r="T8" i="1"/>
  <c r="T9" i="1"/>
  <c r="T14" i="1"/>
  <c r="AE14" i="1" s="1"/>
  <c r="T4" i="1"/>
  <c r="T3" i="1"/>
  <c r="T2" i="1"/>
  <c r="AE2" i="1" s="1"/>
  <c r="AD9" i="1"/>
  <c r="AD7" i="1"/>
  <c r="AD6" i="1"/>
  <c r="AD5" i="1"/>
  <c r="AD4" i="1"/>
  <c r="AD3" i="1"/>
  <c r="V11" i="1"/>
  <c r="V10" i="1"/>
  <c r="V9" i="1"/>
  <c r="V8" i="1"/>
  <c r="V7" i="1"/>
  <c r="V6" i="1"/>
  <c r="V5" i="1"/>
  <c r="V4" i="1"/>
  <c r="V3" i="1"/>
  <c r="AE6" i="1" l="1"/>
  <c r="AE10" i="1"/>
  <c r="AE3" i="1"/>
  <c r="AE7" i="1"/>
  <c r="AE11" i="1"/>
  <c r="AE4" i="1"/>
  <c r="AE8" i="1"/>
  <c r="AE5" i="1"/>
  <c r="AE9" i="1"/>
</calcChain>
</file>

<file path=xl/sharedStrings.xml><?xml version="1.0" encoding="utf-8"?>
<sst xmlns="http://schemas.openxmlformats.org/spreadsheetml/2006/main" count="1535" uniqueCount="424">
  <si>
    <t>WEEK</t>
  </si>
  <si>
    <t>HBL</t>
  </si>
  <si>
    <t>ASISAMERIC</t>
  </si>
  <si>
    <t>MSC JEWEL FA134A</t>
  </si>
  <si>
    <t>NINGBO</t>
  </si>
  <si>
    <t>San Antonio,Chile</t>
  </si>
  <si>
    <t>1X40HQ</t>
  </si>
  <si>
    <t>177FNBNBN0A568A</t>
  </si>
  <si>
    <t>MSC</t>
  </si>
  <si>
    <t>177FNBNBN0A565A</t>
  </si>
  <si>
    <t>KUALA LUMPUR EXPRESS 2137E</t>
  </si>
  <si>
    <t>Valparaiso,Chile</t>
  </si>
  <si>
    <t>177FNBNBN0A590A</t>
  </si>
  <si>
    <t>MSC BERYL FA137A</t>
  </si>
  <si>
    <t>177FNBNBN0A578A</t>
  </si>
  <si>
    <t>177FNBNBN0A579A</t>
  </si>
  <si>
    <t>COCHRANE 2139E</t>
  </si>
  <si>
    <t>177FNBNBN0A619A</t>
  </si>
  <si>
    <t>MSC RUBY FA138A</t>
  </si>
  <si>
    <t>177FNBNBN0A620A</t>
  </si>
  <si>
    <t>177FNBNBN0A623A</t>
  </si>
  <si>
    <t>1xHBL FCL/FCL</t>
  </si>
  <si>
    <t>4xHBL FCL/FCL</t>
  </si>
  <si>
    <t>8xHBL FCL/FCL</t>
  </si>
  <si>
    <t>ABCD</t>
  </si>
  <si>
    <t>ABCDEFGH</t>
  </si>
  <si>
    <t>16000+300+400+125</t>
  </si>
  <si>
    <t>16000+300+125</t>
  </si>
  <si>
    <t>A</t>
  </si>
  <si>
    <t>15400+400</t>
  </si>
  <si>
    <t>90USD+125USD+71000CLP</t>
  </si>
  <si>
    <t>17000+300+400+125</t>
  </si>
  <si>
    <t>17300+300 +125</t>
  </si>
  <si>
    <t>9xHBL FCL/FCL</t>
  </si>
  <si>
    <t>5xHBL FCL/FCL</t>
  </si>
  <si>
    <t>TLLU7912510</t>
  </si>
  <si>
    <t>CAIU9858040</t>
  </si>
  <si>
    <t>MEDU7982535</t>
  </si>
  <si>
    <t>TGBU4637570</t>
  </si>
  <si>
    <t>MSMU6022955</t>
  </si>
  <si>
    <t>FFAU2325760</t>
  </si>
  <si>
    <t>ABCDE</t>
  </si>
  <si>
    <t>ABCDEFGHI</t>
  </si>
  <si>
    <t>Pagado</t>
  </si>
  <si>
    <t>OK</t>
  </si>
  <si>
    <t>实际ETD</t>
  </si>
  <si>
    <t>ETA/POD</t>
  </si>
  <si>
    <t>Omas</t>
  </si>
  <si>
    <t>177FNBNBN0A656A</t>
  </si>
  <si>
    <t>177FNBNBN0A657A</t>
  </si>
  <si>
    <t>TRHU8874491</t>
  </si>
  <si>
    <t>TGBU7002757</t>
  </si>
  <si>
    <t>MEDUNJ879729</t>
  </si>
  <si>
    <t>MEDUNJ879752</t>
  </si>
  <si>
    <t>MEDUNJ948037</t>
  </si>
  <si>
    <t>MEDUNL214313</t>
  </si>
  <si>
    <t>MEDUNL024514</t>
  </si>
  <si>
    <t>MEDUNL024506</t>
  </si>
  <si>
    <t>MEDUNL177338</t>
  </si>
  <si>
    <t>MEDUNL177320</t>
  </si>
  <si>
    <t>YAO</t>
  </si>
  <si>
    <t>MSC PHOENIX XA142A</t>
  </si>
  <si>
    <t>177FNBNBN0A682A</t>
  </si>
  <si>
    <t>177FNBNBN0A683A</t>
  </si>
  <si>
    <t>10.30</t>
  </si>
  <si>
    <t>10.31</t>
  </si>
  <si>
    <t>16300+300 +125</t>
  </si>
  <si>
    <t>90USD+125USD+102USD</t>
  </si>
  <si>
    <t>16200+400</t>
  </si>
  <si>
    <t>CAUTIN 2144E</t>
  </si>
  <si>
    <t>177FNBNBN0A716A</t>
  </si>
  <si>
    <t>我们消化掉了</t>
  </si>
  <si>
    <t>177FNBNBN0A774A</t>
  </si>
  <si>
    <t>177FNBNBN0A775A</t>
  </si>
  <si>
    <t xml:space="preserve">177FNBNBN0A780A </t>
  </si>
  <si>
    <t>N/A</t>
  </si>
  <si>
    <t>NO 亏舱</t>
  </si>
  <si>
    <t>Master直单</t>
  </si>
  <si>
    <t>15800+400</t>
  </si>
  <si>
    <t>16200+300 +125+400</t>
  </si>
  <si>
    <t>MEDUNL403601</t>
  </si>
  <si>
    <t>MSCU5183169</t>
  </si>
  <si>
    <t>MEDUNL403619</t>
  </si>
  <si>
    <t>MEDU7353208</t>
  </si>
  <si>
    <t>MEDUNL523929</t>
  </si>
  <si>
    <t>MEDU7841389</t>
  </si>
  <si>
    <t>MEDUNL523937</t>
  </si>
  <si>
    <t>TCLU5495317</t>
  </si>
  <si>
    <t>盛腾服装 Nuevo Siglo</t>
  </si>
  <si>
    <t>45 变成46 变回45</t>
  </si>
  <si>
    <t>MSC LAUREN FA144A</t>
  </si>
  <si>
    <t>MSMU5075518</t>
  </si>
  <si>
    <t>46 变成45</t>
  </si>
  <si>
    <t>MSC NATASHA FA146A</t>
  </si>
  <si>
    <t>177FNBNBN0A815A</t>
  </si>
  <si>
    <t>177FNBNBN0A816A</t>
  </si>
  <si>
    <t>1X40HR</t>
  </si>
  <si>
    <t>177FNBNBN0A817A</t>
  </si>
  <si>
    <t>177FNBNBN0A818A</t>
  </si>
  <si>
    <t>MAERSK SAVANNAH 146E</t>
  </si>
  <si>
    <t>1KT303140</t>
  </si>
  <si>
    <t>13600+300+125</t>
  </si>
  <si>
    <t>HBL(-100USD COMISION)</t>
  </si>
  <si>
    <t>Pago Cliente chile</t>
  </si>
  <si>
    <t>BL CANJEADO</t>
  </si>
  <si>
    <t xml:space="preserve"> Master</t>
  </si>
  <si>
    <t>Master直单(5 dias)</t>
  </si>
  <si>
    <t>亚洲贸易 Hiper Asia</t>
  </si>
  <si>
    <t>13-11-2021 a 26-11-2021</t>
  </si>
  <si>
    <t>13-11-2021 a 24-11-2021</t>
  </si>
  <si>
    <t>06-11-2021 a 17-11-2021</t>
  </si>
  <si>
    <t>17-11-2021 a 01-12-2021</t>
  </si>
  <si>
    <t>177FNBNBN0A842A</t>
  </si>
  <si>
    <t>177FNBNBN0A843A</t>
  </si>
  <si>
    <t>177FNBNBN0A844A</t>
  </si>
  <si>
    <t>177FNBNBN0A845A</t>
  </si>
  <si>
    <t>MSC ELISA FA148A</t>
  </si>
  <si>
    <t>177FNBNBN0A854A</t>
  </si>
  <si>
    <t>177FNBNBN0A855A</t>
  </si>
  <si>
    <t>177FNBNBN0A856A</t>
  </si>
  <si>
    <t>177FNBNBN0A857A</t>
  </si>
  <si>
    <t>48 提前到 47</t>
  </si>
  <si>
    <t>15200+300 +125</t>
  </si>
  <si>
    <t>15900+600</t>
  </si>
  <si>
    <t>16200+600</t>
  </si>
  <si>
    <t>15900+400</t>
  </si>
  <si>
    <t>16200+400+300+125</t>
  </si>
  <si>
    <t>12500+300+125</t>
  </si>
  <si>
    <t>Maersk</t>
  </si>
  <si>
    <t>Master</t>
  </si>
  <si>
    <t>Reserva</t>
  </si>
  <si>
    <t>16100+600</t>
  </si>
  <si>
    <t>MEDUNP056710</t>
  </si>
  <si>
    <t>MEDUNP079761</t>
  </si>
  <si>
    <t>FFAU2505801</t>
  </si>
  <si>
    <t>TGHU6720303</t>
  </si>
  <si>
    <t>Master +aduana</t>
  </si>
  <si>
    <t>Master + aduana</t>
  </si>
  <si>
    <t>MEDUNL801556</t>
  </si>
  <si>
    <t>BMOU6548837</t>
  </si>
  <si>
    <t>MEDUNP056702</t>
  </si>
  <si>
    <t>03-12-2021 a 13-12-2021</t>
  </si>
  <si>
    <t>300+125</t>
  </si>
  <si>
    <t>177FNBNBN0A899A</t>
  </si>
  <si>
    <t>177FNBNBN0A900A</t>
  </si>
  <si>
    <t>177FNBNBN0A898A</t>
  </si>
  <si>
    <t>SEGU6246120</t>
  </si>
  <si>
    <t>BMOU4263706</t>
  </si>
  <si>
    <t>05-12-2021 a 20-12-2021</t>
  </si>
  <si>
    <t>TTNU8011123</t>
  </si>
  <si>
    <t>TEMU9302820</t>
  </si>
  <si>
    <t>MEDUNP224284</t>
  </si>
  <si>
    <t>MEDUNP224276</t>
  </si>
  <si>
    <t>MEDUNP212321</t>
  </si>
  <si>
    <t>MEDUNP212313</t>
  </si>
  <si>
    <t>EVER LAWFUL - 0555-047E</t>
  </si>
  <si>
    <t>YML</t>
  </si>
  <si>
    <t>1xHBL FCL/FCL 5 días libres</t>
  </si>
  <si>
    <t>?</t>
  </si>
  <si>
    <t>90USD+125USD+55USD</t>
  </si>
  <si>
    <t>11xHBL FCL/FCL</t>
  </si>
  <si>
    <t>ABCDEFGHIJK</t>
  </si>
  <si>
    <t>16060+400</t>
  </si>
  <si>
    <t>15xHBL FCL/FCL</t>
  </si>
  <si>
    <t>MEDUNP341724</t>
  </si>
  <si>
    <t>TRIU8152569</t>
  </si>
  <si>
    <t>MEDUNP341708</t>
  </si>
  <si>
    <t>TEMU6512946</t>
  </si>
  <si>
    <t>MEDUNP341716</t>
  </si>
  <si>
    <t>MEDU8827385</t>
  </si>
  <si>
    <t>MEDUNP341732</t>
  </si>
  <si>
    <t>SZLU9464279</t>
  </si>
  <si>
    <t>S-Y-C LIMITADA</t>
  </si>
  <si>
    <t>16200+300+125+25</t>
  </si>
  <si>
    <t>12500+300+125+125</t>
  </si>
  <si>
    <t>12500+300+125+25</t>
  </si>
  <si>
    <t xml:space="preserve">NO 亏舱 </t>
  </si>
  <si>
    <t>MSC BERYL / FA201A</t>
  </si>
  <si>
    <t>177FNBNBN0A897A</t>
  </si>
  <si>
    <t>177FNBNBN1A005A</t>
  </si>
  <si>
    <t>177FNBNBN1A004A</t>
  </si>
  <si>
    <t>177FNBNBN1A006A</t>
  </si>
  <si>
    <t>177FNBNBN1A007A</t>
  </si>
  <si>
    <t>177FNBNBN1A008A</t>
  </si>
  <si>
    <t>A.P.MOLLER 202E</t>
  </si>
  <si>
    <t>C232093915</t>
  </si>
  <si>
    <t>C232093917</t>
  </si>
  <si>
    <t>C232093916</t>
  </si>
  <si>
    <t>15500+300+125</t>
  </si>
  <si>
    <t>11-12-2021 a 20-12-2021</t>
  </si>
  <si>
    <t>康康 Gong Gong</t>
  </si>
  <si>
    <t>骏和 WS Cargo Spa No Zarpo</t>
  </si>
  <si>
    <t>WS Cargo Spa</t>
  </si>
  <si>
    <t>Puerto de Almacen</t>
  </si>
  <si>
    <t>AEXSA</t>
  </si>
  <si>
    <t>POL</t>
  </si>
  <si>
    <t>POD</t>
  </si>
  <si>
    <t>Vessel / Voyage</t>
  </si>
  <si>
    <t>Type</t>
  </si>
  <si>
    <t>Container</t>
  </si>
  <si>
    <t>Booking Number</t>
  </si>
  <si>
    <t>Empresa</t>
  </si>
  <si>
    <t>ETA</t>
  </si>
  <si>
    <t>WS Cargo Spa .</t>
  </si>
  <si>
    <t>STI</t>
  </si>
  <si>
    <t>13-12-2021 a 21/12/2021</t>
  </si>
  <si>
    <t>13-12-2021 a 15-12-2021</t>
  </si>
  <si>
    <t>14-12-2021 a 23/12/2021</t>
  </si>
  <si>
    <t>12-12-2021 a 20/12/2021</t>
  </si>
  <si>
    <t>11-12-2021 a  23/12/2021</t>
  </si>
  <si>
    <t>23-12-2021 a 30/12/2021</t>
  </si>
  <si>
    <t>MEDUNP447778</t>
  </si>
  <si>
    <t>CAIU7359139</t>
  </si>
  <si>
    <t>MEDUNP447786</t>
  </si>
  <si>
    <t>MSDU7504810</t>
  </si>
  <si>
    <t>MEDUNP447794</t>
  </si>
  <si>
    <t>TRIU8270617</t>
  </si>
  <si>
    <t>MEDUNP742301</t>
  </si>
  <si>
    <t>MSMU6017162</t>
  </si>
  <si>
    <t>MEDUNP742319</t>
  </si>
  <si>
    <t>TEMU8480956</t>
  </si>
  <si>
    <t>MEDUNP740537</t>
  </si>
  <si>
    <t>OTPU6023874</t>
  </si>
  <si>
    <t>MEDUNP447802</t>
  </si>
  <si>
    <t>OTPU6059347</t>
  </si>
  <si>
    <t>YMMU6359778</t>
  </si>
  <si>
    <t>19XHBL FCL/FCL</t>
  </si>
  <si>
    <t>YMLUC232093915</t>
  </si>
  <si>
    <t>ABCDEFGHIJKLMNO</t>
  </si>
  <si>
    <t>ABCDEFGHIJKLMNOPQRS</t>
  </si>
  <si>
    <t>洪姐 HONG</t>
  </si>
  <si>
    <t>骏和 WS Cargo Spa</t>
  </si>
  <si>
    <t>提单</t>
  </si>
  <si>
    <t>中国LOCAL费用</t>
  </si>
  <si>
    <t>智利LOCAL费用</t>
  </si>
  <si>
    <t>船运费</t>
  </si>
  <si>
    <t>总价</t>
  </si>
  <si>
    <t>300+125(DTHC)</t>
  </si>
  <si>
    <t>CTR</t>
  </si>
  <si>
    <t>LINE</t>
  </si>
  <si>
    <t>ASIAMERIC</t>
  </si>
  <si>
    <t>洪姐 No Zarpo x coronavirus</t>
  </si>
  <si>
    <t>300+125+125</t>
  </si>
  <si>
    <t>300+125+25</t>
  </si>
  <si>
    <t>24-01-2022 a 26-01-2022</t>
  </si>
  <si>
    <t>SEKU4701194</t>
  </si>
  <si>
    <t xml:space="preserve">Master </t>
  </si>
  <si>
    <t>Master + aduana (asiameric)</t>
  </si>
  <si>
    <t>BL</t>
  </si>
  <si>
    <t>16200+300+142+225</t>
  </si>
  <si>
    <t>MSC RUBY / FA202A</t>
  </si>
  <si>
    <t>177FNBNBN1A032A</t>
  </si>
  <si>
    <t>177FNBNBN1A033A</t>
  </si>
  <si>
    <t>177FNBNBN1A034A</t>
  </si>
  <si>
    <t>13900+300+125</t>
  </si>
  <si>
    <t>300+142+225</t>
  </si>
  <si>
    <t>Diferencia</t>
  </si>
  <si>
    <t>USD MSC Ocean Freight + Global Fuel surcharge en China</t>
  </si>
  <si>
    <t>CNY MSC THCO+Doc fee en China</t>
  </si>
  <si>
    <t>1462CNY</t>
  </si>
  <si>
    <t>230USD</t>
  </si>
  <si>
    <t>285USD</t>
  </si>
  <si>
    <t>05-01-2022 a 13-01-2022</t>
  </si>
  <si>
    <t>25-01-2021 a 27-01-2022</t>
  </si>
  <si>
    <t>90USD+142USD+120USD</t>
  </si>
  <si>
    <t>23-01-2022 a 05-02-2022</t>
  </si>
  <si>
    <t>05-02-2022 a</t>
  </si>
  <si>
    <t>06-02-2022 a 09-02-2022</t>
  </si>
  <si>
    <t>04-02-2022 a 12-02-2022</t>
  </si>
  <si>
    <t>04-02-2022 a</t>
  </si>
  <si>
    <t>04-02-2022 a 07-02-2022</t>
  </si>
  <si>
    <t>16-02-2022 a</t>
  </si>
  <si>
    <t>14-02-2022 a</t>
  </si>
  <si>
    <t>12XHBL FCL/FCL</t>
  </si>
  <si>
    <t>13100+300+125+50</t>
  </si>
  <si>
    <t>MEDUNV293844</t>
  </si>
  <si>
    <t>TCLU5901062</t>
  </si>
  <si>
    <t>MAEU215733183</t>
  </si>
  <si>
    <t>ABCDEFGHIJKL</t>
  </si>
  <si>
    <t>TEMU6260443</t>
  </si>
  <si>
    <t>MEDUNV293851</t>
  </si>
  <si>
    <t>MSMU6575483</t>
  </si>
  <si>
    <t>MEDUNV333095</t>
  </si>
  <si>
    <t>CAIU4765601</t>
  </si>
  <si>
    <t>MEDUNV333103</t>
  </si>
  <si>
    <t>FBLU0066119</t>
  </si>
  <si>
    <t>MEDUNV333111</t>
  </si>
  <si>
    <t>SEGU9673640</t>
  </si>
  <si>
    <t>MEDUNV478437</t>
  </si>
  <si>
    <t>CAIU4809382</t>
  </si>
  <si>
    <t>MEDUNV478445</t>
  </si>
  <si>
    <t>MSMU8476279</t>
  </si>
  <si>
    <t>MEDUNV478452</t>
  </si>
  <si>
    <t>MSDU7601370</t>
  </si>
  <si>
    <t>MAERSK</t>
  </si>
  <si>
    <t>300+125+50</t>
  </si>
  <si>
    <t>15500+300+125+25</t>
  </si>
  <si>
    <t>8XHBL FCL/FCL</t>
  </si>
  <si>
    <t>11XHBL FCL/FCL</t>
  </si>
  <si>
    <t>24xHBL FCL/FCL</t>
  </si>
  <si>
    <t>6xHBL FCL/FCL</t>
  </si>
  <si>
    <t>ABCDEF</t>
  </si>
  <si>
    <t>ABCDEFGHIJKLMNOPQRSTUVWX</t>
  </si>
  <si>
    <t>13900+300+125+350</t>
  </si>
  <si>
    <t>6XHBL FCL/FCL</t>
  </si>
  <si>
    <t>24XHBL FCL/FCL</t>
  </si>
  <si>
    <t>300+125+350</t>
  </si>
  <si>
    <t>28-02-2022 a</t>
  </si>
  <si>
    <t>13-03-2022 a</t>
  </si>
  <si>
    <t>06-03-2022 a</t>
  </si>
  <si>
    <t>MSC EMMA/FA208A</t>
  </si>
  <si>
    <t>177FNBNBN1A112A</t>
  </si>
  <si>
    <t>177FNBNBN1A113A</t>
  </si>
  <si>
    <t>177FNBNBN1A114A</t>
  </si>
  <si>
    <t>MAERSK STEPNICA 210E</t>
  </si>
  <si>
    <t>EVER LISSOME 052E</t>
  </si>
  <si>
    <t>OOLU2131624930</t>
  </si>
  <si>
    <t>OOCL</t>
  </si>
  <si>
    <t>NBST626985</t>
  </si>
  <si>
    <t>CMA</t>
  </si>
  <si>
    <t>ELGV143200107004</t>
  </si>
  <si>
    <t>EMC</t>
  </si>
  <si>
    <t>EGLV143200107012</t>
  </si>
  <si>
    <t>8500+370</t>
  </si>
  <si>
    <t>8600+300+125+X</t>
  </si>
  <si>
    <t>9000+370+300+125</t>
  </si>
  <si>
    <t>21xHBL FCL/FCL</t>
  </si>
  <si>
    <t>7xHBL FCL/FCL</t>
  </si>
  <si>
    <t>16xHBL FCL/FCL</t>
  </si>
  <si>
    <t>MEDUNV938166</t>
  </si>
  <si>
    <t>MEDUNV938174</t>
  </si>
  <si>
    <t>MEDUNV938182</t>
  </si>
  <si>
    <t>ABCDEFGHIJKLMNOPQRSTU</t>
  </si>
  <si>
    <t>ABCDEFG</t>
  </si>
  <si>
    <t>ABCDEFGHIJKLMNOP</t>
  </si>
  <si>
    <t>CARU5250818</t>
  </si>
  <si>
    <t>BMOU5955885</t>
  </si>
  <si>
    <t>MSDU7794392</t>
  </si>
  <si>
    <t>10400+300+125+275</t>
  </si>
  <si>
    <t>10400+300+125</t>
  </si>
  <si>
    <t>10400+300+125+150</t>
  </si>
  <si>
    <t>CSNU676275-0</t>
  </si>
  <si>
    <t>GESU5941673</t>
  </si>
  <si>
    <t>MAEU216889730</t>
  </si>
  <si>
    <t>12周 转到13周</t>
  </si>
  <si>
    <t>MSC ELISA / FA212A</t>
  </si>
  <si>
    <t>177FNBNBN1A211A</t>
  </si>
  <si>
    <t>177FNBNBN1A212A</t>
  </si>
  <si>
    <t xml:space="preserve">ASISAMERIC </t>
  </si>
  <si>
    <t>177FNBNBN1A213A</t>
  </si>
  <si>
    <t>177FNBNBN1A214A</t>
  </si>
  <si>
    <t>177FNBNBN1A215A</t>
  </si>
  <si>
    <t>177FNBNBN1A216A</t>
  </si>
  <si>
    <t>HENG HUI 6  006E</t>
  </si>
  <si>
    <t>龚总 （宾泉国际） 海运费预付 出两票提单 2票报关</t>
  </si>
  <si>
    <t>9800+300+125</t>
  </si>
  <si>
    <t>7600+300+125+X</t>
  </si>
  <si>
    <t>7800+300+125</t>
  </si>
  <si>
    <t>90USD+218USD+55USD</t>
  </si>
  <si>
    <t>300+125+275</t>
  </si>
  <si>
    <t>300+125+150</t>
  </si>
  <si>
    <t>OOLU2131624930A</t>
  </si>
  <si>
    <t>9500+300+125+85</t>
  </si>
  <si>
    <t>NBST627470</t>
  </si>
  <si>
    <t>NBST627544</t>
  </si>
  <si>
    <t>EVER LIBRA V 0564-060E</t>
  </si>
  <si>
    <t>TCNU3741070</t>
  </si>
  <si>
    <t>EGHU9856011</t>
  </si>
  <si>
    <t>TLLU4795154</t>
  </si>
  <si>
    <t>GESU5101739</t>
  </si>
  <si>
    <t>YM UTILITY V 076E</t>
  </si>
  <si>
    <t>APL CHONGQING V 0MHARE1MA</t>
  </si>
  <si>
    <t>CMAU7604331</t>
  </si>
  <si>
    <t>10xHBL FCL/FCL</t>
  </si>
  <si>
    <t>MBL_NBST627544</t>
  </si>
  <si>
    <t>MBL_NBST627470</t>
  </si>
  <si>
    <t>ABCDEFGHIJ</t>
  </si>
  <si>
    <t>MBL_NBST626985</t>
  </si>
  <si>
    <t>7350+370</t>
  </si>
  <si>
    <t>7600+370+300+125</t>
  </si>
  <si>
    <t xml:space="preserve">盛腾服装 </t>
  </si>
  <si>
    <t>177FNBNBN1A217A</t>
  </si>
  <si>
    <t>177FNBNBN1A218A</t>
  </si>
  <si>
    <t>MSC DYMPHNA XA215A</t>
  </si>
  <si>
    <t>177FNBNBN1A220A</t>
  </si>
  <si>
    <t>177FNBNBN1A221A</t>
  </si>
  <si>
    <t>177FNBNBN1A222A</t>
  </si>
  <si>
    <t>177FNBNBN1A223A</t>
  </si>
  <si>
    <t>MSC BERYL FA215A</t>
  </si>
  <si>
    <t>177FNBNBN1A336A</t>
  </si>
  <si>
    <t>177FNBNBN1A337A</t>
  </si>
  <si>
    <t>177FNBNBN1A338A</t>
  </si>
  <si>
    <t>177FNBNBN1A339A</t>
  </si>
  <si>
    <t>idbusinessinfo</t>
  </si>
  <si>
    <t>clientname</t>
  </si>
  <si>
    <t>eta</t>
  </si>
  <si>
    <t>vessel_voyage</t>
  </si>
  <si>
    <t>pol</t>
  </si>
  <si>
    <t>pod</t>
  </si>
  <si>
    <t>numctrs</t>
  </si>
  <si>
    <t>type_ctrs</t>
  </si>
  <si>
    <t>master_no</t>
  </si>
  <si>
    <t>num_hbls</t>
  </si>
  <si>
    <t>first_hbl_no</t>
  </si>
  <si>
    <t>hbl_memo</t>
  </si>
  <si>
    <t>container_no</t>
  </si>
  <si>
    <t>shipping_line</t>
  </si>
  <si>
    <t>freeddday</t>
  </si>
  <si>
    <t>costhbl_dest_description</t>
  </si>
  <si>
    <t>costhbl_dest</t>
  </si>
  <si>
    <t>topaid_org_description</t>
  </si>
  <si>
    <t>topaid_org</t>
  </si>
  <si>
    <t>toinvoice_dest_description</t>
  </si>
  <si>
    <t>toinvoice_dest</t>
  </si>
  <si>
    <t>profit</t>
  </si>
  <si>
    <t>costhbl_dest_status</t>
  </si>
  <si>
    <t>topaid_status</t>
  </si>
  <si>
    <t>toinvoice_dest_status</t>
  </si>
  <si>
    <t>hbl_canjeado_status</t>
  </si>
  <si>
    <t>devolution_ctrs_inidate</t>
  </si>
  <si>
    <t>devolution_ctrs_findate</t>
  </si>
  <si>
    <t>bl_type</t>
  </si>
  <si>
    <t>release_type</t>
  </si>
  <si>
    <t>operation_status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</si>
</sst>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22" x14ac:knownFonts="1">
    <font>
      <sz val="11"/>
      <name val="宋体"/>
      <charset val="134"/>
    </font>
    <font>
      <b/>
      <sz val="8"/>
      <color theme="0"/>
      <name val="Arial Narrow"/>
      <family val="2"/>
    </font>
    <font>
      <sz val="8"/>
      <name val="Arial Narrow"/>
      <family val="2"/>
    </font>
    <font>
      <sz val="8"/>
      <color rgb="FF000000"/>
      <name val="Arial Narrow"/>
      <family val="2"/>
    </font>
    <font>
      <sz val="8"/>
      <color rgb="FF2B2B2B"/>
      <name val="Arial Narrow"/>
      <family val="2"/>
    </font>
    <font>
      <sz val="8"/>
      <color theme="1"/>
      <name val="Arial Narrow"/>
      <family val="2"/>
    </font>
    <font>
      <b/>
      <sz val="8"/>
      <color rgb="FFFF0000"/>
      <name val="Arial Narrow"/>
      <family val="2"/>
    </font>
    <font>
      <b/>
      <sz val="8"/>
      <color rgb="FF000000"/>
      <name val="Arial Narrow"/>
      <family val="2"/>
    </font>
    <font>
      <b/>
      <sz val="8"/>
      <name val="Arial Narrow"/>
      <family val="2"/>
    </font>
    <font>
      <sz val="8"/>
      <color theme="3"/>
      <name val="Arial Narrow"/>
      <family val="2"/>
    </font>
    <font>
      <b/>
      <sz val="8"/>
      <color theme="3"/>
      <name val="Arial Narrow"/>
      <family val="2"/>
    </font>
    <font>
      <b/>
      <sz val="8"/>
      <color theme="9" tint="-0.249977111117893"/>
      <name val="Arial Narrow"/>
      <family val="2"/>
    </font>
    <font>
      <sz val="12"/>
      <name val="Times New Roman"/>
      <family val="1"/>
    </font>
    <font>
      <sz val="11"/>
      <name val="宋体"/>
      <charset val="134"/>
    </font>
    <font>
      <b/>
      <sz val="8"/>
      <color theme="8"/>
      <name val="Arial Narrow"/>
      <family val="2"/>
    </font>
    <font>
      <sz val="8"/>
      <color theme="8"/>
      <name val="Arial Narrow"/>
      <family val="2"/>
    </font>
    <font>
      <b/>
      <sz val="8"/>
      <color theme="5" tint="-0.499984740745262"/>
      <name val="Arial Narrow"/>
      <family val="2"/>
    </font>
    <font>
      <sz val="8"/>
      <color theme="5" tint="-0.499984740745262"/>
      <name val="Arial Narrow"/>
      <family val="2"/>
    </font>
    <font>
      <sz val="11"/>
      <name val="Times New Roman"/>
      <family val="1"/>
    </font>
    <font>
      <sz val="11"/>
      <color rgb="FF0D0015"/>
      <name val="Times New Roman"/>
      <family val="1"/>
    </font>
    <font>
      <sz val="8"/>
      <name val="宋体"/>
      <charset val="134"/>
    </font>
    <font>
      <sz val="11"/>
      <color rgb="FFFE2C23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164" fontId="0" fillId="0" borderId="0">
      <alignment vertical="center"/>
    </xf>
    <xf numFmtId="164" fontId="13" fillId="0" borderId="0">
      <alignment vertical="center"/>
    </xf>
  </cellStyleXfs>
  <cellXfs count="173">
    <xf numFmtId="164" fontId="0" fillId="0" borderId="0" xfId="0">
      <alignment vertical="center"/>
    </xf>
    <xf numFmtId="164" fontId="1" fillId="2" borderId="1" xfId="0" applyFont="1" applyFill="1" applyBorder="1">
      <alignment vertical="center"/>
    </xf>
    <xf numFmtId="164" fontId="2" fillId="0" borderId="0" xfId="0" applyFont="1">
      <alignment vertical="center"/>
    </xf>
    <xf numFmtId="164" fontId="2" fillId="0" borderId="1" xfId="0" applyFont="1" applyBorder="1">
      <alignment vertical="center"/>
    </xf>
    <xf numFmtId="164" fontId="2" fillId="0" borderId="0" xfId="0" applyFont="1" applyFill="1">
      <alignment vertical="center"/>
    </xf>
    <xf numFmtId="164" fontId="1" fillId="2" borderId="1" xfId="0" applyFont="1" applyFill="1" applyBorder="1" applyAlignment="1">
      <alignment horizontal="left" vertical="center"/>
    </xf>
    <xf numFmtId="164" fontId="2" fillId="0" borderId="0" xfId="0" applyFont="1" applyAlignment="1">
      <alignment horizontal="left" vertical="center"/>
    </xf>
    <xf numFmtId="164" fontId="8" fillId="0" borderId="0" xfId="0" applyFont="1">
      <alignment vertical="center"/>
    </xf>
    <xf numFmtId="164" fontId="2" fillId="3" borderId="0" xfId="0" applyFont="1" applyFill="1">
      <alignment vertical="center"/>
    </xf>
    <xf numFmtId="164" fontId="12" fillId="0" borderId="1" xfId="0" applyFont="1" applyBorder="1">
      <alignment vertical="center"/>
    </xf>
    <xf numFmtId="164" fontId="1" fillId="4" borderId="1" xfId="0" applyFont="1" applyFill="1" applyBorder="1">
      <alignment vertical="center"/>
    </xf>
    <xf numFmtId="14" fontId="2" fillId="0" borderId="1" xfId="0" applyNumberFormat="1" applyFont="1" applyBorder="1">
      <alignment vertical="center"/>
    </xf>
    <xf numFmtId="164" fontId="1" fillId="2" borderId="1" xfId="0" applyFont="1" applyFill="1" applyBorder="1" applyAlignment="1">
      <alignment vertical="center"/>
    </xf>
    <xf numFmtId="164" fontId="1" fillId="2" borderId="2" xfId="0" applyFont="1" applyFill="1" applyBorder="1" applyAlignment="1">
      <alignment vertical="center"/>
    </xf>
    <xf numFmtId="164" fontId="5" fillId="0" borderId="0" xfId="0" applyFont="1" applyAlignment="1"/>
    <xf numFmtId="164" fontId="2" fillId="0" borderId="1" xfId="0" applyFont="1" applyFill="1" applyBorder="1" applyAlignment="1">
      <alignment vertical="center"/>
    </xf>
    <xf numFmtId="164" fontId="2" fillId="0" borderId="0" xfId="0" applyFont="1" applyBorder="1" applyAlignment="1">
      <alignment vertical="center"/>
    </xf>
    <xf numFmtId="164" fontId="2" fillId="3" borderId="0" xfId="0" applyFont="1" applyFill="1" applyBorder="1" applyAlignment="1">
      <alignment vertical="center"/>
    </xf>
    <xf numFmtId="164" fontId="5" fillId="0" borderId="1" xfId="0" applyFont="1" applyBorder="1" applyAlignment="1"/>
    <xf numFmtId="164" fontId="1" fillId="2" borderId="1" xfId="0" applyFont="1" applyFill="1" applyBorder="1" applyAlignment="1">
      <alignment horizontal="center" vertical="center"/>
    </xf>
    <xf numFmtId="164" fontId="5" fillId="0" borderId="0" xfId="0" applyFont="1" applyAlignment="1">
      <alignment horizontal="center"/>
    </xf>
    <xf numFmtId="164" fontId="1" fillId="2" borderId="0" xfId="0" applyFont="1" applyFill="1" applyBorder="1" applyAlignment="1">
      <alignment horizontal="left" vertical="center"/>
    </xf>
    <xf numFmtId="164" fontId="1" fillId="2" borderId="2" xfId="0" applyFont="1" applyFill="1" applyBorder="1" applyAlignment="1">
      <alignment horizontal="left" vertical="center"/>
    </xf>
    <xf numFmtId="164" fontId="5" fillId="0" borderId="1" xfId="0" applyFont="1" applyBorder="1" applyAlignment="1">
      <alignment horizontal="left"/>
    </xf>
    <xf numFmtId="164" fontId="18" fillId="0" borderId="1" xfId="0" applyFont="1" applyBorder="1" applyAlignment="1">
      <alignment horizontal="left" vertical="center"/>
    </xf>
    <xf numFmtId="164" fontId="19" fillId="0" borderId="1" xfId="0" applyFont="1" applyBorder="1" applyAlignment="1">
      <alignment horizontal="left" vertical="center"/>
    </xf>
    <xf numFmtId="164" fontId="2" fillId="0" borderId="1" xfId="0" applyFont="1" applyFill="1" applyBorder="1">
      <alignment vertical="center"/>
    </xf>
    <xf numFmtId="16" fontId="8" fillId="0" borderId="1" xfId="0" applyNumberFormat="1" applyFont="1" applyFill="1" applyBorder="1" applyAlignment="1">
      <alignment horizontal="left" vertical="center"/>
    </xf>
    <xf numFmtId="1" fontId="1" fillId="2" borderId="1" xfId="0" applyNumberFormat="1" applyFont="1" applyFill="1" applyBorder="1" applyAlignment="1">
      <alignment horizontal="left" vertical="center"/>
    </xf>
    <xf numFmtId="1" fontId="6" fillId="0" borderId="1" xfId="0" applyNumberFormat="1" applyFont="1" applyFill="1" applyBorder="1" applyAlignment="1">
      <alignment horizontal="right" vertical="center"/>
    </xf>
    <xf numFmtId="1" fontId="2" fillId="0" borderId="1" xfId="0" applyNumberFormat="1" applyFont="1" applyBorder="1" applyAlignment="1">
      <alignment horizontal="right" vertical="center"/>
    </xf>
    <xf numFmtId="1" fontId="2" fillId="0" borderId="0" xfId="0" applyNumberFormat="1" applyFont="1" applyAlignment="1">
      <alignment horizontal="right" vertical="center"/>
    </xf>
    <xf numFmtId="1" fontId="16" fillId="2" borderId="1" xfId="0" applyNumberFormat="1" applyFont="1" applyFill="1" applyBorder="1" applyAlignment="1">
      <alignment horizontal="left" vertical="center"/>
    </xf>
    <xf numFmtId="1" fontId="14" fillId="2" borderId="1" xfId="0" applyNumberFormat="1" applyFont="1" applyFill="1" applyBorder="1" applyAlignment="1">
      <alignment horizontal="left" vertical="center"/>
    </xf>
    <xf numFmtId="1" fontId="17" fillId="0" borderId="1" xfId="0" applyNumberFormat="1" applyFont="1" applyBorder="1" applyAlignment="1">
      <alignment horizontal="right" vertical="center"/>
    </xf>
    <xf numFmtId="1" fontId="15" fillId="0" borderId="1" xfId="0" applyNumberFormat="1" applyFont="1" applyBorder="1" applyAlignment="1">
      <alignment horizontal="right" vertical="center"/>
    </xf>
    <xf numFmtId="1" fontId="17" fillId="0" borderId="0" xfId="0" applyNumberFormat="1" applyFont="1" applyAlignment="1">
      <alignment horizontal="right" vertical="center"/>
    </xf>
    <xf numFmtId="1" fontId="15" fillId="0" borderId="0" xfId="0" applyNumberFormat="1" applyFont="1" applyAlignment="1">
      <alignment horizontal="right" vertical="center"/>
    </xf>
    <xf numFmtId="164" fontId="2" fillId="0" borderId="1" xfId="0" applyFont="1" applyBorder="1" applyAlignment="1">
      <alignment horizontal="left" vertical="center"/>
    </xf>
    <xf numFmtId="164" fontId="8" fillId="0" borderId="1" xfId="0" applyFont="1" applyBorder="1">
      <alignment vertical="center"/>
    </xf>
    <xf numFmtId="1" fontId="2" fillId="0" borderId="1" xfId="0" applyNumberFormat="1" applyFont="1" applyBorder="1">
      <alignment vertical="center"/>
    </xf>
    <xf numFmtId="1" fontId="5" fillId="0" borderId="0" xfId="0" applyNumberFormat="1" applyFont="1" applyAlignment="1"/>
    <xf numFmtId="0" fontId="5" fillId="0" borderId="1" xfId="0" applyNumberFormat="1" applyFont="1" applyBorder="1" applyAlignment="1">
      <alignment horizontal="left"/>
    </xf>
    <xf numFmtId="1" fontId="5" fillId="0" borderId="1" xfId="0" applyNumberFormat="1" applyFont="1" applyBorder="1" applyAlignment="1"/>
    <xf numFmtId="1" fontId="5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right" vertical="center"/>
    </xf>
    <xf numFmtId="1" fontId="10" fillId="0" borderId="1" xfId="0" applyNumberFormat="1" applyFont="1" applyFill="1" applyBorder="1" applyAlignment="1">
      <alignment horizontal="right" vertical="center"/>
    </xf>
    <xf numFmtId="1" fontId="10" fillId="0" borderId="1" xfId="0" applyNumberFormat="1" applyFont="1" applyBorder="1" applyAlignment="1">
      <alignment horizontal="right" vertical="center"/>
    </xf>
    <xf numFmtId="164" fontId="2" fillId="5" borderId="1" xfId="0" applyFont="1" applyFill="1" applyBorder="1" applyAlignment="1">
      <alignment vertical="center"/>
    </xf>
    <xf numFmtId="164" fontId="2" fillId="5" borderId="1" xfId="0" applyNumberFormat="1" applyFont="1" applyFill="1" applyBorder="1" applyAlignment="1">
      <alignment horizontal="left" vertical="center"/>
    </xf>
    <xf numFmtId="164" fontId="2" fillId="5" borderId="1" xfId="1" applyFont="1" applyFill="1" applyBorder="1">
      <alignment vertical="center"/>
    </xf>
    <xf numFmtId="1" fontId="2" fillId="5" borderId="1" xfId="0" applyNumberFormat="1" applyFont="1" applyFill="1" applyBorder="1" applyAlignment="1">
      <alignment horizontal="right" vertical="center"/>
    </xf>
    <xf numFmtId="1" fontId="2" fillId="5" borderId="1" xfId="0" applyNumberFormat="1" applyFont="1" applyFill="1" applyBorder="1" applyAlignment="1">
      <alignment horizontal="left" vertical="center"/>
    </xf>
    <xf numFmtId="1" fontId="2" fillId="5" borderId="1" xfId="0" applyNumberFormat="1" applyFont="1" applyFill="1" applyBorder="1" applyAlignment="1">
      <alignment horizontal="center" vertical="center"/>
    </xf>
    <xf numFmtId="164" fontId="10" fillId="5" borderId="1" xfId="0" applyFont="1" applyFill="1" applyBorder="1" applyAlignment="1">
      <alignment horizontal="right" vertical="center"/>
    </xf>
    <xf numFmtId="164" fontId="5" fillId="5" borderId="1" xfId="0" applyFont="1" applyFill="1" applyBorder="1" applyAlignment="1"/>
    <xf numFmtId="1" fontId="5" fillId="5" borderId="1" xfId="0" applyNumberFormat="1" applyFont="1" applyFill="1" applyBorder="1" applyAlignment="1"/>
    <xf numFmtId="1" fontId="5" fillId="5" borderId="1" xfId="0" applyNumberFormat="1" applyFont="1" applyFill="1" applyBorder="1" applyAlignment="1">
      <alignment horizontal="center"/>
    </xf>
    <xf numFmtId="0" fontId="5" fillId="5" borderId="1" xfId="0" applyNumberFormat="1" applyFont="1" applyFill="1" applyBorder="1" applyAlignment="1">
      <alignment horizontal="left"/>
    </xf>
    <xf numFmtId="164" fontId="2" fillId="5" borderId="1" xfId="0" applyFont="1" applyFill="1" applyBorder="1">
      <alignment vertical="center"/>
    </xf>
    <xf numFmtId="49" fontId="3" fillId="5" borderId="1" xfId="0" applyNumberFormat="1" applyFont="1" applyFill="1" applyBorder="1" applyAlignment="1">
      <alignment horizontal="right" vertical="center"/>
    </xf>
    <xf numFmtId="164" fontId="3" fillId="5" borderId="1" xfId="0" applyFont="1" applyFill="1" applyBorder="1">
      <alignment vertical="center"/>
    </xf>
    <xf numFmtId="164" fontId="3" fillId="5" borderId="1" xfId="0" applyFont="1" applyFill="1" applyBorder="1" applyAlignment="1">
      <alignment horizontal="left" vertical="center"/>
    </xf>
    <xf numFmtId="16" fontId="7" fillId="5" borderId="1" xfId="0" applyNumberFormat="1" applyFont="1" applyFill="1" applyBorder="1" applyAlignment="1">
      <alignment horizontal="left" vertical="center"/>
    </xf>
    <xf numFmtId="164" fontId="3" fillId="5" borderId="1" xfId="0" applyFont="1" applyFill="1" applyBorder="1" applyAlignment="1">
      <alignment vertical="center" wrapText="1"/>
    </xf>
    <xf numFmtId="1" fontId="11" fillId="5" borderId="1" xfId="0" applyNumberFormat="1" applyFont="1" applyFill="1" applyBorder="1" applyAlignment="1">
      <alignment horizontal="right" vertical="center"/>
    </xf>
    <xf numFmtId="1" fontId="6" fillId="5" borderId="1" xfId="0" applyNumberFormat="1" applyFont="1" applyFill="1" applyBorder="1" applyAlignment="1">
      <alignment horizontal="right" vertical="center"/>
    </xf>
    <xf numFmtId="1" fontId="16" fillId="5" borderId="1" xfId="0" applyNumberFormat="1" applyFont="1" applyFill="1" applyBorder="1" applyAlignment="1">
      <alignment horizontal="right" vertical="center"/>
    </xf>
    <xf numFmtId="1" fontId="14" fillId="5" borderId="1" xfId="0" applyNumberFormat="1" applyFont="1" applyFill="1" applyBorder="1" applyAlignment="1">
      <alignment horizontal="right" vertical="center"/>
    </xf>
    <xf numFmtId="1" fontId="10" fillId="5" borderId="1" xfId="0" applyNumberFormat="1" applyFont="1" applyFill="1" applyBorder="1" applyAlignment="1">
      <alignment horizontal="right" vertical="center"/>
    </xf>
    <xf numFmtId="1" fontId="5" fillId="5" borderId="1" xfId="0" applyNumberFormat="1" applyFont="1" applyFill="1" applyBorder="1" applyAlignment="1">
      <alignment horizontal="right" vertical="center"/>
    </xf>
    <xf numFmtId="14" fontId="2" fillId="5" borderId="1" xfId="0" applyNumberFormat="1" applyFont="1" applyFill="1" applyBorder="1">
      <alignment vertical="center"/>
    </xf>
    <xf numFmtId="164" fontId="4" fillId="5" borderId="1" xfId="0" applyFont="1" applyFill="1" applyBorder="1" applyAlignment="1">
      <alignment vertical="center" wrapText="1"/>
    </xf>
    <xf numFmtId="1" fontId="6" fillId="5" borderId="1" xfId="0" applyNumberFormat="1" applyFont="1" applyFill="1" applyBorder="1" applyAlignment="1">
      <alignment horizontal="right" vertical="center" wrapText="1"/>
    </xf>
    <xf numFmtId="1" fontId="10" fillId="5" borderId="1" xfId="0" applyNumberFormat="1" applyFont="1" applyFill="1" applyBorder="1" applyAlignment="1">
      <alignment horizontal="right" vertical="center" wrapText="1"/>
    </xf>
    <xf numFmtId="1" fontId="5" fillId="5" borderId="1" xfId="0" applyNumberFormat="1" applyFont="1" applyFill="1" applyBorder="1" applyAlignment="1">
      <alignment horizontal="right" vertical="center" wrapText="1"/>
    </xf>
    <xf numFmtId="164" fontId="6" fillId="5" borderId="1" xfId="0" applyFont="1" applyFill="1" applyBorder="1">
      <alignment vertical="center"/>
    </xf>
    <xf numFmtId="164" fontId="2" fillId="5" borderId="1" xfId="0" applyFont="1" applyFill="1" applyBorder="1" applyAlignment="1">
      <alignment horizontal="left" vertical="center"/>
    </xf>
    <xf numFmtId="164" fontId="5" fillId="5" borderId="1" xfId="0" applyFont="1" applyFill="1" applyBorder="1" applyAlignment="1">
      <alignment horizontal="left" vertical="center" wrapText="1"/>
    </xf>
    <xf numFmtId="164" fontId="3" fillId="5" borderId="1" xfId="0" applyFont="1" applyFill="1" applyBorder="1" applyAlignment="1">
      <alignment horizontal="left" vertical="center" wrapText="1"/>
    </xf>
    <xf numFmtId="49" fontId="2" fillId="5" borderId="1" xfId="0" applyNumberFormat="1" applyFont="1" applyFill="1" applyBorder="1" applyAlignment="1">
      <alignment horizontal="right" vertical="center"/>
    </xf>
    <xf numFmtId="1" fontId="16" fillId="5" borderId="1" xfId="0" applyNumberFormat="1" applyFont="1" applyFill="1" applyBorder="1" applyAlignment="1">
      <alignment horizontal="right" vertical="center" wrapText="1"/>
    </xf>
    <xf numFmtId="164" fontId="2" fillId="5" borderId="1" xfId="0" applyFont="1" applyFill="1" applyBorder="1" applyAlignment="1">
      <alignment vertical="center" wrapText="1"/>
    </xf>
    <xf numFmtId="164" fontId="2" fillId="5" borderId="1" xfId="0" quotePrefix="1" applyFont="1" applyFill="1" applyBorder="1" applyAlignment="1">
      <alignment horizontal="left" vertical="center"/>
    </xf>
    <xf numFmtId="164" fontId="2" fillId="5" borderId="1" xfId="0" applyFont="1" applyFill="1" applyBorder="1" applyAlignment="1">
      <alignment horizontal="left" vertical="center" wrapText="1"/>
    </xf>
    <xf numFmtId="164" fontId="8" fillId="5" borderId="1" xfId="0" applyFont="1" applyFill="1" applyBorder="1">
      <alignment vertical="center"/>
    </xf>
    <xf numFmtId="1" fontId="17" fillId="5" borderId="1" xfId="0" applyNumberFormat="1" applyFont="1" applyFill="1" applyBorder="1" applyAlignment="1">
      <alignment horizontal="right" vertical="center"/>
    </xf>
    <xf numFmtId="1" fontId="15" fillId="5" borderId="1" xfId="0" applyNumberFormat="1" applyFont="1" applyFill="1" applyBorder="1" applyAlignment="1">
      <alignment horizontal="right" vertical="center"/>
    </xf>
    <xf numFmtId="1" fontId="9" fillId="5" borderId="1" xfId="0" applyNumberFormat="1" applyFont="1" applyFill="1" applyBorder="1" applyAlignment="1">
      <alignment horizontal="right" vertical="center"/>
    </xf>
    <xf numFmtId="16" fontId="8" fillId="5" borderId="1" xfId="0" applyNumberFormat="1" applyFont="1" applyFill="1" applyBorder="1" applyAlignment="1">
      <alignment horizontal="left" vertical="center"/>
    </xf>
    <xf numFmtId="164" fontId="6" fillId="5" borderId="1" xfId="0" applyFont="1" applyFill="1" applyBorder="1" applyAlignment="1">
      <alignment horizontal="left" vertical="center" wrapText="1"/>
    </xf>
    <xf numFmtId="22" fontId="2" fillId="5" borderId="1" xfId="0" applyNumberFormat="1" applyFont="1" applyFill="1" applyBorder="1">
      <alignment vertical="center"/>
    </xf>
    <xf numFmtId="2" fontId="2" fillId="5" borderId="1" xfId="0" applyNumberFormat="1" applyFont="1" applyFill="1" applyBorder="1">
      <alignment vertical="center"/>
    </xf>
    <xf numFmtId="164" fontId="4" fillId="5" borderId="1" xfId="0" applyFont="1" applyFill="1" applyBorder="1" applyAlignment="1">
      <alignment horizontal="left" vertical="center"/>
    </xf>
    <xf numFmtId="164" fontId="4" fillId="5" borderId="1" xfId="0" applyFont="1" applyFill="1" applyBorder="1" applyAlignment="1">
      <alignment horizontal="right" vertical="center"/>
    </xf>
    <xf numFmtId="164" fontId="2" fillId="5" borderId="1" xfId="0" applyFont="1" applyFill="1" applyBorder="1" applyAlignment="1">
      <alignment horizontal="right" vertical="center"/>
    </xf>
    <xf numFmtId="1" fontId="2" fillId="5" borderId="0" xfId="0" applyNumberFormat="1" applyFont="1" applyFill="1" applyAlignment="1">
      <alignment horizontal="right" vertical="center"/>
    </xf>
    <xf numFmtId="164" fontId="2" fillId="5" borderId="0" xfId="0" applyFont="1" applyFill="1">
      <alignment vertical="center"/>
    </xf>
    <xf numFmtId="164" fontId="4" fillId="5" borderId="1" xfId="0" applyFont="1" applyFill="1" applyBorder="1">
      <alignment vertical="center"/>
    </xf>
    <xf numFmtId="2" fontId="3" fillId="5" borderId="1" xfId="0" applyNumberFormat="1" applyFont="1" applyFill="1" applyBorder="1" applyAlignment="1">
      <alignment horizontal="left" vertical="center"/>
    </xf>
    <xf numFmtId="2" fontId="3" fillId="5" borderId="1" xfId="0" applyNumberFormat="1" applyFont="1" applyFill="1" applyBorder="1" applyAlignment="1">
      <alignment horizontal="right" vertical="center"/>
    </xf>
    <xf numFmtId="0" fontId="2" fillId="5" borderId="1" xfId="0" applyNumberFormat="1" applyFont="1" applyFill="1" applyBorder="1" applyAlignment="1">
      <alignment horizontal="left" vertical="center"/>
    </xf>
    <xf numFmtId="1" fontId="2" fillId="5" borderId="1" xfId="0" applyNumberFormat="1" applyFont="1" applyFill="1" applyBorder="1">
      <alignment vertical="center"/>
    </xf>
    <xf numFmtId="1" fontId="17" fillId="5" borderId="1" xfId="0" applyNumberFormat="1" applyFont="1" applyFill="1" applyBorder="1">
      <alignment vertical="center"/>
    </xf>
    <xf numFmtId="1" fontId="15" fillId="5" borderId="1" xfId="0" applyNumberFormat="1" applyFont="1" applyFill="1" applyBorder="1">
      <alignment vertical="center"/>
    </xf>
    <xf numFmtId="1" fontId="6" fillId="5" borderId="1" xfId="0" applyNumberFormat="1" applyFont="1" applyFill="1" applyBorder="1">
      <alignment vertical="center"/>
    </xf>
    <xf numFmtId="164" fontId="2" fillId="6" borderId="1" xfId="0" applyFont="1" applyFill="1" applyBorder="1">
      <alignment vertical="center"/>
    </xf>
    <xf numFmtId="164" fontId="18" fillId="6" borderId="1" xfId="0" applyFont="1" applyFill="1" applyBorder="1" applyAlignment="1">
      <alignment horizontal="left" vertical="center"/>
    </xf>
    <xf numFmtId="164" fontId="19" fillId="6" borderId="1" xfId="0" applyFont="1" applyFill="1" applyBorder="1" applyAlignment="1">
      <alignment horizontal="left" vertical="center"/>
    </xf>
    <xf numFmtId="16" fontId="8" fillId="6" borderId="1" xfId="0" applyNumberFormat="1" applyFont="1" applyFill="1" applyBorder="1" applyAlignment="1">
      <alignment horizontal="left" vertical="center"/>
    </xf>
    <xf numFmtId="1" fontId="11" fillId="6" borderId="1" xfId="0" applyNumberFormat="1" applyFont="1" applyFill="1" applyBorder="1" applyAlignment="1">
      <alignment horizontal="right" vertical="center"/>
    </xf>
    <xf numFmtId="1" fontId="6" fillId="6" borderId="1" xfId="0" applyNumberFormat="1" applyFont="1" applyFill="1" applyBorder="1" applyAlignment="1">
      <alignment horizontal="right" vertical="center"/>
    </xf>
    <xf numFmtId="1" fontId="17" fillId="6" borderId="1" xfId="0" applyNumberFormat="1" applyFont="1" applyFill="1" applyBorder="1" applyAlignment="1">
      <alignment horizontal="right" vertical="center"/>
    </xf>
    <xf numFmtId="1" fontId="15" fillId="6" borderId="1" xfId="0" applyNumberFormat="1" applyFont="1" applyFill="1" applyBorder="1" applyAlignment="1">
      <alignment horizontal="right" vertical="center"/>
    </xf>
    <xf numFmtId="1" fontId="2" fillId="6" borderId="1" xfId="0" applyNumberFormat="1" applyFont="1" applyFill="1" applyBorder="1" applyAlignment="1">
      <alignment horizontal="right" vertical="center"/>
    </xf>
    <xf numFmtId="1" fontId="10" fillId="6" borderId="1" xfId="0" applyNumberFormat="1" applyFont="1" applyFill="1" applyBorder="1" applyAlignment="1">
      <alignment horizontal="right" vertical="center"/>
    </xf>
    <xf numFmtId="1" fontId="8" fillId="6" borderId="1" xfId="0" applyNumberFormat="1" applyFont="1" applyFill="1" applyBorder="1" applyAlignment="1">
      <alignment horizontal="right" vertical="center"/>
    </xf>
    <xf numFmtId="1" fontId="17" fillId="6" borderId="0" xfId="0" applyNumberFormat="1" applyFont="1" applyFill="1" applyAlignment="1">
      <alignment horizontal="right" vertical="center"/>
    </xf>
    <xf numFmtId="1" fontId="15" fillId="6" borderId="0" xfId="0" applyNumberFormat="1" applyFont="1" applyFill="1" applyAlignment="1">
      <alignment horizontal="right" vertical="center"/>
    </xf>
    <xf numFmtId="164" fontId="3" fillId="7" borderId="1" xfId="0" applyFont="1" applyFill="1" applyBorder="1">
      <alignment vertical="center"/>
    </xf>
    <xf numFmtId="164" fontId="18" fillId="7" borderId="1" xfId="0" applyFont="1" applyFill="1" applyBorder="1" applyAlignment="1">
      <alignment horizontal="left" vertical="center"/>
    </xf>
    <xf numFmtId="164" fontId="19" fillId="7" borderId="1" xfId="0" applyFont="1" applyFill="1" applyBorder="1" applyAlignment="1">
      <alignment horizontal="left" vertical="center"/>
    </xf>
    <xf numFmtId="16" fontId="8" fillId="7" borderId="1" xfId="0" applyNumberFormat="1" applyFont="1" applyFill="1" applyBorder="1" applyAlignment="1">
      <alignment horizontal="left" vertical="center"/>
    </xf>
    <xf numFmtId="164" fontId="2" fillId="7" borderId="1" xfId="0" applyFont="1" applyFill="1" applyBorder="1">
      <alignment vertical="center"/>
    </xf>
    <xf numFmtId="1" fontId="2" fillId="7" borderId="1" xfId="0" applyNumberFormat="1" applyFont="1" applyFill="1" applyBorder="1" applyAlignment="1">
      <alignment horizontal="left" vertical="center"/>
    </xf>
    <xf numFmtId="1" fontId="6" fillId="7" borderId="1" xfId="0" applyNumberFormat="1" applyFont="1" applyFill="1" applyBorder="1" applyAlignment="1">
      <alignment horizontal="right" vertical="center"/>
    </xf>
    <xf numFmtId="1" fontId="17" fillId="7" borderId="0" xfId="0" applyNumberFormat="1" applyFont="1" applyFill="1" applyAlignment="1">
      <alignment horizontal="right" vertical="center"/>
    </xf>
    <xf numFmtId="1" fontId="15" fillId="7" borderId="0" xfId="0" applyNumberFormat="1" applyFont="1" applyFill="1" applyAlignment="1">
      <alignment horizontal="right" vertical="center"/>
    </xf>
    <xf numFmtId="1" fontId="2" fillId="7" borderId="1" xfId="0" applyNumberFormat="1" applyFont="1" applyFill="1" applyBorder="1" applyAlignment="1">
      <alignment horizontal="right" vertical="center"/>
    </xf>
    <xf numFmtId="1" fontId="10" fillId="7" borderId="1" xfId="0" applyNumberFormat="1" applyFont="1" applyFill="1" applyBorder="1" applyAlignment="1">
      <alignment horizontal="right" vertical="center"/>
    </xf>
    <xf numFmtId="164" fontId="3" fillId="7" borderId="3" xfId="0" applyFont="1" applyFill="1" applyBorder="1">
      <alignment vertical="center"/>
    </xf>
    <xf numFmtId="164" fontId="18" fillId="7" borderId="3" xfId="0" applyFont="1" applyFill="1" applyBorder="1" applyAlignment="1">
      <alignment horizontal="left" vertical="center"/>
    </xf>
    <xf numFmtId="164" fontId="19" fillId="7" borderId="3" xfId="0" applyFont="1" applyFill="1" applyBorder="1" applyAlignment="1">
      <alignment horizontal="left" vertical="center"/>
    </xf>
    <xf numFmtId="164" fontId="2" fillId="7" borderId="3" xfId="0" applyFont="1" applyFill="1" applyBorder="1">
      <alignment vertical="center"/>
    </xf>
    <xf numFmtId="1" fontId="6" fillId="7" borderId="3" xfId="0" applyNumberFormat="1" applyFont="1" applyFill="1" applyBorder="1" applyAlignment="1">
      <alignment horizontal="right" vertical="center"/>
    </xf>
    <xf numFmtId="1" fontId="2" fillId="7" borderId="3" xfId="0" applyNumberFormat="1" applyFont="1" applyFill="1" applyBorder="1" applyAlignment="1">
      <alignment horizontal="right" vertical="center"/>
    </xf>
    <xf numFmtId="1" fontId="10" fillId="7" borderId="3" xfId="0" applyNumberFormat="1" applyFont="1" applyFill="1" applyBorder="1" applyAlignment="1">
      <alignment horizontal="right" vertical="center"/>
    </xf>
    <xf numFmtId="0" fontId="2" fillId="7" borderId="1" xfId="0" applyNumberFormat="1" applyFont="1" applyFill="1" applyBorder="1" applyAlignment="1">
      <alignment horizontal="left" vertical="center"/>
    </xf>
    <xf numFmtId="164" fontId="2" fillId="7" borderId="1" xfId="0" applyFont="1" applyFill="1" applyBorder="1" applyAlignment="1">
      <alignment horizontal="left" vertical="center"/>
    </xf>
    <xf numFmtId="1" fontId="8" fillId="7" borderId="1" xfId="0" applyNumberFormat="1" applyFont="1" applyFill="1" applyBorder="1" applyAlignment="1">
      <alignment horizontal="right" vertical="center"/>
    </xf>
    <xf numFmtId="0" fontId="2" fillId="6" borderId="1" xfId="0" applyNumberFormat="1" applyFont="1" applyFill="1" applyBorder="1">
      <alignment vertical="center"/>
    </xf>
    <xf numFmtId="0" fontId="2" fillId="7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0" fontId="3" fillId="7" borderId="1" xfId="0" applyNumberFormat="1" applyFont="1" applyFill="1" applyBorder="1">
      <alignment vertical="center"/>
    </xf>
    <xf numFmtId="0" fontId="3" fillId="7" borderId="3" xfId="0" applyNumberFormat="1" applyFont="1" applyFill="1" applyBorder="1">
      <alignment vertical="center"/>
    </xf>
    <xf numFmtId="0" fontId="2" fillId="0" borderId="1" xfId="0" applyNumberFormat="1" applyFont="1" applyBorder="1">
      <alignment vertical="center"/>
    </xf>
    <xf numFmtId="164" fontId="18" fillId="0" borderId="1" xfId="0" applyFont="1" applyBorder="1">
      <alignment vertical="center"/>
    </xf>
    <xf numFmtId="164" fontId="21" fillId="0" borderId="1" xfId="0" applyFont="1" applyBorder="1">
      <alignment vertical="center"/>
    </xf>
    <xf numFmtId="2" fontId="19" fillId="0" borderId="1" xfId="0" applyNumberFormat="1" applyFont="1" applyBorder="1" applyAlignment="1">
      <alignment horizontal="left" vertical="center"/>
    </xf>
    <xf numFmtId="0" fontId="3" fillId="5" borderId="1" xfId="0" applyNumberFormat="1" applyFont="1" applyFill="1" applyBorder="1">
      <alignment vertical="center"/>
    </xf>
    <xf numFmtId="0" fontId="2" fillId="7" borderId="3" xfId="0" applyNumberFormat="1" applyFont="1" applyFill="1" applyBorder="1">
      <alignment vertical="center"/>
    </xf>
    <xf numFmtId="0" fontId="2" fillId="7" borderId="1" xfId="0" applyNumberFormat="1" applyFont="1" applyFill="1" applyBorder="1" applyAlignment="1">
      <alignment horizontal="right" vertical="center"/>
    </xf>
    <xf numFmtId="14" fontId="2" fillId="5" borderId="4" xfId="0" applyNumberFormat="1" applyFont="1" applyFill="1" applyBorder="1">
      <alignment vertical="center"/>
    </xf>
    <xf numFmtId="164" fontId="2" fillId="5" borderId="4" xfId="0" applyFont="1" applyFill="1" applyBorder="1">
      <alignment vertical="center"/>
    </xf>
    <xf numFmtId="164" fontId="6" fillId="5" borderId="4" xfId="0" applyFont="1" applyFill="1" applyBorder="1">
      <alignment vertical="center"/>
    </xf>
    <xf numFmtId="164" fontId="5" fillId="5" borderId="4" xfId="0" applyFont="1" applyFill="1" applyBorder="1" applyAlignment="1">
      <alignment horizontal="left" vertical="center" wrapText="1"/>
    </xf>
    <xf numFmtId="164" fontId="2" fillId="5" borderId="4" xfId="0" applyFont="1" applyFill="1" applyBorder="1" applyAlignment="1">
      <alignment horizontal="left" vertical="center" wrapText="1"/>
    </xf>
    <xf numFmtId="164" fontId="6" fillId="5" borderId="4" xfId="0" applyFont="1" applyFill="1" applyBorder="1" applyAlignment="1">
      <alignment horizontal="left" vertical="center" wrapText="1"/>
    </xf>
    <xf numFmtId="164" fontId="2" fillId="6" borderId="4" xfId="0" applyFont="1" applyFill="1" applyBorder="1">
      <alignment vertical="center"/>
    </xf>
    <xf numFmtId="164" fontId="2" fillId="7" borderId="4" xfId="0" applyFont="1" applyFill="1" applyBorder="1">
      <alignment vertical="center"/>
    </xf>
    <xf numFmtId="164" fontId="2" fillId="0" borderId="4" xfId="0" applyFont="1" applyBorder="1">
      <alignment vertical="center"/>
    </xf>
    <xf numFmtId="164" fontId="2" fillId="7" borderId="5" xfId="0" applyFont="1" applyFill="1" applyBorder="1">
      <alignment vertical="center"/>
    </xf>
    <xf numFmtId="14" fontId="2" fillId="5" borderId="6" xfId="0" applyNumberFormat="1" applyFont="1" applyFill="1" applyBorder="1">
      <alignment vertical="center"/>
    </xf>
    <xf numFmtId="164" fontId="2" fillId="5" borderId="6" xfId="0" applyFont="1" applyFill="1" applyBorder="1">
      <alignment vertical="center"/>
    </xf>
    <xf numFmtId="164" fontId="6" fillId="5" borderId="6" xfId="0" applyFont="1" applyFill="1" applyBorder="1">
      <alignment vertical="center"/>
    </xf>
    <xf numFmtId="164" fontId="5" fillId="5" borderId="6" xfId="0" applyFont="1" applyFill="1" applyBorder="1" applyAlignment="1">
      <alignment horizontal="left" vertical="center" wrapText="1"/>
    </xf>
    <xf numFmtId="164" fontId="2" fillId="5" borderId="6" xfId="0" applyFont="1" applyFill="1" applyBorder="1" applyAlignment="1">
      <alignment horizontal="left" vertical="center" wrapText="1"/>
    </xf>
    <xf numFmtId="164" fontId="6" fillId="5" borderId="6" xfId="0" applyFont="1" applyFill="1" applyBorder="1" applyAlignment="1">
      <alignment horizontal="left" vertical="center" wrapText="1"/>
    </xf>
    <xf numFmtId="164" fontId="2" fillId="6" borderId="6" xfId="0" applyFont="1" applyFill="1" applyBorder="1">
      <alignment vertical="center"/>
    </xf>
    <xf numFmtId="164" fontId="2" fillId="7" borderId="6" xfId="0" applyFont="1" applyFill="1" applyBorder="1">
      <alignment vertical="center"/>
    </xf>
    <xf numFmtId="164" fontId="2" fillId="0" borderId="6" xfId="0" applyFont="1" applyBorder="1">
      <alignment vertical="center"/>
    </xf>
    <xf numFmtId="164" fontId="2" fillId="7" borderId="7" xfId="0" applyFont="1" applyFill="1" applyBorder="1">
      <alignment vertical="center"/>
    </xf>
    <xf numFmtId="164" fontId="2" fillId="8" borderId="1" xfId="0" applyFont="1" applyFill="1" applyBorder="1">
      <alignment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N83"/>
  <sheetViews>
    <sheetView tabSelected="1" zoomScale="115" zoomScaleNormal="115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B2" sqref="B2"/>
    </sheetView>
  </sheetViews>
  <sheetFormatPr defaultColWidth="9" defaultRowHeight="12.75" x14ac:dyDescent="0.15"/>
  <cols>
    <col min="1" max="1" width="6.625" style="2" bestFit="1" customWidth="1"/>
    <col min="2" max="2" width="17.375" style="2" bestFit="1" customWidth="1"/>
    <col min="3" max="3" width="11.375" style="6" hidden="1" customWidth="1"/>
    <col min="4" max="4" width="7.375" style="6" hidden="1" customWidth="1"/>
    <col min="5" max="5" width="8.375" style="2" hidden="1" customWidth="1"/>
    <col min="6" max="6" width="8" style="7" customWidth="1"/>
    <col min="7" max="7" width="21" style="2" customWidth="1"/>
    <col min="8" max="8" width="7.75" style="2" bestFit="1" customWidth="1"/>
    <col min="9" max="9" width="11.5" style="2" bestFit="1" customWidth="1"/>
    <col min="10" max="10" width="11.5" style="2" customWidth="1"/>
    <col min="11" max="11" width="9.375" style="2" bestFit="1" customWidth="1"/>
    <col min="12" max="12" width="10.625" style="2" customWidth="1"/>
    <col min="13" max="13" width="12" style="2" bestFit="1" customWidth="1"/>
    <col min="14" max="14" width="20.125" style="2" bestFit="1" customWidth="1"/>
    <col min="15" max="15" width="16.375" style="2" bestFit="1" customWidth="1"/>
    <col min="16" max="16" width="10.625" style="2" customWidth="1"/>
    <col min="17" max="18" width="6.125" style="2" customWidth="1"/>
    <col min="19" max="19" width="15.875" style="31" customWidth="1"/>
    <col min="20" max="20" width="7.375" style="31" customWidth="1"/>
    <col min="21" max="21" width="9.875" style="31" bestFit="1" customWidth="1"/>
    <col min="22" max="22" width="7.375" style="31" customWidth="1"/>
    <col min="23" max="23" width="7.75" style="36" hidden="1" customWidth="1"/>
    <col min="24" max="24" width="7.125" style="36" hidden="1" customWidth="1"/>
    <col min="25" max="25" width="5.5" style="36" hidden="1" customWidth="1"/>
    <col min="26" max="26" width="5.875" style="36" hidden="1" customWidth="1"/>
    <col min="27" max="27" width="5.875" style="37" hidden="1" customWidth="1"/>
    <col min="28" max="28" width="7.375" style="36" hidden="1" customWidth="1"/>
    <col min="29" max="29" width="12" style="31" customWidth="1"/>
    <col min="30" max="30" width="13.25" style="31" customWidth="1"/>
    <col min="31" max="31" width="5.5" style="31" customWidth="1"/>
    <col min="32" max="32" width="11.625" style="2" customWidth="1"/>
    <col min="33" max="33" width="13.25" style="2" customWidth="1"/>
    <col min="34" max="34" width="10.5" style="2" customWidth="1"/>
    <col min="35" max="35" width="11.5" style="2" customWidth="1"/>
    <col min="36" max="36" width="6.125" style="2" customWidth="1"/>
    <col min="37" max="39" width="6.625" style="2" customWidth="1"/>
    <col min="40" max="40" width="4.625" style="2" bestFit="1" customWidth="1"/>
    <col min="41" max="16384" width="9" style="2"/>
  </cols>
  <sheetData>
    <row r="1" spans="1:40" s="6" customFormat="1" x14ac:dyDescent="0.15">
      <c r="A1" s="21" t="s">
        <v>393</v>
      </c>
      <c r="B1" s="5" t="s">
        <v>394</v>
      </c>
      <c r="C1" s="5" t="s">
        <v>0</v>
      </c>
      <c r="D1" s="5" t="s">
        <v>130</v>
      </c>
      <c r="E1" s="5" t="s">
        <v>45</v>
      </c>
      <c r="F1" s="5" t="s">
        <v>395</v>
      </c>
      <c r="G1" s="5" t="s">
        <v>396</v>
      </c>
      <c r="H1" s="5" t="s">
        <v>397</v>
      </c>
      <c r="I1" s="5" t="s">
        <v>398</v>
      </c>
      <c r="J1" s="5" t="s">
        <v>399</v>
      </c>
      <c r="K1" s="5" t="s">
        <v>400</v>
      </c>
      <c r="L1" s="5" t="s">
        <v>401</v>
      </c>
      <c r="M1" s="5" t="s">
        <v>403</v>
      </c>
      <c r="N1" s="5" t="s">
        <v>404</v>
      </c>
      <c r="O1" s="5" t="s">
        <v>402</v>
      </c>
      <c r="P1" s="5" t="s">
        <v>405</v>
      </c>
      <c r="Q1" s="5" t="s">
        <v>406</v>
      </c>
      <c r="R1" s="5" t="s">
        <v>407</v>
      </c>
      <c r="S1" s="28" t="s">
        <v>408</v>
      </c>
      <c r="T1" s="28" t="s">
        <v>409</v>
      </c>
      <c r="U1" s="28" t="s">
        <v>410</v>
      </c>
      <c r="V1" s="28" t="s">
        <v>411</v>
      </c>
      <c r="W1" s="32" t="s">
        <v>257</v>
      </c>
      <c r="X1" s="32" t="s">
        <v>258</v>
      </c>
      <c r="Y1" s="32" t="s">
        <v>8</v>
      </c>
      <c r="Z1" s="32"/>
      <c r="AA1" s="33"/>
      <c r="AB1" s="32" t="s">
        <v>256</v>
      </c>
      <c r="AC1" s="28" t="s">
        <v>412</v>
      </c>
      <c r="AD1" s="28" t="s">
        <v>413</v>
      </c>
      <c r="AE1" s="28" t="s">
        <v>414</v>
      </c>
      <c r="AF1" s="5" t="s">
        <v>415</v>
      </c>
      <c r="AG1" s="5" t="s">
        <v>416</v>
      </c>
      <c r="AH1" s="22" t="s">
        <v>417</v>
      </c>
      <c r="AI1" s="5" t="s">
        <v>418</v>
      </c>
      <c r="AJ1" s="5" t="s">
        <v>419</v>
      </c>
      <c r="AK1" s="22" t="s">
        <v>420</v>
      </c>
      <c r="AL1" s="22" t="s">
        <v>421</v>
      </c>
      <c r="AM1" s="22" t="s">
        <v>422</v>
      </c>
      <c r="AN1" s="22" t="s">
        <v>423</v>
      </c>
    </row>
    <row r="2" spans="1:40" s="4" customFormat="1" ht="15" customHeight="1" x14ac:dyDescent="0.15">
      <c r="A2" s="60">
        <v>1</v>
      </c>
      <c r="B2" s="61" t="s">
        <v>240</v>
      </c>
      <c r="C2" s="62">
        <v>35</v>
      </c>
      <c r="D2" s="62">
        <v>9.17</v>
      </c>
      <c r="E2" s="62">
        <v>9.17</v>
      </c>
      <c r="F2" s="63">
        <v>44510</v>
      </c>
      <c r="G2" s="64" t="s">
        <v>3</v>
      </c>
      <c r="H2" s="61" t="s">
        <v>4</v>
      </c>
      <c r="I2" s="61" t="s">
        <v>5</v>
      </c>
      <c r="J2" s="149">
        <v>1</v>
      </c>
      <c r="K2" s="61" t="s">
        <v>6</v>
      </c>
      <c r="L2" s="61" t="s">
        <v>53</v>
      </c>
      <c r="M2" s="64" t="s">
        <v>7</v>
      </c>
      <c r="N2" s="64" t="s">
        <v>25</v>
      </c>
      <c r="O2" s="62" t="s">
        <v>23</v>
      </c>
      <c r="P2" s="64" t="s">
        <v>35</v>
      </c>
      <c r="Q2" s="61" t="s">
        <v>8</v>
      </c>
      <c r="R2" s="149">
        <v>14</v>
      </c>
      <c r="S2" s="65" t="s">
        <v>30</v>
      </c>
      <c r="T2" s="65">
        <f>90+125+88</f>
        <v>303</v>
      </c>
      <c r="U2" s="66" t="s">
        <v>29</v>
      </c>
      <c r="V2" s="66">
        <f>15400+400</f>
        <v>15800</v>
      </c>
      <c r="W2" s="67">
        <f t="shared" ref="W2:W6" si="0">14800+308</f>
        <v>15108</v>
      </c>
      <c r="X2" s="67">
        <f>450+1012+350</f>
        <v>1812</v>
      </c>
      <c r="Y2" s="67" t="s">
        <v>261</v>
      </c>
      <c r="Z2" s="67">
        <f>W2</f>
        <v>15108</v>
      </c>
      <c r="AA2" s="68">
        <v>15408</v>
      </c>
      <c r="AB2" s="67">
        <f>AA2-Z2</f>
        <v>300</v>
      </c>
      <c r="AC2" s="69" t="s">
        <v>26</v>
      </c>
      <c r="AD2" s="69">
        <f>16000+300+400+125</f>
        <v>16825</v>
      </c>
      <c r="AE2" s="70">
        <f t="shared" ref="AE2:AE14" si="1">AD2-V2-T2</f>
        <v>722</v>
      </c>
      <c r="AF2" s="61" t="s">
        <v>43</v>
      </c>
      <c r="AG2" s="61" t="s">
        <v>43</v>
      </c>
      <c r="AH2" s="61" t="s">
        <v>43</v>
      </c>
      <c r="AI2" s="59" t="s">
        <v>44</v>
      </c>
      <c r="AJ2" s="71" t="s">
        <v>108</v>
      </c>
      <c r="AK2" s="152"/>
      <c r="AL2" s="172" t="s">
        <v>1</v>
      </c>
      <c r="AM2" s="162"/>
      <c r="AN2" s="59" t="s">
        <v>44</v>
      </c>
    </row>
    <row r="3" spans="1:40" s="4" customFormat="1" ht="15" customHeight="1" x14ac:dyDescent="0.15">
      <c r="A3" s="60">
        <v>2</v>
      </c>
      <c r="B3" s="61" t="s">
        <v>240</v>
      </c>
      <c r="C3" s="62">
        <v>35</v>
      </c>
      <c r="D3" s="62">
        <v>9.17</v>
      </c>
      <c r="E3" s="62">
        <v>9.17</v>
      </c>
      <c r="F3" s="63">
        <v>44510</v>
      </c>
      <c r="G3" s="64" t="s">
        <v>3</v>
      </c>
      <c r="H3" s="61" t="s">
        <v>4</v>
      </c>
      <c r="I3" s="61" t="s">
        <v>5</v>
      </c>
      <c r="J3" s="149">
        <v>1</v>
      </c>
      <c r="K3" s="61" t="s">
        <v>6</v>
      </c>
      <c r="L3" s="61" t="s">
        <v>52</v>
      </c>
      <c r="M3" s="64" t="s">
        <v>9</v>
      </c>
      <c r="N3" s="64" t="s">
        <v>24</v>
      </c>
      <c r="O3" s="62" t="s">
        <v>22</v>
      </c>
      <c r="P3" s="64" t="s">
        <v>36</v>
      </c>
      <c r="Q3" s="61" t="s">
        <v>8</v>
      </c>
      <c r="R3" s="149">
        <v>14</v>
      </c>
      <c r="S3" s="65" t="s">
        <v>30</v>
      </c>
      <c r="T3" s="65">
        <f>90+125+88</f>
        <v>303</v>
      </c>
      <c r="U3" s="66" t="s">
        <v>29</v>
      </c>
      <c r="V3" s="66">
        <f>15400+400</f>
        <v>15800</v>
      </c>
      <c r="W3" s="67">
        <f t="shared" si="0"/>
        <v>15108</v>
      </c>
      <c r="X3" s="67">
        <f>450+1012</f>
        <v>1462</v>
      </c>
      <c r="Y3" s="67" t="s">
        <v>260</v>
      </c>
      <c r="Z3" s="67">
        <f>W3</f>
        <v>15108</v>
      </c>
      <c r="AA3" s="68">
        <v>15408</v>
      </c>
      <c r="AB3" s="67">
        <f t="shared" ref="AB3:AB9" si="2">AA3-Z3</f>
        <v>300</v>
      </c>
      <c r="AC3" s="69" t="s">
        <v>26</v>
      </c>
      <c r="AD3" s="69">
        <f>16000+300+400+125</f>
        <v>16825</v>
      </c>
      <c r="AE3" s="70">
        <f t="shared" si="1"/>
        <v>722</v>
      </c>
      <c r="AF3" s="61" t="s">
        <v>43</v>
      </c>
      <c r="AG3" s="61" t="s">
        <v>43</v>
      </c>
      <c r="AH3" s="61" t="s">
        <v>43</v>
      </c>
      <c r="AI3" s="59" t="s">
        <v>44</v>
      </c>
      <c r="AJ3" s="59" t="s">
        <v>109</v>
      </c>
      <c r="AK3" s="153"/>
      <c r="AL3" s="172" t="s">
        <v>1</v>
      </c>
      <c r="AM3" s="163"/>
      <c r="AN3" s="59" t="s">
        <v>44</v>
      </c>
    </row>
    <row r="4" spans="1:40" s="4" customFormat="1" ht="15" customHeight="1" x14ac:dyDescent="0.15">
      <c r="A4" s="60">
        <v>3</v>
      </c>
      <c r="B4" s="61" t="s">
        <v>88</v>
      </c>
      <c r="C4" s="62">
        <v>37</v>
      </c>
      <c r="D4" s="62">
        <v>9.26</v>
      </c>
      <c r="E4" s="62">
        <v>9.26</v>
      </c>
      <c r="F4" s="63">
        <v>44505</v>
      </c>
      <c r="G4" s="61" t="s">
        <v>10</v>
      </c>
      <c r="H4" s="61" t="s">
        <v>4</v>
      </c>
      <c r="I4" s="61" t="s">
        <v>11</v>
      </c>
      <c r="J4" s="149">
        <v>1</v>
      </c>
      <c r="K4" s="61" t="s">
        <v>6</v>
      </c>
      <c r="L4" s="61" t="s">
        <v>54</v>
      </c>
      <c r="M4" s="61" t="s">
        <v>12</v>
      </c>
      <c r="N4" s="64" t="s">
        <v>28</v>
      </c>
      <c r="O4" s="62" t="s">
        <v>21</v>
      </c>
      <c r="P4" s="64" t="s">
        <v>37</v>
      </c>
      <c r="Q4" s="61" t="s">
        <v>8</v>
      </c>
      <c r="R4" s="149">
        <v>14</v>
      </c>
      <c r="S4" s="65" t="s">
        <v>67</v>
      </c>
      <c r="T4" s="65">
        <f>90+125+102</f>
        <v>317</v>
      </c>
      <c r="U4" s="66">
        <v>15500</v>
      </c>
      <c r="V4" s="66">
        <f>U4</f>
        <v>15500</v>
      </c>
      <c r="W4" s="67">
        <f t="shared" si="0"/>
        <v>15108</v>
      </c>
      <c r="X4" s="67" t="s">
        <v>259</v>
      </c>
      <c r="Y4" s="67" t="s">
        <v>260</v>
      </c>
      <c r="Z4" s="67">
        <f>W4+230</f>
        <v>15338</v>
      </c>
      <c r="AA4" s="68">
        <v>15408</v>
      </c>
      <c r="AB4" s="67">
        <f t="shared" si="2"/>
        <v>70</v>
      </c>
      <c r="AC4" s="69" t="s">
        <v>27</v>
      </c>
      <c r="AD4" s="69">
        <f>16000+300+125</f>
        <v>16425</v>
      </c>
      <c r="AE4" s="70">
        <f t="shared" si="1"/>
        <v>608</v>
      </c>
      <c r="AF4" s="61" t="s">
        <v>43</v>
      </c>
      <c r="AG4" s="61" t="s">
        <v>43</v>
      </c>
      <c r="AH4" s="61" t="s">
        <v>43</v>
      </c>
      <c r="AI4" s="59" t="s">
        <v>44</v>
      </c>
      <c r="AJ4" s="59" t="s">
        <v>110</v>
      </c>
      <c r="AK4" s="153"/>
      <c r="AL4" s="172" t="s">
        <v>1</v>
      </c>
      <c r="AM4" s="163"/>
      <c r="AN4" s="59" t="s">
        <v>44</v>
      </c>
    </row>
    <row r="5" spans="1:40" s="4" customFormat="1" ht="15" customHeight="1" x14ac:dyDescent="0.15">
      <c r="A5" s="60">
        <v>4</v>
      </c>
      <c r="B5" s="61" t="s">
        <v>240</v>
      </c>
      <c r="C5" s="62">
        <v>38</v>
      </c>
      <c r="D5" s="62">
        <v>10.8</v>
      </c>
      <c r="E5" s="62">
        <v>10.8</v>
      </c>
      <c r="F5" s="63">
        <v>44532</v>
      </c>
      <c r="G5" s="64" t="s">
        <v>13</v>
      </c>
      <c r="H5" s="61" t="s">
        <v>4</v>
      </c>
      <c r="I5" s="61" t="s">
        <v>5</v>
      </c>
      <c r="J5" s="149">
        <v>1</v>
      </c>
      <c r="K5" s="61" t="s">
        <v>6</v>
      </c>
      <c r="L5" s="61" t="s">
        <v>57</v>
      </c>
      <c r="M5" s="72" t="s">
        <v>14</v>
      </c>
      <c r="N5" s="64" t="s">
        <v>42</v>
      </c>
      <c r="O5" s="62" t="s">
        <v>33</v>
      </c>
      <c r="P5" s="64" t="s">
        <v>38</v>
      </c>
      <c r="Q5" s="61" t="s">
        <v>8</v>
      </c>
      <c r="R5" s="149">
        <v>14</v>
      </c>
      <c r="S5" s="65" t="s">
        <v>67</v>
      </c>
      <c r="T5" s="65">
        <f t="shared" ref="T5:T14" si="3">90+125+102</f>
        <v>317</v>
      </c>
      <c r="U5" s="73" t="s">
        <v>68</v>
      </c>
      <c r="V5" s="73">
        <f>16200+400</f>
        <v>16600</v>
      </c>
      <c r="W5" s="67">
        <f t="shared" si="0"/>
        <v>15108</v>
      </c>
      <c r="X5" s="67" t="s">
        <v>259</v>
      </c>
      <c r="Y5" s="67" t="s">
        <v>260</v>
      </c>
      <c r="Z5" s="67">
        <f>W5</f>
        <v>15108</v>
      </c>
      <c r="AA5" s="68">
        <v>15678</v>
      </c>
      <c r="AB5" s="67">
        <f t="shared" si="2"/>
        <v>570</v>
      </c>
      <c r="AC5" s="74" t="s">
        <v>31</v>
      </c>
      <c r="AD5" s="74">
        <f>17000+300+400+125</f>
        <v>17825</v>
      </c>
      <c r="AE5" s="75">
        <f t="shared" si="1"/>
        <v>908</v>
      </c>
      <c r="AF5" s="61" t="s">
        <v>43</v>
      </c>
      <c r="AG5" s="61" t="s">
        <v>43</v>
      </c>
      <c r="AH5" s="61" t="s">
        <v>43</v>
      </c>
      <c r="AI5" s="59" t="s">
        <v>44</v>
      </c>
      <c r="AJ5" s="59" t="s">
        <v>141</v>
      </c>
      <c r="AK5" s="153"/>
      <c r="AL5" s="172" t="s">
        <v>1</v>
      </c>
      <c r="AM5" s="163"/>
      <c r="AN5" s="59" t="s">
        <v>44</v>
      </c>
    </row>
    <row r="6" spans="1:40" s="4" customFormat="1" ht="15" customHeight="1" x14ac:dyDescent="0.15">
      <c r="A6" s="60">
        <v>5</v>
      </c>
      <c r="B6" s="61" t="s">
        <v>240</v>
      </c>
      <c r="C6" s="62">
        <v>38</v>
      </c>
      <c r="D6" s="62">
        <v>10.8</v>
      </c>
      <c r="E6" s="62">
        <v>10.8</v>
      </c>
      <c r="F6" s="63">
        <v>44532</v>
      </c>
      <c r="G6" s="64" t="s">
        <v>13</v>
      </c>
      <c r="H6" s="61" t="s">
        <v>4</v>
      </c>
      <c r="I6" s="61" t="s">
        <v>5</v>
      </c>
      <c r="J6" s="149">
        <v>1</v>
      </c>
      <c r="K6" s="61" t="s">
        <v>6</v>
      </c>
      <c r="L6" s="61" t="s">
        <v>56</v>
      </c>
      <c r="M6" s="72" t="s">
        <v>15</v>
      </c>
      <c r="N6" s="64" t="s">
        <v>41</v>
      </c>
      <c r="O6" s="62" t="s">
        <v>34</v>
      </c>
      <c r="P6" s="64" t="s">
        <v>39</v>
      </c>
      <c r="Q6" s="61" t="s">
        <v>8</v>
      </c>
      <c r="R6" s="149">
        <v>14</v>
      </c>
      <c r="S6" s="65" t="s">
        <v>67</v>
      </c>
      <c r="T6" s="65">
        <f t="shared" si="3"/>
        <v>317</v>
      </c>
      <c r="U6" s="73" t="s">
        <v>68</v>
      </c>
      <c r="V6" s="73">
        <f>16200+400</f>
        <v>16600</v>
      </c>
      <c r="W6" s="67">
        <f t="shared" si="0"/>
        <v>15108</v>
      </c>
      <c r="X6" s="67" t="s">
        <v>259</v>
      </c>
      <c r="Y6" s="67" t="s">
        <v>260</v>
      </c>
      <c r="Z6" s="67">
        <f>W6</f>
        <v>15108</v>
      </c>
      <c r="AA6" s="68">
        <v>15678</v>
      </c>
      <c r="AB6" s="67">
        <f t="shared" si="2"/>
        <v>570</v>
      </c>
      <c r="AC6" s="74" t="s">
        <v>31</v>
      </c>
      <c r="AD6" s="74">
        <f>17000+300+400+125</f>
        <v>17825</v>
      </c>
      <c r="AE6" s="75">
        <f t="shared" si="1"/>
        <v>908</v>
      </c>
      <c r="AF6" s="61" t="s">
        <v>43</v>
      </c>
      <c r="AG6" s="61" t="s">
        <v>43</v>
      </c>
      <c r="AH6" s="61" t="s">
        <v>43</v>
      </c>
      <c r="AI6" s="59" t="s">
        <v>44</v>
      </c>
      <c r="AJ6" s="76" t="s">
        <v>148</v>
      </c>
      <c r="AK6" s="154"/>
      <c r="AL6" s="172" t="s">
        <v>1</v>
      </c>
      <c r="AM6" s="164"/>
      <c r="AN6" s="59" t="s">
        <v>44</v>
      </c>
    </row>
    <row r="7" spans="1:40" s="4" customFormat="1" ht="15" customHeight="1" x14ac:dyDescent="0.15">
      <c r="A7" s="60">
        <v>6</v>
      </c>
      <c r="B7" s="61" t="s">
        <v>88</v>
      </c>
      <c r="C7" s="62">
        <v>39</v>
      </c>
      <c r="D7" s="62">
        <v>10.9</v>
      </c>
      <c r="E7" s="62">
        <v>10.9</v>
      </c>
      <c r="F7" s="63">
        <v>44517</v>
      </c>
      <c r="G7" s="62" t="s">
        <v>16</v>
      </c>
      <c r="H7" s="62" t="s">
        <v>4</v>
      </c>
      <c r="I7" s="77" t="s">
        <v>11</v>
      </c>
      <c r="J7" s="149">
        <v>1</v>
      </c>
      <c r="K7" s="62" t="s">
        <v>6</v>
      </c>
      <c r="L7" s="62" t="s">
        <v>55</v>
      </c>
      <c r="M7" s="78" t="s">
        <v>20</v>
      </c>
      <c r="N7" s="64" t="s">
        <v>28</v>
      </c>
      <c r="O7" s="62" t="s">
        <v>21</v>
      </c>
      <c r="P7" s="64" t="s">
        <v>40</v>
      </c>
      <c r="Q7" s="61" t="s">
        <v>8</v>
      </c>
      <c r="R7" s="149">
        <v>14</v>
      </c>
      <c r="S7" s="65" t="s">
        <v>67</v>
      </c>
      <c r="T7" s="65">
        <f t="shared" si="3"/>
        <v>317</v>
      </c>
      <c r="U7" s="73">
        <v>16200</v>
      </c>
      <c r="V7" s="73">
        <f>U7</f>
        <v>16200</v>
      </c>
      <c r="W7" s="67">
        <f>14800+308</f>
        <v>15108</v>
      </c>
      <c r="X7" s="67" t="s">
        <v>259</v>
      </c>
      <c r="Y7" s="67" t="s">
        <v>260</v>
      </c>
      <c r="Z7" s="67">
        <f t="shared" ref="Z7" si="4">W7+230</f>
        <v>15338</v>
      </c>
      <c r="AA7" s="68">
        <v>15678</v>
      </c>
      <c r="AB7" s="67">
        <f t="shared" si="2"/>
        <v>340</v>
      </c>
      <c r="AC7" s="74" t="s">
        <v>32</v>
      </c>
      <c r="AD7" s="74">
        <f>17300+300 +125</f>
        <v>17725</v>
      </c>
      <c r="AE7" s="75">
        <f t="shared" si="1"/>
        <v>1208</v>
      </c>
      <c r="AF7" s="61" t="s">
        <v>43</v>
      </c>
      <c r="AG7" s="61" t="s">
        <v>43</v>
      </c>
      <c r="AH7" s="61" t="s">
        <v>43</v>
      </c>
      <c r="AI7" s="59" t="s">
        <v>44</v>
      </c>
      <c r="AJ7" s="76" t="s">
        <v>111</v>
      </c>
      <c r="AK7" s="154"/>
      <c r="AL7" s="172" t="s">
        <v>1</v>
      </c>
      <c r="AM7" s="164"/>
      <c r="AN7" s="59" t="s">
        <v>44</v>
      </c>
    </row>
    <row r="8" spans="1:40" ht="15" customHeight="1" x14ac:dyDescent="0.15">
      <c r="A8" s="60">
        <v>7</v>
      </c>
      <c r="B8" s="61" t="s">
        <v>88</v>
      </c>
      <c r="C8" s="62">
        <v>39</v>
      </c>
      <c r="D8" s="62">
        <v>10.15</v>
      </c>
      <c r="E8" s="62">
        <v>10.15</v>
      </c>
      <c r="F8" s="63">
        <v>44538</v>
      </c>
      <c r="G8" s="79" t="s">
        <v>18</v>
      </c>
      <c r="H8" s="62" t="s">
        <v>4</v>
      </c>
      <c r="I8" s="62" t="s">
        <v>5</v>
      </c>
      <c r="J8" s="149">
        <v>1</v>
      </c>
      <c r="K8" s="62" t="s">
        <v>6</v>
      </c>
      <c r="L8" s="62" t="s">
        <v>58</v>
      </c>
      <c r="M8" s="78" t="s">
        <v>19</v>
      </c>
      <c r="N8" s="64" t="s">
        <v>28</v>
      </c>
      <c r="O8" s="62" t="s">
        <v>21</v>
      </c>
      <c r="P8" s="64" t="s">
        <v>51</v>
      </c>
      <c r="Q8" s="61" t="s">
        <v>8</v>
      </c>
      <c r="R8" s="149">
        <v>14</v>
      </c>
      <c r="S8" s="65" t="s">
        <v>67</v>
      </c>
      <c r="T8" s="65">
        <f t="shared" si="3"/>
        <v>317</v>
      </c>
      <c r="U8" s="73">
        <v>16200</v>
      </c>
      <c r="V8" s="73">
        <f>U8</f>
        <v>16200</v>
      </c>
      <c r="W8" s="67">
        <f>14800+322</f>
        <v>15122</v>
      </c>
      <c r="X8" s="67" t="s">
        <v>259</v>
      </c>
      <c r="Y8" s="67" t="s">
        <v>260</v>
      </c>
      <c r="Z8" s="67">
        <f>W8+230</f>
        <v>15352</v>
      </c>
      <c r="AA8" s="68">
        <v>15678</v>
      </c>
      <c r="AB8" s="67">
        <f t="shared" si="2"/>
        <v>326</v>
      </c>
      <c r="AC8" s="74" t="s">
        <v>32</v>
      </c>
      <c r="AD8" s="74">
        <f>17300+300 +125</f>
        <v>17725</v>
      </c>
      <c r="AE8" s="75">
        <f t="shared" si="1"/>
        <v>1208</v>
      </c>
      <c r="AF8" s="61" t="s">
        <v>43</v>
      </c>
      <c r="AG8" s="61" t="s">
        <v>43</v>
      </c>
      <c r="AH8" s="61" t="s">
        <v>43</v>
      </c>
      <c r="AI8" s="59" t="s">
        <v>44</v>
      </c>
      <c r="AJ8" s="71" t="s">
        <v>209</v>
      </c>
      <c r="AK8" s="152"/>
      <c r="AL8" s="172" t="s">
        <v>1</v>
      </c>
      <c r="AM8" s="162"/>
      <c r="AN8" s="59" t="s">
        <v>44</v>
      </c>
    </row>
    <row r="9" spans="1:40" ht="15" customHeight="1" x14ac:dyDescent="0.15">
      <c r="A9" s="60">
        <v>8</v>
      </c>
      <c r="B9" s="61" t="s">
        <v>240</v>
      </c>
      <c r="C9" s="62">
        <v>39</v>
      </c>
      <c r="D9" s="62">
        <v>10.15</v>
      </c>
      <c r="E9" s="62">
        <v>10.15</v>
      </c>
      <c r="F9" s="63">
        <v>44538</v>
      </c>
      <c r="G9" s="79" t="s">
        <v>18</v>
      </c>
      <c r="H9" s="62" t="s">
        <v>4</v>
      </c>
      <c r="I9" s="62" t="s">
        <v>5</v>
      </c>
      <c r="J9" s="149">
        <v>1</v>
      </c>
      <c r="K9" s="62" t="s">
        <v>6</v>
      </c>
      <c r="L9" s="62" t="s">
        <v>59</v>
      </c>
      <c r="M9" s="78" t="s">
        <v>17</v>
      </c>
      <c r="N9" s="64" t="s">
        <v>25</v>
      </c>
      <c r="O9" s="62" t="s">
        <v>23</v>
      </c>
      <c r="P9" s="64" t="s">
        <v>50</v>
      </c>
      <c r="Q9" s="61" t="s">
        <v>8</v>
      </c>
      <c r="R9" s="149">
        <v>14</v>
      </c>
      <c r="S9" s="65" t="s">
        <v>67</v>
      </c>
      <c r="T9" s="65">
        <f t="shared" si="3"/>
        <v>317</v>
      </c>
      <c r="U9" s="73" t="s">
        <v>68</v>
      </c>
      <c r="V9" s="73">
        <f>16200+400</f>
        <v>16600</v>
      </c>
      <c r="W9" s="67">
        <f>14800+322</f>
        <v>15122</v>
      </c>
      <c r="X9" s="67" t="s">
        <v>259</v>
      </c>
      <c r="Y9" s="67" t="s">
        <v>260</v>
      </c>
      <c r="Z9" s="67">
        <f>W9</f>
        <v>15122</v>
      </c>
      <c r="AA9" s="68">
        <v>15678</v>
      </c>
      <c r="AB9" s="67">
        <f t="shared" si="2"/>
        <v>556</v>
      </c>
      <c r="AC9" s="74" t="s">
        <v>31</v>
      </c>
      <c r="AD9" s="74">
        <f>17000+300+400+125</f>
        <v>17825</v>
      </c>
      <c r="AE9" s="75">
        <f t="shared" si="1"/>
        <v>908</v>
      </c>
      <c r="AF9" s="61" t="s">
        <v>43</v>
      </c>
      <c r="AG9" s="61" t="s">
        <v>43</v>
      </c>
      <c r="AH9" s="61" t="s">
        <v>43</v>
      </c>
      <c r="AI9" s="59" t="s">
        <v>44</v>
      </c>
      <c r="AJ9" s="71" t="s">
        <v>189</v>
      </c>
      <c r="AK9" s="152"/>
      <c r="AL9" s="172" t="s">
        <v>1</v>
      </c>
      <c r="AM9" s="162"/>
      <c r="AN9" s="59" t="s">
        <v>44</v>
      </c>
    </row>
    <row r="10" spans="1:40" ht="15" customHeight="1" x14ac:dyDescent="0.15">
      <c r="A10" s="80">
        <v>9</v>
      </c>
      <c r="B10" s="77" t="s">
        <v>47</v>
      </c>
      <c r="C10" s="77">
        <v>41</v>
      </c>
      <c r="D10" s="77">
        <v>11.2</v>
      </c>
      <c r="E10" s="77">
        <v>11.2</v>
      </c>
      <c r="F10" s="63">
        <v>44541</v>
      </c>
      <c r="G10" s="77" t="s">
        <v>61</v>
      </c>
      <c r="H10" s="62" t="s">
        <v>4</v>
      </c>
      <c r="I10" s="62" t="s">
        <v>5</v>
      </c>
      <c r="J10" s="149">
        <v>1</v>
      </c>
      <c r="K10" s="62" t="s">
        <v>6</v>
      </c>
      <c r="L10" s="62" t="s">
        <v>80</v>
      </c>
      <c r="M10" s="59" t="s">
        <v>48</v>
      </c>
      <c r="N10" s="79" t="s">
        <v>28</v>
      </c>
      <c r="O10" s="62" t="s">
        <v>21</v>
      </c>
      <c r="P10" s="79" t="s">
        <v>81</v>
      </c>
      <c r="Q10" s="62" t="s">
        <v>8</v>
      </c>
      <c r="R10" s="149">
        <v>14</v>
      </c>
      <c r="S10" s="65"/>
      <c r="T10" s="65"/>
      <c r="U10" s="73">
        <v>15800</v>
      </c>
      <c r="V10" s="73">
        <f>U10</f>
        <v>15800</v>
      </c>
      <c r="W10" s="81"/>
      <c r="X10" s="81"/>
      <c r="Y10" s="67"/>
      <c r="Z10" s="67"/>
      <c r="AA10" s="68">
        <v>15435</v>
      </c>
      <c r="AB10" s="67"/>
      <c r="AC10" s="74">
        <v>16200</v>
      </c>
      <c r="AD10" s="74">
        <f>16200</f>
        <v>16200</v>
      </c>
      <c r="AE10" s="75">
        <f t="shared" si="1"/>
        <v>400</v>
      </c>
      <c r="AF10" s="61" t="s">
        <v>105</v>
      </c>
      <c r="AG10" s="61" t="s">
        <v>43</v>
      </c>
      <c r="AH10" s="61" t="s">
        <v>43</v>
      </c>
      <c r="AI10" s="59" t="s">
        <v>129</v>
      </c>
      <c r="AJ10" s="78" t="s">
        <v>205</v>
      </c>
      <c r="AK10" s="155"/>
      <c r="AL10" s="172" t="s">
        <v>77</v>
      </c>
      <c r="AM10" s="165"/>
      <c r="AN10" s="59" t="s">
        <v>44</v>
      </c>
    </row>
    <row r="11" spans="1:40" ht="15" customHeight="1" x14ac:dyDescent="0.15">
      <c r="A11" s="80">
        <v>10</v>
      </c>
      <c r="B11" s="77" t="s">
        <v>47</v>
      </c>
      <c r="C11" s="77">
        <v>41</v>
      </c>
      <c r="D11" s="77">
        <v>11.2</v>
      </c>
      <c r="E11" s="77">
        <v>11.2</v>
      </c>
      <c r="F11" s="63">
        <v>44541</v>
      </c>
      <c r="G11" s="77" t="s">
        <v>61</v>
      </c>
      <c r="H11" s="62" t="s">
        <v>4</v>
      </c>
      <c r="I11" s="62" t="s">
        <v>5</v>
      </c>
      <c r="J11" s="149">
        <v>1</v>
      </c>
      <c r="K11" s="62" t="s">
        <v>6</v>
      </c>
      <c r="L11" s="62" t="s">
        <v>82</v>
      </c>
      <c r="M11" s="82" t="s">
        <v>49</v>
      </c>
      <c r="N11" s="79" t="s">
        <v>28</v>
      </c>
      <c r="O11" s="62" t="s">
        <v>21</v>
      </c>
      <c r="P11" s="79" t="s">
        <v>83</v>
      </c>
      <c r="Q11" s="62" t="s">
        <v>8</v>
      </c>
      <c r="R11" s="149">
        <v>14</v>
      </c>
      <c r="S11" s="65"/>
      <c r="T11" s="65"/>
      <c r="U11" s="73">
        <v>15800</v>
      </c>
      <c r="V11" s="73">
        <f t="shared" ref="V11:V13" si="5">U11</f>
        <v>15800</v>
      </c>
      <c r="W11" s="81"/>
      <c r="X11" s="81"/>
      <c r="Y11" s="67"/>
      <c r="Z11" s="67"/>
      <c r="AA11" s="68">
        <v>15435</v>
      </c>
      <c r="AB11" s="67"/>
      <c r="AC11" s="74">
        <v>16200</v>
      </c>
      <c r="AD11" s="74">
        <f>16200</f>
        <v>16200</v>
      </c>
      <c r="AE11" s="75">
        <f t="shared" si="1"/>
        <v>400</v>
      </c>
      <c r="AF11" s="61" t="s">
        <v>105</v>
      </c>
      <c r="AG11" s="61" t="s">
        <v>43</v>
      </c>
      <c r="AH11" s="61" t="s">
        <v>43</v>
      </c>
      <c r="AI11" s="59" t="s">
        <v>129</v>
      </c>
      <c r="AJ11" s="78" t="s">
        <v>206</v>
      </c>
      <c r="AK11" s="155"/>
      <c r="AL11" s="172" t="s">
        <v>77</v>
      </c>
      <c r="AM11" s="165"/>
      <c r="AN11" s="59" t="s">
        <v>44</v>
      </c>
    </row>
    <row r="12" spans="1:40" x14ac:dyDescent="0.15">
      <c r="A12" s="60">
        <v>11</v>
      </c>
      <c r="B12" s="59" t="s">
        <v>76</v>
      </c>
      <c r="C12" s="77"/>
      <c r="D12" s="77"/>
      <c r="E12" s="59"/>
      <c r="F12" s="85"/>
      <c r="G12" s="59"/>
      <c r="H12" s="59"/>
      <c r="I12" s="59"/>
      <c r="J12" s="149">
        <v>1</v>
      </c>
      <c r="K12" s="62" t="s">
        <v>6</v>
      </c>
      <c r="L12" s="59"/>
      <c r="M12" s="59"/>
      <c r="N12" s="59"/>
      <c r="O12" s="59"/>
      <c r="P12" s="59"/>
      <c r="Q12" s="59"/>
      <c r="R12" s="149">
        <v>14</v>
      </c>
      <c r="S12" s="51"/>
      <c r="T12" s="51"/>
      <c r="U12" s="51"/>
      <c r="V12" s="51">
        <v>500</v>
      </c>
      <c r="W12" s="86"/>
      <c r="X12" s="86"/>
      <c r="Y12" s="86"/>
      <c r="Z12" s="86"/>
      <c r="AA12" s="87"/>
      <c r="AB12" s="86"/>
      <c r="AC12" s="88"/>
      <c r="AD12" s="88"/>
      <c r="AE12" s="51">
        <v>-500</v>
      </c>
      <c r="AF12" s="59"/>
      <c r="AG12" s="59"/>
      <c r="AH12" s="59"/>
      <c r="AI12" s="59"/>
      <c r="AJ12" s="59"/>
      <c r="AK12" s="153"/>
      <c r="AL12" s="172" t="s">
        <v>75</v>
      </c>
      <c r="AM12" s="163"/>
      <c r="AN12" s="59"/>
    </row>
    <row r="13" spans="1:40" ht="51" x14ac:dyDescent="0.15">
      <c r="A13" s="80">
        <v>12</v>
      </c>
      <c r="B13" s="77" t="s">
        <v>60</v>
      </c>
      <c r="C13" s="77">
        <v>43</v>
      </c>
      <c r="D13" s="83" t="s">
        <v>64</v>
      </c>
      <c r="E13" s="83" t="s">
        <v>64</v>
      </c>
      <c r="F13" s="63">
        <v>44541</v>
      </c>
      <c r="G13" s="77" t="s">
        <v>61</v>
      </c>
      <c r="H13" s="62" t="s">
        <v>4</v>
      </c>
      <c r="I13" s="62" t="s">
        <v>5</v>
      </c>
      <c r="J13" s="149">
        <v>1</v>
      </c>
      <c r="K13" s="62" t="s">
        <v>6</v>
      </c>
      <c r="L13" s="62" t="s">
        <v>84</v>
      </c>
      <c r="M13" s="62" t="s">
        <v>62</v>
      </c>
      <c r="N13" s="59" t="s">
        <v>28</v>
      </c>
      <c r="O13" s="62" t="s">
        <v>21</v>
      </c>
      <c r="P13" s="59" t="s">
        <v>85</v>
      </c>
      <c r="Q13" s="62" t="s">
        <v>8</v>
      </c>
      <c r="R13" s="149">
        <v>14</v>
      </c>
      <c r="S13" s="65" t="s">
        <v>67</v>
      </c>
      <c r="T13" s="65">
        <f t="shared" si="3"/>
        <v>317</v>
      </c>
      <c r="U13" s="73">
        <v>15800</v>
      </c>
      <c r="V13" s="73">
        <f t="shared" si="5"/>
        <v>15800</v>
      </c>
      <c r="W13" s="67">
        <f>14800+322</f>
        <v>15122</v>
      </c>
      <c r="X13" s="67" t="s">
        <v>259</v>
      </c>
      <c r="Y13" s="67" t="s">
        <v>260</v>
      </c>
      <c r="Z13" s="67">
        <f>W13+230</f>
        <v>15352</v>
      </c>
      <c r="AA13" s="68">
        <v>15435</v>
      </c>
      <c r="AB13" s="67">
        <f>AA13-Z13</f>
        <v>83</v>
      </c>
      <c r="AC13" s="74" t="s">
        <v>66</v>
      </c>
      <c r="AD13" s="74">
        <f>16300+300 +125</f>
        <v>16725</v>
      </c>
      <c r="AE13" s="75">
        <f t="shared" si="1"/>
        <v>608</v>
      </c>
      <c r="AF13" s="61" t="s">
        <v>43</v>
      </c>
      <c r="AG13" s="61" t="s">
        <v>43</v>
      </c>
      <c r="AH13" s="61" t="s">
        <v>43</v>
      </c>
      <c r="AI13" s="59" t="s">
        <v>44</v>
      </c>
      <c r="AJ13" s="84" t="s">
        <v>207</v>
      </c>
      <c r="AK13" s="156"/>
      <c r="AL13" s="172" t="s">
        <v>1</v>
      </c>
      <c r="AM13" s="166"/>
      <c r="AN13" s="59" t="s">
        <v>44</v>
      </c>
    </row>
    <row r="14" spans="1:40" ht="15" customHeight="1" x14ac:dyDescent="0.15">
      <c r="A14" s="80">
        <v>13</v>
      </c>
      <c r="B14" s="61" t="s">
        <v>240</v>
      </c>
      <c r="C14" s="77">
        <v>43</v>
      </c>
      <c r="D14" s="83" t="s">
        <v>65</v>
      </c>
      <c r="E14" s="83" t="s">
        <v>65</v>
      </c>
      <c r="F14" s="63">
        <v>44541</v>
      </c>
      <c r="G14" s="77" t="s">
        <v>61</v>
      </c>
      <c r="H14" s="62" t="s">
        <v>4</v>
      </c>
      <c r="I14" s="62" t="s">
        <v>5</v>
      </c>
      <c r="J14" s="149">
        <v>1</v>
      </c>
      <c r="K14" s="62" t="s">
        <v>6</v>
      </c>
      <c r="L14" s="62" t="s">
        <v>86</v>
      </c>
      <c r="M14" s="62" t="s">
        <v>63</v>
      </c>
      <c r="N14" s="59" t="s">
        <v>28</v>
      </c>
      <c r="O14" s="62" t="s">
        <v>21</v>
      </c>
      <c r="P14" s="59" t="s">
        <v>87</v>
      </c>
      <c r="Q14" s="62" t="s">
        <v>8</v>
      </c>
      <c r="R14" s="149">
        <v>14</v>
      </c>
      <c r="S14" s="65" t="s">
        <v>67</v>
      </c>
      <c r="T14" s="65">
        <f t="shared" si="3"/>
        <v>317</v>
      </c>
      <c r="U14" s="73" t="s">
        <v>78</v>
      </c>
      <c r="V14" s="73">
        <f>15800+400</f>
        <v>16200</v>
      </c>
      <c r="W14" s="67">
        <f>14800+322</f>
        <v>15122</v>
      </c>
      <c r="X14" s="67" t="s">
        <v>259</v>
      </c>
      <c r="Y14" s="67" t="s">
        <v>260</v>
      </c>
      <c r="Z14" s="67">
        <f>W14</f>
        <v>15122</v>
      </c>
      <c r="AA14" s="68">
        <v>15435</v>
      </c>
      <c r="AB14" s="67">
        <f>V14-Z14</f>
        <v>1078</v>
      </c>
      <c r="AC14" s="74" t="s">
        <v>79</v>
      </c>
      <c r="AD14" s="74">
        <f>16200+300 +125+400</f>
        <v>17025</v>
      </c>
      <c r="AE14" s="75">
        <f t="shared" si="1"/>
        <v>508</v>
      </c>
      <c r="AF14" s="61" t="s">
        <v>43</v>
      </c>
      <c r="AG14" s="61" t="s">
        <v>43</v>
      </c>
      <c r="AH14" s="61" t="s">
        <v>43</v>
      </c>
      <c r="AI14" s="59" t="s">
        <v>44</v>
      </c>
      <c r="AJ14" s="84" t="s">
        <v>208</v>
      </c>
      <c r="AK14" s="156"/>
      <c r="AL14" s="172" t="s">
        <v>1</v>
      </c>
      <c r="AM14" s="166"/>
      <c r="AN14" s="59" t="s">
        <v>44</v>
      </c>
    </row>
    <row r="15" spans="1:40" x14ac:dyDescent="0.15">
      <c r="A15" s="60">
        <v>14</v>
      </c>
      <c r="B15" s="59" t="s">
        <v>76</v>
      </c>
      <c r="C15" s="77"/>
      <c r="D15" s="77"/>
      <c r="E15" s="59"/>
      <c r="F15" s="85"/>
      <c r="G15" s="59"/>
      <c r="H15" s="59"/>
      <c r="I15" s="59"/>
      <c r="J15" s="149">
        <v>1</v>
      </c>
      <c r="K15" s="62" t="s">
        <v>6</v>
      </c>
      <c r="L15" s="59"/>
      <c r="M15" s="59"/>
      <c r="N15" s="59"/>
      <c r="O15" s="59"/>
      <c r="P15" s="59"/>
      <c r="Q15" s="59"/>
      <c r="R15" s="149">
        <v>14</v>
      </c>
      <c r="S15" s="51"/>
      <c r="T15" s="51"/>
      <c r="U15" s="51"/>
      <c r="V15" s="51">
        <v>500</v>
      </c>
      <c r="W15" s="86"/>
      <c r="X15" s="86"/>
      <c r="Y15" s="86"/>
      <c r="Z15" s="86"/>
      <c r="AA15" s="87"/>
      <c r="AB15" s="86"/>
      <c r="AC15" s="51"/>
      <c r="AD15" s="51"/>
      <c r="AE15" s="51">
        <v>-500</v>
      </c>
      <c r="AF15" s="59"/>
      <c r="AG15" s="59"/>
      <c r="AH15" s="59"/>
      <c r="AI15" s="59"/>
      <c r="AJ15" s="59"/>
      <c r="AK15" s="153"/>
      <c r="AL15" s="172" t="s">
        <v>75</v>
      </c>
      <c r="AM15" s="163"/>
      <c r="AN15" s="59"/>
    </row>
    <row r="16" spans="1:40" ht="51" x14ac:dyDescent="0.15">
      <c r="A16" s="80">
        <v>15</v>
      </c>
      <c r="B16" s="59" t="s">
        <v>107</v>
      </c>
      <c r="C16" s="77">
        <v>44</v>
      </c>
      <c r="D16" s="77">
        <v>11.15</v>
      </c>
      <c r="E16" s="59"/>
      <c r="F16" s="89">
        <v>44553</v>
      </c>
      <c r="G16" s="59" t="s">
        <v>69</v>
      </c>
      <c r="H16" s="59" t="s">
        <v>4</v>
      </c>
      <c r="I16" s="59" t="s">
        <v>11</v>
      </c>
      <c r="J16" s="149">
        <v>1</v>
      </c>
      <c r="K16" s="62" t="s">
        <v>6</v>
      </c>
      <c r="L16" s="59" t="s">
        <v>138</v>
      </c>
      <c r="M16" s="59" t="s">
        <v>70</v>
      </c>
      <c r="N16" s="59" t="s">
        <v>137</v>
      </c>
      <c r="O16" s="59" t="s">
        <v>247</v>
      </c>
      <c r="P16" s="59" t="s">
        <v>139</v>
      </c>
      <c r="Q16" s="59" t="s">
        <v>8</v>
      </c>
      <c r="R16" s="149">
        <v>14</v>
      </c>
      <c r="S16" s="51"/>
      <c r="T16" s="51"/>
      <c r="U16" s="66">
        <v>15900</v>
      </c>
      <c r="V16" s="66">
        <v>15900</v>
      </c>
      <c r="W16" s="67"/>
      <c r="X16" s="67"/>
      <c r="Y16" s="67"/>
      <c r="Z16" s="67"/>
      <c r="AA16" s="68"/>
      <c r="AB16" s="67"/>
      <c r="AC16" s="69">
        <v>16100</v>
      </c>
      <c r="AD16" s="69">
        <v>16100</v>
      </c>
      <c r="AE16" s="51">
        <v>200</v>
      </c>
      <c r="AF16" s="59" t="s">
        <v>136</v>
      </c>
      <c r="AG16" s="59" t="s">
        <v>43</v>
      </c>
      <c r="AH16" s="59" t="s">
        <v>43</v>
      </c>
      <c r="AI16" s="59" t="s">
        <v>137</v>
      </c>
      <c r="AJ16" s="90" t="s">
        <v>210</v>
      </c>
      <c r="AK16" s="157"/>
      <c r="AL16" s="172" t="s">
        <v>106</v>
      </c>
      <c r="AM16" s="167"/>
      <c r="AN16" s="59"/>
    </row>
    <row r="17" spans="1:40" x14ac:dyDescent="0.15">
      <c r="A17" s="80">
        <v>16</v>
      </c>
      <c r="B17" s="59" t="s">
        <v>71</v>
      </c>
      <c r="C17" s="77"/>
      <c r="D17" s="77"/>
      <c r="E17" s="59"/>
      <c r="F17" s="85"/>
      <c r="G17" s="59"/>
      <c r="H17" s="59"/>
      <c r="I17" s="59"/>
      <c r="J17" s="149">
        <v>1</v>
      </c>
      <c r="K17" s="62" t="s">
        <v>6</v>
      </c>
      <c r="L17" s="59"/>
      <c r="M17" s="59"/>
      <c r="N17" s="59"/>
      <c r="O17" s="59"/>
      <c r="P17" s="59"/>
      <c r="Q17" s="59"/>
      <c r="R17" s="149">
        <v>14</v>
      </c>
      <c r="S17" s="51"/>
      <c r="T17" s="51"/>
      <c r="U17" s="66">
        <v>15740</v>
      </c>
      <c r="V17" s="66"/>
      <c r="W17" s="67"/>
      <c r="X17" s="67"/>
      <c r="Y17" s="67"/>
      <c r="Z17" s="67"/>
      <c r="AA17" s="68"/>
      <c r="AB17" s="67"/>
      <c r="AC17" s="69">
        <v>15840</v>
      </c>
      <c r="AD17" s="69"/>
      <c r="AE17" s="51">
        <v>100</v>
      </c>
      <c r="AF17" s="59"/>
      <c r="AG17" s="59"/>
      <c r="AH17" s="59"/>
      <c r="AI17" s="59"/>
      <c r="AJ17" s="59"/>
      <c r="AK17" s="153"/>
      <c r="AL17" s="172" t="s">
        <v>75</v>
      </c>
      <c r="AM17" s="163"/>
      <c r="AN17" s="59"/>
    </row>
    <row r="18" spans="1:40" x14ac:dyDescent="0.15">
      <c r="A18" s="60">
        <v>17</v>
      </c>
      <c r="B18" s="59" t="s">
        <v>71</v>
      </c>
      <c r="C18" s="77"/>
      <c r="D18" s="77"/>
      <c r="E18" s="59"/>
      <c r="F18" s="85"/>
      <c r="G18" s="59"/>
      <c r="H18" s="59"/>
      <c r="I18" s="59"/>
      <c r="J18" s="149">
        <v>1</v>
      </c>
      <c r="K18" s="62" t="s">
        <v>6</v>
      </c>
      <c r="L18" s="59"/>
      <c r="M18" s="59"/>
      <c r="N18" s="59"/>
      <c r="O18" s="59"/>
      <c r="P18" s="59"/>
      <c r="Q18" s="59"/>
      <c r="R18" s="149">
        <v>14</v>
      </c>
      <c r="S18" s="51"/>
      <c r="T18" s="51"/>
      <c r="U18" s="66">
        <v>15740</v>
      </c>
      <c r="V18" s="66"/>
      <c r="W18" s="67"/>
      <c r="X18" s="67"/>
      <c r="Y18" s="67"/>
      <c r="Z18" s="67"/>
      <c r="AA18" s="68"/>
      <c r="AB18" s="67"/>
      <c r="AC18" s="69">
        <v>15840</v>
      </c>
      <c r="AD18" s="69"/>
      <c r="AE18" s="51">
        <v>100</v>
      </c>
      <c r="AF18" s="59"/>
      <c r="AG18" s="59"/>
      <c r="AH18" s="59"/>
      <c r="AI18" s="59"/>
      <c r="AJ18" s="59"/>
      <c r="AK18" s="153"/>
      <c r="AL18" s="172" t="s">
        <v>75</v>
      </c>
      <c r="AM18" s="163"/>
      <c r="AN18" s="59"/>
    </row>
    <row r="19" spans="1:40" x14ac:dyDescent="0.15">
      <c r="A19" s="80">
        <v>18</v>
      </c>
      <c r="B19" s="59" t="s">
        <v>107</v>
      </c>
      <c r="C19" s="77" t="s">
        <v>89</v>
      </c>
      <c r="D19" s="77">
        <v>11.13</v>
      </c>
      <c r="E19" s="59">
        <v>11.26</v>
      </c>
      <c r="F19" s="89">
        <v>44580</v>
      </c>
      <c r="G19" s="59" t="s">
        <v>90</v>
      </c>
      <c r="H19" s="59" t="s">
        <v>4</v>
      </c>
      <c r="I19" s="59" t="s">
        <v>5</v>
      </c>
      <c r="J19" s="149">
        <v>1</v>
      </c>
      <c r="K19" s="62" t="s">
        <v>6</v>
      </c>
      <c r="L19" s="59" t="s">
        <v>140</v>
      </c>
      <c r="M19" s="59" t="s">
        <v>72</v>
      </c>
      <c r="N19" s="59" t="s">
        <v>137</v>
      </c>
      <c r="O19" s="59" t="s">
        <v>247</v>
      </c>
      <c r="P19" s="59" t="s">
        <v>91</v>
      </c>
      <c r="Q19" s="59" t="s">
        <v>8</v>
      </c>
      <c r="R19" s="149">
        <v>14</v>
      </c>
      <c r="S19" s="51"/>
      <c r="T19" s="51"/>
      <c r="U19" s="66">
        <v>15900</v>
      </c>
      <c r="V19" s="66">
        <v>15900</v>
      </c>
      <c r="W19" s="67"/>
      <c r="X19" s="67"/>
      <c r="Y19" s="67"/>
      <c r="Z19" s="67"/>
      <c r="AA19" s="68"/>
      <c r="AB19" s="67"/>
      <c r="AC19" s="69">
        <v>16100</v>
      </c>
      <c r="AD19" s="69">
        <v>16100</v>
      </c>
      <c r="AE19" s="51">
        <f>AC19-U19</f>
        <v>200</v>
      </c>
      <c r="AF19" s="59" t="s">
        <v>136</v>
      </c>
      <c r="AG19" s="59" t="s">
        <v>43</v>
      </c>
      <c r="AH19" s="59" t="s">
        <v>43</v>
      </c>
      <c r="AI19" s="59" t="s">
        <v>137</v>
      </c>
      <c r="AJ19" s="59" t="s">
        <v>265</v>
      </c>
      <c r="AK19" s="153"/>
      <c r="AL19" s="172" t="s">
        <v>77</v>
      </c>
      <c r="AM19" s="163"/>
      <c r="AN19" s="59"/>
    </row>
    <row r="20" spans="1:40" x14ac:dyDescent="0.15">
      <c r="A20" s="80">
        <v>19</v>
      </c>
      <c r="B20" s="61" t="s">
        <v>240</v>
      </c>
      <c r="C20" s="77" t="s">
        <v>89</v>
      </c>
      <c r="D20" s="77">
        <v>11.13</v>
      </c>
      <c r="E20" s="59">
        <v>11.26</v>
      </c>
      <c r="F20" s="89">
        <v>44580</v>
      </c>
      <c r="G20" s="59" t="s">
        <v>90</v>
      </c>
      <c r="H20" s="59" t="s">
        <v>4</v>
      </c>
      <c r="I20" s="59" t="s">
        <v>5</v>
      </c>
      <c r="J20" s="149">
        <v>1</v>
      </c>
      <c r="K20" s="62" t="s">
        <v>6</v>
      </c>
      <c r="L20" s="59" t="s">
        <v>132</v>
      </c>
      <c r="M20" s="59" t="s">
        <v>73</v>
      </c>
      <c r="N20" s="59" t="s">
        <v>129</v>
      </c>
      <c r="O20" s="59" t="s">
        <v>129</v>
      </c>
      <c r="P20" s="59" t="s">
        <v>135</v>
      </c>
      <c r="Q20" s="59" t="s">
        <v>8</v>
      </c>
      <c r="R20" s="149">
        <v>14</v>
      </c>
      <c r="S20" s="51"/>
      <c r="T20" s="51"/>
      <c r="U20" s="66" t="s">
        <v>123</v>
      </c>
      <c r="V20" s="66">
        <f>15900+600</f>
        <v>16500</v>
      </c>
      <c r="W20" s="67"/>
      <c r="X20" s="67"/>
      <c r="Y20" s="67"/>
      <c r="Z20" s="67"/>
      <c r="AA20" s="68"/>
      <c r="AB20" s="67"/>
      <c r="AC20" s="69" t="s">
        <v>131</v>
      </c>
      <c r="AD20" s="69">
        <f>16100+600</f>
        <v>16700</v>
      </c>
      <c r="AE20" s="51">
        <f>AD20-V20</f>
        <v>200</v>
      </c>
      <c r="AF20" s="59" t="s">
        <v>129</v>
      </c>
      <c r="AG20" s="59" t="s">
        <v>43</v>
      </c>
      <c r="AH20" s="59" t="s">
        <v>43</v>
      </c>
      <c r="AI20" s="59" t="s">
        <v>129</v>
      </c>
      <c r="AJ20" s="71" t="s">
        <v>263</v>
      </c>
      <c r="AK20" s="152"/>
      <c r="AL20" s="172" t="s">
        <v>77</v>
      </c>
      <c r="AM20" s="162"/>
      <c r="AN20" s="59" t="s">
        <v>44</v>
      </c>
    </row>
    <row r="21" spans="1:40" x14ac:dyDescent="0.15">
      <c r="A21" s="60">
        <v>20</v>
      </c>
      <c r="B21" s="61" t="s">
        <v>240</v>
      </c>
      <c r="C21" s="77" t="s">
        <v>92</v>
      </c>
      <c r="D21" s="77">
        <v>11.13</v>
      </c>
      <c r="E21" s="59">
        <v>11.26</v>
      </c>
      <c r="F21" s="89">
        <v>44580</v>
      </c>
      <c r="G21" s="59" t="s">
        <v>90</v>
      </c>
      <c r="H21" s="59" t="s">
        <v>4</v>
      </c>
      <c r="I21" s="59" t="s">
        <v>5</v>
      </c>
      <c r="J21" s="149">
        <v>1</v>
      </c>
      <c r="K21" s="62" t="s">
        <v>6</v>
      </c>
      <c r="L21" s="59" t="s">
        <v>133</v>
      </c>
      <c r="M21" s="59" t="s">
        <v>74</v>
      </c>
      <c r="N21" s="59" t="s">
        <v>129</v>
      </c>
      <c r="O21" s="59" t="s">
        <v>129</v>
      </c>
      <c r="P21" s="59" t="s">
        <v>134</v>
      </c>
      <c r="Q21" s="59" t="s">
        <v>8</v>
      </c>
      <c r="R21" s="149">
        <v>14</v>
      </c>
      <c r="S21" s="51"/>
      <c r="T21" s="51"/>
      <c r="U21" s="66" t="s">
        <v>123</v>
      </c>
      <c r="V21" s="66">
        <f>15900+600</f>
        <v>16500</v>
      </c>
      <c r="W21" s="67"/>
      <c r="X21" s="67"/>
      <c r="Y21" s="67"/>
      <c r="Z21" s="67"/>
      <c r="AA21" s="68"/>
      <c r="AB21" s="67"/>
      <c r="AC21" s="69" t="s">
        <v>124</v>
      </c>
      <c r="AD21" s="69">
        <f>16200+600</f>
        <v>16800</v>
      </c>
      <c r="AE21" s="51">
        <f>AD21-V21</f>
        <v>300</v>
      </c>
      <c r="AF21" s="59" t="s">
        <v>129</v>
      </c>
      <c r="AG21" s="59" t="s">
        <v>43</v>
      </c>
      <c r="AH21" s="59" t="s">
        <v>43</v>
      </c>
      <c r="AI21" s="59" t="s">
        <v>129</v>
      </c>
      <c r="AJ21" s="59" t="s">
        <v>244</v>
      </c>
      <c r="AK21" s="153"/>
      <c r="AL21" s="172" t="s">
        <v>77</v>
      </c>
      <c r="AM21" s="163"/>
      <c r="AN21" s="59" t="s">
        <v>44</v>
      </c>
    </row>
    <row r="22" spans="1:40" x14ac:dyDescent="0.15">
      <c r="A22" s="80">
        <v>21</v>
      </c>
      <c r="B22" s="59" t="s">
        <v>71</v>
      </c>
      <c r="C22" s="77"/>
      <c r="D22" s="77"/>
      <c r="E22" s="59"/>
      <c r="F22" s="85"/>
      <c r="G22" s="59"/>
      <c r="H22" s="59"/>
      <c r="I22" s="59"/>
      <c r="J22" s="149">
        <v>1</v>
      </c>
      <c r="K22" s="62" t="s">
        <v>6</v>
      </c>
      <c r="L22" s="59"/>
      <c r="M22" s="59"/>
      <c r="N22" s="59"/>
      <c r="O22" s="59"/>
      <c r="P22" s="59"/>
      <c r="Q22" s="59"/>
      <c r="R22" s="149">
        <v>14</v>
      </c>
      <c r="S22" s="51"/>
      <c r="T22" s="51"/>
      <c r="U22" s="66">
        <v>15900</v>
      </c>
      <c r="V22" s="66"/>
      <c r="W22" s="67"/>
      <c r="X22" s="67"/>
      <c r="Y22" s="67"/>
      <c r="Z22" s="67"/>
      <c r="AA22" s="68"/>
      <c r="AB22" s="67"/>
      <c r="AC22" s="69">
        <v>16100</v>
      </c>
      <c r="AD22" s="69"/>
      <c r="AE22" s="51">
        <f>AC22-U22</f>
        <v>200</v>
      </c>
      <c r="AF22" s="59"/>
      <c r="AG22" s="59"/>
      <c r="AH22" s="59"/>
      <c r="AI22" s="59"/>
      <c r="AJ22" s="59"/>
      <c r="AK22" s="153"/>
      <c r="AL22" s="172" t="s">
        <v>75</v>
      </c>
      <c r="AM22" s="163"/>
      <c r="AN22" s="59"/>
    </row>
    <row r="23" spans="1:40" x14ac:dyDescent="0.15">
      <c r="A23" s="80">
        <v>22</v>
      </c>
      <c r="B23" s="59" t="s">
        <v>107</v>
      </c>
      <c r="C23" s="77">
        <v>47</v>
      </c>
      <c r="D23" s="77">
        <v>11.27</v>
      </c>
      <c r="E23" s="59">
        <v>12.14</v>
      </c>
      <c r="F23" s="89">
        <v>44594</v>
      </c>
      <c r="G23" s="59" t="s">
        <v>93</v>
      </c>
      <c r="H23" s="59" t="s">
        <v>4</v>
      </c>
      <c r="I23" s="59" t="s">
        <v>5</v>
      </c>
      <c r="J23" s="149">
        <v>1</v>
      </c>
      <c r="K23" s="59" t="s">
        <v>6</v>
      </c>
      <c r="L23" s="59" t="s">
        <v>154</v>
      </c>
      <c r="M23" s="59" t="s">
        <v>94</v>
      </c>
      <c r="N23" s="59" t="s">
        <v>129</v>
      </c>
      <c r="O23" s="59" t="s">
        <v>129</v>
      </c>
      <c r="P23" s="59" t="s">
        <v>146</v>
      </c>
      <c r="Q23" s="59" t="s">
        <v>8</v>
      </c>
      <c r="R23" s="149">
        <v>14</v>
      </c>
      <c r="S23" s="51"/>
      <c r="T23" s="51"/>
      <c r="U23" s="66">
        <v>15900</v>
      </c>
      <c r="V23" s="66">
        <v>15900</v>
      </c>
      <c r="W23" s="67"/>
      <c r="X23" s="67"/>
      <c r="Y23" s="67"/>
      <c r="Z23" s="67"/>
      <c r="AA23" s="68"/>
      <c r="AB23" s="67"/>
      <c r="AC23" s="69">
        <v>16100</v>
      </c>
      <c r="AD23" s="69">
        <v>16100</v>
      </c>
      <c r="AE23" s="51">
        <f>AC23-U23</f>
        <v>200</v>
      </c>
      <c r="AF23" s="59" t="s">
        <v>246</v>
      </c>
      <c r="AG23" s="59" t="s">
        <v>43</v>
      </c>
      <c r="AH23" s="59" t="s">
        <v>43</v>
      </c>
      <c r="AI23" s="59" t="s">
        <v>129</v>
      </c>
      <c r="AJ23" s="59" t="s">
        <v>266</v>
      </c>
      <c r="AK23" s="153"/>
      <c r="AL23" s="172" t="s">
        <v>77</v>
      </c>
      <c r="AM23" s="163"/>
      <c r="AN23" s="59"/>
    </row>
    <row r="24" spans="1:40" s="4" customFormat="1" x14ac:dyDescent="0.15">
      <c r="A24" s="60">
        <v>23</v>
      </c>
      <c r="B24" s="59" t="s">
        <v>231</v>
      </c>
      <c r="C24" s="77">
        <v>47</v>
      </c>
      <c r="D24" s="77">
        <v>11.27</v>
      </c>
      <c r="E24" s="59">
        <v>12.14</v>
      </c>
      <c r="F24" s="89">
        <v>44594</v>
      </c>
      <c r="G24" s="59" t="s">
        <v>93</v>
      </c>
      <c r="H24" s="59" t="s">
        <v>4</v>
      </c>
      <c r="I24" s="59" t="s">
        <v>5</v>
      </c>
      <c r="J24" s="149">
        <v>1</v>
      </c>
      <c r="K24" s="59" t="s">
        <v>6</v>
      </c>
      <c r="L24" s="59" t="s">
        <v>153</v>
      </c>
      <c r="M24" s="59" t="s">
        <v>95</v>
      </c>
      <c r="N24" s="59" t="s">
        <v>161</v>
      </c>
      <c r="O24" s="59" t="s">
        <v>160</v>
      </c>
      <c r="P24" s="59" t="s">
        <v>147</v>
      </c>
      <c r="Q24" s="59" t="s">
        <v>8</v>
      </c>
      <c r="R24" s="149">
        <v>14</v>
      </c>
      <c r="S24" s="65" t="s">
        <v>67</v>
      </c>
      <c r="T24" s="65">
        <v>317</v>
      </c>
      <c r="U24" s="66">
        <v>15900</v>
      </c>
      <c r="V24" s="66">
        <v>15900</v>
      </c>
      <c r="W24" s="67">
        <f>15300+342</f>
        <v>15642</v>
      </c>
      <c r="X24" s="67">
        <f>450+1012</f>
        <v>1462</v>
      </c>
      <c r="Y24" s="67">
        <v>230</v>
      </c>
      <c r="Z24" s="67">
        <f>W24+Y24</f>
        <v>15872</v>
      </c>
      <c r="AA24" s="68">
        <v>15700</v>
      </c>
      <c r="AB24" s="67">
        <f>AA24-Z24</f>
        <v>-172</v>
      </c>
      <c r="AC24" s="69" t="s">
        <v>173</v>
      </c>
      <c r="AD24" s="69">
        <f>16200+300+125+25</f>
        <v>16650</v>
      </c>
      <c r="AE24" s="51">
        <f t="shared" ref="AE24:AE38" si="6">AD24-V24-T24</f>
        <v>433</v>
      </c>
      <c r="AF24" s="61" t="s">
        <v>43</v>
      </c>
      <c r="AG24" s="59" t="s">
        <v>43</v>
      </c>
      <c r="AH24" s="59" t="s">
        <v>43</v>
      </c>
      <c r="AI24" s="59" t="s">
        <v>44</v>
      </c>
      <c r="AJ24" s="59" t="s">
        <v>266</v>
      </c>
      <c r="AK24" s="153"/>
      <c r="AL24" s="172" t="s">
        <v>1</v>
      </c>
      <c r="AM24" s="163"/>
      <c r="AN24" s="59"/>
    </row>
    <row r="25" spans="1:40" x14ac:dyDescent="0.15">
      <c r="A25" s="80">
        <v>24</v>
      </c>
      <c r="B25" s="59" t="s">
        <v>172</v>
      </c>
      <c r="C25" s="77">
        <v>47</v>
      </c>
      <c r="D25" s="77">
        <v>11.27</v>
      </c>
      <c r="E25" s="59">
        <v>12.14</v>
      </c>
      <c r="F25" s="89">
        <v>44594</v>
      </c>
      <c r="G25" s="59" t="s">
        <v>93</v>
      </c>
      <c r="H25" s="59" t="s">
        <v>4</v>
      </c>
      <c r="I25" s="59" t="s">
        <v>5</v>
      </c>
      <c r="J25" s="149">
        <v>1</v>
      </c>
      <c r="K25" s="59" t="s">
        <v>96</v>
      </c>
      <c r="L25" s="59" t="s">
        <v>152</v>
      </c>
      <c r="M25" s="59" t="s">
        <v>97</v>
      </c>
      <c r="N25" s="59" t="s">
        <v>28</v>
      </c>
      <c r="O25" s="59" t="s">
        <v>21</v>
      </c>
      <c r="P25" s="59" t="s">
        <v>149</v>
      </c>
      <c r="Q25" s="59" t="s">
        <v>8</v>
      </c>
      <c r="R25" s="149">
        <v>14</v>
      </c>
      <c r="S25" s="65" t="s">
        <v>67</v>
      </c>
      <c r="T25" s="65">
        <v>317</v>
      </c>
      <c r="U25" s="66">
        <v>11825</v>
      </c>
      <c r="V25" s="66">
        <v>11825</v>
      </c>
      <c r="W25" s="67">
        <f>9800+342</f>
        <v>10142</v>
      </c>
      <c r="X25" s="67">
        <f>450+1012</f>
        <v>1462</v>
      </c>
      <c r="Y25" s="67">
        <v>230</v>
      </c>
      <c r="Z25" s="67">
        <f t="shared" ref="Z25:Z26" si="7">W25+Y25</f>
        <v>10372</v>
      </c>
      <c r="AA25" s="68">
        <v>11440</v>
      </c>
      <c r="AB25" s="67">
        <f t="shared" ref="AB25:AB26" si="8">AA25-Z25</f>
        <v>1068</v>
      </c>
      <c r="AC25" s="69" t="s">
        <v>101</v>
      </c>
      <c r="AD25" s="69">
        <f>13600+425</f>
        <v>14025</v>
      </c>
      <c r="AE25" s="51">
        <f t="shared" si="6"/>
        <v>1883</v>
      </c>
      <c r="AF25" s="61" t="s">
        <v>43</v>
      </c>
      <c r="AG25" s="59" t="s">
        <v>43</v>
      </c>
      <c r="AH25" s="59" t="s">
        <v>43</v>
      </c>
      <c r="AI25" s="59" t="s">
        <v>44</v>
      </c>
      <c r="AJ25" s="59" t="s">
        <v>267</v>
      </c>
      <c r="AK25" s="153"/>
      <c r="AL25" s="172" t="s">
        <v>102</v>
      </c>
      <c r="AM25" s="163"/>
      <c r="AN25" s="59" t="s">
        <v>44</v>
      </c>
    </row>
    <row r="26" spans="1:40" x14ac:dyDescent="0.15">
      <c r="A26" s="80">
        <v>25</v>
      </c>
      <c r="B26" s="59" t="s">
        <v>172</v>
      </c>
      <c r="C26" s="77">
        <v>47</v>
      </c>
      <c r="D26" s="77">
        <v>11.27</v>
      </c>
      <c r="E26" s="59">
        <v>12.14</v>
      </c>
      <c r="F26" s="89">
        <v>44594</v>
      </c>
      <c r="G26" s="59" t="s">
        <v>93</v>
      </c>
      <c r="H26" s="59" t="s">
        <v>4</v>
      </c>
      <c r="I26" s="59" t="s">
        <v>5</v>
      </c>
      <c r="J26" s="149">
        <v>1</v>
      </c>
      <c r="K26" s="59" t="s">
        <v>96</v>
      </c>
      <c r="L26" s="59" t="s">
        <v>151</v>
      </c>
      <c r="M26" s="59" t="s">
        <v>98</v>
      </c>
      <c r="N26" s="59" t="s">
        <v>28</v>
      </c>
      <c r="O26" s="59" t="s">
        <v>21</v>
      </c>
      <c r="P26" s="59" t="s">
        <v>150</v>
      </c>
      <c r="Q26" s="59" t="s">
        <v>8</v>
      </c>
      <c r="R26" s="149">
        <v>14</v>
      </c>
      <c r="S26" s="65" t="s">
        <v>67</v>
      </c>
      <c r="T26" s="65">
        <v>317</v>
      </c>
      <c r="U26" s="66">
        <v>11825</v>
      </c>
      <c r="V26" s="66">
        <v>11825</v>
      </c>
      <c r="W26" s="67">
        <f>9800+342</f>
        <v>10142</v>
      </c>
      <c r="X26" s="67">
        <f>450+1012</f>
        <v>1462</v>
      </c>
      <c r="Y26" s="67">
        <v>230</v>
      </c>
      <c r="Z26" s="67">
        <f t="shared" si="7"/>
        <v>10372</v>
      </c>
      <c r="AA26" s="68">
        <v>11440</v>
      </c>
      <c r="AB26" s="67">
        <f t="shared" si="8"/>
        <v>1068</v>
      </c>
      <c r="AC26" s="69" t="s">
        <v>101</v>
      </c>
      <c r="AD26" s="69">
        <f>13600+425</f>
        <v>14025</v>
      </c>
      <c r="AE26" s="51">
        <f t="shared" si="6"/>
        <v>1883</v>
      </c>
      <c r="AF26" s="61" t="s">
        <v>43</v>
      </c>
      <c r="AG26" s="59" t="s">
        <v>43</v>
      </c>
      <c r="AH26" s="59" t="s">
        <v>43</v>
      </c>
      <c r="AI26" s="59" t="s">
        <v>44</v>
      </c>
      <c r="AJ26" s="59" t="s">
        <v>268</v>
      </c>
      <c r="AK26" s="153"/>
      <c r="AL26" s="172" t="s">
        <v>102</v>
      </c>
      <c r="AM26" s="163"/>
      <c r="AN26" s="59" t="s">
        <v>44</v>
      </c>
    </row>
    <row r="27" spans="1:40" s="8" customFormat="1" x14ac:dyDescent="0.15">
      <c r="A27" s="60">
        <v>26</v>
      </c>
      <c r="B27" s="59" t="s">
        <v>88</v>
      </c>
      <c r="C27" s="77">
        <v>47</v>
      </c>
      <c r="D27" s="77"/>
      <c r="E27" s="59">
        <v>11.25</v>
      </c>
      <c r="F27" s="89">
        <v>44566</v>
      </c>
      <c r="G27" s="59" t="s">
        <v>99</v>
      </c>
      <c r="H27" s="59" t="s">
        <v>4</v>
      </c>
      <c r="I27" s="59" t="s">
        <v>5</v>
      </c>
      <c r="J27" s="149">
        <v>1</v>
      </c>
      <c r="K27" s="59" t="s">
        <v>6</v>
      </c>
      <c r="L27" s="59"/>
      <c r="M27" s="59" t="s">
        <v>100</v>
      </c>
      <c r="N27" s="59" t="s">
        <v>28</v>
      </c>
      <c r="O27" s="59" t="s">
        <v>157</v>
      </c>
      <c r="P27" s="59" t="s">
        <v>245</v>
      </c>
      <c r="Q27" s="59" t="s">
        <v>128</v>
      </c>
      <c r="R27" s="149">
        <v>5</v>
      </c>
      <c r="S27" s="65" t="s">
        <v>159</v>
      </c>
      <c r="T27" s="65">
        <f>90+180</f>
        <v>270</v>
      </c>
      <c r="U27" s="66">
        <v>14850</v>
      </c>
      <c r="V27" s="66">
        <v>14850</v>
      </c>
      <c r="W27" s="67">
        <f>7500+55+125+169</f>
        <v>7849</v>
      </c>
      <c r="X27" s="67">
        <f>100+450+856</f>
        <v>1406</v>
      </c>
      <c r="Y27" s="67">
        <v>221</v>
      </c>
      <c r="Z27" s="67">
        <f>W27+Y27</f>
        <v>8070</v>
      </c>
      <c r="AA27" s="68">
        <v>14500</v>
      </c>
      <c r="AB27" s="67">
        <f>AA27-Z27</f>
        <v>6430</v>
      </c>
      <c r="AC27" s="69" t="s">
        <v>122</v>
      </c>
      <c r="AD27" s="69">
        <f>15200+300+125</f>
        <v>15625</v>
      </c>
      <c r="AE27" s="51">
        <f t="shared" si="6"/>
        <v>505</v>
      </c>
      <c r="AF27" s="59" t="s">
        <v>43</v>
      </c>
      <c r="AG27" s="59" t="s">
        <v>43</v>
      </c>
      <c r="AH27" s="59" t="s">
        <v>43</v>
      </c>
      <c r="AI27" s="59" t="s">
        <v>44</v>
      </c>
      <c r="AJ27" s="76" t="s">
        <v>262</v>
      </c>
      <c r="AK27" s="154"/>
      <c r="AL27" s="172" t="s">
        <v>1</v>
      </c>
      <c r="AM27" s="164"/>
      <c r="AN27" s="59"/>
    </row>
    <row r="28" spans="1:40" x14ac:dyDescent="0.15">
      <c r="A28" s="80">
        <v>27</v>
      </c>
      <c r="B28" s="59" t="s">
        <v>107</v>
      </c>
      <c r="C28" s="77" t="s">
        <v>121</v>
      </c>
      <c r="D28" s="77">
        <v>11.27</v>
      </c>
      <c r="E28" s="59">
        <v>12.14</v>
      </c>
      <c r="F28" s="89">
        <v>44594</v>
      </c>
      <c r="G28" s="59" t="s">
        <v>93</v>
      </c>
      <c r="H28" s="59" t="s">
        <v>4</v>
      </c>
      <c r="I28" s="59" t="s">
        <v>5</v>
      </c>
      <c r="J28" s="149">
        <v>1</v>
      </c>
      <c r="K28" s="59" t="s">
        <v>6</v>
      </c>
      <c r="L28" s="59" t="s">
        <v>166</v>
      </c>
      <c r="M28" s="59" t="s">
        <v>112</v>
      </c>
      <c r="N28" s="59" t="s">
        <v>129</v>
      </c>
      <c r="O28" s="59" t="s">
        <v>246</v>
      </c>
      <c r="P28" s="59" t="s">
        <v>167</v>
      </c>
      <c r="Q28" s="59" t="s">
        <v>8</v>
      </c>
      <c r="R28" s="149">
        <v>14</v>
      </c>
      <c r="S28" s="65"/>
      <c r="T28" s="65"/>
      <c r="U28" s="66">
        <v>15900</v>
      </c>
      <c r="V28" s="66">
        <v>15900</v>
      </c>
      <c r="W28" s="67"/>
      <c r="X28" s="67"/>
      <c r="Y28" s="67"/>
      <c r="Z28" s="67"/>
      <c r="AA28" s="68">
        <v>15700</v>
      </c>
      <c r="AB28" s="67"/>
      <c r="AC28" s="69">
        <v>16100</v>
      </c>
      <c r="AD28" s="69">
        <v>16100</v>
      </c>
      <c r="AE28" s="51">
        <f t="shared" si="6"/>
        <v>200</v>
      </c>
      <c r="AF28" s="59" t="s">
        <v>246</v>
      </c>
      <c r="AG28" s="59" t="s">
        <v>43</v>
      </c>
      <c r="AH28" s="59" t="s">
        <v>43</v>
      </c>
      <c r="AI28" s="59" t="s">
        <v>129</v>
      </c>
      <c r="AJ28" s="59" t="s">
        <v>269</v>
      </c>
      <c r="AK28" s="153"/>
      <c r="AL28" s="172" t="s">
        <v>77</v>
      </c>
      <c r="AM28" s="163"/>
      <c r="AN28" s="59"/>
    </row>
    <row r="29" spans="1:40" x14ac:dyDescent="0.15">
      <c r="A29" s="80">
        <v>28</v>
      </c>
      <c r="B29" s="61" t="s">
        <v>240</v>
      </c>
      <c r="C29" s="77" t="s">
        <v>121</v>
      </c>
      <c r="D29" s="77">
        <v>11.27</v>
      </c>
      <c r="E29" s="59">
        <v>12.14</v>
      </c>
      <c r="F29" s="89">
        <v>44594</v>
      </c>
      <c r="G29" s="59" t="s">
        <v>93</v>
      </c>
      <c r="H29" s="59" t="s">
        <v>4</v>
      </c>
      <c r="I29" s="59" t="s">
        <v>5</v>
      </c>
      <c r="J29" s="149">
        <v>1</v>
      </c>
      <c r="K29" s="59" t="s">
        <v>6</v>
      </c>
      <c r="L29" s="59" t="s">
        <v>168</v>
      </c>
      <c r="M29" s="59" t="s">
        <v>113</v>
      </c>
      <c r="N29" s="59" t="s">
        <v>28</v>
      </c>
      <c r="O29" s="59" t="s">
        <v>21</v>
      </c>
      <c r="P29" s="59" t="s">
        <v>169</v>
      </c>
      <c r="Q29" s="59" t="s">
        <v>8</v>
      </c>
      <c r="R29" s="149">
        <v>14</v>
      </c>
      <c r="S29" s="65" t="s">
        <v>67</v>
      </c>
      <c r="T29" s="65">
        <v>317</v>
      </c>
      <c r="U29" s="66" t="s">
        <v>125</v>
      </c>
      <c r="V29" s="66">
        <f>16300</f>
        <v>16300</v>
      </c>
      <c r="W29" s="67">
        <f>15300+372</f>
        <v>15672</v>
      </c>
      <c r="X29" s="67">
        <f>450+1012</f>
        <v>1462</v>
      </c>
      <c r="Y29" s="67">
        <v>230</v>
      </c>
      <c r="Z29" s="67">
        <f>W29</f>
        <v>15672</v>
      </c>
      <c r="AA29" s="68">
        <v>15700</v>
      </c>
      <c r="AB29" s="67">
        <f>AA29-Z29</f>
        <v>28</v>
      </c>
      <c r="AC29" s="69" t="s">
        <v>126</v>
      </c>
      <c r="AD29" s="69">
        <f>16200+400+300+125</f>
        <v>17025</v>
      </c>
      <c r="AE29" s="51">
        <f t="shared" si="6"/>
        <v>408</v>
      </c>
      <c r="AF29" s="59" t="s">
        <v>43</v>
      </c>
      <c r="AG29" s="59" t="s">
        <v>43</v>
      </c>
      <c r="AH29" s="59" t="s">
        <v>43</v>
      </c>
      <c r="AI29" s="59" t="s">
        <v>44</v>
      </c>
      <c r="AJ29" s="59" t="s">
        <v>267</v>
      </c>
      <c r="AK29" s="153"/>
      <c r="AL29" s="172" t="s">
        <v>1</v>
      </c>
      <c r="AM29" s="163"/>
      <c r="AN29" s="59" t="s">
        <v>44</v>
      </c>
    </row>
    <row r="30" spans="1:40" x14ac:dyDescent="0.15">
      <c r="A30" s="60">
        <v>29</v>
      </c>
      <c r="B30" s="91" t="s">
        <v>231</v>
      </c>
      <c r="C30" s="77" t="s">
        <v>121</v>
      </c>
      <c r="D30" s="77">
        <v>11.27</v>
      </c>
      <c r="E30" s="59">
        <v>12.14</v>
      </c>
      <c r="F30" s="89">
        <v>44594</v>
      </c>
      <c r="G30" s="59" t="s">
        <v>93</v>
      </c>
      <c r="H30" s="59" t="s">
        <v>4</v>
      </c>
      <c r="I30" s="59" t="s">
        <v>5</v>
      </c>
      <c r="J30" s="149">
        <v>1</v>
      </c>
      <c r="K30" s="59" t="s">
        <v>96</v>
      </c>
      <c r="L30" s="59" t="s">
        <v>164</v>
      </c>
      <c r="M30" s="59" t="s">
        <v>114</v>
      </c>
      <c r="N30" s="59" t="s">
        <v>25</v>
      </c>
      <c r="O30" s="59" t="s">
        <v>23</v>
      </c>
      <c r="P30" s="59" t="s">
        <v>165</v>
      </c>
      <c r="Q30" s="59" t="s">
        <v>8</v>
      </c>
      <c r="R30" s="149">
        <v>14</v>
      </c>
      <c r="S30" s="65" t="s">
        <v>67</v>
      </c>
      <c r="T30" s="65">
        <v>317</v>
      </c>
      <c r="U30" s="66">
        <v>11825</v>
      </c>
      <c r="V30" s="66">
        <v>11825</v>
      </c>
      <c r="W30" s="67">
        <f>9800+372</f>
        <v>10172</v>
      </c>
      <c r="X30" s="67">
        <f>450+1012</f>
        <v>1462</v>
      </c>
      <c r="Y30" s="67">
        <v>230</v>
      </c>
      <c r="Z30" s="67">
        <f>W30+Y30</f>
        <v>10402</v>
      </c>
      <c r="AA30" s="68">
        <v>11440</v>
      </c>
      <c r="AB30" s="67">
        <f>AA30-Z30</f>
        <v>1038</v>
      </c>
      <c r="AC30" s="69" t="s">
        <v>127</v>
      </c>
      <c r="AD30" s="69">
        <f>12500+300+125</f>
        <v>12925</v>
      </c>
      <c r="AE30" s="51">
        <f t="shared" si="6"/>
        <v>783</v>
      </c>
      <c r="AF30" s="59" t="s">
        <v>43</v>
      </c>
      <c r="AG30" s="59" t="s">
        <v>43</v>
      </c>
      <c r="AH30" s="59" t="s">
        <v>43</v>
      </c>
      <c r="AI30" s="59" t="s">
        <v>44</v>
      </c>
      <c r="AJ30" s="59" t="s">
        <v>269</v>
      </c>
      <c r="AK30" s="153"/>
      <c r="AL30" s="172" t="s">
        <v>1</v>
      </c>
      <c r="AM30" s="163"/>
      <c r="AN30" s="59"/>
    </row>
    <row r="31" spans="1:40" x14ac:dyDescent="0.15">
      <c r="A31" s="80">
        <v>30</v>
      </c>
      <c r="B31" s="91" t="s">
        <v>190</v>
      </c>
      <c r="C31" s="77" t="s">
        <v>121</v>
      </c>
      <c r="D31" s="77">
        <v>11.27</v>
      </c>
      <c r="E31" s="59">
        <v>12.14</v>
      </c>
      <c r="F31" s="89">
        <v>44594</v>
      </c>
      <c r="G31" s="59" t="s">
        <v>93</v>
      </c>
      <c r="H31" s="59" t="s">
        <v>4</v>
      </c>
      <c r="I31" s="59" t="s">
        <v>5</v>
      </c>
      <c r="J31" s="149">
        <v>1</v>
      </c>
      <c r="K31" s="59" t="s">
        <v>96</v>
      </c>
      <c r="L31" s="59" t="s">
        <v>170</v>
      </c>
      <c r="M31" s="59" t="s">
        <v>115</v>
      </c>
      <c r="N31" s="59" t="s">
        <v>28</v>
      </c>
      <c r="O31" s="59" t="s">
        <v>21</v>
      </c>
      <c r="P31" s="59" t="s">
        <v>171</v>
      </c>
      <c r="Q31" s="59" t="s">
        <v>8</v>
      </c>
      <c r="R31" s="149">
        <v>14</v>
      </c>
      <c r="S31" s="65" t="s">
        <v>67</v>
      </c>
      <c r="T31" s="65">
        <v>317</v>
      </c>
      <c r="U31" s="66">
        <v>-675</v>
      </c>
      <c r="V31" s="66">
        <v>-675</v>
      </c>
      <c r="W31" s="67">
        <f>9800+372</f>
        <v>10172</v>
      </c>
      <c r="X31" s="67">
        <f>450+1012</f>
        <v>1462</v>
      </c>
      <c r="Y31" s="67">
        <v>230</v>
      </c>
      <c r="Z31" s="67">
        <f>W31+Y31</f>
        <v>10402</v>
      </c>
      <c r="AA31" s="68">
        <v>11440</v>
      </c>
      <c r="AB31" s="67">
        <f>AA31-Z31</f>
        <v>1038</v>
      </c>
      <c r="AC31" s="69" t="s">
        <v>142</v>
      </c>
      <c r="AD31" s="69">
        <f>300+125</f>
        <v>425</v>
      </c>
      <c r="AE31" s="51">
        <f t="shared" si="6"/>
        <v>783</v>
      </c>
      <c r="AF31" s="59" t="s">
        <v>43</v>
      </c>
      <c r="AG31" s="59" t="s">
        <v>43</v>
      </c>
      <c r="AH31" s="59" t="s">
        <v>43</v>
      </c>
      <c r="AI31" s="59" t="s">
        <v>44</v>
      </c>
      <c r="AJ31" s="59" t="s">
        <v>270</v>
      </c>
      <c r="AK31" s="153"/>
      <c r="AL31" s="172" t="s">
        <v>1</v>
      </c>
      <c r="AM31" s="163"/>
      <c r="AN31" s="59" t="s">
        <v>44</v>
      </c>
    </row>
    <row r="32" spans="1:40" x14ac:dyDescent="0.15">
      <c r="A32" s="80">
        <v>31</v>
      </c>
      <c r="B32" s="61" t="s">
        <v>240</v>
      </c>
      <c r="C32" s="77">
        <v>49</v>
      </c>
      <c r="D32" s="77">
        <v>12.11</v>
      </c>
      <c r="E32" s="92">
        <v>12.3</v>
      </c>
      <c r="F32" s="89">
        <v>44602</v>
      </c>
      <c r="G32" s="59" t="s">
        <v>116</v>
      </c>
      <c r="H32" s="59" t="s">
        <v>4</v>
      </c>
      <c r="I32" s="59" t="s">
        <v>5</v>
      </c>
      <c r="J32" s="149">
        <v>1</v>
      </c>
      <c r="K32" s="59" t="s">
        <v>6</v>
      </c>
      <c r="L32" s="59" t="s">
        <v>211</v>
      </c>
      <c r="M32" s="59" t="s">
        <v>117</v>
      </c>
      <c r="N32" s="59" t="s">
        <v>28</v>
      </c>
      <c r="O32" s="59" t="s">
        <v>1</v>
      </c>
      <c r="P32" s="59" t="s">
        <v>212</v>
      </c>
      <c r="Q32" s="59" t="s">
        <v>8</v>
      </c>
      <c r="R32" s="149">
        <v>14</v>
      </c>
      <c r="S32" s="65" t="s">
        <v>67</v>
      </c>
      <c r="T32" s="65">
        <v>317</v>
      </c>
      <c r="U32" s="66" t="s">
        <v>125</v>
      </c>
      <c r="V32" s="66">
        <f>16300</f>
        <v>16300</v>
      </c>
      <c r="W32" s="67">
        <v>15672</v>
      </c>
      <c r="X32" s="67">
        <v>1462</v>
      </c>
      <c r="Y32" s="67">
        <v>230</v>
      </c>
      <c r="Z32" s="67">
        <f>W32</f>
        <v>15672</v>
      </c>
      <c r="AA32" s="68">
        <v>15700</v>
      </c>
      <c r="AB32" s="67">
        <f>AA32-Z32</f>
        <v>28</v>
      </c>
      <c r="AC32" s="69" t="s">
        <v>126</v>
      </c>
      <c r="AD32" s="69">
        <f>16200+400+300+125</f>
        <v>17025</v>
      </c>
      <c r="AE32" s="51">
        <f>AD32-V32-T32</f>
        <v>408</v>
      </c>
      <c r="AF32" s="59" t="s">
        <v>43</v>
      </c>
      <c r="AG32" s="59" t="s">
        <v>43</v>
      </c>
      <c r="AH32" s="59" t="s">
        <v>43</v>
      </c>
      <c r="AI32" s="59" t="s">
        <v>44</v>
      </c>
      <c r="AJ32" s="59" t="s">
        <v>271</v>
      </c>
      <c r="AK32" s="153"/>
      <c r="AL32" s="172" t="s">
        <v>1</v>
      </c>
      <c r="AM32" s="163"/>
      <c r="AN32" s="59"/>
    </row>
    <row r="33" spans="1:40" x14ac:dyDescent="0.15">
      <c r="A33" s="60">
        <v>32</v>
      </c>
      <c r="B33" s="61" t="s">
        <v>240</v>
      </c>
      <c r="C33" s="77">
        <v>49</v>
      </c>
      <c r="D33" s="77">
        <v>12.11</v>
      </c>
      <c r="E33" s="92">
        <v>12.3</v>
      </c>
      <c r="F33" s="89">
        <v>44602</v>
      </c>
      <c r="G33" s="59" t="s">
        <v>116</v>
      </c>
      <c r="H33" s="59" t="s">
        <v>4</v>
      </c>
      <c r="I33" s="59" t="s">
        <v>5</v>
      </c>
      <c r="J33" s="149">
        <v>1</v>
      </c>
      <c r="K33" s="59" t="s">
        <v>6</v>
      </c>
      <c r="L33" s="59" t="s">
        <v>213</v>
      </c>
      <c r="M33" s="59" t="s">
        <v>118</v>
      </c>
      <c r="N33" s="59" t="s">
        <v>28</v>
      </c>
      <c r="O33" s="59" t="s">
        <v>1</v>
      </c>
      <c r="P33" s="59" t="s">
        <v>214</v>
      </c>
      <c r="Q33" s="59" t="s">
        <v>8</v>
      </c>
      <c r="R33" s="149">
        <v>14</v>
      </c>
      <c r="S33" s="65" t="s">
        <v>67</v>
      </c>
      <c r="T33" s="65">
        <v>317</v>
      </c>
      <c r="U33" s="66" t="s">
        <v>125</v>
      </c>
      <c r="V33" s="66">
        <f>16300</f>
        <v>16300</v>
      </c>
      <c r="W33" s="67">
        <v>15672</v>
      </c>
      <c r="X33" s="67">
        <v>1462</v>
      </c>
      <c r="Y33" s="67">
        <v>230</v>
      </c>
      <c r="Z33" s="67">
        <f>W33</f>
        <v>15672</v>
      </c>
      <c r="AA33" s="68">
        <v>15700</v>
      </c>
      <c r="AB33" s="67">
        <f t="shared" ref="AB33:AB39" si="9">AA33-Z33</f>
        <v>28</v>
      </c>
      <c r="AC33" s="69" t="s">
        <v>126</v>
      </c>
      <c r="AD33" s="69">
        <f>16200+400+300+125</f>
        <v>17025</v>
      </c>
      <c r="AE33" s="51">
        <f t="shared" si="6"/>
        <v>408</v>
      </c>
      <c r="AF33" s="59" t="s">
        <v>43</v>
      </c>
      <c r="AG33" s="59" t="s">
        <v>43</v>
      </c>
      <c r="AH33" s="59" t="s">
        <v>43</v>
      </c>
      <c r="AI33" s="59" t="s">
        <v>44</v>
      </c>
      <c r="AJ33" s="59" t="s">
        <v>271</v>
      </c>
      <c r="AK33" s="153"/>
      <c r="AL33" s="172" t="s">
        <v>1</v>
      </c>
      <c r="AM33" s="163"/>
      <c r="AN33" s="59"/>
    </row>
    <row r="34" spans="1:40" x14ac:dyDescent="0.15">
      <c r="A34" s="80">
        <v>33</v>
      </c>
      <c r="B34" s="91" t="s">
        <v>231</v>
      </c>
      <c r="C34" s="77">
        <v>49</v>
      </c>
      <c r="D34" s="77">
        <v>12.11</v>
      </c>
      <c r="E34" s="92">
        <v>12.3</v>
      </c>
      <c r="F34" s="89">
        <v>44602</v>
      </c>
      <c r="G34" s="59" t="s">
        <v>116</v>
      </c>
      <c r="H34" s="59" t="s">
        <v>4</v>
      </c>
      <c r="I34" s="59" t="s">
        <v>5</v>
      </c>
      <c r="J34" s="149">
        <v>1</v>
      </c>
      <c r="K34" s="59" t="s">
        <v>96</v>
      </c>
      <c r="L34" s="59" t="s">
        <v>215</v>
      </c>
      <c r="M34" s="59" t="s">
        <v>119</v>
      </c>
      <c r="N34" s="59" t="s">
        <v>228</v>
      </c>
      <c r="O34" s="59" t="s">
        <v>163</v>
      </c>
      <c r="P34" s="59" t="s">
        <v>216</v>
      </c>
      <c r="Q34" s="59" t="s">
        <v>8</v>
      </c>
      <c r="R34" s="149">
        <v>14</v>
      </c>
      <c r="S34" s="65" t="s">
        <v>67</v>
      </c>
      <c r="T34" s="65">
        <v>317</v>
      </c>
      <c r="U34" s="66">
        <v>11825</v>
      </c>
      <c r="V34" s="66">
        <v>11825</v>
      </c>
      <c r="W34" s="67">
        <v>10172</v>
      </c>
      <c r="X34" s="67">
        <v>1462</v>
      </c>
      <c r="Y34" s="67">
        <v>230</v>
      </c>
      <c r="Z34" s="67">
        <f>W34+Y34</f>
        <v>10402</v>
      </c>
      <c r="AA34" s="68">
        <v>11440</v>
      </c>
      <c r="AB34" s="67">
        <f t="shared" si="9"/>
        <v>1038</v>
      </c>
      <c r="AC34" s="69" t="s">
        <v>174</v>
      </c>
      <c r="AD34" s="69">
        <f>12500+300+125+125</f>
        <v>13050</v>
      </c>
      <c r="AE34" s="51">
        <f t="shared" si="6"/>
        <v>908</v>
      </c>
      <c r="AF34" s="59" t="s">
        <v>43</v>
      </c>
      <c r="AG34" s="59" t="s">
        <v>43</v>
      </c>
      <c r="AH34" s="59" t="s">
        <v>43</v>
      </c>
      <c r="AI34" s="59" t="s">
        <v>44</v>
      </c>
      <c r="AJ34" s="59" t="s">
        <v>271</v>
      </c>
      <c r="AK34" s="153"/>
      <c r="AL34" s="172" t="s">
        <v>1</v>
      </c>
      <c r="AM34" s="163"/>
      <c r="AN34" s="59"/>
    </row>
    <row r="35" spans="1:40" s="8" customFormat="1" x14ac:dyDescent="0.15">
      <c r="A35" s="80">
        <v>34</v>
      </c>
      <c r="B35" s="61" t="s">
        <v>240</v>
      </c>
      <c r="C35" s="77">
        <v>49</v>
      </c>
      <c r="D35" s="77">
        <v>12.25</v>
      </c>
      <c r="E35" s="59">
        <v>1.1499999999999999</v>
      </c>
      <c r="F35" s="89">
        <v>44602</v>
      </c>
      <c r="G35" s="59" t="s">
        <v>116</v>
      </c>
      <c r="H35" s="59" t="s">
        <v>4</v>
      </c>
      <c r="I35" s="59" t="s">
        <v>5</v>
      </c>
      <c r="J35" s="149">
        <v>1</v>
      </c>
      <c r="K35" s="59" t="s">
        <v>6</v>
      </c>
      <c r="L35" s="59" t="s">
        <v>217</v>
      </c>
      <c r="M35" s="59" t="s">
        <v>143</v>
      </c>
      <c r="N35" s="59" t="s">
        <v>28</v>
      </c>
      <c r="O35" s="59" t="s">
        <v>1</v>
      </c>
      <c r="P35" s="59" t="s">
        <v>218</v>
      </c>
      <c r="Q35" s="59" t="s">
        <v>8</v>
      </c>
      <c r="R35" s="149">
        <v>14</v>
      </c>
      <c r="S35" s="65" t="s">
        <v>67</v>
      </c>
      <c r="T35" s="65">
        <v>317</v>
      </c>
      <c r="U35" s="66" t="s">
        <v>162</v>
      </c>
      <c r="V35" s="66">
        <f>16060+400</f>
        <v>16460</v>
      </c>
      <c r="W35" s="67">
        <v>15972</v>
      </c>
      <c r="X35" s="67">
        <v>1462</v>
      </c>
      <c r="Y35" s="67">
        <v>230</v>
      </c>
      <c r="Z35" s="67">
        <f>W35</f>
        <v>15972</v>
      </c>
      <c r="AA35" s="68">
        <v>16022</v>
      </c>
      <c r="AB35" s="67">
        <f t="shared" si="9"/>
        <v>50</v>
      </c>
      <c r="AC35" s="69" t="s">
        <v>126</v>
      </c>
      <c r="AD35" s="69">
        <f>16200+400+300+125</f>
        <v>17025</v>
      </c>
      <c r="AE35" s="51">
        <f t="shared" si="6"/>
        <v>248</v>
      </c>
      <c r="AF35" s="59" t="s">
        <v>43</v>
      </c>
      <c r="AG35" s="59" t="s">
        <v>43</v>
      </c>
      <c r="AH35" s="59" t="s">
        <v>43</v>
      </c>
      <c r="AI35" s="59" t="s">
        <v>44</v>
      </c>
      <c r="AJ35" s="59" t="s">
        <v>271</v>
      </c>
      <c r="AK35" s="153"/>
      <c r="AL35" s="172" t="s">
        <v>1</v>
      </c>
      <c r="AM35" s="163"/>
      <c r="AN35" s="59"/>
    </row>
    <row r="36" spans="1:40" s="8" customFormat="1" x14ac:dyDescent="0.15">
      <c r="A36" s="60">
        <v>35</v>
      </c>
      <c r="B36" s="61" t="s">
        <v>240</v>
      </c>
      <c r="C36" s="77">
        <v>49</v>
      </c>
      <c r="D36" s="77">
        <v>12.11</v>
      </c>
      <c r="E36" s="92">
        <v>12.3</v>
      </c>
      <c r="F36" s="89">
        <v>44602</v>
      </c>
      <c r="G36" s="59" t="s">
        <v>116</v>
      </c>
      <c r="H36" s="59" t="s">
        <v>4</v>
      </c>
      <c r="I36" s="59" t="s">
        <v>5</v>
      </c>
      <c r="J36" s="149">
        <v>1</v>
      </c>
      <c r="K36" s="59" t="s">
        <v>6</v>
      </c>
      <c r="L36" s="59" t="s">
        <v>219</v>
      </c>
      <c r="M36" s="59" t="s">
        <v>144</v>
      </c>
      <c r="N36" s="59" t="s">
        <v>28</v>
      </c>
      <c r="O36" s="59" t="s">
        <v>1</v>
      </c>
      <c r="P36" s="59" t="s">
        <v>220</v>
      </c>
      <c r="Q36" s="59" t="s">
        <v>8</v>
      </c>
      <c r="R36" s="149">
        <v>14</v>
      </c>
      <c r="S36" s="65" t="s">
        <v>67</v>
      </c>
      <c r="T36" s="65">
        <v>317</v>
      </c>
      <c r="U36" s="66" t="s">
        <v>162</v>
      </c>
      <c r="V36" s="66">
        <f>16060+400</f>
        <v>16460</v>
      </c>
      <c r="W36" s="67">
        <v>15972</v>
      </c>
      <c r="X36" s="67">
        <v>1462</v>
      </c>
      <c r="Y36" s="67">
        <v>230</v>
      </c>
      <c r="Z36" s="67">
        <f>W36</f>
        <v>15972</v>
      </c>
      <c r="AA36" s="68">
        <v>16022</v>
      </c>
      <c r="AB36" s="67">
        <f t="shared" si="9"/>
        <v>50</v>
      </c>
      <c r="AC36" s="69" t="s">
        <v>126</v>
      </c>
      <c r="AD36" s="69">
        <f>16200+400+300+125</f>
        <v>17025</v>
      </c>
      <c r="AE36" s="51">
        <f t="shared" si="6"/>
        <v>248</v>
      </c>
      <c r="AF36" s="59" t="s">
        <v>43</v>
      </c>
      <c r="AG36" s="59" t="s">
        <v>43</v>
      </c>
      <c r="AH36" s="59" t="s">
        <v>43</v>
      </c>
      <c r="AI36" s="59" t="s">
        <v>44</v>
      </c>
      <c r="AJ36" s="59" t="s">
        <v>271</v>
      </c>
      <c r="AK36" s="153"/>
      <c r="AL36" s="172" t="s">
        <v>1</v>
      </c>
      <c r="AM36" s="163"/>
      <c r="AN36" s="59"/>
    </row>
    <row r="37" spans="1:40" x14ac:dyDescent="0.15">
      <c r="A37" s="80">
        <v>36</v>
      </c>
      <c r="B37" s="59" t="s">
        <v>231</v>
      </c>
      <c r="C37" s="77">
        <v>49</v>
      </c>
      <c r="D37" s="77"/>
      <c r="E37" s="59"/>
      <c r="F37" s="89">
        <v>44602</v>
      </c>
      <c r="G37" s="59" t="s">
        <v>116</v>
      </c>
      <c r="H37" s="59" t="s">
        <v>4</v>
      </c>
      <c r="I37" s="59" t="s">
        <v>5</v>
      </c>
      <c r="J37" s="149">
        <v>1</v>
      </c>
      <c r="K37" s="59" t="s">
        <v>96</v>
      </c>
      <c r="L37" s="59" t="s">
        <v>221</v>
      </c>
      <c r="M37" s="59" t="s">
        <v>145</v>
      </c>
      <c r="N37" s="59" t="s">
        <v>161</v>
      </c>
      <c r="O37" s="59" t="s">
        <v>160</v>
      </c>
      <c r="P37" s="59" t="s">
        <v>222</v>
      </c>
      <c r="Q37" s="59" t="s">
        <v>8</v>
      </c>
      <c r="R37" s="149">
        <v>14</v>
      </c>
      <c r="S37" s="65" t="s">
        <v>67</v>
      </c>
      <c r="T37" s="65">
        <v>317</v>
      </c>
      <c r="U37" s="66">
        <v>11825</v>
      </c>
      <c r="V37" s="66">
        <v>11825</v>
      </c>
      <c r="W37" s="67">
        <v>10172</v>
      </c>
      <c r="X37" s="67">
        <v>1462</v>
      </c>
      <c r="Y37" s="67">
        <v>230</v>
      </c>
      <c r="Z37" s="67">
        <f>W37+Y37</f>
        <v>10402</v>
      </c>
      <c r="AA37" s="68">
        <v>11440</v>
      </c>
      <c r="AB37" s="67">
        <f t="shared" si="9"/>
        <v>1038</v>
      </c>
      <c r="AC37" s="69" t="s">
        <v>175</v>
      </c>
      <c r="AD37" s="69">
        <f>12500+300+125+25</f>
        <v>12950</v>
      </c>
      <c r="AE37" s="51">
        <f t="shared" si="6"/>
        <v>808</v>
      </c>
      <c r="AF37" s="59" t="s">
        <v>43</v>
      </c>
      <c r="AG37" s="59" t="s">
        <v>43</v>
      </c>
      <c r="AH37" s="59" t="s">
        <v>43</v>
      </c>
      <c r="AI37" s="59" t="s">
        <v>44</v>
      </c>
      <c r="AJ37" s="59" t="s">
        <v>271</v>
      </c>
      <c r="AK37" s="153"/>
      <c r="AL37" s="172" t="s">
        <v>1</v>
      </c>
      <c r="AM37" s="163"/>
      <c r="AN37" s="59"/>
    </row>
    <row r="38" spans="1:40" x14ac:dyDescent="0.15">
      <c r="A38" s="80">
        <v>37</v>
      </c>
      <c r="B38" s="59" t="s">
        <v>230</v>
      </c>
      <c r="C38" s="77">
        <v>49</v>
      </c>
      <c r="D38" s="77"/>
      <c r="E38" s="59"/>
      <c r="F38" s="89">
        <v>44602</v>
      </c>
      <c r="G38" s="59" t="s">
        <v>116</v>
      </c>
      <c r="H38" s="59" t="s">
        <v>4</v>
      </c>
      <c r="I38" s="59" t="s">
        <v>5</v>
      </c>
      <c r="J38" s="149">
        <v>1</v>
      </c>
      <c r="K38" s="59" t="s">
        <v>96</v>
      </c>
      <c r="L38" s="59" t="s">
        <v>223</v>
      </c>
      <c r="M38" s="59" t="s">
        <v>120</v>
      </c>
      <c r="N38" s="59" t="s">
        <v>28</v>
      </c>
      <c r="O38" s="59" t="s">
        <v>21</v>
      </c>
      <c r="P38" s="59" t="s">
        <v>224</v>
      </c>
      <c r="Q38" s="59" t="s">
        <v>8</v>
      </c>
      <c r="R38" s="149">
        <v>14</v>
      </c>
      <c r="S38" s="65" t="s">
        <v>67</v>
      </c>
      <c r="T38" s="65">
        <v>317</v>
      </c>
      <c r="U38" s="66">
        <v>11825</v>
      </c>
      <c r="V38" s="66">
        <v>11825</v>
      </c>
      <c r="W38" s="67">
        <v>10172</v>
      </c>
      <c r="X38" s="67">
        <v>1462</v>
      </c>
      <c r="Y38" s="67">
        <v>230</v>
      </c>
      <c r="Z38" s="67">
        <f>W38+Y38</f>
        <v>10402</v>
      </c>
      <c r="AA38" s="68">
        <v>11440</v>
      </c>
      <c r="AB38" s="67">
        <f t="shared" si="9"/>
        <v>1038</v>
      </c>
      <c r="AC38" s="69" t="s">
        <v>127</v>
      </c>
      <c r="AD38" s="69">
        <f>12500+300+125</f>
        <v>12925</v>
      </c>
      <c r="AE38" s="51">
        <f t="shared" si="6"/>
        <v>783</v>
      </c>
      <c r="AF38" s="59" t="s">
        <v>43</v>
      </c>
      <c r="AG38" s="59" t="s">
        <v>43</v>
      </c>
      <c r="AH38" s="59" t="s">
        <v>43</v>
      </c>
      <c r="AI38" s="59" t="s">
        <v>44</v>
      </c>
      <c r="AJ38" s="59" t="s">
        <v>271</v>
      </c>
      <c r="AK38" s="153"/>
      <c r="AL38" s="172" t="s">
        <v>1</v>
      </c>
      <c r="AM38" s="163"/>
      <c r="AN38" s="59"/>
    </row>
    <row r="39" spans="1:40" x14ac:dyDescent="0.15">
      <c r="A39" s="60">
        <v>38</v>
      </c>
      <c r="B39" s="59" t="s">
        <v>231</v>
      </c>
      <c r="C39" s="77">
        <v>1</v>
      </c>
      <c r="D39" s="93">
        <v>1.1000000000000001</v>
      </c>
      <c r="E39" s="94">
        <v>1.21</v>
      </c>
      <c r="F39" s="89">
        <v>44603</v>
      </c>
      <c r="G39" s="59" t="s">
        <v>155</v>
      </c>
      <c r="H39" s="59" t="s">
        <v>4</v>
      </c>
      <c r="I39" s="59" t="s">
        <v>5</v>
      </c>
      <c r="J39" s="149">
        <v>1</v>
      </c>
      <c r="K39" s="59" t="s">
        <v>6</v>
      </c>
      <c r="L39" s="59" t="s">
        <v>227</v>
      </c>
      <c r="M39" s="59" t="s">
        <v>185</v>
      </c>
      <c r="N39" s="59" t="s">
        <v>229</v>
      </c>
      <c r="O39" s="59" t="s">
        <v>226</v>
      </c>
      <c r="P39" s="77" t="s">
        <v>225</v>
      </c>
      <c r="Q39" s="59" t="s">
        <v>156</v>
      </c>
      <c r="R39" s="149">
        <v>21</v>
      </c>
      <c r="S39" s="65" t="s">
        <v>264</v>
      </c>
      <c r="T39" s="65">
        <f>90+142+120</f>
        <v>352</v>
      </c>
      <c r="U39" s="66">
        <v>15850</v>
      </c>
      <c r="V39" s="66">
        <v>15850</v>
      </c>
      <c r="W39" s="67">
        <v>14550</v>
      </c>
      <c r="X39" s="67">
        <v>1337</v>
      </c>
      <c r="Y39" s="67">
        <v>211</v>
      </c>
      <c r="Z39" s="67">
        <f>W39+Y39</f>
        <v>14761</v>
      </c>
      <c r="AA39" s="68">
        <v>15500</v>
      </c>
      <c r="AB39" s="67">
        <f t="shared" si="9"/>
        <v>739</v>
      </c>
      <c r="AC39" s="69" t="s">
        <v>249</v>
      </c>
      <c r="AD39" s="69">
        <f>16200+300+142+225</f>
        <v>16867</v>
      </c>
      <c r="AE39" s="51">
        <f>AD39-V39-T39</f>
        <v>665</v>
      </c>
      <c r="AF39" s="59" t="s">
        <v>43</v>
      </c>
      <c r="AG39" s="59" t="s">
        <v>43</v>
      </c>
      <c r="AH39" s="59" t="s">
        <v>43</v>
      </c>
      <c r="AI39" s="59" t="s">
        <v>44</v>
      </c>
      <c r="AJ39" s="59" t="s">
        <v>272</v>
      </c>
      <c r="AK39" s="153"/>
      <c r="AL39" s="172" t="s">
        <v>1</v>
      </c>
      <c r="AM39" s="163"/>
      <c r="AN39" s="59"/>
    </row>
    <row r="40" spans="1:40" x14ac:dyDescent="0.15">
      <c r="A40" s="80">
        <v>39</v>
      </c>
      <c r="B40" s="59" t="s">
        <v>191</v>
      </c>
      <c r="C40" s="77">
        <v>1</v>
      </c>
      <c r="D40" s="93">
        <v>1.1000000000000001</v>
      </c>
      <c r="E40" s="94">
        <v>1.21</v>
      </c>
      <c r="F40" s="84"/>
      <c r="G40" s="59" t="s">
        <v>155</v>
      </c>
      <c r="H40" s="59" t="s">
        <v>4</v>
      </c>
      <c r="I40" s="59" t="s">
        <v>5</v>
      </c>
      <c r="J40" s="149">
        <v>1</v>
      </c>
      <c r="K40" s="59" t="s">
        <v>6</v>
      </c>
      <c r="L40" s="59"/>
      <c r="M40" s="59" t="s">
        <v>186</v>
      </c>
      <c r="N40" s="59" t="s">
        <v>158</v>
      </c>
      <c r="O40" s="59"/>
      <c r="P40" s="77"/>
      <c r="Q40" s="59" t="s">
        <v>156</v>
      </c>
      <c r="R40" s="149">
        <v>21</v>
      </c>
      <c r="S40" s="65"/>
      <c r="T40" s="65"/>
      <c r="U40" s="66"/>
      <c r="V40" s="66"/>
      <c r="W40" s="67"/>
      <c r="X40" s="67"/>
      <c r="Y40" s="67"/>
      <c r="Z40" s="67"/>
      <c r="AA40" s="68"/>
      <c r="AB40" s="67"/>
      <c r="AC40" s="69"/>
      <c r="AD40" s="69"/>
      <c r="AE40" s="51">
        <v>0</v>
      </c>
      <c r="AF40" s="59"/>
      <c r="AG40" s="59"/>
      <c r="AH40" s="59"/>
      <c r="AI40" s="59"/>
      <c r="AJ40" s="59"/>
      <c r="AK40" s="153"/>
      <c r="AL40" s="172" t="s">
        <v>1</v>
      </c>
      <c r="AM40" s="163"/>
      <c r="AN40" s="59"/>
    </row>
    <row r="41" spans="1:40" x14ac:dyDescent="0.15">
      <c r="A41" s="80">
        <v>40</v>
      </c>
      <c r="B41" s="59" t="s">
        <v>241</v>
      </c>
      <c r="C41" s="77">
        <v>1</v>
      </c>
      <c r="D41" s="93">
        <v>1.1000000000000001</v>
      </c>
      <c r="E41" s="94">
        <v>1.21</v>
      </c>
      <c r="F41" s="84"/>
      <c r="G41" s="59" t="s">
        <v>155</v>
      </c>
      <c r="H41" s="59" t="s">
        <v>4</v>
      </c>
      <c r="I41" s="59" t="s">
        <v>5</v>
      </c>
      <c r="J41" s="149">
        <v>1</v>
      </c>
      <c r="K41" s="59" t="s">
        <v>96</v>
      </c>
      <c r="L41" s="59"/>
      <c r="M41" s="59" t="s">
        <v>187</v>
      </c>
      <c r="N41" s="59" t="s">
        <v>28</v>
      </c>
      <c r="O41" s="59" t="s">
        <v>21</v>
      </c>
      <c r="P41" s="77"/>
      <c r="Q41" s="59" t="s">
        <v>156</v>
      </c>
      <c r="R41" s="149">
        <v>21</v>
      </c>
      <c r="S41" s="65"/>
      <c r="T41" s="65"/>
      <c r="U41" s="66"/>
      <c r="V41" s="66"/>
      <c r="W41" s="67"/>
      <c r="X41" s="67"/>
      <c r="Y41" s="67"/>
      <c r="Z41" s="67"/>
      <c r="AA41" s="68"/>
      <c r="AB41" s="67"/>
      <c r="AC41" s="69"/>
      <c r="AD41" s="69"/>
      <c r="AE41" s="51">
        <v>0</v>
      </c>
      <c r="AF41" s="59"/>
      <c r="AG41" s="59"/>
      <c r="AH41" s="59"/>
      <c r="AI41" s="59"/>
      <c r="AJ41" s="59"/>
      <c r="AK41" s="153"/>
      <c r="AL41" s="172" t="s">
        <v>1</v>
      </c>
      <c r="AM41" s="163"/>
      <c r="AN41" s="59"/>
    </row>
    <row r="42" spans="1:40" x14ac:dyDescent="0.15">
      <c r="A42" s="60">
        <v>41</v>
      </c>
      <c r="B42" s="59" t="s">
        <v>176</v>
      </c>
      <c r="C42" s="77">
        <v>2</v>
      </c>
      <c r="D42" s="77">
        <v>1.1499999999999999</v>
      </c>
      <c r="E42" s="95">
        <v>1.1499999999999999</v>
      </c>
      <c r="F42" s="85"/>
      <c r="G42" s="59" t="s">
        <v>177</v>
      </c>
      <c r="H42" s="59" t="s">
        <v>4</v>
      </c>
      <c r="I42" s="59" t="s">
        <v>5</v>
      </c>
      <c r="J42" s="149">
        <v>1</v>
      </c>
      <c r="K42" s="59" t="s">
        <v>6</v>
      </c>
      <c r="L42" s="59"/>
      <c r="M42" s="59" t="s">
        <v>178</v>
      </c>
      <c r="N42" s="59"/>
      <c r="O42" s="84" t="s">
        <v>75</v>
      </c>
      <c r="P42" s="59"/>
      <c r="Q42" s="77" t="s">
        <v>8</v>
      </c>
      <c r="R42" s="149">
        <v>14</v>
      </c>
      <c r="S42" s="51"/>
      <c r="T42" s="51"/>
      <c r="U42" s="52"/>
      <c r="V42" s="51">
        <v>500</v>
      </c>
      <c r="W42" s="86"/>
      <c r="X42" s="86"/>
      <c r="Y42" s="86"/>
      <c r="Z42" s="86"/>
      <c r="AA42" s="87"/>
      <c r="AB42" s="86"/>
      <c r="AC42" s="52"/>
      <c r="AD42" s="96"/>
      <c r="AE42" s="96"/>
      <c r="AF42" s="97"/>
      <c r="AG42" s="97"/>
      <c r="AH42" s="97"/>
      <c r="AI42" s="97"/>
      <c r="AJ42" s="97"/>
      <c r="AK42" s="97"/>
      <c r="AL42" s="172"/>
      <c r="AM42" s="97"/>
      <c r="AN42" s="97"/>
    </row>
    <row r="43" spans="1:40" x14ac:dyDescent="0.15">
      <c r="A43" s="80">
        <v>42</v>
      </c>
      <c r="B43" s="59" t="s">
        <v>88</v>
      </c>
      <c r="C43" s="77">
        <v>2</v>
      </c>
      <c r="D43" s="77">
        <v>1.1499999999999999</v>
      </c>
      <c r="E43" s="94">
        <v>1.19</v>
      </c>
      <c r="F43" s="89">
        <v>44626</v>
      </c>
      <c r="G43" s="98" t="s">
        <v>177</v>
      </c>
      <c r="H43" s="61" t="s">
        <v>4</v>
      </c>
      <c r="I43" s="61" t="s">
        <v>5</v>
      </c>
      <c r="J43" s="149">
        <v>1</v>
      </c>
      <c r="K43" s="61" t="s">
        <v>6</v>
      </c>
      <c r="L43" s="59" t="s">
        <v>280</v>
      </c>
      <c r="M43" s="59" t="s">
        <v>179</v>
      </c>
      <c r="N43" s="59" t="s">
        <v>28</v>
      </c>
      <c r="O43" s="59" t="s">
        <v>21</v>
      </c>
      <c r="P43" s="59" t="s">
        <v>279</v>
      </c>
      <c r="Q43" s="61" t="s">
        <v>8</v>
      </c>
      <c r="R43" s="149">
        <v>14</v>
      </c>
      <c r="S43" s="65" t="s">
        <v>67</v>
      </c>
      <c r="T43" s="65">
        <v>317</v>
      </c>
      <c r="U43" s="66">
        <v>15000</v>
      </c>
      <c r="V43" s="66">
        <v>15000</v>
      </c>
      <c r="W43" s="67"/>
      <c r="X43" s="67"/>
      <c r="Y43" s="67"/>
      <c r="Z43" s="67"/>
      <c r="AA43" s="68"/>
      <c r="AB43" s="67"/>
      <c r="AC43" s="52" t="s">
        <v>188</v>
      </c>
      <c r="AD43" s="69">
        <f>15500+300+125</f>
        <v>15925</v>
      </c>
      <c r="AE43" s="51">
        <f>AD43-V43-T43</f>
        <v>608</v>
      </c>
      <c r="AF43" s="59" t="s">
        <v>43</v>
      </c>
      <c r="AG43" s="59" t="s">
        <v>43</v>
      </c>
      <c r="AH43" s="59" t="s">
        <v>43</v>
      </c>
      <c r="AI43" s="59" t="s">
        <v>44</v>
      </c>
      <c r="AJ43" s="59" t="s">
        <v>309</v>
      </c>
      <c r="AK43" s="153"/>
      <c r="AL43" s="172" t="s">
        <v>1</v>
      </c>
      <c r="AM43" s="163"/>
      <c r="AN43" s="59"/>
    </row>
    <row r="44" spans="1:40" x14ac:dyDescent="0.15">
      <c r="A44" s="80">
        <v>43</v>
      </c>
      <c r="B44" s="59" t="s">
        <v>88</v>
      </c>
      <c r="C44" s="77">
        <v>2</v>
      </c>
      <c r="D44" s="77">
        <v>1.1499999999999999</v>
      </c>
      <c r="E44" s="94">
        <v>1.19</v>
      </c>
      <c r="F44" s="89">
        <v>44626</v>
      </c>
      <c r="G44" s="98" t="s">
        <v>177</v>
      </c>
      <c r="H44" s="61" t="s">
        <v>4</v>
      </c>
      <c r="I44" s="61" t="s">
        <v>5</v>
      </c>
      <c r="J44" s="149">
        <v>1</v>
      </c>
      <c r="K44" s="61" t="s">
        <v>6</v>
      </c>
      <c r="L44" s="59" t="s">
        <v>275</v>
      </c>
      <c r="M44" s="59" t="s">
        <v>180</v>
      </c>
      <c r="N44" s="59" t="s">
        <v>28</v>
      </c>
      <c r="O44" s="59" t="s">
        <v>21</v>
      </c>
      <c r="P44" s="59" t="s">
        <v>281</v>
      </c>
      <c r="Q44" s="61" t="s">
        <v>8</v>
      </c>
      <c r="R44" s="149">
        <v>14</v>
      </c>
      <c r="S44" s="65" t="s">
        <v>67</v>
      </c>
      <c r="T44" s="65">
        <v>317</v>
      </c>
      <c r="U44" s="66">
        <v>15000</v>
      </c>
      <c r="V44" s="66">
        <v>15000</v>
      </c>
      <c r="W44" s="67"/>
      <c r="X44" s="67"/>
      <c r="Y44" s="67"/>
      <c r="Z44" s="67"/>
      <c r="AA44" s="68"/>
      <c r="AB44" s="67"/>
      <c r="AC44" s="52" t="s">
        <v>188</v>
      </c>
      <c r="AD44" s="69">
        <f>15500+300+125</f>
        <v>15925</v>
      </c>
      <c r="AE44" s="51">
        <f>AD44-V44-T44</f>
        <v>608</v>
      </c>
      <c r="AF44" s="59" t="s">
        <v>43</v>
      </c>
      <c r="AG44" s="59" t="s">
        <v>43</v>
      </c>
      <c r="AH44" s="59" t="s">
        <v>43</v>
      </c>
      <c r="AI44" s="59" t="s">
        <v>44</v>
      </c>
      <c r="AJ44" s="59" t="s">
        <v>309</v>
      </c>
      <c r="AK44" s="153"/>
      <c r="AL44" s="172" t="s">
        <v>1</v>
      </c>
      <c r="AM44" s="163"/>
      <c r="AN44" s="59"/>
    </row>
    <row r="45" spans="1:40" x14ac:dyDescent="0.15">
      <c r="A45" s="60">
        <v>44</v>
      </c>
      <c r="B45" s="59" t="s">
        <v>231</v>
      </c>
      <c r="C45" s="77">
        <v>2</v>
      </c>
      <c r="D45" s="77">
        <v>1.1499999999999999</v>
      </c>
      <c r="E45" s="94">
        <v>1.19</v>
      </c>
      <c r="F45" s="89">
        <v>44626</v>
      </c>
      <c r="G45" s="98" t="s">
        <v>177</v>
      </c>
      <c r="H45" s="61" t="s">
        <v>4</v>
      </c>
      <c r="I45" s="61" t="s">
        <v>5</v>
      </c>
      <c r="J45" s="149">
        <v>1</v>
      </c>
      <c r="K45" s="61" t="s">
        <v>6</v>
      </c>
      <c r="L45" s="59" t="s">
        <v>282</v>
      </c>
      <c r="M45" s="59" t="s">
        <v>181</v>
      </c>
      <c r="N45" s="59" t="s">
        <v>25</v>
      </c>
      <c r="O45" s="59" t="s">
        <v>23</v>
      </c>
      <c r="P45" s="59" t="s">
        <v>283</v>
      </c>
      <c r="Q45" s="61" t="s">
        <v>8</v>
      </c>
      <c r="R45" s="149">
        <v>14</v>
      </c>
      <c r="S45" s="65" t="s">
        <v>67</v>
      </c>
      <c r="T45" s="65">
        <v>317</v>
      </c>
      <c r="U45" s="66">
        <v>15000</v>
      </c>
      <c r="V45" s="66">
        <v>15000</v>
      </c>
      <c r="W45" s="67"/>
      <c r="X45" s="67"/>
      <c r="Y45" s="67"/>
      <c r="Z45" s="67"/>
      <c r="AA45" s="68"/>
      <c r="AB45" s="67"/>
      <c r="AC45" s="52" t="s">
        <v>188</v>
      </c>
      <c r="AD45" s="69">
        <f>15500+300+125</f>
        <v>15925</v>
      </c>
      <c r="AE45" s="51">
        <f>AD45-V45-T45</f>
        <v>608</v>
      </c>
      <c r="AF45" s="59" t="s">
        <v>43</v>
      </c>
      <c r="AG45" s="59" t="s">
        <v>43</v>
      </c>
      <c r="AH45" s="59" t="s">
        <v>43</v>
      </c>
      <c r="AI45" s="59" t="s">
        <v>44</v>
      </c>
      <c r="AJ45" s="59" t="s">
        <v>309</v>
      </c>
      <c r="AK45" s="153"/>
      <c r="AL45" s="172" t="s">
        <v>1</v>
      </c>
      <c r="AM45" s="163"/>
      <c r="AN45" s="59"/>
    </row>
    <row r="46" spans="1:40" x14ac:dyDescent="0.15">
      <c r="A46" s="80">
        <v>45</v>
      </c>
      <c r="B46" s="59" t="s">
        <v>231</v>
      </c>
      <c r="C46" s="77">
        <v>2</v>
      </c>
      <c r="D46" s="77">
        <v>1.1499999999999999</v>
      </c>
      <c r="E46" s="94">
        <v>1.19</v>
      </c>
      <c r="F46" s="89">
        <v>44626</v>
      </c>
      <c r="G46" s="98" t="s">
        <v>177</v>
      </c>
      <c r="H46" s="61" t="s">
        <v>4</v>
      </c>
      <c r="I46" s="61" t="s">
        <v>5</v>
      </c>
      <c r="J46" s="149">
        <v>1</v>
      </c>
      <c r="K46" s="61" t="s">
        <v>6</v>
      </c>
      <c r="L46" s="59" t="s">
        <v>284</v>
      </c>
      <c r="M46" s="59" t="s">
        <v>182</v>
      </c>
      <c r="N46" s="59" t="s">
        <v>161</v>
      </c>
      <c r="O46" s="59" t="s">
        <v>160</v>
      </c>
      <c r="P46" s="59" t="s">
        <v>285</v>
      </c>
      <c r="Q46" s="61" t="s">
        <v>8</v>
      </c>
      <c r="R46" s="149">
        <v>14</v>
      </c>
      <c r="S46" s="65" t="s">
        <v>67</v>
      </c>
      <c r="T46" s="65">
        <v>317</v>
      </c>
      <c r="U46" s="66">
        <v>15000</v>
      </c>
      <c r="V46" s="66">
        <v>15000</v>
      </c>
      <c r="W46" s="67"/>
      <c r="X46" s="67"/>
      <c r="Y46" s="67"/>
      <c r="Z46" s="67"/>
      <c r="AA46" s="68"/>
      <c r="AB46" s="67"/>
      <c r="AC46" s="52" t="s">
        <v>296</v>
      </c>
      <c r="AD46" s="69">
        <f>15500+300+125+25</f>
        <v>15950</v>
      </c>
      <c r="AE46" s="51">
        <f t="shared" ref="AE46:AE47" si="10">AD46-V46-T46</f>
        <v>633</v>
      </c>
      <c r="AF46" s="59" t="s">
        <v>43</v>
      </c>
      <c r="AG46" s="59" t="s">
        <v>43</v>
      </c>
      <c r="AH46" s="59" t="s">
        <v>43</v>
      </c>
      <c r="AI46" s="59" t="s">
        <v>44</v>
      </c>
      <c r="AJ46" s="59" t="s">
        <v>309</v>
      </c>
      <c r="AK46" s="153"/>
      <c r="AL46" s="172" t="s">
        <v>1</v>
      </c>
      <c r="AM46" s="163"/>
      <c r="AN46" s="59"/>
    </row>
    <row r="47" spans="1:40" x14ac:dyDescent="0.15">
      <c r="A47" s="80">
        <v>46</v>
      </c>
      <c r="B47" s="59" t="s">
        <v>230</v>
      </c>
      <c r="C47" s="77">
        <v>2</v>
      </c>
      <c r="D47" s="77">
        <v>1.1499999999999999</v>
      </c>
      <c r="E47" s="94">
        <v>1.19</v>
      </c>
      <c r="F47" s="89">
        <v>44626</v>
      </c>
      <c r="G47" s="98" t="s">
        <v>177</v>
      </c>
      <c r="H47" s="61" t="s">
        <v>4</v>
      </c>
      <c r="I47" s="61" t="s">
        <v>5</v>
      </c>
      <c r="J47" s="149">
        <v>1</v>
      </c>
      <c r="K47" s="59" t="s">
        <v>96</v>
      </c>
      <c r="L47" s="59" t="s">
        <v>286</v>
      </c>
      <c r="M47" s="59" t="s">
        <v>183</v>
      </c>
      <c r="N47" s="59" t="s">
        <v>28</v>
      </c>
      <c r="O47" s="59" t="s">
        <v>21</v>
      </c>
      <c r="P47" s="59" t="s">
        <v>287</v>
      </c>
      <c r="Q47" s="61" t="s">
        <v>8</v>
      </c>
      <c r="R47" s="149">
        <v>14</v>
      </c>
      <c r="S47" s="65" t="s">
        <v>67</v>
      </c>
      <c r="T47" s="65">
        <v>317</v>
      </c>
      <c r="U47" s="66">
        <v>11500</v>
      </c>
      <c r="V47" s="66">
        <v>11500</v>
      </c>
      <c r="W47" s="67"/>
      <c r="X47" s="67"/>
      <c r="Y47" s="67"/>
      <c r="Z47" s="67"/>
      <c r="AA47" s="68"/>
      <c r="AB47" s="67"/>
      <c r="AC47" s="52" t="s">
        <v>127</v>
      </c>
      <c r="AD47" s="69">
        <f>12500+300+125</f>
        <v>12925</v>
      </c>
      <c r="AE47" s="51">
        <f t="shared" si="10"/>
        <v>1108</v>
      </c>
      <c r="AF47" s="59" t="s">
        <v>43</v>
      </c>
      <c r="AG47" s="59" t="s">
        <v>43</v>
      </c>
      <c r="AH47" s="59" t="s">
        <v>43</v>
      </c>
      <c r="AI47" s="59" t="s">
        <v>44</v>
      </c>
      <c r="AJ47" s="59" t="s">
        <v>309</v>
      </c>
      <c r="AK47" s="153"/>
      <c r="AL47" s="172" t="s">
        <v>1</v>
      </c>
      <c r="AM47" s="163"/>
      <c r="AN47" s="59"/>
    </row>
    <row r="48" spans="1:40" x14ac:dyDescent="0.15">
      <c r="A48" s="60">
        <v>47</v>
      </c>
      <c r="B48" s="59" t="s">
        <v>231</v>
      </c>
      <c r="C48" s="77">
        <v>3</v>
      </c>
      <c r="D48" s="99">
        <v>1.2</v>
      </c>
      <c r="E48" s="100">
        <v>1.2</v>
      </c>
      <c r="F48" s="89">
        <v>44619</v>
      </c>
      <c r="G48" s="77" t="s">
        <v>184</v>
      </c>
      <c r="H48" s="61" t="s">
        <v>4</v>
      </c>
      <c r="I48" s="61" t="s">
        <v>5</v>
      </c>
      <c r="J48" s="149">
        <v>1</v>
      </c>
      <c r="K48" s="61" t="s">
        <v>6</v>
      </c>
      <c r="L48" s="77" t="s">
        <v>277</v>
      </c>
      <c r="M48" s="101">
        <v>215733183</v>
      </c>
      <c r="N48" s="59" t="s">
        <v>278</v>
      </c>
      <c r="O48" s="59" t="s">
        <v>273</v>
      </c>
      <c r="P48" s="59" t="s">
        <v>276</v>
      </c>
      <c r="Q48" s="77" t="s">
        <v>128</v>
      </c>
      <c r="R48" s="149">
        <v>19</v>
      </c>
      <c r="S48" s="65" t="s">
        <v>159</v>
      </c>
      <c r="T48" s="65">
        <f>90+180</f>
        <v>270</v>
      </c>
      <c r="U48" s="66">
        <v>12550</v>
      </c>
      <c r="V48" s="66">
        <v>12550</v>
      </c>
      <c r="W48" s="67"/>
      <c r="X48" s="67"/>
      <c r="Y48" s="67"/>
      <c r="Z48" s="67"/>
      <c r="AA48" s="68"/>
      <c r="AB48" s="67"/>
      <c r="AC48" s="52" t="s">
        <v>274</v>
      </c>
      <c r="AD48" s="69">
        <f>13100+300+125+50</f>
        <v>13575</v>
      </c>
      <c r="AE48" s="51">
        <f t="shared" ref="AE48:AE54" si="11">AD48-V48-T48</f>
        <v>755</v>
      </c>
      <c r="AF48" s="59" t="s">
        <v>43</v>
      </c>
      <c r="AG48" s="59" t="s">
        <v>43</v>
      </c>
      <c r="AH48" s="59" t="s">
        <v>43</v>
      </c>
      <c r="AI48" s="59" t="s">
        <v>44</v>
      </c>
      <c r="AJ48" s="59" t="s">
        <v>307</v>
      </c>
      <c r="AK48" s="153"/>
      <c r="AL48" s="172" t="s">
        <v>1</v>
      </c>
      <c r="AM48" s="163"/>
      <c r="AN48" s="59"/>
    </row>
    <row r="49" spans="1:40" x14ac:dyDescent="0.15">
      <c r="A49" s="80">
        <v>48</v>
      </c>
      <c r="B49" s="59" t="s">
        <v>230</v>
      </c>
      <c r="C49" s="77">
        <v>3</v>
      </c>
      <c r="D49" s="77">
        <v>1.22</v>
      </c>
      <c r="E49" s="59">
        <v>1.27</v>
      </c>
      <c r="F49" s="89">
        <v>44633</v>
      </c>
      <c r="G49" s="59" t="s">
        <v>250</v>
      </c>
      <c r="H49" s="59" t="s">
        <v>4</v>
      </c>
      <c r="I49" s="59" t="s">
        <v>5</v>
      </c>
      <c r="J49" s="149">
        <v>1</v>
      </c>
      <c r="K49" s="59" t="s">
        <v>6</v>
      </c>
      <c r="L49" s="59" t="s">
        <v>288</v>
      </c>
      <c r="M49" s="59" t="s">
        <v>251</v>
      </c>
      <c r="N49" s="59" t="s">
        <v>28</v>
      </c>
      <c r="O49" s="59" t="s">
        <v>21</v>
      </c>
      <c r="P49" s="59" t="s">
        <v>289</v>
      </c>
      <c r="Q49" s="59" t="s">
        <v>8</v>
      </c>
      <c r="R49" s="149">
        <v>14</v>
      </c>
      <c r="S49" s="65" t="s">
        <v>67</v>
      </c>
      <c r="T49" s="65">
        <v>317</v>
      </c>
      <c r="U49" s="102">
        <v>13513</v>
      </c>
      <c r="V49" s="102">
        <v>13513</v>
      </c>
      <c r="W49" s="103"/>
      <c r="X49" s="103"/>
      <c r="Y49" s="103"/>
      <c r="Z49" s="103"/>
      <c r="AA49" s="104"/>
      <c r="AB49" s="103"/>
      <c r="AC49" s="102" t="s">
        <v>254</v>
      </c>
      <c r="AD49" s="69">
        <f>13900+300+125</f>
        <v>14325</v>
      </c>
      <c r="AE49" s="51">
        <f t="shared" si="11"/>
        <v>495</v>
      </c>
      <c r="AF49" s="59" t="s">
        <v>43</v>
      </c>
      <c r="AG49" s="59" t="s">
        <v>43</v>
      </c>
      <c r="AH49" s="59" t="s">
        <v>43</v>
      </c>
      <c r="AI49" s="59" t="s">
        <v>44</v>
      </c>
      <c r="AJ49" s="59" t="s">
        <v>308</v>
      </c>
      <c r="AK49" s="153"/>
      <c r="AL49" s="172" t="s">
        <v>1</v>
      </c>
      <c r="AM49" s="163"/>
      <c r="AN49" s="59"/>
    </row>
    <row r="50" spans="1:40" x14ac:dyDescent="0.15">
      <c r="A50" s="80">
        <v>49</v>
      </c>
      <c r="B50" s="59" t="s">
        <v>231</v>
      </c>
      <c r="C50" s="77">
        <v>3</v>
      </c>
      <c r="D50" s="77">
        <v>1.22</v>
      </c>
      <c r="E50" s="59">
        <v>1.27</v>
      </c>
      <c r="F50" s="89">
        <v>44633</v>
      </c>
      <c r="G50" s="59" t="s">
        <v>250</v>
      </c>
      <c r="H50" s="59" t="s">
        <v>4</v>
      </c>
      <c r="I50" s="59" t="s">
        <v>5</v>
      </c>
      <c r="J50" s="149">
        <v>1</v>
      </c>
      <c r="K50" s="59" t="s">
        <v>6</v>
      </c>
      <c r="L50" s="59" t="s">
        <v>290</v>
      </c>
      <c r="M50" s="59" t="s">
        <v>252</v>
      </c>
      <c r="N50" s="59" t="s">
        <v>302</v>
      </c>
      <c r="O50" s="59" t="s">
        <v>299</v>
      </c>
      <c r="P50" s="59" t="s">
        <v>291</v>
      </c>
      <c r="Q50" s="59" t="s">
        <v>8</v>
      </c>
      <c r="R50" s="149">
        <v>14</v>
      </c>
      <c r="S50" s="65" t="s">
        <v>67</v>
      </c>
      <c r="T50" s="65">
        <v>317</v>
      </c>
      <c r="U50" s="105">
        <v>13513</v>
      </c>
      <c r="V50" s="105">
        <v>13513</v>
      </c>
      <c r="W50" s="103"/>
      <c r="X50" s="103"/>
      <c r="Y50" s="103"/>
      <c r="Z50" s="103"/>
      <c r="AA50" s="104"/>
      <c r="AB50" s="103"/>
      <c r="AC50" s="102" t="s">
        <v>303</v>
      </c>
      <c r="AD50" s="69">
        <f>13900+300+125+350</f>
        <v>14675</v>
      </c>
      <c r="AE50" s="51">
        <f t="shared" si="11"/>
        <v>845</v>
      </c>
      <c r="AF50" s="59" t="s">
        <v>43</v>
      </c>
      <c r="AG50" s="59" t="s">
        <v>43</v>
      </c>
      <c r="AH50" s="59" t="s">
        <v>43</v>
      </c>
      <c r="AI50" s="59" t="s">
        <v>44</v>
      </c>
      <c r="AJ50" s="59" t="s">
        <v>308</v>
      </c>
      <c r="AK50" s="153"/>
      <c r="AL50" s="172" t="s">
        <v>1</v>
      </c>
      <c r="AM50" s="163"/>
      <c r="AN50" s="59"/>
    </row>
    <row r="51" spans="1:40" x14ac:dyDescent="0.15">
      <c r="A51" s="60">
        <v>50</v>
      </c>
      <c r="B51" s="59" t="s">
        <v>231</v>
      </c>
      <c r="C51" s="77">
        <v>3</v>
      </c>
      <c r="D51" s="77">
        <v>1.22</v>
      </c>
      <c r="E51" s="59">
        <v>1.27</v>
      </c>
      <c r="F51" s="89">
        <v>44633</v>
      </c>
      <c r="G51" s="59" t="s">
        <v>250</v>
      </c>
      <c r="H51" s="59" t="s">
        <v>4</v>
      </c>
      <c r="I51" s="59" t="s">
        <v>5</v>
      </c>
      <c r="J51" s="149">
        <v>1</v>
      </c>
      <c r="K51" s="59" t="s">
        <v>6</v>
      </c>
      <c r="L51" s="59" t="s">
        <v>292</v>
      </c>
      <c r="M51" s="59" t="s">
        <v>253</v>
      </c>
      <c r="N51" s="59" t="s">
        <v>301</v>
      </c>
      <c r="O51" s="59" t="s">
        <v>300</v>
      </c>
      <c r="P51" s="59" t="s">
        <v>293</v>
      </c>
      <c r="Q51" s="59" t="s">
        <v>8</v>
      </c>
      <c r="R51" s="149">
        <v>14</v>
      </c>
      <c r="S51" s="65" t="s">
        <v>67</v>
      </c>
      <c r="T51" s="65">
        <v>317</v>
      </c>
      <c r="U51" s="105">
        <v>13513</v>
      </c>
      <c r="V51" s="105">
        <v>13513</v>
      </c>
      <c r="W51" s="103"/>
      <c r="X51" s="103"/>
      <c r="Y51" s="103"/>
      <c r="Z51" s="103"/>
      <c r="AA51" s="104"/>
      <c r="AB51" s="103"/>
      <c r="AC51" s="102" t="s">
        <v>254</v>
      </c>
      <c r="AD51" s="69">
        <f>13900+300+125</f>
        <v>14325</v>
      </c>
      <c r="AE51" s="51">
        <f t="shared" si="11"/>
        <v>495</v>
      </c>
      <c r="AF51" s="59" t="s">
        <v>43</v>
      </c>
      <c r="AG51" s="59" t="s">
        <v>43</v>
      </c>
      <c r="AH51" s="59" t="s">
        <v>43</v>
      </c>
      <c r="AI51" s="59" t="s">
        <v>44</v>
      </c>
      <c r="AJ51" s="59" t="s">
        <v>308</v>
      </c>
      <c r="AK51" s="153"/>
      <c r="AL51" s="172" t="s">
        <v>1</v>
      </c>
      <c r="AM51" s="163"/>
      <c r="AN51" s="59"/>
    </row>
    <row r="52" spans="1:40" ht="15" x14ac:dyDescent="0.15">
      <c r="A52" s="140">
        <v>51</v>
      </c>
      <c r="B52" s="106" t="s">
        <v>231</v>
      </c>
      <c r="C52" s="107">
        <v>9</v>
      </c>
      <c r="D52" s="108">
        <v>3.5</v>
      </c>
      <c r="E52" s="108">
        <v>3.11</v>
      </c>
      <c r="F52" s="109">
        <v>44669</v>
      </c>
      <c r="G52" s="106" t="s">
        <v>310</v>
      </c>
      <c r="H52" s="106" t="s">
        <v>4</v>
      </c>
      <c r="I52" s="106" t="s">
        <v>5</v>
      </c>
      <c r="J52" s="149">
        <v>1</v>
      </c>
      <c r="K52" s="106" t="s">
        <v>6</v>
      </c>
      <c r="L52" s="106" t="s">
        <v>329</v>
      </c>
      <c r="M52" s="106" t="s">
        <v>311</v>
      </c>
      <c r="N52" s="106" t="s">
        <v>332</v>
      </c>
      <c r="O52" s="106" t="s">
        <v>326</v>
      </c>
      <c r="P52" s="106" t="s">
        <v>335</v>
      </c>
      <c r="Q52" s="106" t="s">
        <v>8</v>
      </c>
      <c r="R52" s="140">
        <v>14</v>
      </c>
      <c r="S52" s="110" t="s">
        <v>67</v>
      </c>
      <c r="T52" s="110">
        <v>317</v>
      </c>
      <c r="U52" s="111">
        <v>10163</v>
      </c>
      <c r="V52" s="111">
        <v>10163</v>
      </c>
      <c r="W52" s="112"/>
      <c r="X52" s="112"/>
      <c r="Y52" s="112"/>
      <c r="Z52" s="112"/>
      <c r="AA52" s="113"/>
      <c r="AB52" s="112"/>
      <c r="AC52" s="114" t="s">
        <v>338</v>
      </c>
      <c r="AD52" s="115">
        <f>10400+300+125+275</f>
        <v>11100</v>
      </c>
      <c r="AE52" s="116">
        <f>AD52-V52-T52</f>
        <v>620</v>
      </c>
      <c r="AF52" s="106"/>
      <c r="AG52" s="106"/>
      <c r="AH52" s="106"/>
      <c r="AI52" s="106"/>
      <c r="AJ52" s="106"/>
      <c r="AK52" s="158"/>
      <c r="AL52" s="106" t="s">
        <v>1</v>
      </c>
      <c r="AM52" s="168"/>
      <c r="AN52" s="106"/>
    </row>
    <row r="53" spans="1:40" ht="15" x14ac:dyDescent="0.15">
      <c r="A53" s="140">
        <v>52</v>
      </c>
      <c r="B53" s="106" t="s">
        <v>231</v>
      </c>
      <c r="C53" s="107">
        <v>9</v>
      </c>
      <c r="D53" s="108">
        <v>3.5</v>
      </c>
      <c r="E53" s="108">
        <v>3.11</v>
      </c>
      <c r="F53" s="109">
        <v>44669</v>
      </c>
      <c r="G53" s="106" t="s">
        <v>310</v>
      </c>
      <c r="H53" s="106" t="s">
        <v>4</v>
      </c>
      <c r="I53" s="106" t="s">
        <v>5</v>
      </c>
      <c r="J53" s="149">
        <v>1</v>
      </c>
      <c r="K53" s="106" t="s">
        <v>6</v>
      </c>
      <c r="L53" s="106" t="s">
        <v>330</v>
      </c>
      <c r="M53" s="106" t="s">
        <v>312</v>
      </c>
      <c r="N53" s="106" t="s">
        <v>333</v>
      </c>
      <c r="O53" s="106" t="s">
        <v>327</v>
      </c>
      <c r="P53" s="106" t="s">
        <v>336</v>
      </c>
      <c r="Q53" s="106" t="s">
        <v>8</v>
      </c>
      <c r="R53" s="140">
        <v>14</v>
      </c>
      <c r="S53" s="110" t="s">
        <v>67</v>
      </c>
      <c r="T53" s="110">
        <v>317</v>
      </c>
      <c r="U53" s="111">
        <v>10163</v>
      </c>
      <c r="V53" s="111">
        <v>10163</v>
      </c>
      <c r="W53" s="112"/>
      <c r="X53" s="112"/>
      <c r="Y53" s="112"/>
      <c r="Z53" s="112"/>
      <c r="AA53" s="113"/>
      <c r="AB53" s="112"/>
      <c r="AC53" s="114" t="s">
        <v>339</v>
      </c>
      <c r="AD53" s="115">
        <f>10400+300+125</f>
        <v>10825</v>
      </c>
      <c r="AE53" s="116">
        <f t="shared" si="11"/>
        <v>345</v>
      </c>
      <c r="AF53" s="106"/>
      <c r="AG53" s="106"/>
      <c r="AH53" s="106"/>
      <c r="AI53" s="106"/>
      <c r="AJ53" s="106"/>
      <c r="AK53" s="158"/>
      <c r="AL53" s="106" t="s">
        <v>1</v>
      </c>
      <c r="AM53" s="168"/>
      <c r="AN53" s="106"/>
    </row>
    <row r="54" spans="1:40" ht="15" x14ac:dyDescent="0.15">
      <c r="A54" s="140">
        <v>53</v>
      </c>
      <c r="B54" s="106" t="s">
        <v>231</v>
      </c>
      <c r="C54" s="107">
        <v>9</v>
      </c>
      <c r="D54" s="108">
        <v>3.5</v>
      </c>
      <c r="E54" s="108">
        <v>3.11</v>
      </c>
      <c r="F54" s="109">
        <v>44669</v>
      </c>
      <c r="G54" s="106" t="s">
        <v>310</v>
      </c>
      <c r="H54" s="106" t="s">
        <v>4</v>
      </c>
      <c r="I54" s="106" t="s">
        <v>5</v>
      </c>
      <c r="J54" s="149">
        <v>1</v>
      </c>
      <c r="K54" s="106" t="s">
        <v>6</v>
      </c>
      <c r="L54" s="106" t="s">
        <v>331</v>
      </c>
      <c r="M54" s="106" t="s">
        <v>313</v>
      </c>
      <c r="N54" s="106" t="s">
        <v>334</v>
      </c>
      <c r="O54" s="106" t="s">
        <v>328</v>
      </c>
      <c r="P54" s="106" t="s">
        <v>337</v>
      </c>
      <c r="Q54" s="106" t="s">
        <v>8</v>
      </c>
      <c r="R54" s="140">
        <v>14</v>
      </c>
      <c r="S54" s="110" t="s">
        <v>67</v>
      </c>
      <c r="T54" s="110">
        <v>317</v>
      </c>
      <c r="U54" s="111">
        <v>10163</v>
      </c>
      <c r="V54" s="111">
        <v>10163</v>
      </c>
      <c r="W54" s="117"/>
      <c r="X54" s="117"/>
      <c r="Y54" s="117"/>
      <c r="Z54" s="117"/>
      <c r="AA54" s="118"/>
      <c r="AB54" s="117"/>
      <c r="AC54" s="114" t="s">
        <v>340</v>
      </c>
      <c r="AD54" s="115">
        <f>10400+300+125+150</f>
        <v>10975</v>
      </c>
      <c r="AE54" s="116">
        <f t="shared" si="11"/>
        <v>495</v>
      </c>
      <c r="AF54" s="106"/>
      <c r="AG54" s="106"/>
      <c r="AH54" s="106"/>
      <c r="AI54" s="106"/>
      <c r="AJ54" s="106"/>
      <c r="AK54" s="158"/>
      <c r="AL54" s="106" t="s">
        <v>1</v>
      </c>
      <c r="AM54" s="168"/>
      <c r="AN54" s="106"/>
    </row>
    <row r="55" spans="1:40" ht="15" x14ac:dyDescent="0.15">
      <c r="A55" s="141">
        <v>54</v>
      </c>
      <c r="B55" s="123" t="s">
        <v>231</v>
      </c>
      <c r="C55" s="120">
        <v>11</v>
      </c>
      <c r="D55" s="121">
        <v>3.16</v>
      </c>
      <c r="E55" s="121">
        <v>3.16</v>
      </c>
      <c r="F55" s="122">
        <v>44675</v>
      </c>
      <c r="G55" s="123" t="s">
        <v>314</v>
      </c>
      <c r="H55" s="123" t="s">
        <v>4</v>
      </c>
      <c r="I55" s="123" t="s">
        <v>5</v>
      </c>
      <c r="J55" s="149">
        <v>1</v>
      </c>
      <c r="K55" s="123" t="s">
        <v>6</v>
      </c>
      <c r="L55" s="123" t="s">
        <v>343</v>
      </c>
      <c r="M55" s="137">
        <v>216889730</v>
      </c>
      <c r="N55" s="123" t="s">
        <v>25</v>
      </c>
      <c r="O55" s="123" t="s">
        <v>23</v>
      </c>
      <c r="P55" s="123" t="s">
        <v>342</v>
      </c>
      <c r="Q55" s="138" t="s">
        <v>128</v>
      </c>
      <c r="R55" s="151">
        <v>19</v>
      </c>
      <c r="S55" s="125" t="s">
        <v>159</v>
      </c>
      <c r="T55" s="125">
        <v>270</v>
      </c>
      <c r="U55" s="125">
        <v>9650</v>
      </c>
      <c r="V55" s="125">
        <v>9650</v>
      </c>
      <c r="W55" s="126"/>
      <c r="X55" s="126"/>
      <c r="Y55" s="126"/>
      <c r="Z55" s="126"/>
      <c r="AA55" s="127"/>
      <c r="AB55" s="126"/>
      <c r="AC55" s="128" t="s">
        <v>355</v>
      </c>
      <c r="AD55" s="129">
        <f>9800+300+125</f>
        <v>10225</v>
      </c>
      <c r="AE55" s="139">
        <f>AD55-V55-T55</f>
        <v>305</v>
      </c>
      <c r="AF55" s="123"/>
      <c r="AG55" s="123"/>
      <c r="AH55" s="123"/>
      <c r="AI55" s="123"/>
      <c r="AJ55" s="123"/>
      <c r="AK55" s="159"/>
      <c r="AL55" s="123" t="s">
        <v>1</v>
      </c>
      <c r="AM55" s="169"/>
      <c r="AN55" s="123"/>
    </row>
    <row r="56" spans="1:40" ht="15" x14ac:dyDescent="0.15">
      <c r="A56" s="140">
        <v>55</v>
      </c>
      <c r="B56" s="106" t="s">
        <v>88</v>
      </c>
      <c r="C56" s="107">
        <v>11</v>
      </c>
      <c r="D56" s="107">
        <v>3.16</v>
      </c>
      <c r="E56" s="107">
        <v>3.16</v>
      </c>
      <c r="F56" s="109">
        <v>44670</v>
      </c>
      <c r="G56" s="106" t="s">
        <v>315</v>
      </c>
      <c r="H56" s="106" t="s">
        <v>4</v>
      </c>
      <c r="I56" s="106" t="s">
        <v>5</v>
      </c>
      <c r="J56" s="149">
        <v>1</v>
      </c>
      <c r="K56" s="106" t="s">
        <v>6</v>
      </c>
      <c r="L56" s="106" t="s">
        <v>361</v>
      </c>
      <c r="M56" s="106" t="s">
        <v>316</v>
      </c>
      <c r="N56" s="106" t="s">
        <v>28</v>
      </c>
      <c r="O56" s="106" t="s">
        <v>21</v>
      </c>
      <c r="P56" s="106" t="s">
        <v>341</v>
      </c>
      <c r="Q56" s="106" t="s">
        <v>317</v>
      </c>
      <c r="R56" s="140">
        <v>18</v>
      </c>
      <c r="S56" s="110" t="s">
        <v>358</v>
      </c>
      <c r="T56" s="110">
        <f>90+218+55</f>
        <v>363</v>
      </c>
      <c r="U56" s="111">
        <v>9450</v>
      </c>
      <c r="V56" s="111">
        <v>9450</v>
      </c>
      <c r="W56" s="117"/>
      <c r="X56" s="117"/>
      <c r="Y56" s="117"/>
      <c r="Z56" s="117"/>
      <c r="AA56" s="118"/>
      <c r="AB56" s="117"/>
      <c r="AC56" s="114" t="s">
        <v>362</v>
      </c>
      <c r="AD56" s="115">
        <f>9500+300+125+85</f>
        <v>10010</v>
      </c>
      <c r="AE56" s="115">
        <f>AD56-V56-T56</f>
        <v>197</v>
      </c>
      <c r="AF56" s="106"/>
      <c r="AG56" s="106"/>
      <c r="AH56" s="106"/>
      <c r="AI56" s="106"/>
      <c r="AJ56" s="106"/>
      <c r="AK56" s="158"/>
      <c r="AL56" s="106" t="s">
        <v>1</v>
      </c>
      <c r="AM56" s="168"/>
      <c r="AN56" s="106"/>
    </row>
    <row r="57" spans="1:40" ht="15" x14ac:dyDescent="0.15">
      <c r="A57" s="142">
        <v>56</v>
      </c>
      <c r="B57" s="26" t="s">
        <v>231</v>
      </c>
      <c r="C57" s="24">
        <v>11</v>
      </c>
      <c r="D57" s="25">
        <v>3.19</v>
      </c>
      <c r="E57" s="25">
        <v>3.21</v>
      </c>
      <c r="F57" s="27">
        <v>44685</v>
      </c>
      <c r="G57" s="26" t="s">
        <v>370</v>
      </c>
      <c r="H57" s="26" t="s">
        <v>4</v>
      </c>
      <c r="I57" s="26" t="s">
        <v>5</v>
      </c>
      <c r="J57" s="149">
        <v>1</v>
      </c>
      <c r="K57" s="26" t="s">
        <v>6</v>
      </c>
      <c r="L57" s="3" t="s">
        <v>377</v>
      </c>
      <c r="M57" s="26" t="s">
        <v>318</v>
      </c>
      <c r="N57" s="26" t="s">
        <v>161</v>
      </c>
      <c r="O57" s="3" t="s">
        <v>160</v>
      </c>
      <c r="P57" s="3" t="s">
        <v>368</v>
      </c>
      <c r="Q57" s="26" t="s">
        <v>319</v>
      </c>
      <c r="R57" s="142">
        <v>16</v>
      </c>
      <c r="S57" s="29" t="s">
        <v>158</v>
      </c>
      <c r="T57" s="29" t="s">
        <v>158</v>
      </c>
      <c r="U57" s="29">
        <v>8550</v>
      </c>
      <c r="V57" s="29">
        <v>8550</v>
      </c>
      <c r="AC57" s="30" t="s">
        <v>324</v>
      </c>
      <c r="AD57" s="46" t="s">
        <v>158</v>
      </c>
      <c r="AE57" s="46" t="s">
        <v>158</v>
      </c>
      <c r="AF57" s="3"/>
      <c r="AG57" s="3"/>
      <c r="AH57" s="3"/>
      <c r="AI57" s="3"/>
      <c r="AJ57" s="3"/>
      <c r="AK57" s="160"/>
      <c r="AL57" s="3" t="s">
        <v>1</v>
      </c>
      <c r="AM57" s="170"/>
      <c r="AN57" s="3"/>
    </row>
    <row r="58" spans="1:40" ht="15" x14ac:dyDescent="0.15">
      <c r="A58" s="143">
        <v>57</v>
      </c>
      <c r="B58" s="119" t="s">
        <v>240</v>
      </c>
      <c r="C58" s="120">
        <v>11</v>
      </c>
      <c r="D58" s="121">
        <v>3.19</v>
      </c>
      <c r="E58" s="121">
        <v>3.21</v>
      </c>
      <c r="F58" s="122">
        <v>44679</v>
      </c>
      <c r="G58" s="123" t="s">
        <v>365</v>
      </c>
      <c r="H58" s="123" t="s">
        <v>4</v>
      </c>
      <c r="I58" s="123" t="s">
        <v>5</v>
      </c>
      <c r="J58" s="149">
        <v>1</v>
      </c>
      <c r="K58" s="123" t="s">
        <v>6</v>
      </c>
      <c r="L58" s="124">
        <v>143200107004</v>
      </c>
      <c r="M58" s="123" t="s">
        <v>320</v>
      </c>
      <c r="N58" s="123" t="s">
        <v>301</v>
      </c>
      <c r="O58" s="123" t="s">
        <v>300</v>
      </c>
      <c r="P58" s="123" t="s">
        <v>366</v>
      </c>
      <c r="Q58" s="123" t="s">
        <v>321</v>
      </c>
      <c r="R58" s="141">
        <v>14</v>
      </c>
      <c r="S58" s="125" t="s">
        <v>158</v>
      </c>
      <c r="T58" s="125" t="s">
        <v>158</v>
      </c>
      <c r="U58" s="125" t="s">
        <v>323</v>
      </c>
      <c r="V58" s="125">
        <f>8500+370</f>
        <v>8870</v>
      </c>
      <c r="W58" s="126"/>
      <c r="X58" s="126"/>
      <c r="Y58" s="126"/>
      <c r="Z58" s="126"/>
      <c r="AA58" s="127"/>
      <c r="AB58" s="126"/>
      <c r="AC58" s="128" t="s">
        <v>325</v>
      </c>
      <c r="AD58" s="129">
        <f>9000+370+300+125</f>
        <v>9795</v>
      </c>
      <c r="AE58" s="129" t="s">
        <v>158</v>
      </c>
      <c r="AF58" s="123"/>
      <c r="AG58" s="123"/>
      <c r="AH58" s="123"/>
      <c r="AI58" s="123"/>
      <c r="AJ58" s="123"/>
      <c r="AK58" s="159"/>
      <c r="AL58" s="123" t="s">
        <v>1</v>
      </c>
      <c r="AM58" s="169"/>
      <c r="AN58" s="123"/>
    </row>
    <row r="59" spans="1:40" ht="15" x14ac:dyDescent="0.15">
      <c r="A59" s="144">
        <v>58</v>
      </c>
      <c r="B59" s="130" t="s">
        <v>240</v>
      </c>
      <c r="C59" s="131">
        <v>11</v>
      </c>
      <c r="D59" s="132">
        <v>3.19</v>
      </c>
      <c r="E59" s="132">
        <v>3.21</v>
      </c>
      <c r="F59" s="122">
        <v>44679</v>
      </c>
      <c r="G59" s="123" t="s">
        <v>365</v>
      </c>
      <c r="H59" s="133" t="s">
        <v>4</v>
      </c>
      <c r="I59" s="133" t="s">
        <v>5</v>
      </c>
      <c r="J59" s="149">
        <v>1</v>
      </c>
      <c r="K59" s="133" t="s">
        <v>6</v>
      </c>
      <c r="L59" s="124">
        <v>143200107012</v>
      </c>
      <c r="M59" s="123" t="s">
        <v>322</v>
      </c>
      <c r="N59" s="133" t="s">
        <v>24</v>
      </c>
      <c r="O59" s="123" t="s">
        <v>22</v>
      </c>
      <c r="P59" s="133" t="s">
        <v>367</v>
      </c>
      <c r="Q59" s="133" t="s">
        <v>321</v>
      </c>
      <c r="R59" s="150">
        <v>14</v>
      </c>
      <c r="S59" s="134" t="s">
        <v>158</v>
      </c>
      <c r="T59" s="134" t="s">
        <v>158</v>
      </c>
      <c r="U59" s="134" t="s">
        <v>323</v>
      </c>
      <c r="V59" s="134">
        <f>8500+370</f>
        <v>8870</v>
      </c>
      <c r="W59" s="126"/>
      <c r="X59" s="126"/>
      <c r="Y59" s="126"/>
      <c r="Z59" s="126"/>
      <c r="AA59" s="127"/>
      <c r="AB59" s="126"/>
      <c r="AC59" s="135" t="s">
        <v>325</v>
      </c>
      <c r="AD59" s="136">
        <f>9000+370+300+125</f>
        <v>9795</v>
      </c>
      <c r="AE59" s="136" t="s">
        <v>158</v>
      </c>
      <c r="AF59" s="133"/>
      <c r="AG59" s="133"/>
      <c r="AH59" s="133"/>
      <c r="AI59" s="133"/>
      <c r="AJ59" s="133"/>
      <c r="AK59" s="161"/>
      <c r="AL59" s="123" t="s">
        <v>1</v>
      </c>
      <c r="AM59" s="171"/>
      <c r="AN59" s="133"/>
    </row>
    <row r="60" spans="1:40" x14ac:dyDescent="0.15">
      <c r="A60" s="142">
        <v>59</v>
      </c>
      <c r="B60" s="26" t="s">
        <v>231</v>
      </c>
      <c r="C60" s="38">
        <v>12</v>
      </c>
      <c r="D60" s="38">
        <v>2.25</v>
      </c>
      <c r="E60" s="3">
        <v>3.3</v>
      </c>
      <c r="F60" s="27">
        <v>44688</v>
      </c>
      <c r="G60" s="3" t="s">
        <v>371</v>
      </c>
      <c r="H60" s="3" t="s">
        <v>4</v>
      </c>
      <c r="I60" s="3" t="s">
        <v>5</v>
      </c>
      <c r="J60" s="149">
        <v>1</v>
      </c>
      <c r="K60" s="3" t="s">
        <v>6</v>
      </c>
      <c r="L60" s="3" t="s">
        <v>375</v>
      </c>
      <c r="M60" s="3" t="s">
        <v>363</v>
      </c>
      <c r="N60" s="40" t="s">
        <v>228</v>
      </c>
      <c r="O60" s="3" t="s">
        <v>163</v>
      </c>
      <c r="P60" s="40" t="s">
        <v>369</v>
      </c>
      <c r="Q60" s="3" t="s">
        <v>319</v>
      </c>
      <c r="R60" s="145">
        <v>14</v>
      </c>
      <c r="S60" s="29" t="s">
        <v>158</v>
      </c>
      <c r="T60" s="29" t="s">
        <v>158</v>
      </c>
      <c r="U60" s="45">
        <v>7550</v>
      </c>
      <c r="V60" s="45">
        <v>7550</v>
      </c>
      <c r="W60" s="34"/>
      <c r="X60" s="34"/>
      <c r="Y60" s="34"/>
      <c r="Z60" s="34"/>
      <c r="AA60" s="35"/>
      <c r="AB60" s="34"/>
      <c r="AC60" s="30" t="s">
        <v>356</v>
      </c>
      <c r="AD60" s="46" t="s">
        <v>158</v>
      </c>
      <c r="AE60" s="46" t="s">
        <v>158</v>
      </c>
      <c r="AF60" s="3"/>
      <c r="AG60" s="3"/>
      <c r="AH60" s="3"/>
      <c r="AI60" s="3"/>
      <c r="AJ60" s="3"/>
      <c r="AK60" s="160"/>
      <c r="AL60" s="3" t="s">
        <v>1</v>
      </c>
      <c r="AM60" s="170"/>
      <c r="AN60" s="3"/>
    </row>
    <row r="61" spans="1:40" x14ac:dyDescent="0.15">
      <c r="A61" s="142">
        <v>60</v>
      </c>
      <c r="B61" s="26" t="s">
        <v>231</v>
      </c>
      <c r="C61" s="38">
        <v>12</v>
      </c>
      <c r="D61" s="38">
        <v>2.25</v>
      </c>
      <c r="E61" s="3">
        <v>3.3</v>
      </c>
      <c r="F61" s="27">
        <v>44685</v>
      </c>
      <c r="G61" s="3" t="s">
        <v>370</v>
      </c>
      <c r="H61" s="3" t="s">
        <v>4</v>
      </c>
      <c r="I61" s="3" t="s">
        <v>5</v>
      </c>
      <c r="J61" s="149">
        <v>1</v>
      </c>
      <c r="K61" s="3" t="s">
        <v>6</v>
      </c>
      <c r="L61" s="3" t="s">
        <v>374</v>
      </c>
      <c r="M61" s="3" t="s">
        <v>364</v>
      </c>
      <c r="N61" s="40" t="s">
        <v>376</v>
      </c>
      <c r="O61" s="3" t="s">
        <v>373</v>
      </c>
      <c r="P61" s="40" t="s">
        <v>372</v>
      </c>
      <c r="Q61" s="3" t="s">
        <v>319</v>
      </c>
      <c r="R61" s="145">
        <v>14</v>
      </c>
      <c r="S61" s="29" t="s">
        <v>158</v>
      </c>
      <c r="T61" s="29" t="s">
        <v>158</v>
      </c>
      <c r="U61" s="45">
        <v>7550</v>
      </c>
      <c r="V61" s="45">
        <v>7550</v>
      </c>
      <c r="W61" s="34"/>
      <c r="X61" s="34"/>
      <c r="Y61" s="34"/>
      <c r="Z61" s="34"/>
      <c r="AA61" s="35"/>
      <c r="AB61" s="34"/>
      <c r="AC61" s="30" t="s">
        <v>356</v>
      </c>
      <c r="AD61" s="46" t="s">
        <v>158</v>
      </c>
      <c r="AE61" s="46" t="s">
        <v>158</v>
      </c>
      <c r="AF61" s="3"/>
      <c r="AG61" s="3"/>
      <c r="AH61" s="3"/>
      <c r="AI61" s="3"/>
      <c r="AJ61" s="3"/>
      <c r="AK61" s="160"/>
      <c r="AL61" s="3" t="s">
        <v>1</v>
      </c>
      <c r="AM61" s="170"/>
      <c r="AN61" s="3"/>
    </row>
    <row r="62" spans="1:40" x14ac:dyDescent="0.15">
      <c r="A62" s="142">
        <v>61</v>
      </c>
      <c r="B62" s="26" t="s">
        <v>231</v>
      </c>
      <c r="C62" s="38" t="s">
        <v>344</v>
      </c>
      <c r="D62" s="38">
        <v>4.2</v>
      </c>
      <c r="E62" s="3">
        <v>4.7</v>
      </c>
      <c r="F62" s="39"/>
      <c r="G62" s="3" t="s">
        <v>345</v>
      </c>
      <c r="H62" s="3" t="s">
        <v>4</v>
      </c>
      <c r="I62" s="3" t="s">
        <v>5</v>
      </c>
      <c r="J62" s="149">
        <v>1</v>
      </c>
      <c r="K62" s="3" t="s">
        <v>6</v>
      </c>
      <c r="L62" s="3"/>
      <c r="M62" s="3" t="s">
        <v>346</v>
      </c>
      <c r="N62" s="40"/>
      <c r="O62" s="3"/>
      <c r="P62" s="40"/>
      <c r="Q62" s="3" t="s">
        <v>8</v>
      </c>
      <c r="R62" s="145">
        <v>14</v>
      </c>
      <c r="S62" s="30"/>
      <c r="T62" s="30"/>
      <c r="U62" s="45">
        <v>7350</v>
      </c>
      <c r="V62" s="45">
        <v>7350</v>
      </c>
      <c r="W62" s="34"/>
      <c r="X62" s="34"/>
      <c r="Y62" s="34"/>
      <c r="Z62" s="34"/>
      <c r="AA62" s="35"/>
      <c r="AB62" s="34"/>
      <c r="AC62" s="30" t="s">
        <v>356</v>
      </c>
      <c r="AD62" s="47"/>
      <c r="AE62" s="47"/>
      <c r="AF62" s="3"/>
      <c r="AG62" s="3"/>
      <c r="AH62" s="3"/>
      <c r="AI62" s="3"/>
      <c r="AJ62" s="3"/>
      <c r="AK62" s="160"/>
      <c r="AL62" s="3" t="s">
        <v>1</v>
      </c>
      <c r="AM62" s="170"/>
      <c r="AN62" s="3"/>
    </row>
    <row r="63" spans="1:40" x14ac:dyDescent="0.15">
      <c r="A63" s="142">
        <v>62</v>
      </c>
      <c r="B63" s="26" t="s">
        <v>231</v>
      </c>
      <c r="C63" s="38" t="s">
        <v>344</v>
      </c>
      <c r="D63" s="38">
        <v>4.2</v>
      </c>
      <c r="E63" s="3">
        <v>4.7</v>
      </c>
      <c r="F63" s="39"/>
      <c r="G63" s="3" t="s">
        <v>345</v>
      </c>
      <c r="H63" s="3" t="s">
        <v>4</v>
      </c>
      <c r="I63" s="3" t="s">
        <v>5</v>
      </c>
      <c r="J63" s="149">
        <v>1</v>
      </c>
      <c r="K63" s="3" t="s">
        <v>6</v>
      </c>
      <c r="L63" s="3"/>
      <c r="M63" s="3" t="s">
        <v>347</v>
      </c>
      <c r="N63" s="40"/>
      <c r="O63" s="3"/>
      <c r="P63" s="40"/>
      <c r="Q63" s="3" t="s">
        <v>8</v>
      </c>
      <c r="R63" s="145">
        <v>14</v>
      </c>
      <c r="S63" s="30"/>
      <c r="T63" s="30"/>
      <c r="U63" s="45">
        <v>7350</v>
      </c>
      <c r="V63" s="45">
        <v>7350</v>
      </c>
      <c r="W63" s="34"/>
      <c r="X63" s="34"/>
      <c r="Y63" s="34"/>
      <c r="Z63" s="34"/>
      <c r="AA63" s="35"/>
      <c r="AB63" s="34"/>
      <c r="AC63" s="30" t="s">
        <v>356</v>
      </c>
      <c r="AD63" s="47"/>
      <c r="AE63" s="47"/>
      <c r="AF63" s="3"/>
      <c r="AG63" s="3"/>
      <c r="AH63" s="3"/>
      <c r="AI63" s="3"/>
      <c r="AJ63" s="3"/>
      <c r="AK63" s="160"/>
      <c r="AL63" s="3" t="s">
        <v>1</v>
      </c>
      <c r="AM63" s="170"/>
      <c r="AN63" s="3"/>
    </row>
    <row r="64" spans="1:40" x14ac:dyDescent="0.15">
      <c r="A64" s="145">
        <v>63</v>
      </c>
      <c r="B64" s="3" t="s">
        <v>348</v>
      </c>
      <c r="C64" s="38" t="s">
        <v>344</v>
      </c>
      <c r="D64" s="38">
        <v>4.2</v>
      </c>
      <c r="E64" s="3">
        <v>4.7</v>
      </c>
      <c r="F64" s="39"/>
      <c r="G64" s="3" t="s">
        <v>345</v>
      </c>
      <c r="H64" s="3" t="s">
        <v>4</v>
      </c>
      <c r="I64" s="3" t="s">
        <v>5</v>
      </c>
      <c r="J64" s="149">
        <v>1</v>
      </c>
      <c r="K64" s="3" t="s">
        <v>6</v>
      </c>
      <c r="L64" s="3"/>
      <c r="M64" s="3" t="s">
        <v>349</v>
      </c>
      <c r="N64" s="40"/>
      <c r="O64" s="3"/>
      <c r="P64" s="40"/>
      <c r="Q64" s="3" t="s">
        <v>8</v>
      </c>
      <c r="R64" s="145">
        <v>14</v>
      </c>
      <c r="S64" s="30"/>
      <c r="T64" s="30"/>
      <c r="U64" s="45" t="s">
        <v>378</v>
      </c>
      <c r="V64" s="45">
        <f>7350+370</f>
        <v>7720</v>
      </c>
      <c r="W64" s="34"/>
      <c r="X64" s="34"/>
      <c r="Y64" s="34"/>
      <c r="Z64" s="34"/>
      <c r="AA64" s="35"/>
      <c r="AB64" s="34"/>
      <c r="AC64" s="30" t="s">
        <v>379</v>
      </c>
      <c r="AD64" s="47"/>
      <c r="AE64" s="47"/>
      <c r="AF64" s="3"/>
      <c r="AG64" s="3"/>
      <c r="AH64" s="3"/>
      <c r="AI64" s="3"/>
      <c r="AJ64" s="3"/>
      <c r="AK64" s="160"/>
      <c r="AL64" s="3" t="s">
        <v>1</v>
      </c>
      <c r="AM64" s="170"/>
      <c r="AN64" s="3"/>
    </row>
    <row r="65" spans="1:40" x14ac:dyDescent="0.15">
      <c r="A65" s="145">
        <v>64</v>
      </c>
      <c r="B65" s="3" t="s">
        <v>354</v>
      </c>
      <c r="C65" s="38" t="s">
        <v>344</v>
      </c>
      <c r="D65" s="38">
        <v>4.2</v>
      </c>
      <c r="E65" s="3">
        <v>4.7</v>
      </c>
      <c r="F65" s="39"/>
      <c r="G65" s="3" t="s">
        <v>345</v>
      </c>
      <c r="H65" s="3" t="s">
        <v>4</v>
      </c>
      <c r="I65" s="3" t="s">
        <v>5</v>
      </c>
      <c r="J65" s="149">
        <v>1</v>
      </c>
      <c r="K65" s="3" t="s">
        <v>6</v>
      </c>
      <c r="L65" s="3"/>
      <c r="M65" s="3" t="s">
        <v>350</v>
      </c>
      <c r="N65" s="40"/>
      <c r="O65" s="3"/>
      <c r="P65" s="40"/>
      <c r="Q65" s="3" t="s">
        <v>8</v>
      </c>
      <c r="R65" s="145">
        <v>14</v>
      </c>
      <c r="S65" s="30"/>
      <c r="T65" s="30"/>
      <c r="U65" s="45">
        <v>7450</v>
      </c>
      <c r="V65" s="45">
        <v>7450</v>
      </c>
      <c r="W65" s="34"/>
      <c r="X65" s="34"/>
      <c r="Y65" s="34"/>
      <c r="Z65" s="34"/>
      <c r="AA65" s="35"/>
      <c r="AB65" s="34"/>
      <c r="AC65" s="30" t="s">
        <v>357</v>
      </c>
      <c r="AD65" s="47"/>
      <c r="AE65" s="47"/>
      <c r="AF65" s="3"/>
      <c r="AG65" s="3"/>
      <c r="AH65" s="3"/>
      <c r="AI65" s="3"/>
      <c r="AJ65" s="3"/>
      <c r="AK65" s="160"/>
      <c r="AL65" s="3" t="s">
        <v>1</v>
      </c>
      <c r="AM65" s="170"/>
      <c r="AN65" s="3"/>
    </row>
    <row r="66" spans="1:40" x14ac:dyDescent="0.15">
      <c r="A66" s="142">
        <v>65</v>
      </c>
      <c r="B66" s="26" t="s">
        <v>231</v>
      </c>
      <c r="C66" s="38">
        <v>13</v>
      </c>
      <c r="D66" s="38">
        <v>4.2</v>
      </c>
      <c r="E66" s="3">
        <v>4.7</v>
      </c>
      <c r="F66" s="39"/>
      <c r="G66" s="3" t="s">
        <v>345</v>
      </c>
      <c r="H66" s="3" t="s">
        <v>4</v>
      </c>
      <c r="I66" s="3" t="s">
        <v>5</v>
      </c>
      <c r="J66" s="149">
        <v>1</v>
      </c>
      <c r="K66" s="3" t="s">
        <v>6</v>
      </c>
      <c r="L66" s="3"/>
      <c r="M66" s="3" t="s">
        <v>351</v>
      </c>
      <c r="N66" s="40"/>
      <c r="O66" s="3"/>
      <c r="P66" s="40"/>
      <c r="Q66" s="3" t="s">
        <v>8</v>
      </c>
      <c r="R66" s="145">
        <v>14</v>
      </c>
      <c r="S66" s="30"/>
      <c r="T66" s="30"/>
      <c r="U66" s="45">
        <v>7350</v>
      </c>
      <c r="V66" s="45">
        <v>7350</v>
      </c>
      <c r="W66" s="34"/>
      <c r="X66" s="34"/>
      <c r="Y66" s="34"/>
      <c r="Z66" s="34"/>
      <c r="AA66" s="35"/>
      <c r="AB66" s="34"/>
      <c r="AC66" s="30" t="s">
        <v>356</v>
      </c>
      <c r="AD66" s="30"/>
      <c r="AE66" s="30"/>
      <c r="AF66" s="3"/>
      <c r="AG66" s="3"/>
      <c r="AH66" s="3"/>
      <c r="AI66" s="3"/>
      <c r="AJ66" s="3"/>
      <c r="AK66" s="160"/>
      <c r="AL66" s="3" t="s">
        <v>1</v>
      </c>
      <c r="AM66" s="170"/>
      <c r="AN66" s="3"/>
    </row>
    <row r="67" spans="1:40" x14ac:dyDescent="0.15">
      <c r="A67" s="142">
        <v>66</v>
      </c>
      <c r="B67" s="26" t="s">
        <v>231</v>
      </c>
      <c r="C67" s="38">
        <v>13</v>
      </c>
      <c r="D67" s="38">
        <v>4.2</v>
      </c>
      <c r="E67" s="3">
        <v>4.7</v>
      </c>
      <c r="F67" s="39"/>
      <c r="G67" s="3" t="s">
        <v>345</v>
      </c>
      <c r="H67" s="3" t="s">
        <v>4</v>
      </c>
      <c r="I67" s="3" t="s">
        <v>5</v>
      </c>
      <c r="J67" s="149">
        <v>1</v>
      </c>
      <c r="K67" s="3" t="s">
        <v>6</v>
      </c>
      <c r="L67" s="3"/>
      <c r="M67" s="3" t="s">
        <v>352</v>
      </c>
      <c r="N67" s="3"/>
      <c r="O67" s="3"/>
      <c r="P67" s="3"/>
      <c r="Q67" s="3" t="s">
        <v>8</v>
      </c>
      <c r="R67" s="145">
        <v>14</v>
      </c>
      <c r="S67" s="30"/>
      <c r="T67" s="30"/>
      <c r="U67" s="45">
        <v>7350</v>
      </c>
      <c r="V67" s="45">
        <v>7350</v>
      </c>
      <c r="W67" s="34"/>
      <c r="X67" s="34"/>
      <c r="Y67" s="34"/>
      <c r="Z67" s="34"/>
      <c r="AA67" s="35"/>
      <c r="AB67" s="34"/>
      <c r="AC67" s="30" t="s">
        <v>356</v>
      </c>
      <c r="AD67" s="30"/>
      <c r="AE67" s="30"/>
      <c r="AF67" s="3"/>
      <c r="AG67" s="3"/>
      <c r="AH67" s="3"/>
      <c r="AI67" s="3"/>
      <c r="AJ67" s="3"/>
      <c r="AK67" s="160"/>
      <c r="AL67" s="3" t="s">
        <v>1</v>
      </c>
      <c r="AM67" s="170"/>
      <c r="AN67" s="3"/>
    </row>
    <row r="68" spans="1:40" x14ac:dyDescent="0.15">
      <c r="A68" s="142">
        <v>67</v>
      </c>
      <c r="B68" s="26" t="s">
        <v>380</v>
      </c>
      <c r="C68" s="38"/>
      <c r="D68" s="38"/>
      <c r="E68" s="3"/>
      <c r="F68" s="39"/>
      <c r="G68" s="145" t="s">
        <v>345</v>
      </c>
      <c r="H68" s="145" t="s">
        <v>4</v>
      </c>
      <c r="I68" s="145" t="s">
        <v>5</v>
      </c>
      <c r="J68" s="149">
        <v>1</v>
      </c>
      <c r="K68" s="145" t="s">
        <v>6</v>
      </c>
      <c r="L68" s="145"/>
      <c r="M68" s="3" t="s">
        <v>381</v>
      </c>
      <c r="N68" s="3"/>
      <c r="O68" s="3"/>
      <c r="P68" s="3"/>
      <c r="Q68" s="3"/>
      <c r="R68" s="145">
        <v>14</v>
      </c>
      <c r="S68" s="30"/>
      <c r="T68" s="30"/>
      <c r="U68" s="45"/>
      <c r="V68" s="45"/>
      <c r="W68" s="34"/>
      <c r="X68" s="34"/>
      <c r="Y68" s="34"/>
      <c r="Z68" s="34"/>
      <c r="AA68" s="35"/>
      <c r="AB68" s="34"/>
      <c r="AC68" s="30"/>
      <c r="AD68" s="30"/>
      <c r="AE68" s="30"/>
      <c r="AF68" s="3"/>
      <c r="AG68" s="3"/>
      <c r="AH68" s="3"/>
      <c r="AI68" s="3"/>
      <c r="AJ68" s="3"/>
      <c r="AK68" s="160"/>
      <c r="AL68" s="3" t="s">
        <v>1</v>
      </c>
      <c r="AM68" s="170"/>
      <c r="AN68" s="3"/>
    </row>
    <row r="69" spans="1:40" x14ac:dyDescent="0.15">
      <c r="A69" s="142">
        <v>68</v>
      </c>
      <c r="B69" s="26" t="s">
        <v>231</v>
      </c>
      <c r="C69" s="38"/>
      <c r="D69" s="38"/>
      <c r="E69" s="3"/>
      <c r="F69" s="39"/>
      <c r="G69" s="145" t="s">
        <v>345</v>
      </c>
      <c r="H69" s="145" t="s">
        <v>4</v>
      </c>
      <c r="I69" s="145" t="s">
        <v>5</v>
      </c>
      <c r="J69" s="149">
        <v>1</v>
      </c>
      <c r="K69" s="145" t="s">
        <v>6</v>
      </c>
      <c r="L69" s="145"/>
      <c r="M69" s="145" t="s">
        <v>382</v>
      </c>
      <c r="N69" s="3"/>
      <c r="O69" s="3"/>
      <c r="P69" s="3"/>
      <c r="Q69" s="3"/>
      <c r="R69" s="145">
        <v>14</v>
      </c>
      <c r="S69" s="30"/>
      <c r="T69" s="30"/>
      <c r="U69" s="45"/>
      <c r="V69" s="45"/>
      <c r="W69" s="34"/>
      <c r="X69" s="34"/>
      <c r="Y69" s="34"/>
      <c r="Z69" s="34"/>
      <c r="AA69" s="35"/>
      <c r="AB69" s="34"/>
      <c r="AC69" s="30"/>
      <c r="AD69" s="30"/>
      <c r="AE69" s="30"/>
      <c r="AF69" s="3"/>
      <c r="AG69" s="3"/>
      <c r="AH69" s="3"/>
      <c r="AI69" s="3"/>
      <c r="AJ69" s="3"/>
      <c r="AK69" s="160"/>
      <c r="AL69" s="3" t="s">
        <v>1</v>
      </c>
      <c r="AM69" s="170"/>
      <c r="AN69" s="3"/>
    </row>
    <row r="70" spans="1:40" x14ac:dyDescent="0.15">
      <c r="A70" s="142">
        <v>69</v>
      </c>
      <c r="B70" s="26" t="s">
        <v>231</v>
      </c>
      <c r="C70" s="38">
        <v>14</v>
      </c>
      <c r="D70" s="38">
        <v>4.4000000000000004</v>
      </c>
      <c r="E70" s="3">
        <v>4.4000000000000004</v>
      </c>
      <c r="F70" s="39"/>
      <c r="G70" s="3" t="s">
        <v>353</v>
      </c>
      <c r="H70" s="3" t="s">
        <v>4</v>
      </c>
      <c r="I70" s="3" t="s">
        <v>5</v>
      </c>
      <c r="J70" s="149">
        <v>1</v>
      </c>
      <c r="K70" s="3" t="s">
        <v>6</v>
      </c>
      <c r="L70" s="3"/>
      <c r="M70" s="3"/>
      <c r="N70" s="3"/>
      <c r="O70" s="3"/>
      <c r="P70" s="3"/>
      <c r="Q70" s="3" t="s">
        <v>319</v>
      </c>
      <c r="R70" s="145">
        <v>16</v>
      </c>
      <c r="S70" s="30"/>
      <c r="T70" s="30"/>
      <c r="U70" s="30"/>
      <c r="V70" s="30"/>
      <c r="W70" s="34"/>
      <c r="X70" s="34"/>
      <c r="Y70" s="34"/>
      <c r="Z70" s="34"/>
      <c r="AA70" s="35"/>
      <c r="AB70" s="34"/>
      <c r="AC70" s="30"/>
      <c r="AD70" s="30"/>
      <c r="AE70" s="30"/>
      <c r="AF70" s="3"/>
      <c r="AG70" s="3"/>
      <c r="AH70" s="3"/>
      <c r="AI70" s="3"/>
      <c r="AJ70" s="3"/>
      <c r="AK70" s="160"/>
      <c r="AL70" s="3" t="s">
        <v>1</v>
      </c>
      <c r="AM70" s="170"/>
      <c r="AN70" s="3"/>
    </row>
    <row r="71" spans="1:40" x14ac:dyDescent="0.15">
      <c r="A71" s="142">
        <v>70</v>
      </c>
      <c r="B71" s="26" t="s">
        <v>231</v>
      </c>
      <c r="C71" s="38">
        <v>14</v>
      </c>
      <c r="D71" s="38">
        <v>4.4000000000000004</v>
      </c>
      <c r="E71" s="3">
        <v>4.4000000000000004</v>
      </c>
      <c r="F71" s="39"/>
      <c r="G71" s="3" t="s">
        <v>353</v>
      </c>
      <c r="H71" s="3" t="s">
        <v>4</v>
      </c>
      <c r="I71" s="3" t="s">
        <v>5</v>
      </c>
      <c r="J71" s="149">
        <v>1</v>
      </c>
      <c r="K71" s="3" t="s">
        <v>6</v>
      </c>
      <c r="L71" s="3"/>
      <c r="M71" s="3"/>
      <c r="N71" s="3"/>
      <c r="O71" s="3"/>
      <c r="P71" s="3"/>
      <c r="Q71" s="3" t="s">
        <v>319</v>
      </c>
      <c r="R71" s="145">
        <v>16</v>
      </c>
      <c r="S71" s="30"/>
      <c r="T71" s="30"/>
      <c r="U71" s="30"/>
      <c r="V71" s="30"/>
      <c r="W71" s="34"/>
      <c r="X71" s="34"/>
      <c r="Y71" s="34"/>
      <c r="Z71" s="34"/>
      <c r="AA71" s="35"/>
      <c r="AB71" s="34"/>
      <c r="AC71" s="30"/>
      <c r="AD71" s="30"/>
      <c r="AE71" s="30"/>
      <c r="AF71" s="3"/>
      <c r="AG71" s="3"/>
      <c r="AH71" s="3"/>
      <c r="AI71" s="3"/>
      <c r="AJ71" s="3"/>
      <c r="AK71" s="160"/>
      <c r="AL71" s="3" t="s">
        <v>1</v>
      </c>
      <c r="AM71" s="170"/>
      <c r="AN71" s="3"/>
    </row>
    <row r="72" spans="1:40" ht="15" x14ac:dyDescent="0.15">
      <c r="A72" s="142">
        <v>71</v>
      </c>
      <c r="B72" s="26" t="s">
        <v>231</v>
      </c>
      <c r="C72" s="24">
        <v>14</v>
      </c>
      <c r="D72" s="25">
        <v>4.16</v>
      </c>
      <c r="E72" s="147" t="s">
        <v>75</v>
      </c>
      <c r="F72" s="147"/>
      <c r="G72" s="3" t="s">
        <v>383</v>
      </c>
      <c r="H72" s="3" t="s">
        <v>4</v>
      </c>
      <c r="I72" s="3" t="s">
        <v>5</v>
      </c>
      <c r="J72" s="149">
        <v>1</v>
      </c>
      <c r="K72" s="3" t="s">
        <v>6</v>
      </c>
      <c r="L72" s="3"/>
      <c r="M72" s="3" t="s">
        <v>384</v>
      </c>
      <c r="N72" s="3"/>
      <c r="O72" s="3"/>
      <c r="P72" s="3"/>
      <c r="Q72" s="3"/>
      <c r="R72" s="145">
        <v>14</v>
      </c>
      <c r="S72" s="30"/>
      <c r="T72" s="30"/>
      <c r="U72" s="30"/>
      <c r="V72" s="30"/>
      <c r="W72" s="34"/>
      <c r="X72" s="34"/>
      <c r="Y72" s="34"/>
      <c r="Z72" s="34"/>
      <c r="AA72" s="35"/>
      <c r="AB72" s="34"/>
      <c r="AC72" s="30"/>
      <c r="AD72" s="30"/>
      <c r="AE72" s="30"/>
      <c r="AF72" s="3"/>
      <c r="AG72" s="3"/>
      <c r="AH72" s="3"/>
      <c r="AI72" s="3"/>
      <c r="AJ72" s="3"/>
      <c r="AK72" s="160"/>
      <c r="AL72" s="3" t="s">
        <v>1</v>
      </c>
      <c r="AM72" s="170"/>
      <c r="AN72" s="3"/>
    </row>
    <row r="73" spans="1:40" ht="15" x14ac:dyDescent="0.15">
      <c r="A73" s="142">
        <v>72</v>
      </c>
      <c r="B73" s="26" t="s">
        <v>231</v>
      </c>
      <c r="C73" s="24">
        <v>14</v>
      </c>
      <c r="D73" s="25">
        <v>4.16</v>
      </c>
      <c r="E73" s="147" t="s">
        <v>75</v>
      </c>
      <c r="F73" s="147"/>
      <c r="G73" s="3" t="s">
        <v>383</v>
      </c>
      <c r="H73" s="3" t="s">
        <v>4</v>
      </c>
      <c r="I73" s="3" t="s">
        <v>5</v>
      </c>
      <c r="J73" s="149">
        <v>1</v>
      </c>
      <c r="K73" s="3" t="s">
        <v>6</v>
      </c>
      <c r="L73" s="3"/>
      <c r="M73" s="3" t="s">
        <v>385</v>
      </c>
      <c r="N73" s="3"/>
      <c r="O73" s="3"/>
      <c r="P73" s="3"/>
      <c r="Q73" s="3"/>
      <c r="R73" s="145">
        <v>14</v>
      </c>
      <c r="S73" s="30"/>
      <c r="T73" s="30"/>
      <c r="U73" s="30"/>
      <c r="V73" s="30"/>
      <c r="W73" s="34"/>
      <c r="X73" s="34"/>
      <c r="Y73" s="34"/>
      <c r="Z73" s="34"/>
      <c r="AA73" s="35"/>
      <c r="AB73" s="34"/>
      <c r="AC73" s="30"/>
      <c r="AD73" s="30"/>
      <c r="AE73" s="30"/>
      <c r="AF73" s="3"/>
      <c r="AG73" s="3"/>
      <c r="AH73" s="3"/>
      <c r="AI73" s="3"/>
      <c r="AJ73" s="3"/>
      <c r="AK73" s="160"/>
      <c r="AL73" s="3" t="s">
        <v>1</v>
      </c>
      <c r="AM73" s="170"/>
      <c r="AN73" s="3"/>
    </row>
    <row r="74" spans="1:40" ht="15" x14ac:dyDescent="0.15">
      <c r="A74" s="142">
        <v>73</v>
      </c>
      <c r="B74" s="26" t="s">
        <v>231</v>
      </c>
      <c r="C74" s="24">
        <v>14</v>
      </c>
      <c r="D74" s="25">
        <v>4.16</v>
      </c>
      <c r="E74" s="147" t="s">
        <v>75</v>
      </c>
      <c r="F74" s="147"/>
      <c r="G74" s="3" t="s">
        <v>383</v>
      </c>
      <c r="H74" s="3" t="s">
        <v>4</v>
      </c>
      <c r="I74" s="3" t="s">
        <v>5</v>
      </c>
      <c r="J74" s="149">
        <v>1</v>
      </c>
      <c r="K74" s="3" t="s">
        <v>6</v>
      </c>
      <c r="L74" s="3"/>
      <c r="M74" s="3" t="s">
        <v>386</v>
      </c>
      <c r="N74" s="3"/>
      <c r="O74" s="3"/>
      <c r="P74" s="3"/>
      <c r="Q74" s="3"/>
      <c r="R74" s="145">
        <v>14</v>
      </c>
      <c r="S74" s="30"/>
      <c r="T74" s="30"/>
      <c r="U74" s="30"/>
      <c r="V74" s="30"/>
      <c r="W74" s="34"/>
      <c r="X74" s="34"/>
      <c r="Y74" s="34"/>
      <c r="Z74" s="34"/>
      <c r="AA74" s="35"/>
      <c r="AB74" s="34"/>
      <c r="AC74" s="30"/>
      <c r="AD74" s="30"/>
      <c r="AE74" s="30"/>
      <c r="AF74" s="3"/>
      <c r="AG74" s="3"/>
      <c r="AH74" s="3"/>
      <c r="AI74" s="3"/>
      <c r="AJ74" s="3"/>
      <c r="AK74" s="160"/>
      <c r="AL74" s="3" t="s">
        <v>1</v>
      </c>
      <c r="AM74" s="170"/>
      <c r="AN74" s="3"/>
    </row>
    <row r="75" spans="1:40" ht="15" x14ac:dyDescent="0.15">
      <c r="A75" s="142">
        <v>74</v>
      </c>
      <c r="B75" s="26" t="s">
        <v>231</v>
      </c>
      <c r="C75" s="24">
        <v>14</v>
      </c>
      <c r="D75" s="25">
        <v>4.16</v>
      </c>
      <c r="E75" s="147" t="s">
        <v>75</v>
      </c>
      <c r="F75" s="147"/>
      <c r="G75" s="3" t="s">
        <v>383</v>
      </c>
      <c r="H75" s="3" t="s">
        <v>4</v>
      </c>
      <c r="I75" s="3" t="s">
        <v>5</v>
      </c>
      <c r="J75" s="149">
        <v>1</v>
      </c>
      <c r="K75" s="3" t="s">
        <v>6</v>
      </c>
      <c r="L75" s="3"/>
      <c r="M75" s="3" t="s">
        <v>387</v>
      </c>
      <c r="N75" s="3"/>
      <c r="O75" s="3"/>
      <c r="P75" s="3"/>
      <c r="Q75" s="3"/>
      <c r="R75" s="145">
        <v>14</v>
      </c>
      <c r="S75" s="30"/>
      <c r="T75" s="30"/>
      <c r="U75" s="30"/>
      <c r="V75" s="30"/>
      <c r="W75" s="34"/>
      <c r="X75" s="34"/>
      <c r="Y75" s="34"/>
      <c r="Z75" s="34"/>
      <c r="AA75" s="35"/>
      <c r="AB75" s="34"/>
      <c r="AC75" s="30"/>
      <c r="AD75" s="30"/>
      <c r="AE75" s="30"/>
      <c r="AF75" s="3"/>
      <c r="AG75" s="3"/>
      <c r="AH75" s="3"/>
      <c r="AI75" s="3"/>
      <c r="AJ75" s="3"/>
      <c r="AK75" s="160"/>
      <c r="AL75" s="3" t="s">
        <v>1</v>
      </c>
      <c r="AM75" s="170"/>
      <c r="AN75" s="3"/>
    </row>
    <row r="76" spans="1:40" ht="15" x14ac:dyDescent="0.15">
      <c r="A76" s="142">
        <v>75</v>
      </c>
      <c r="B76" s="146"/>
      <c r="C76" s="24">
        <v>14</v>
      </c>
      <c r="D76" s="25">
        <v>4.16</v>
      </c>
      <c r="E76" s="147" t="s">
        <v>75</v>
      </c>
      <c r="F76" s="147"/>
      <c r="G76" s="3" t="s">
        <v>383</v>
      </c>
      <c r="H76" s="3" t="s">
        <v>4</v>
      </c>
      <c r="I76" s="3" t="s">
        <v>5</v>
      </c>
      <c r="J76" s="149">
        <v>1</v>
      </c>
      <c r="K76" s="3" t="s">
        <v>6</v>
      </c>
      <c r="L76" s="3"/>
      <c r="M76" s="3" t="s">
        <v>387</v>
      </c>
      <c r="N76" s="3"/>
      <c r="O76" s="3"/>
      <c r="P76" s="3"/>
      <c r="Q76" s="3"/>
      <c r="R76" s="145">
        <v>14</v>
      </c>
      <c r="S76" s="30"/>
      <c r="T76" s="30"/>
      <c r="U76" s="30"/>
      <c r="V76" s="30"/>
      <c r="W76" s="34"/>
      <c r="X76" s="34"/>
      <c r="Y76" s="34"/>
      <c r="Z76" s="34"/>
      <c r="AA76" s="35"/>
      <c r="AB76" s="34"/>
      <c r="AC76" s="30"/>
      <c r="AD76" s="30"/>
      <c r="AE76" s="30"/>
      <c r="AF76" s="3"/>
      <c r="AG76" s="3"/>
      <c r="AH76" s="3"/>
      <c r="AI76" s="3"/>
      <c r="AJ76" s="3"/>
      <c r="AK76" s="160"/>
      <c r="AL76" s="3"/>
      <c r="AM76" s="170"/>
      <c r="AN76" s="3"/>
    </row>
    <row r="77" spans="1:40" ht="15" x14ac:dyDescent="0.15">
      <c r="A77" s="142">
        <v>76</v>
      </c>
      <c r="B77" s="146"/>
      <c r="C77" s="24">
        <v>14</v>
      </c>
      <c r="D77" s="25">
        <v>4.16</v>
      </c>
      <c r="E77" s="147" t="s">
        <v>75</v>
      </c>
      <c r="F77" s="147"/>
      <c r="G77" s="3" t="s">
        <v>383</v>
      </c>
      <c r="H77" s="3" t="s">
        <v>4</v>
      </c>
      <c r="I77" s="3" t="s">
        <v>5</v>
      </c>
      <c r="J77" s="149">
        <v>1</v>
      </c>
      <c r="K77" s="3" t="s">
        <v>6</v>
      </c>
      <c r="L77" s="3"/>
      <c r="M77" s="3" t="s">
        <v>387</v>
      </c>
      <c r="N77" s="3"/>
      <c r="O77" s="3"/>
      <c r="P77" s="3"/>
      <c r="Q77" s="3"/>
      <c r="R77" s="145">
        <v>14</v>
      </c>
      <c r="S77" s="30"/>
      <c r="T77" s="30"/>
      <c r="U77" s="30"/>
      <c r="V77" s="30"/>
      <c r="W77" s="34"/>
      <c r="X77" s="34"/>
      <c r="Y77" s="34"/>
      <c r="Z77" s="34"/>
      <c r="AA77" s="35"/>
      <c r="AB77" s="34"/>
      <c r="AC77" s="30"/>
      <c r="AD77" s="30"/>
      <c r="AE77" s="30"/>
      <c r="AF77" s="3"/>
      <c r="AG77" s="3"/>
      <c r="AH77" s="3"/>
      <c r="AI77" s="3"/>
      <c r="AJ77" s="3"/>
      <c r="AK77" s="3"/>
      <c r="AL77" s="3"/>
      <c r="AM77" s="3"/>
      <c r="AN77" s="3"/>
    </row>
    <row r="78" spans="1:40" ht="15" x14ac:dyDescent="0.15">
      <c r="A78" s="142">
        <v>77</v>
      </c>
      <c r="B78" s="146"/>
      <c r="C78" s="24">
        <v>14</v>
      </c>
      <c r="D78" s="25">
        <v>4.16</v>
      </c>
      <c r="E78" s="147" t="s">
        <v>75</v>
      </c>
      <c r="F78" s="147"/>
      <c r="G78" s="3" t="s">
        <v>383</v>
      </c>
      <c r="H78" s="3" t="s">
        <v>4</v>
      </c>
      <c r="I78" s="3" t="s">
        <v>5</v>
      </c>
      <c r="J78" s="149">
        <v>1</v>
      </c>
      <c r="K78" s="3" t="s">
        <v>6</v>
      </c>
      <c r="L78" s="3"/>
      <c r="M78" s="3" t="s">
        <v>387</v>
      </c>
      <c r="N78" s="3"/>
      <c r="O78" s="3"/>
      <c r="P78" s="3"/>
      <c r="Q78" s="3"/>
      <c r="R78" s="145">
        <v>14</v>
      </c>
      <c r="S78" s="30"/>
      <c r="T78" s="30"/>
      <c r="U78" s="30"/>
      <c r="V78" s="30"/>
      <c r="W78" s="34"/>
      <c r="X78" s="34"/>
      <c r="Y78" s="34"/>
      <c r="Z78" s="34"/>
      <c r="AA78" s="35"/>
      <c r="AB78" s="34"/>
      <c r="AC78" s="30"/>
      <c r="AD78" s="30"/>
      <c r="AE78" s="30"/>
      <c r="AF78" s="3"/>
      <c r="AG78" s="3"/>
      <c r="AH78" s="3"/>
      <c r="AI78" s="3"/>
      <c r="AJ78" s="3"/>
      <c r="AK78" s="3"/>
      <c r="AL78" s="3"/>
      <c r="AM78" s="3"/>
      <c r="AN78" s="3"/>
    </row>
    <row r="79" spans="1:40" ht="15" x14ac:dyDescent="0.15">
      <c r="A79" s="142">
        <v>78</v>
      </c>
      <c r="B79" s="146"/>
      <c r="C79" s="24">
        <v>14</v>
      </c>
      <c r="D79" s="25">
        <v>4.16</v>
      </c>
      <c r="E79" s="147" t="s">
        <v>75</v>
      </c>
      <c r="F79" s="147"/>
      <c r="G79" s="3" t="s">
        <v>383</v>
      </c>
      <c r="H79" s="3" t="s">
        <v>4</v>
      </c>
      <c r="I79" s="3" t="s">
        <v>5</v>
      </c>
      <c r="J79" s="149">
        <v>1</v>
      </c>
      <c r="K79" s="3" t="s">
        <v>6</v>
      </c>
      <c r="L79" s="3"/>
      <c r="M79" s="3" t="s">
        <v>387</v>
      </c>
      <c r="N79" s="3"/>
      <c r="O79" s="3"/>
      <c r="P79" s="3"/>
      <c r="Q79" s="3"/>
      <c r="R79" s="145">
        <v>14</v>
      </c>
      <c r="S79" s="30"/>
      <c r="T79" s="30"/>
      <c r="U79" s="30"/>
      <c r="V79" s="30"/>
      <c r="W79" s="34"/>
      <c r="X79" s="34"/>
      <c r="Y79" s="34"/>
      <c r="Z79" s="34"/>
      <c r="AA79" s="35"/>
      <c r="AB79" s="34"/>
      <c r="AC79" s="30"/>
      <c r="AD79" s="30"/>
      <c r="AE79" s="30"/>
      <c r="AF79" s="3"/>
      <c r="AG79" s="3"/>
      <c r="AH79" s="3"/>
      <c r="AI79" s="3"/>
      <c r="AJ79" s="3"/>
      <c r="AK79" s="3"/>
      <c r="AL79" s="3"/>
      <c r="AM79" s="3"/>
      <c r="AN79" s="3"/>
    </row>
    <row r="80" spans="1:40" ht="15" x14ac:dyDescent="0.15">
      <c r="A80" s="142">
        <v>79</v>
      </c>
      <c r="B80" s="146"/>
      <c r="C80" s="24">
        <v>16</v>
      </c>
      <c r="D80" s="25">
        <v>4.2300000000000004</v>
      </c>
      <c r="E80" s="148">
        <v>4.3</v>
      </c>
      <c r="F80" s="147"/>
      <c r="G80" s="3" t="s">
        <v>388</v>
      </c>
      <c r="H80" s="3" t="s">
        <v>4</v>
      </c>
      <c r="I80" s="3" t="s">
        <v>5</v>
      </c>
      <c r="J80" s="149">
        <v>1</v>
      </c>
      <c r="K80" s="3" t="s">
        <v>6</v>
      </c>
      <c r="L80" s="3"/>
      <c r="M80" s="3" t="s">
        <v>389</v>
      </c>
      <c r="N80" s="3"/>
      <c r="O80" s="3"/>
      <c r="P80" s="3"/>
      <c r="Q80" s="3"/>
      <c r="R80" s="145">
        <v>14</v>
      </c>
      <c r="S80" s="30"/>
      <c r="T80" s="30"/>
      <c r="U80" s="30"/>
      <c r="V80" s="30"/>
      <c r="W80" s="34"/>
      <c r="X80" s="34"/>
      <c r="Y80" s="34"/>
      <c r="Z80" s="34"/>
      <c r="AA80" s="35"/>
      <c r="AB80" s="34"/>
      <c r="AC80" s="30"/>
      <c r="AD80" s="30"/>
      <c r="AE80" s="30"/>
      <c r="AF80" s="3"/>
      <c r="AG80" s="3"/>
      <c r="AH80" s="3"/>
      <c r="AI80" s="3"/>
      <c r="AJ80" s="3"/>
      <c r="AK80" s="3"/>
      <c r="AL80" s="3"/>
      <c r="AM80" s="3"/>
      <c r="AN80" s="3"/>
    </row>
    <row r="81" spans="1:40" ht="15" x14ac:dyDescent="0.15">
      <c r="A81" s="142">
        <v>80</v>
      </c>
      <c r="B81" s="146"/>
      <c r="C81" s="24">
        <v>16</v>
      </c>
      <c r="D81" s="25">
        <v>4.2300000000000004</v>
      </c>
      <c r="E81" s="148">
        <v>4.3</v>
      </c>
      <c r="F81" s="147"/>
      <c r="G81" s="3" t="s">
        <v>388</v>
      </c>
      <c r="H81" s="3" t="s">
        <v>4</v>
      </c>
      <c r="I81" s="3" t="s">
        <v>5</v>
      </c>
      <c r="J81" s="149">
        <v>1</v>
      </c>
      <c r="K81" s="3" t="s">
        <v>6</v>
      </c>
      <c r="L81" s="3"/>
      <c r="M81" s="3" t="s">
        <v>390</v>
      </c>
      <c r="N81" s="3"/>
      <c r="O81" s="3"/>
      <c r="P81" s="3"/>
      <c r="Q81" s="3"/>
      <c r="R81" s="145">
        <v>14</v>
      </c>
      <c r="S81" s="30"/>
      <c r="T81" s="30"/>
      <c r="U81" s="30"/>
      <c r="V81" s="30"/>
      <c r="W81" s="34"/>
      <c r="X81" s="34"/>
      <c r="Y81" s="34"/>
      <c r="Z81" s="34"/>
      <c r="AA81" s="35"/>
      <c r="AB81" s="34"/>
      <c r="AC81" s="30"/>
      <c r="AD81" s="30"/>
      <c r="AE81" s="30"/>
      <c r="AF81" s="3"/>
      <c r="AG81" s="3"/>
      <c r="AH81" s="3"/>
      <c r="AI81" s="3"/>
      <c r="AJ81" s="3"/>
      <c r="AK81" s="3"/>
      <c r="AL81" s="3"/>
      <c r="AM81" s="3"/>
      <c r="AN81" s="3"/>
    </row>
    <row r="82" spans="1:40" ht="15" x14ac:dyDescent="0.15">
      <c r="A82" s="142">
        <v>81</v>
      </c>
      <c r="B82" s="146"/>
      <c r="C82" s="24">
        <v>16</v>
      </c>
      <c r="D82" s="25">
        <v>4.2300000000000004</v>
      </c>
      <c r="E82" s="148">
        <v>4.3</v>
      </c>
      <c r="F82" s="147"/>
      <c r="G82" s="3" t="s">
        <v>388</v>
      </c>
      <c r="H82" s="3" t="s">
        <v>4</v>
      </c>
      <c r="I82" s="3" t="s">
        <v>5</v>
      </c>
      <c r="J82" s="149">
        <v>1</v>
      </c>
      <c r="K82" s="3" t="s">
        <v>6</v>
      </c>
      <c r="L82" s="3"/>
      <c r="M82" s="3" t="s">
        <v>391</v>
      </c>
      <c r="N82" s="3"/>
      <c r="O82" s="3"/>
      <c r="P82" s="3"/>
      <c r="Q82" s="3"/>
      <c r="R82" s="145">
        <v>14</v>
      </c>
      <c r="S82" s="30"/>
      <c r="T82" s="30"/>
      <c r="U82" s="30"/>
      <c r="V82" s="30"/>
      <c r="W82" s="34"/>
      <c r="X82" s="34"/>
      <c r="Y82" s="34"/>
      <c r="Z82" s="34"/>
      <c r="AA82" s="35"/>
      <c r="AB82" s="34"/>
      <c r="AC82" s="30"/>
      <c r="AD82" s="30"/>
      <c r="AE82" s="30"/>
      <c r="AF82" s="3"/>
      <c r="AG82" s="3"/>
      <c r="AH82" s="3"/>
      <c r="AI82" s="3"/>
      <c r="AJ82" s="3"/>
      <c r="AK82" s="3"/>
      <c r="AL82" s="3"/>
      <c r="AM82" s="3"/>
      <c r="AN82" s="3"/>
    </row>
    <row r="83" spans="1:40" ht="15" x14ac:dyDescent="0.15">
      <c r="A83" s="142">
        <v>82</v>
      </c>
      <c r="B83" s="146"/>
      <c r="C83" s="24">
        <v>16</v>
      </c>
      <c r="D83" s="25">
        <v>4.2300000000000004</v>
      </c>
      <c r="E83" s="148">
        <v>4.3</v>
      </c>
      <c r="F83" s="147"/>
      <c r="G83" s="3" t="s">
        <v>388</v>
      </c>
      <c r="H83" s="3" t="s">
        <v>4</v>
      </c>
      <c r="I83" s="3" t="s">
        <v>5</v>
      </c>
      <c r="J83" s="149">
        <v>1</v>
      </c>
      <c r="K83" s="3" t="s">
        <v>6</v>
      </c>
      <c r="L83" s="3"/>
      <c r="M83" s="3" t="s">
        <v>392</v>
      </c>
      <c r="N83" s="3"/>
      <c r="O83" s="3"/>
      <c r="P83" s="3"/>
      <c r="Q83" s="3"/>
      <c r="R83" s="145">
        <v>14</v>
      </c>
      <c r="S83" s="30"/>
      <c r="T83" s="30"/>
      <c r="U83" s="30"/>
      <c r="V83" s="30"/>
      <c r="W83" s="34"/>
      <c r="X83" s="34"/>
      <c r="Y83" s="34"/>
      <c r="Z83" s="34"/>
      <c r="AA83" s="35"/>
      <c r="AB83" s="34"/>
      <c r="AC83" s="30"/>
      <c r="AD83" s="30"/>
      <c r="AE83" s="30"/>
      <c r="AF83" s="3"/>
      <c r="AG83" s="3"/>
      <c r="AH83" s="3"/>
      <c r="AI83" s="3"/>
      <c r="AJ83" s="3"/>
      <c r="AK83" s="3"/>
      <c r="AL83" s="3"/>
      <c r="AM83" s="3"/>
      <c r="AN83" s="3"/>
    </row>
  </sheetData>
  <autoFilter ref="A1:AN71" xr:uid="{00000000-0009-0000-0000-000000000000}"/>
  <phoneticPr fontId="20" type="noConversion"/>
  <pageMargins left="0.75" right="0.75" top="1" bottom="1" header="0.5" footer="0.5"/>
  <pageSetup scale="34" orientation="landscape" r:id="rId1"/>
  <ignoredErrors>
    <ignoredError sqref="V9 AD13 AD34 Z4 Z34 AD5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"/>
  <sheetViews>
    <sheetView workbookViewId="0">
      <selection activeCell="B10" sqref="A8:B10"/>
    </sheetView>
  </sheetViews>
  <sheetFormatPr defaultColWidth="9" defaultRowHeight="12.75" x14ac:dyDescent="0.15"/>
  <cols>
    <col min="1" max="1" width="10.125" style="2" bestFit="1" customWidth="1"/>
    <col min="2" max="2" width="9.625" style="2" customWidth="1"/>
    <col min="3" max="3" width="12" style="2" customWidth="1"/>
    <col min="4" max="4" width="8.75" style="2" bestFit="1" customWidth="1"/>
    <col min="5" max="5" width="11.375" style="2" customWidth="1"/>
    <col min="6" max="6" width="10.25" style="2" bestFit="1" customWidth="1"/>
    <col min="7" max="7" width="8.375" style="2" customWidth="1"/>
    <col min="8" max="8" width="15" style="2" customWidth="1"/>
    <col min="9" max="9" width="6.625" style="2" customWidth="1"/>
    <col min="10" max="10" width="10" style="2" bestFit="1" customWidth="1"/>
    <col min="11" max="11" width="6.625" style="2" customWidth="1"/>
    <col min="12" max="12" width="14.625" style="2" customWidth="1"/>
    <col min="13" max="16384" width="9" style="2"/>
  </cols>
  <sheetData>
    <row r="1" spans="1:12" s="7" customFormat="1" x14ac:dyDescent="0.15">
      <c r="A1" s="10" t="s">
        <v>201</v>
      </c>
      <c r="B1" s="10" t="s">
        <v>129</v>
      </c>
      <c r="C1" s="10" t="s">
        <v>200</v>
      </c>
      <c r="D1" s="10" t="s">
        <v>199</v>
      </c>
      <c r="E1" s="10" t="s">
        <v>1</v>
      </c>
      <c r="F1" s="10" t="s">
        <v>1</v>
      </c>
      <c r="G1" s="10" t="s">
        <v>202</v>
      </c>
      <c r="H1" s="10" t="s">
        <v>197</v>
      </c>
      <c r="I1" s="10" t="s">
        <v>195</v>
      </c>
      <c r="J1" s="10" t="s">
        <v>196</v>
      </c>
      <c r="K1" s="10" t="s">
        <v>198</v>
      </c>
      <c r="L1" s="10" t="s">
        <v>193</v>
      </c>
    </row>
    <row r="2" spans="1:12" ht="15.75" x14ac:dyDescent="0.15">
      <c r="A2" s="3" t="s">
        <v>192</v>
      </c>
      <c r="B2" s="3" t="s">
        <v>153</v>
      </c>
      <c r="C2" s="3" t="s">
        <v>95</v>
      </c>
      <c r="D2" s="3" t="s">
        <v>147</v>
      </c>
      <c r="E2" s="3" t="s">
        <v>161</v>
      </c>
      <c r="F2" s="3" t="s">
        <v>160</v>
      </c>
      <c r="G2" s="11">
        <v>44588</v>
      </c>
      <c r="H2" s="3" t="s">
        <v>93</v>
      </c>
      <c r="I2" s="3" t="s">
        <v>4</v>
      </c>
      <c r="J2" s="3" t="s">
        <v>5</v>
      </c>
      <c r="K2" s="3" t="s">
        <v>6</v>
      </c>
      <c r="L2" s="9" t="s">
        <v>204</v>
      </c>
    </row>
    <row r="3" spans="1:12" ht="15.75" x14ac:dyDescent="0.15">
      <c r="A3" s="3" t="s">
        <v>172</v>
      </c>
      <c r="B3" s="3" t="s">
        <v>152</v>
      </c>
      <c r="C3" s="3" t="s">
        <v>97</v>
      </c>
      <c r="D3" s="3" t="s">
        <v>149</v>
      </c>
      <c r="E3" s="3" t="s">
        <v>28</v>
      </c>
      <c r="F3" s="3" t="s">
        <v>21</v>
      </c>
      <c r="G3" s="11">
        <v>44588</v>
      </c>
      <c r="H3" s="3" t="s">
        <v>93</v>
      </c>
      <c r="I3" s="3" t="s">
        <v>4</v>
      </c>
      <c r="J3" s="3" t="s">
        <v>5</v>
      </c>
      <c r="K3" s="3" t="s">
        <v>96</v>
      </c>
      <c r="L3" s="9" t="s">
        <v>194</v>
      </c>
    </row>
    <row r="4" spans="1:12" ht="15.75" x14ac:dyDescent="0.15">
      <c r="A4" s="3" t="s">
        <v>172</v>
      </c>
      <c r="B4" s="3" t="s">
        <v>151</v>
      </c>
      <c r="C4" s="3" t="s">
        <v>98</v>
      </c>
      <c r="D4" s="3" t="s">
        <v>150</v>
      </c>
      <c r="E4" s="3" t="s">
        <v>28</v>
      </c>
      <c r="F4" s="3" t="s">
        <v>21</v>
      </c>
      <c r="G4" s="11">
        <v>44588</v>
      </c>
      <c r="H4" s="3" t="s">
        <v>93</v>
      </c>
      <c r="I4" s="3" t="s">
        <v>4</v>
      </c>
      <c r="J4" s="3" t="s">
        <v>5</v>
      </c>
      <c r="K4" s="3" t="s">
        <v>96</v>
      </c>
      <c r="L4" s="9" t="s">
        <v>194</v>
      </c>
    </row>
    <row r="5" spans="1:12" ht="15.75" x14ac:dyDescent="0.15">
      <c r="A5" s="3" t="s">
        <v>2</v>
      </c>
      <c r="B5" s="3" t="s">
        <v>168</v>
      </c>
      <c r="C5" s="3" t="s">
        <v>113</v>
      </c>
      <c r="D5" s="3" t="s">
        <v>169</v>
      </c>
      <c r="E5" s="3" t="s">
        <v>28</v>
      </c>
      <c r="F5" s="3" t="s">
        <v>21</v>
      </c>
      <c r="G5" s="11">
        <v>44588</v>
      </c>
      <c r="H5" s="3" t="s">
        <v>93</v>
      </c>
      <c r="I5" s="3" t="s">
        <v>4</v>
      </c>
      <c r="J5" s="3" t="s">
        <v>5</v>
      </c>
      <c r="K5" s="3" t="s">
        <v>6</v>
      </c>
      <c r="L5" s="9" t="s">
        <v>194</v>
      </c>
    </row>
    <row r="6" spans="1:12" ht="15.75" x14ac:dyDescent="0.15">
      <c r="A6" s="3" t="s">
        <v>203</v>
      </c>
      <c r="B6" s="3" t="s">
        <v>164</v>
      </c>
      <c r="C6" s="3" t="s">
        <v>114</v>
      </c>
      <c r="D6" s="3" t="s">
        <v>165</v>
      </c>
      <c r="E6" s="3" t="s">
        <v>25</v>
      </c>
      <c r="F6" s="3" t="s">
        <v>23</v>
      </c>
      <c r="G6" s="11">
        <v>44588</v>
      </c>
      <c r="H6" s="3" t="s">
        <v>93</v>
      </c>
      <c r="I6" s="3" t="s">
        <v>4</v>
      </c>
      <c r="J6" s="3" t="s">
        <v>5</v>
      </c>
      <c r="K6" s="3" t="s">
        <v>96</v>
      </c>
      <c r="L6" s="9" t="s">
        <v>204</v>
      </c>
    </row>
    <row r="7" spans="1:12" ht="15.75" x14ac:dyDescent="0.15">
      <c r="A7" s="3" t="s">
        <v>190</v>
      </c>
      <c r="B7" s="3" t="s">
        <v>170</v>
      </c>
      <c r="C7" s="3" t="s">
        <v>115</v>
      </c>
      <c r="D7" s="3" t="s">
        <v>171</v>
      </c>
      <c r="E7" s="3" t="s">
        <v>28</v>
      </c>
      <c r="F7" s="3" t="s">
        <v>21</v>
      </c>
      <c r="G7" s="11">
        <v>44588</v>
      </c>
      <c r="H7" s="3" t="s">
        <v>93</v>
      </c>
      <c r="I7" s="3" t="s">
        <v>4</v>
      </c>
      <c r="J7" s="3" t="s">
        <v>5</v>
      </c>
      <c r="K7" s="3" t="s">
        <v>96</v>
      </c>
      <c r="L7" s="9" t="s">
        <v>194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1"/>
  <sheetViews>
    <sheetView topLeftCell="A7" workbookViewId="0">
      <selection activeCell="F11" sqref="A11:F11"/>
    </sheetView>
  </sheetViews>
  <sheetFormatPr defaultColWidth="9" defaultRowHeight="12.75" x14ac:dyDescent="0.25"/>
  <cols>
    <col min="1" max="1" width="3" style="14" customWidth="1"/>
    <col min="2" max="2" width="10.75" style="14" customWidth="1"/>
    <col min="3" max="3" width="8.25" style="14" customWidth="1"/>
    <col min="4" max="4" width="12.25" style="14" customWidth="1"/>
    <col min="5" max="5" width="16.875" style="14" customWidth="1"/>
    <col min="6" max="6" width="5.375" style="14" bestFit="1" customWidth="1"/>
    <col min="7" max="7" width="10" style="14" bestFit="1" customWidth="1"/>
    <col min="8" max="8" width="6.25" style="14" customWidth="1"/>
    <col min="9" max="9" width="12.5" style="14" customWidth="1"/>
    <col min="10" max="10" width="17.375" style="14" customWidth="1"/>
    <col min="11" max="11" width="11.375" style="14" customWidth="1"/>
    <col min="12" max="12" width="6.75" style="14" customWidth="1"/>
    <col min="13" max="14" width="11.5" style="14" bestFit="1" customWidth="1"/>
    <col min="15" max="15" width="5.75" style="20" bestFit="1" customWidth="1"/>
    <col min="16" max="16" width="5.625" style="20" bestFit="1" customWidth="1"/>
    <col min="17" max="17" width="11.25" style="14" bestFit="1" customWidth="1"/>
    <col min="18" max="18" width="9.5" style="14" bestFit="1" customWidth="1"/>
    <col min="19" max="19" width="4.125" style="14" bestFit="1" customWidth="1"/>
    <col min="20" max="16384" width="9" style="14"/>
  </cols>
  <sheetData>
    <row r="1" spans="1:26" x14ac:dyDescent="0.25">
      <c r="B1" s="12" t="s">
        <v>201</v>
      </c>
      <c r="C1" s="12" t="s">
        <v>46</v>
      </c>
      <c r="D1" s="12" t="s">
        <v>1</v>
      </c>
      <c r="E1" s="12" t="s">
        <v>197</v>
      </c>
      <c r="F1" s="1" t="s">
        <v>195</v>
      </c>
      <c r="G1" s="1" t="s">
        <v>196</v>
      </c>
      <c r="H1" s="1" t="s">
        <v>198</v>
      </c>
      <c r="I1" s="12" t="s">
        <v>248</v>
      </c>
      <c r="J1" s="12" t="s">
        <v>1</v>
      </c>
      <c r="K1" s="12" t="s">
        <v>238</v>
      </c>
      <c r="L1" s="12" t="s">
        <v>239</v>
      </c>
      <c r="M1" s="12" t="s">
        <v>233</v>
      </c>
      <c r="N1" s="12" t="s">
        <v>234</v>
      </c>
      <c r="O1" s="19" t="s">
        <v>235</v>
      </c>
      <c r="P1" s="19" t="s">
        <v>236</v>
      </c>
      <c r="Q1" s="12" t="s">
        <v>103</v>
      </c>
      <c r="R1" s="12" t="s">
        <v>104</v>
      </c>
      <c r="S1" s="13" t="s">
        <v>232</v>
      </c>
    </row>
    <row r="2" spans="1:26" x14ac:dyDescent="0.25">
      <c r="A2" s="41">
        <v>10</v>
      </c>
      <c r="B2" s="48" t="s">
        <v>240</v>
      </c>
      <c r="C2" s="49">
        <v>44602</v>
      </c>
      <c r="D2" s="50" t="s">
        <v>1</v>
      </c>
      <c r="E2" s="48" t="s">
        <v>116</v>
      </c>
      <c r="F2" s="48" t="s">
        <v>4</v>
      </c>
      <c r="G2" s="48" t="s">
        <v>5</v>
      </c>
      <c r="H2" s="48" t="s">
        <v>6</v>
      </c>
      <c r="I2" s="48" t="s">
        <v>117</v>
      </c>
      <c r="J2" s="48" t="s">
        <v>28</v>
      </c>
      <c r="K2" s="48" t="s">
        <v>212</v>
      </c>
      <c r="L2" s="48" t="s">
        <v>8</v>
      </c>
      <c r="M2" s="51">
        <v>400</v>
      </c>
      <c r="N2" s="52" t="s">
        <v>237</v>
      </c>
      <c r="O2" s="53">
        <v>16200</v>
      </c>
      <c r="P2" s="53">
        <f t="shared" ref="P2:P5" si="0">O2+M2+425</f>
        <v>17025</v>
      </c>
      <c r="Q2" s="54"/>
      <c r="R2" s="54"/>
      <c r="S2" s="48" t="s">
        <v>1</v>
      </c>
      <c r="T2" s="16"/>
      <c r="U2" s="16"/>
      <c r="V2" s="16"/>
      <c r="W2" s="16"/>
      <c r="X2" s="16"/>
      <c r="Y2" s="16"/>
      <c r="Z2" s="16"/>
    </row>
    <row r="3" spans="1:26" x14ac:dyDescent="0.25">
      <c r="A3" s="41">
        <v>11</v>
      </c>
      <c r="B3" s="48" t="s">
        <v>240</v>
      </c>
      <c r="C3" s="49">
        <v>44602</v>
      </c>
      <c r="D3" s="50" t="s">
        <v>1</v>
      </c>
      <c r="E3" s="48" t="s">
        <v>116</v>
      </c>
      <c r="F3" s="48" t="s">
        <v>4</v>
      </c>
      <c r="G3" s="48" t="s">
        <v>5</v>
      </c>
      <c r="H3" s="48" t="s">
        <v>6</v>
      </c>
      <c r="I3" s="48" t="s">
        <v>118</v>
      </c>
      <c r="J3" s="48" t="s">
        <v>28</v>
      </c>
      <c r="K3" s="48" t="s">
        <v>214</v>
      </c>
      <c r="L3" s="48" t="s">
        <v>8</v>
      </c>
      <c r="M3" s="51">
        <v>400</v>
      </c>
      <c r="N3" s="52" t="s">
        <v>237</v>
      </c>
      <c r="O3" s="53">
        <v>16200</v>
      </c>
      <c r="P3" s="53">
        <f t="shared" si="0"/>
        <v>17025</v>
      </c>
      <c r="Q3" s="54"/>
      <c r="R3" s="54"/>
      <c r="S3" s="48" t="s">
        <v>1</v>
      </c>
      <c r="T3" s="16"/>
      <c r="U3" s="16"/>
      <c r="V3" s="16"/>
      <c r="W3" s="16"/>
      <c r="X3" s="16"/>
      <c r="Y3" s="16"/>
      <c r="Z3" s="16"/>
    </row>
    <row r="4" spans="1:26" x14ac:dyDescent="0.25">
      <c r="A4" s="41">
        <v>12</v>
      </c>
      <c r="B4" s="48" t="s">
        <v>240</v>
      </c>
      <c r="C4" s="49">
        <v>44602</v>
      </c>
      <c r="D4" s="50" t="s">
        <v>1</v>
      </c>
      <c r="E4" s="48" t="s">
        <v>116</v>
      </c>
      <c r="F4" s="48" t="s">
        <v>4</v>
      </c>
      <c r="G4" s="48" t="s">
        <v>5</v>
      </c>
      <c r="H4" s="48" t="s">
        <v>6</v>
      </c>
      <c r="I4" s="48" t="s">
        <v>143</v>
      </c>
      <c r="J4" s="48" t="s">
        <v>28</v>
      </c>
      <c r="K4" s="48" t="s">
        <v>218</v>
      </c>
      <c r="L4" s="48" t="s">
        <v>8</v>
      </c>
      <c r="M4" s="51">
        <v>400</v>
      </c>
      <c r="N4" s="52" t="s">
        <v>237</v>
      </c>
      <c r="O4" s="53">
        <v>16200</v>
      </c>
      <c r="P4" s="53">
        <f t="shared" si="0"/>
        <v>17025</v>
      </c>
      <c r="Q4" s="54"/>
      <c r="R4" s="54"/>
      <c r="S4" s="48" t="s">
        <v>1</v>
      </c>
      <c r="T4" s="17"/>
      <c r="U4" s="17"/>
      <c r="V4" s="17"/>
      <c r="W4" s="17"/>
      <c r="X4" s="17"/>
      <c r="Y4" s="17"/>
      <c r="Z4" s="17"/>
    </row>
    <row r="5" spans="1:26" x14ac:dyDescent="0.25">
      <c r="A5" s="41">
        <v>13</v>
      </c>
      <c r="B5" s="48" t="s">
        <v>240</v>
      </c>
      <c r="C5" s="49">
        <v>44602</v>
      </c>
      <c r="D5" s="50" t="s">
        <v>1</v>
      </c>
      <c r="E5" s="48" t="s">
        <v>116</v>
      </c>
      <c r="F5" s="48" t="s">
        <v>4</v>
      </c>
      <c r="G5" s="48" t="s">
        <v>5</v>
      </c>
      <c r="H5" s="48" t="s">
        <v>6</v>
      </c>
      <c r="I5" s="48" t="s">
        <v>144</v>
      </c>
      <c r="J5" s="48" t="s">
        <v>28</v>
      </c>
      <c r="K5" s="48" t="s">
        <v>220</v>
      </c>
      <c r="L5" s="48" t="s">
        <v>8</v>
      </c>
      <c r="M5" s="51">
        <v>400</v>
      </c>
      <c r="N5" s="52" t="s">
        <v>237</v>
      </c>
      <c r="O5" s="53">
        <v>16200</v>
      </c>
      <c r="P5" s="53">
        <f t="shared" si="0"/>
        <v>17025</v>
      </c>
      <c r="Q5" s="54"/>
      <c r="R5" s="54"/>
      <c r="S5" s="48" t="s">
        <v>1</v>
      </c>
      <c r="T5" s="17"/>
      <c r="U5" s="17"/>
      <c r="V5" s="17"/>
      <c r="W5" s="17"/>
      <c r="X5" s="17"/>
      <c r="Y5" s="17"/>
      <c r="Z5" s="17"/>
    </row>
    <row r="6" spans="1:26" x14ac:dyDescent="0.25">
      <c r="A6" s="41">
        <v>3</v>
      </c>
      <c r="B6" s="55" t="s">
        <v>192</v>
      </c>
      <c r="C6" s="49">
        <v>44602</v>
      </c>
      <c r="D6" s="55" t="s">
        <v>163</v>
      </c>
      <c r="E6" s="55" t="s">
        <v>116</v>
      </c>
      <c r="F6" s="55" t="s">
        <v>4</v>
      </c>
      <c r="G6" s="55" t="s">
        <v>5</v>
      </c>
      <c r="H6" s="55" t="s">
        <v>96</v>
      </c>
      <c r="I6" s="55" t="s">
        <v>119</v>
      </c>
      <c r="J6" s="55" t="s">
        <v>228</v>
      </c>
      <c r="K6" s="55" t="s">
        <v>216</v>
      </c>
      <c r="L6" s="55" t="s">
        <v>8</v>
      </c>
      <c r="M6" s="51"/>
      <c r="N6" s="56" t="s">
        <v>242</v>
      </c>
      <c r="O6" s="57">
        <v>12500</v>
      </c>
      <c r="P6" s="57">
        <v>13050</v>
      </c>
      <c r="Q6" s="55"/>
      <c r="R6" s="55"/>
      <c r="S6" s="48" t="s">
        <v>1</v>
      </c>
    </row>
    <row r="7" spans="1:26" x14ac:dyDescent="0.25">
      <c r="A7" s="41">
        <v>4</v>
      </c>
      <c r="B7" s="55" t="s">
        <v>192</v>
      </c>
      <c r="C7" s="49">
        <v>44602</v>
      </c>
      <c r="D7" s="55" t="s">
        <v>160</v>
      </c>
      <c r="E7" s="55" t="s">
        <v>116</v>
      </c>
      <c r="F7" s="55" t="s">
        <v>4</v>
      </c>
      <c r="G7" s="55" t="s">
        <v>5</v>
      </c>
      <c r="H7" s="55" t="s">
        <v>96</v>
      </c>
      <c r="I7" s="55" t="s">
        <v>145</v>
      </c>
      <c r="J7" s="55" t="s">
        <v>161</v>
      </c>
      <c r="K7" s="55" t="s">
        <v>222</v>
      </c>
      <c r="L7" s="55" t="s">
        <v>8</v>
      </c>
      <c r="M7" s="51"/>
      <c r="N7" s="56" t="s">
        <v>243</v>
      </c>
      <c r="O7" s="57">
        <v>12500</v>
      </c>
      <c r="P7" s="57">
        <v>12950</v>
      </c>
      <c r="Q7" s="55"/>
      <c r="R7" s="55"/>
      <c r="S7" s="48" t="s">
        <v>1</v>
      </c>
    </row>
    <row r="8" spans="1:26" x14ac:dyDescent="0.25">
      <c r="A8" s="41">
        <v>1</v>
      </c>
      <c r="B8" s="55" t="s">
        <v>230</v>
      </c>
      <c r="C8" s="49">
        <v>44602</v>
      </c>
      <c r="D8" s="55" t="s">
        <v>21</v>
      </c>
      <c r="E8" s="55" t="s">
        <v>116</v>
      </c>
      <c r="F8" s="55" t="s">
        <v>4</v>
      </c>
      <c r="G8" s="55" t="s">
        <v>5</v>
      </c>
      <c r="H8" s="55" t="s">
        <v>96</v>
      </c>
      <c r="I8" s="55" t="s">
        <v>120</v>
      </c>
      <c r="J8" s="55" t="s">
        <v>28</v>
      </c>
      <c r="K8" s="55" t="s">
        <v>224</v>
      </c>
      <c r="L8" s="55" t="s">
        <v>8</v>
      </c>
      <c r="M8" s="51"/>
      <c r="N8" s="56" t="s">
        <v>142</v>
      </c>
      <c r="O8" s="57">
        <v>12500</v>
      </c>
      <c r="P8" s="57">
        <v>12925</v>
      </c>
      <c r="Q8" s="55"/>
      <c r="R8" s="55"/>
      <c r="S8" s="48" t="s">
        <v>1</v>
      </c>
    </row>
    <row r="9" spans="1:26" x14ac:dyDescent="0.25">
      <c r="A9" s="41">
        <v>5</v>
      </c>
      <c r="B9" s="55" t="s">
        <v>192</v>
      </c>
      <c r="C9" s="49">
        <v>44603</v>
      </c>
      <c r="D9" s="55" t="s">
        <v>226</v>
      </c>
      <c r="E9" s="55" t="s">
        <v>155</v>
      </c>
      <c r="F9" s="55" t="s">
        <v>4</v>
      </c>
      <c r="G9" s="55" t="s">
        <v>5</v>
      </c>
      <c r="H9" s="55" t="s">
        <v>6</v>
      </c>
      <c r="I9" s="55" t="s">
        <v>185</v>
      </c>
      <c r="J9" s="55" t="s">
        <v>229</v>
      </c>
      <c r="K9" s="55" t="s">
        <v>225</v>
      </c>
      <c r="L9" s="55" t="s">
        <v>156</v>
      </c>
      <c r="M9" s="51"/>
      <c r="N9" s="56" t="s">
        <v>255</v>
      </c>
      <c r="O9" s="57">
        <v>16200</v>
      </c>
      <c r="P9" s="57">
        <f>O9+300+142+225</f>
        <v>16867</v>
      </c>
      <c r="Q9" s="55"/>
      <c r="R9" s="55"/>
      <c r="S9" s="48" t="s">
        <v>1</v>
      </c>
    </row>
    <row r="10" spans="1:26" x14ac:dyDescent="0.25">
      <c r="A10" s="41">
        <v>6</v>
      </c>
      <c r="B10" s="55" t="s">
        <v>192</v>
      </c>
      <c r="C10" s="49">
        <v>44619</v>
      </c>
      <c r="D10" s="55" t="s">
        <v>273</v>
      </c>
      <c r="E10" s="55" t="s">
        <v>184</v>
      </c>
      <c r="F10" s="55" t="s">
        <v>4</v>
      </c>
      <c r="G10" s="55" t="s">
        <v>5</v>
      </c>
      <c r="H10" s="55" t="s">
        <v>6</v>
      </c>
      <c r="I10" s="58">
        <v>215733183</v>
      </c>
      <c r="J10" s="55" t="s">
        <v>278</v>
      </c>
      <c r="K10" s="55" t="s">
        <v>276</v>
      </c>
      <c r="L10" s="55" t="s">
        <v>294</v>
      </c>
      <c r="M10" s="51"/>
      <c r="N10" s="56" t="s">
        <v>295</v>
      </c>
      <c r="O10" s="57">
        <v>13100</v>
      </c>
      <c r="P10" s="57">
        <v>13575</v>
      </c>
      <c r="Q10" s="55"/>
      <c r="R10" s="55"/>
      <c r="S10" s="48" t="s">
        <v>1</v>
      </c>
    </row>
    <row r="11" spans="1:26" x14ac:dyDescent="0.25">
      <c r="A11" s="41">
        <v>7</v>
      </c>
      <c r="B11" s="55" t="s">
        <v>192</v>
      </c>
      <c r="C11" s="49">
        <v>44623</v>
      </c>
      <c r="D11" s="55" t="s">
        <v>297</v>
      </c>
      <c r="E11" s="55" t="s">
        <v>177</v>
      </c>
      <c r="F11" s="55" t="s">
        <v>4</v>
      </c>
      <c r="G11" s="55" t="s">
        <v>5</v>
      </c>
      <c r="H11" s="55" t="s">
        <v>6</v>
      </c>
      <c r="I11" s="59" t="s">
        <v>181</v>
      </c>
      <c r="J11" s="55" t="s">
        <v>25</v>
      </c>
      <c r="K11" s="59" t="s">
        <v>283</v>
      </c>
      <c r="L11" s="55" t="s">
        <v>8</v>
      </c>
      <c r="M11" s="51"/>
      <c r="N11" s="56" t="s">
        <v>142</v>
      </c>
      <c r="O11" s="57">
        <v>15500</v>
      </c>
      <c r="P11" s="57">
        <f>O11+300+125</f>
        <v>15925</v>
      </c>
      <c r="Q11" s="55"/>
      <c r="R11" s="55"/>
      <c r="S11" s="48" t="s">
        <v>1</v>
      </c>
    </row>
    <row r="12" spans="1:26" x14ac:dyDescent="0.25">
      <c r="A12" s="41">
        <v>8</v>
      </c>
      <c r="B12" s="55" t="s">
        <v>192</v>
      </c>
      <c r="C12" s="49">
        <v>44623</v>
      </c>
      <c r="D12" s="55" t="s">
        <v>298</v>
      </c>
      <c r="E12" s="55" t="s">
        <v>177</v>
      </c>
      <c r="F12" s="55" t="s">
        <v>4</v>
      </c>
      <c r="G12" s="55" t="s">
        <v>5</v>
      </c>
      <c r="H12" s="55" t="s">
        <v>6</v>
      </c>
      <c r="I12" s="59" t="s">
        <v>182</v>
      </c>
      <c r="J12" s="55" t="s">
        <v>161</v>
      </c>
      <c r="K12" s="59" t="s">
        <v>285</v>
      </c>
      <c r="L12" s="55" t="s">
        <v>8</v>
      </c>
      <c r="M12" s="51"/>
      <c r="N12" s="56" t="s">
        <v>243</v>
      </c>
      <c r="O12" s="57">
        <v>15500</v>
      </c>
      <c r="P12" s="57">
        <f>O12+300+125+25</f>
        <v>15950</v>
      </c>
      <c r="Q12" s="55"/>
      <c r="R12" s="55"/>
      <c r="S12" s="48" t="s">
        <v>1</v>
      </c>
    </row>
    <row r="13" spans="1:26" x14ac:dyDescent="0.25">
      <c r="A13" s="41">
        <v>9</v>
      </c>
      <c r="B13" s="55" t="s">
        <v>192</v>
      </c>
      <c r="C13" s="49">
        <v>44633</v>
      </c>
      <c r="D13" s="55" t="s">
        <v>305</v>
      </c>
      <c r="E13" s="55" t="s">
        <v>250</v>
      </c>
      <c r="F13" s="55" t="s">
        <v>4</v>
      </c>
      <c r="G13" s="55" t="s">
        <v>5</v>
      </c>
      <c r="H13" s="55" t="s">
        <v>6</v>
      </c>
      <c r="I13" s="59" t="s">
        <v>252</v>
      </c>
      <c r="J13" s="55" t="s">
        <v>302</v>
      </c>
      <c r="K13" s="59" t="s">
        <v>291</v>
      </c>
      <c r="L13" s="55" t="s">
        <v>8</v>
      </c>
      <c r="M13" s="51"/>
      <c r="N13" s="56" t="s">
        <v>306</v>
      </c>
      <c r="O13" s="57">
        <v>13900</v>
      </c>
      <c r="P13" s="57">
        <f>O13+300+125+350</f>
        <v>14675</v>
      </c>
      <c r="Q13" s="55"/>
      <c r="R13" s="55"/>
      <c r="S13" s="48" t="s">
        <v>1</v>
      </c>
    </row>
    <row r="14" spans="1:26" x14ac:dyDescent="0.25">
      <c r="A14" s="41">
        <v>10</v>
      </c>
      <c r="B14" s="55" t="s">
        <v>192</v>
      </c>
      <c r="C14" s="49">
        <v>44633</v>
      </c>
      <c r="D14" s="55" t="s">
        <v>304</v>
      </c>
      <c r="E14" s="55" t="s">
        <v>250</v>
      </c>
      <c r="F14" s="55" t="s">
        <v>4</v>
      </c>
      <c r="G14" s="55" t="s">
        <v>5</v>
      </c>
      <c r="H14" s="55" t="s">
        <v>6</v>
      </c>
      <c r="I14" s="59" t="s">
        <v>253</v>
      </c>
      <c r="J14" s="55" t="s">
        <v>301</v>
      </c>
      <c r="K14" s="59" t="s">
        <v>293</v>
      </c>
      <c r="L14" s="55" t="s">
        <v>8</v>
      </c>
      <c r="M14" s="51"/>
      <c r="N14" s="56" t="s">
        <v>142</v>
      </c>
      <c r="O14" s="57">
        <v>13900</v>
      </c>
      <c r="P14" s="57">
        <f>O14+300+125</f>
        <v>14325</v>
      </c>
      <c r="Q14" s="55"/>
      <c r="R14" s="55"/>
      <c r="S14" s="48" t="s">
        <v>1</v>
      </c>
    </row>
    <row r="15" spans="1:26" x14ac:dyDescent="0.25">
      <c r="A15" s="41">
        <v>11</v>
      </c>
      <c r="B15" s="18" t="s">
        <v>192</v>
      </c>
      <c r="C15" s="23">
        <v>44668</v>
      </c>
      <c r="D15" s="18" t="s">
        <v>326</v>
      </c>
      <c r="E15" s="18" t="s">
        <v>310</v>
      </c>
      <c r="F15" s="18" t="s">
        <v>4</v>
      </c>
      <c r="G15" s="18" t="s">
        <v>5</v>
      </c>
      <c r="H15" s="18" t="s">
        <v>6</v>
      </c>
      <c r="I15" s="18" t="s">
        <v>311</v>
      </c>
      <c r="J15" s="18" t="s">
        <v>332</v>
      </c>
      <c r="K15" s="18" t="s">
        <v>335</v>
      </c>
      <c r="L15" s="18" t="s">
        <v>8</v>
      </c>
      <c r="M15" s="43"/>
      <c r="N15" s="43" t="s">
        <v>359</v>
      </c>
      <c r="O15" s="44">
        <v>10400</v>
      </c>
      <c r="P15" s="44">
        <f>O15+300+125+275</f>
        <v>11100</v>
      </c>
      <c r="Q15" s="18"/>
      <c r="R15" s="18"/>
      <c r="S15" s="15" t="s">
        <v>1</v>
      </c>
    </row>
    <row r="16" spans="1:26" x14ac:dyDescent="0.25">
      <c r="A16" s="41">
        <v>12</v>
      </c>
      <c r="B16" s="18" t="s">
        <v>192</v>
      </c>
      <c r="C16" s="23">
        <v>44668</v>
      </c>
      <c r="D16" s="18" t="s">
        <v>327</v>
      </c>
      <c r="E16" s="18" t="s">
        <v>310</v>
      </c>
      <c r="F16" s="18" t="s">
        <v>4</v>
      </c>
      <c r="G16" s="18" t="s">
        <v>5</v>
      </c>
      <c r="H16" s="18" t="s">
        <v>6</v>
      </c>
      <c r="I16" s="18" t="s">
        <v>312</v>
      </c>
      <c r="J16" s="18" t="s">
        <v>333</v>
      </c>
      <c r="K16" s="18" t="s">
        <v>336</v>
      </c>
      <c r="L16" s="18" t="s">
        <v>8</v>
      </c>
      <c r="M16" s="43"/>
      <c r="N16" s="43" t="s">
        <v>142</v>
      </c>
      <c r="O16" s="44">
        <v>10400</v>
      </c>
      <c r="P16" s="44">
        <f>O16+300+125</f>
        <v>10825</v>
      </c>
      <c r="Q16" s="18"/>
      <c r="R16" s="18"/>
      <c r="S16" s="15" t="s">
        <v>1</v>
      </c>
    </row>
    <row r="17" spans="1:19" x14ac:dyDescent="0.25">
      <c r="A17" s="41">
        <v>13</v>
      </c>
      <c r="B17" s="18" t="s">
        <v>192</v>
      </c>
      <c r="C17" s="23">
        <v>44668</v>
      </c>
      <c r="D17" s="18" t="s">
        <v>328</v>
      </c>
      <c r="E17" s="18" t="s">
        <v>310</v>
      </c>
      <c r="F17" s="18" t="s">
        <v>4</v>
      </c>
      <c r="G17" s="18" t="s">
        <v>5</v>
      </c>
      <c r="H17" s="18" t="s">
        <v>6</v>
      </c>
      <c r="I17" s="18" t="s">
        <v>313</v>
      </c>
      <c r="J17" s="18" t="s">
        <v>334</v>
      </c>
      <c r="K17" s="18" t="s">
        <v>337</v>
      </c>
      <c r="L17" s="18" t="s">
        <v>8</v>
      </c>
      <c r="M17" s="43"/>
      <c r="N17" s="43" t="s">
        <v>360</v>
      </c>
      <c r="O17" s="44">
        <v>10400</v>
      </c>
      <c r="P17" s="44">
        <f>O17+300+125+150</f>
        <v>10975</v>
      </c>
      <c r="Q17" s="18"/>
      <c r="R17" s="18"/>
      <c r="S17" s="15" t="s">
        <v>1</v>
      </c>
    </row>
    <row r="18" spans="1:19" x14ac:dyDescent="0.25">
      <c r="A18" s="41">
        <v>14</v>
      </c>
      <c r="B18" s="18" t="s">
        <v>192</v>
      </c>
      <c r="C18" s="23">
        <v>44675</v>
      </c>
      <c r="D18" s="18" t="s">
        <v>23</v>
      </c>
      <c r="E18" s="18" t="s">
        <v>314</v>
      </c>
      <c r="F18" s="18" t="s">
        <v>4</v>
      </c>
      <c r="G18" s="18" t="s">
        <v>5</v>
      </c>
      <c r="H18" s="18" t="s">
        <v>6</v>
      </c>
      <c r="I18" s="42">
        <v>216889730</v>
      </c>
      <c r="J18" s="18" t="s">
        <v>25</v>
      </c>
      <c r="K18" s="18" t="s">
        <v>342</v>
      </c>
      <c r="L18" s="18" t="s">
        <v>128</v>
      </c>
      <c r="M18" s="43"/>
      <c r="N18" s="43" t="s">
        <v>142</v>
      </c>
      <c r="O18" s="44">
        <v>9800</v>
      </c>
      <c r="P18" s="44">
        <f>O18+300+125</f>
        <v>10225</v>
      </c>
      <c r="Q18" s="18"/>
      <c r="R18" s="18"/>
      <c r="S18" s="15" t="s">
        <v>1</v>
      </c>
    </row>
    <row r="21" spans="1:19" x14ac:dyDescent="0.25">
      <c r="J21" s="41"/>
    </row>
  </sheetData>
  <autoFilter ref="A1:AB18" xr:uid="{00000000-0009-0000-0000-000002000000}"/>
  <pageMargins left="0.7" right="0.7" top="0.75" bottom="0.75" header="0.3" footer="0.3"/>
  <pageSetup orientation="portrait" horizontalDpi="0" verticalDpi="0" r:id="rId1"/>
  <ignoredErrors>
    <ignoredError sqref="P15 P1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Ricky</cp:lastModifiedBy>
  <cp:lastPrinted>2021-10-25T16:53:59Z</cp:lastPrinted>
  <dcterms:created xsi:type="dcterms:W3CDTF">2021-09-10T01:40:00Z</dcterms:created>
  <dcterms:modified xsi:type="dcterms:W3CDTF">2022-04-13T13:37:26Z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ABCBEF39EC2A47BABB425A3420D6BAF5</vt:lpwstr>
  </property>
  <property fmtid="{D5CDD505-2E9C-101B-9397-08002B2CF9AE}" pid="3" name="KSOProductBuildVer">
    <vt:lpwstr>2052-11.1.0.10938</vt:lpwstr>
  </property>
</Properties>
</file>