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un" sheetId="1" r:id="rId4"/>
    <sheet state="visible" name="Particles" sheetId="2" r:id="rId5"/>
    <sheet state="visible" name="Katakana Noun" sheetId="3" r:id="rId6"/>
    <sheet state="visible" name="Adverb" sheetId="4" r:id="rId7"/>
    <sheet state="visible" name="Adjective i" sheetId="5" r:id="rId8"/>
    <sheet state="visible" name="Adjective na" sheetId="6" r:id="rId9"/>
    <sheet state="visible" name="Kanji" sheetId="7" r:id="rId10"/>
    <sheet state="visible" name="Bunpou" sheetId="8" r:id="rId11"/>
    <sheet state="visible" name="Verb" sheetId="9" r:id="rId12"/>
  </sheets>
  <definedNames/>
  <calcPr/>
</workbook>
</file>

<file path=xl/sharedStrings.xml><?xml version="1.0" encoding="utf-8"?>
<sst xmlns="http://schemas.openxmlformats.org/spreadsheetml/2006/main" count="3410" uniqueCount="2958">
  <si>
    <t>#</t>
  </si>
  <si>
    <t>日本語</t>
  </si>
  <si>
    <t>かな</t>
  </si>
  <si>
    <t>noun</t>
  </si>
  <si>
    <t>Meaning</t>
  </si>
  <si>
    <t>Check</t>
  </si>
  <si>
    <t>Review (If empty is all checked)</t>
  </si>
  <si>
    <t>アフリカ</t>
  </si>
  <si>
    <t>afurika</t>
  </si>
  <si>
    <t>Africa</t>
  </si>
  <si>
    <t>挨拶</t>
  </si>
  <si>
    <t>あいさつ</t>
  </si>
  <si>
    <t>aisatsu</t>
  </si>
  <si>
    <t>to greet</t>
  </si>
  <si>
    <t>-&gt; to see unchecked</t>
  </si>
  <si>
    <t>味</t>
  </si>
  <si>
    <t>あじ</t>
  </si>
  <si>
    <t>aji</t>
  </si>
  <si>
    <t>flavor; taste</t>
  </si>
  <si>
    <t>Unchecked</t>
  </si>
  <si>
    <t>アジア</t>
  </si>
  <si>
    <t>ajia</t>
  </si>
  <si>
    <t>Asia</t>
  </si>
  <si>
    <t>Total</t>
  </si>
  <si>
    <t>赤ちゃん</t>
  </si>
  <si>
    <t>あかちゃん</t>
  </si>
  <si>
    <t>akachan</t>
  </si>
  <si>
    <t>baby; infant</t>
  </si>
  <si>
    <t>赤ん坊</t>
  </si>
  <si>
    <t>あかんぼう</t>
  </si>
  <si>
    <t>akanbou</t>
  </si>
  <si>
    <t>Remembered</t>
  </si>
  <si>
    <t>アクセサリー</t>
  </si>
  <si>
    <t>akusesarii</t>
  </si>
  <si>
    <t>accessory</t>
  </si>
  <si>
    <t>In Percentage</t>
  </si>
  <si>
    <t>アメリカ</t>
  </si>
  <si>
    <t>amerika</t>
  </si>
  <si>
    <t>America</t>
  </si>
  <si>
    <t>アナウンサー</t>
  </si>
  <si>
    <t>anaunsaa</t>
  </si>
  <si>
    <t>announcer</t>
  </si>
  <si>
    <t>案内</t>
  </si>
  <si>
    <t>あんない</t>
  </si>
  <si>
    <t>annai</t>
  </si>
  <si>
    <t>to guide</t>
  </si>
  <si>
    <t>安心</t>
  </si>
  <si>
    <t>あんしん</t>
  </si>
  <si>
    <t>anshin</t>
  </si>
  <si>
    <t>peace of mind</t>
  </si>
  <si>
    <t>安全</t>
  </si>
  <si>
    <t>あんぜん</t>
  </si>
  <si>
    <t>anzen</t>
  </si>
  <si>
    <t>safety; security</t>
  </si>
  <si>
    <t>アルバイト</t>
  </si>
  <si>
    <t>arubaito</t>
  </si>
  <si>
    <t>part-time job</t>
  </si>
  <si>
    <t>アルコール</t>
  </si>
  <si>
    <t>arukooru</t>
  </si>
  <si>
    <t>alcohol</t>
  </si>
  <si>
    <t>遊び</t>
  </si>
  <si>
    <t>あそび</t>
  </si>
  <si>
    <t>asobi</t>
  </si>
  <si>
    <t>playing</t>
  </si>
  <si>
    <t>倍</t>
  </si>
  <si>
    <t>ばい</t>
  </si>
  <si>
    <t>bai</t>
  </si>
  <si>
    <t>double</t>
  </si>
  <si>
    <t>番組</t>
  </si>
  <si>
    <t>ばんぐみ</t>
  </si>
  <si>
    <t>bangumi</t>
  </si>
  <si>
    <t>program (e.g. TV)</t>
  </si>
  <si>
    <t>場所</t>
  </si>
  <si>
    <t>ばしょ</t>
  </si>
  <si>
    <t>basho</t>
  </si>
  <si>
    <t>place</t>
  </si>
  <si>
    <t>ベル</t>
  </si>
  <si>
    <t>beru</t>
  </si>
  <si>
    <t>bell</t>
  </si>
  <si>
    <t>美術館</t>
  </si>
  <si>
    <t>びじゅつかん</t>
  </si>
  <si>
    <t>bijutsukan</t>
  </si>
  <si>
    <t>art gallery; art museum</t>
  </si>
  <si>
    <t>ビル</t>
  </si>
  <si>
    <t>biru</t>
  </si>
  <si>
    <t>building</t>
  </si>
  <si>
    <t>貿易</t>
  </si>
  <si>
    <t>ぼうえき</t>
  </si>
  <si>
    <t>boueki</t>
  </si>
  <si>
    <t>trade</t>
  </si>
  <si>
    <t>部長</t>
  </si>
  <si>
    <t>ぶちょう</t>
  </si>
  <si>
    <t>buchou</t>
  </si>
  <si>
    <t>manager; director</t>
  </si>
  <si>
    <t>ぶどう</t>
  </si>
  <si>
    <t>budou</t>
  </si>
  <si>
    <t>grapes</t>
  </si>
  <si>
    <t>文学</t>
  </si>
  <si>
    <t>ぶんがく</t>
  </si>
  <si>
    <t>bungaku</t>
  </si>
  <si>
    <t>literature</t>
  </si>
  <si>
    <t>文化</t>
  </si>
  <si>
    <t>ぶんか</t>
  </si>
  <si>
    <t>bunka</t>
  </si>
  <si>
    <t>culture</t>
  </si>
  <si>
    <t>文法</t>
  </si>
  <si>
    <t>ぶんぽう</t>
  </si>
  <si>
    <t>bunpou</t>
  </si>
  <si>
    <t>grammar</t>
  </si>
  <si>
    <t>チェック</t>
  </si>
  <si>
    <t>chekku</t>
  </si>
  <si>
    <t>to check</t>
  </si>
  <si>
    <t>血</t>
  </si>
  <si>
    <t>ち</t>
  </si>
  <si>
    <t>chi</t>
  </si>
  <si>
    <t>blood</t>
  </si>
  <si>
    <t>力</t>
  </si>
  <si>
    <t>ちから</t>
  </si>
  <si>
    <t>chikara</t>
  </si>
  <si>
    <t>energy; strength; power</t>
  </si>
  <si>
    <t>地理</t>
  </si>
  <si>
    <t>ちり</t>
  </si>
  <si>
    <t>chiri</t>
  </si>
  <si>
    <t>geography</t>
  </si>
  <si>
    <t>中学校</t>
  </si>
  <si>
    <t>ちゅうがっこう</t>
  </si>
  <si>
    <t>chuugakkou</t>
  </si>
  <si>
    <t>junior high/ middle school</t>
  </si>
  <si>
    <t>注意</t>
  </si>
  <si>
    <t>ちゅうい</t>
  </si>
  <si>
    <t>chuui</t>
  </si>
  <si>
    <t>caution</t>
  </si>
  <si>
    <t>注射</t>
  </si>
  <si>
    <t>ちゅうしゃ</t>
  </si>
  <si>
    <t>chuusha</t>
  </si>
  <si>
    <t>injection</t>
  </si>
  <si>
    <t>駐車場</t>
  </si>
  <si>
    <t>ちゅうしゃじょう</t>
  </si>
  <si>
    <t>chuushajou</t>
  </si>
  <si>
    <t>parking lot</t>
  </si>
  <si>
    <t>大学生</t>
  </si>
  <si>
    <t>だいがくせい</t>
  </si>
  <si>
    <t>daigakusei</t>
  </si>
  <si>
    <t>university student</t>
  </si>
  <si>
    <t>大体</t>
  </si>
  <si>
    <t>だいたい</t>
  </si>
  <si>
    <t>daitai</t>
  </si>
  <si>
    <t>roughly</t>
  </si>
  <si>
    <t>暖房</t>
  </si>
  <si>
    <t>だんぼう</t>
  </si>
  <si>
    <t>danbou</t>
  </si>
  <si>
    <t>heating</t>
  </si>
  <si>
    <t>男性</t>
  </si>
  <si>
    <t>だんせい</t>
  </si>
  <si>
    <t>dansei</t>
  </si>
  <si>
    <t>man; male</t>
  </si>
  <si>
    <t>電報</t>
  </si>
  <si>
    <t>でんぽう</t>
  </si>
  <si>
    <t>denpou</t>
  </si>
  <si>
    <t>telegram</t>
  </si>
  <si>
    <t>電灯</t>
  </si>
  <si>
    <t>でんとう</t>
  </si>
  <si>
    <t>dentou</t>
  </si>
  <si>
    <t>electric light</t>
  </si>
  <si>
    <t>泥棒</t>
  </si>
  <si>
    <t>どろぼう</t>
  </si>
  <si>
    <t>dorobou</t>
  </si>
  <si>
    <t>thief</t>
  </si>
  <si>
    <t>動物園</t>
  </si>
  <si>
    <t>どうぶつえん</t>
  </si>
  <si>
    <t>doubutsuen</t>
  </si>
  <si>
    <t>zoo; zoological gardens</t>
  </si>
  <si>
    <t>道具</t>
  </si>
  <si>
    <t>どうぐ</t>
  </si>
  <si>
    <t>dougu</t>
  </si>
  <si>
    <t>tool</t>
  </si>
  <si>
    <t>枝</t>
  </si>
  <si>
    <t>えだ</t>
  </si>
  <si>
    <t>eda</t>
  </si>
  <si>
    <t>branch</t>
  </si>
  <si>
    <t>遠慮</t>
  </si>
  <si>
    <t>えんりょ</t>
  </si>
  <si>
    <t>enryo</t>
  </si>
  <si>
    <t>reserve; refraining</t>
  </si>
  <si>
    <t>エスカレーター</t>
  </si>
  <si>
    <t>esukareetaa</t>
  </si>
  <si>
    <t>escalator</t>
  </si>
  <si>
    <t>ファックス</t>
  </si>
  <si>
    <t>fakkusu</t>
  </si>
  <si>
    <t>fax</t>
  </si>
  <si>
    <t>不便</t>
  </si>
  <si>
    <t>ふべん</t>
  </si>
  <si>
    <t>fuben</t>
  </si>
  <si>
    <t>inconvenience</t>
  </si>
  <si>
    <t>復習</t>
  </si>
  <si>
    <t>ふくしゅう</t>
  </si>
  <si>
    <t>fukushuu</t>
  </si>
  <si>
    <t>review (of learned material)</t>
  </si>
  <si>
    <t>複雑</t>
  </si>
  <si>
    <t>ふくざつ</t>
  </si>
  <si>
    <t>fukuzatsu</t>
  </si>
  <si>
    <t>complexity; complication</t>
  </si>
  <si>
    <t>船</t>
  </si>
  <si>
    <t>ふね</t>
  </si>
  <si>
    <t>fune</t>
  </si>
  <si>
    <t>ship</t>
  </si>
  <si>
    <t>布団</t>
  </si>
  <si>
    <t>ふとん</t>
  </si>
  <si>
    <t>futon</t>
  </si>
  <si>
    <t>Japanese bedding, futon</t>
  </si>
  <si>
    <t>普通</t>
  </si>
  <si>
    <t>ふつう</t>
  </si>
  <si>
    <t>futsuu</t>
  </si>
  <si>
    <t>usually</t>
  </si>
  <si>
    <t>ガラス</t>
  </si>
  <si>
    <t>garasu</t>
  </si>
  <si>
    <t>a glass</t>
  </si>
  <si>
    <t>ガソリン</t>
  </si>
  <si>
    <t>gasorin</t>
  </si>
  <si>
    <t>gasoline; petrol</t>
  </si>
  <si>
    <t>ガソリンスタンド</t>
  </si>
  <si>
    <t>gasorin sutando</t>
  </si>
  <si>
    <t>petrol/gas station</t>
  </si>
  <si>
    <t>ガス</t>
  </si>
  <si>
    <t>gasu</t>
  </si>
  <si>
    <t>petrol</t>
  </si>
  <si>
    <t>原因</t>
  </si>
  <si>
    <t>げんいん</t>
  </si>
  <si>
    <t>genin</t>
  </si>
  <si>
    <t>cause</t>
  </si>
  <si>
    <t>下宿</t>
  </si>
  <si>
    <t>げしゅく</t>
  </si>
  <si>
    <t>geshuku</t>
  </si>
  <si>
    <t>lodging</t>
  </si>
  <si>
    <t>技術</t>
  </si>
  <si>
    <t>ぎじゅつ</t>
  </si>
  <si>
    <t>gijutsu</t>
  </si>
  <si>
    <t>art; technology; skill</t>
  </si>
  <si>
    <t>ごちそう</t>
  </si>
  <si>
    <t>gochisou</t>
  </si>
  <si>
    <t>a feast</t>
  </si>
  <si>
    <t>ごみ</t>
  </si>
  <si>
    <t>gomi</t>
  </si>
  <si>
    <t>rubbish</t>
  </si>
  <si>
    <t>ご主人</t>
  </si>
  <si>
    <t>ごしゅじん</t>
  </si>
  <si>
    <t>goshujin</t>
  </si>
  <si>
    <t>your husband; her husband</t>
  </si>
  <si>
    <t>ご存じ</t>
  </si>
  <si>
    <t>ごぞんじ</t>
  </si>
  <si>
    <t>gozonji</t>
  </si>
  <si>
    <t>knowing</t>
  </si>
  <si>
    <t>具合</t>
  </si>
  <si>
    <t>ぐあい</t>
  </si>
  <si>
    <t>guai</t>
  </si>
  <si>
    <t>condition; health</t>
  </si>
  <si>
    <t>葉</t>
  </si>
  <si>
    <t>は</t>
  </si>
  <si>
    <t>ha</t>
  </si>
  <si>
    <t>leaves; leaf</t>
  </si>
  <si>
    <t>拝見</t>
  </si>
  <si>
    <t>はいけん</t>
  </si>
  <si>
    <t>haiken</t>
  </si>
  <si>
    <t>seeing; looking at</t>
  </si>
  <si>
    <t>歯医者</t>
  </si>
  <si>
    <t>はいしゃ</t>
  </si>
  <si>
    <t>haisha</t>
  </si>
  <si>
    <t>dentist</t>
  </si>
  <si>
    <t>花見</t>
  </si>
  <si>
    <t>はなみ</t>
  </si>
  <si>
    <t>hanami</t>
  </si>
  <si>
    <t>cherry blossom viewing</t>
  </si>
  <si>
    <t>ハンドバッグ</t>
  </si>
  <si>
    <t>handobaggu</t>
  </si>
  <si>
    <t>handbag</t>
  </si>
  <si>
    <t>反対</t>
  </si>
  <si>
    <t>はんたい</t>
  </si>
  <si>
    <t>hantai</t>
  </si>
  <si>
    <t>opposition</t>
  </si>
  <si>
    <t>発音</t>
  </si>
  <si>
    <t>はつおん</t>
  </si>
  <si>
    <t>hatsuon</t>
  </si>
  <si>
    <t>pronunciation</t>
  </si>
  <si>
    <t>林</t>
  </si>
  <si>
    <t>はやし</t>
  </si>
  <si>
    <t>hayashi</t>
  </si>
  <si>
    <t>woods; forest</t>
  </si>
  <si>
    <t>変</t>
  </si>
  <si>
    <t>へん</t>
  </si>
  <si>
    <t>hen</t>
  </si>
  <si>
    <t>strange; peculiar; weird</t>
  </si>
  <si>
    <t>返事</t>
  </si>
  <si>
    <t>へんじ</t>
  </si>
  <si>
    <t>henji</t>
  </si>
  <si>
    <t>reply; answer; response</t>
  </si>
  <si>
    <t>火</t>
  </si>
  <si>
    <t>ひ</t>
  </si>
  <si>
    <t>hi</t>
  </si>
  <si>
    <t>fire</t>
  </si>
  <si>
    <t>髭</t>
  </si>
  <si>
    <t>ひげ</t>
  </si>
  <si>
    <t>hige</t>
  </si>
  <si>
    <t>beard</t>
  </si>
  <si>
    <t>光</t>
  </si>
  <si>
    <t>ひかり</t>
  </si>
  <si>
    <t>hikari</t>
  </si>
  <si>
    <t>light</t>
  </si>
  <si>
    <t>引き出し</t>
  </si>
  <si>
    <t>ひきだし</t>
  </si>
  <si>
    <t>hikidashi</t>
  </si>
  <si>
    <t>drawer</t>
  </si>
  <si>
    <t>飛行場</t>
  </si>
  <si>
    <t>ひこうじょう</t>
  </si>
  <si>
    <t>hikoujou</t>
  </si>
  <si>
    <t>airfield; airport</t>
  </si>
  <si>
    <t>昼間</t>
  </si>
  <si>
    <t>ひるま</t>
  </si>
  <si>
    <t>hiruma</t>
  </si>
  <si>
    <t>daytime; during the day</t>
  </si>
  <si>
    <t>昼休み</t>
  </si>
  <si>
    <t>ひるやすみ</t>
  </si>
  <si>
    <t>hiruyasumi</t>
  </si>
  <si>
    <t>lunch break; noon recess</t>
  </si>
  <si>
    <t>久しぶり</t>
  </si>
  <si>
    <t>ひさしぶり</t>
  </si>
  <si>
    <t>hisashiburi</t>
  </si>
  <si>
    <t>after a long time</t>
  </si>
  <si>
    <t>翻訳</t>
  </si>
  <si>
    <t>ほんやく</t>
  </si>
  <si>
    <t>honyaku</t>
  </si>
  <si>
    <t>translation</t>
  </si>
  <si>
    <t>星</t>
  </si>
  <si>
    <t>ほし</t>
  </si>
  <si>
    <t>hoshi</t>
  </si>
  <si>
    <t>star</t>
  </si>
  <si>
    <t>ほとんど</t>
  </si>
  <si>
    <t>hotondo</t>
  </si>
  <si>
    <t>mostly</t>
  </si>
  <si>
    <t>法律</t>
  </si>
  <si>
    <t>ほうりつ</t>
  </si>
  <si>
    <t>houritsu</t>
  </si>
  <si>
    <t>law</t>
  </si>
  <si>
    <t>放送</t>
  </si>
  <si>
    <t>ほうそう</t>
  </si>
  <si>
    <t>housou</t>
  </si>
  <si>
    <t>to broadcast</t>
  </si>
  <si>
    <t>一度</t>
  </si>
  <si>
    <t>いちど</t>
  </si>
  <si>
    <t>ichido</t>
  </si>
  <si>
    <t>once; one time</t>
  </si>
  <si>
    <t>以外</t>
  </si>
  <si>
    <t>いがい</t>
  </si>
  <si>
    <t>igai</t>
  </si>
  <si>
    <t>with the exception of</t>
  </si>
  <si>
    <t>医学</t>
  </si>
  <si>
    <t>いがく</t>
  </si>
  <si>
    <t>igaku</t>
  </si>
  <si>
    <t>medical science; medicine</t>
  </si>
  <si>
    <t>以上</t>
  </si>
  <si>
    <t>いじょう</t>
  </si>
  <si>
    <t>ijou</t>
  </si>
  <si>
    <t>... and more; ... and upwards</t>
  </si>
  <si>
    <t>以下</t>
  </si>
  <si>
    <t>いか</t>
  </si>
  <si>
    <t>ika</t>
  </si>
  <si>
    <t>not exceeding</t>
  </si>
  <si>
    <t>意見</t>
  </si>
  <si>
    <t>いけん</t>
  </si>
  <si>
    <t>iken</t>
  </si>
  <si>
    <t>opinion; view; comment</t>
  </si>
  <si>
    <t>生き物</t>
  </si>
  <si>
    <t>いきもの</t>
  </si>
  <si>
    <t>ikimono</t>
  </si>
  <si>
    <t>living thing</t>
  </si>
  <si>
    <t>以内</t>
  </si>
  <si>
    <t>いない</t>
  </si>
  <si>
    <t>inai</t>
  </si>
  <si>
    <t>within</t>
  </si>
  <si>
    <t>田舎</t>
  </si>
  <si>
    <t>いなか</t>
  </si>
  <si>
    <t>inaka</t>
  </si>
  <si>
    <t>countryside</t>
  </si>
  <si>
    <t>いっぱい</t>
  </si>
  <si>
    <t>ippai</t>
  </si>
  <si>
    <t>full</t>
  </si>
  <si>
    <t>石</t>
  </si>
  <si>
    <t>いし</t>
  </si>
  <si>
    <t>ishi</t>
  </si>
  <si>
    <t>stone</t>
  </si>
  <si>
    <t>一生懸命</t>
  </si>
  <si>
    <t>いっしょうけんめい</t>
  </si>
  <si>
    <t>isshoukenmei</t>
  </si>
  <si>
    <t>very hard; with utmost effort</t>
  </si>
  <si>
    <t>糸</t>
  </si>
  <si>
    <t>いと</t>
  </si>
  <si>
    <t>ito</t>
  </si>
  <si>
    <t>thread</t>
  </si>
  <si>
    <t>ジャム</t>
  </si>
  <si>
    <t>jamu</t>
  </si>
  <si>
    <t>jam</t>
  </si>
  <si>
    <t>字</t>
  </si>
  <si>
    <t>じ</t>
  </si>
  <si>
    <t>ji</t>
  </si>
  <si>
    <t>character</t>
  </si>
  <si>
    <t>時代</t>
  </si>
  <si>
    <t>じだい</t>
  </si>
  <si>
    <t>jidai</t>
  </si>
  <si>
    <t>period</t>
  </si>
  <si>
    <t>事故</t>
  </si>
  <si>
    <t>じこ</t>
  </si>
  <si>
    <t>jiko</t>
  </si>
  <si>
    <t>accident</t>
  </si>
  <si>
    <t>事務所</t>
  </si>
  <si>
    <t>じむしょ</t>
  </si>
  <si>
    <t>jimusho</t>
  </si>
  <si>
    <t>office</t>
  </si>
  <si>
    <t>神社</t>
  </si>
  <si>
    <t>じんじゃ</t>
  </si>
  <si>
    <t>jinja</t>
  </si>
  <si>
    <t>Shinto shrine</t>
  </si>
  <si>
    <t>人口</t>
  </si>
  <si>
    <t>じんこう</t>
  </si>
  <si>
    <t>jinkou</t>
  </si>
  <si>
    <t>population</t>
  </si>
  <si>
    <t>人生</t>
  </si>
  <si>
    <t>じんせい</t>
  </si>
  <si>
    <t>jinsei</t>
  </si>
  <si>
    <t>human life</t>
  </si>
  <si>
    <t>地震</t>
  </si>
  <si>
    <t>じしん</t>
  </si>
  <si>
    <t>jishin</t>
  </si>
  <si>
    <t>earthquake</t>
  </si>
  <si>
    <t>辞典</t>
  </si>
  <si>
    <t>じてん</t>
  </si>
  <si>
    <t>jiten</t>
  </si>
  <si>
    <t>dictionary</t>
  </si>
  <si>
    <t>自由</t>
  </si>
  <si>
    <t>じゆう</t>
  </si>
  <si>
    <t>jiyuu</t>
  </si>
  <si>
    <t>freedom</t>
  </si>
  <si>
    <t>女性</t>
  </si>
  <si>
    <t>じょせい</t>
  </si>
  <si>
    <t>josei</t>
  </si>
  <si>
    <t>woman; female</t>
  </si>
  <si>
    <t>準備</t>
  </si>
  <si>
    <t>じゅんび</t>
  </si>
  <si>
    <t>junbi</t>
  </si>
  <si>
    <t>to prepare</t>
  </si>
  <si>
    <t>十分</t>
  </si>
  <si>
    <t>じゅうぶん</t>
  </si>
  <si>
    <t>juubun</t>
  </si>
  <si>
    <t>enough; sufficient; plenty</t>
  </si>
  <si>
    <t>柔道</t>
  </si>
  <si>
    <t>じゅうどう</t>
  </si>
  <si>
    <t>juudou</t>
  </si>
  <si>
    <t>judo</t>
  </si>
  <si>
    <t>住所</t>
  </si>
  <si>
    <t>じゅうしょ</t>
  </si>
  <si>
    <t>juusho</t>
  </si>
  <si>
    <t>address</t>
  </si>
  <si>
    <t>カーテン</t>
  </si>
  <si>
    <t>kaaten</t>
  </si>
  <si>
    <t>curtain</t>
  </si>
  <si>
    <t>壁</t>
  </si>
  <si>
    <t>かべ</t>
  </si>
  <si>
    <t>kabe</t>
  </si>
  <si>
    <t>wall</t>
  </si>
  <si>
    <t>課長</t>
  </si>
  <si>
    <t>かちょう</t>
  </si>
  <si>
    <t>kachou</t>
  </si>
  <si>
    <t>section manager/chief</t>
  </si>
  <si>
    <t>帰り</t>
  </si>
  <si>
    <t>かえり</t>
  </si>
  <si>
    <t>kaeri</t>
  </si>
  <si>
    <t>return; coming back</t>
  </si>
  <si>
    <t>科学</t>
  </si>
  <si>
    <t>かがく</t>
  </si>
  <si>
    <t>kagaku</t>
  </si>
  <si>
    <t>science</t>
  </si>
  <si>
    <t>鏡</t>
  </si>
  <si>
    <t>かがみ</t>
  </si>
  <si>
    <t>kagami</t>
  </si>
  <si>
    <t>mirror</t>
  </si>
  <si>
    <t>海岸</t>
  </si>
  <si>
    <t>かいがん</t>
  </si>
  <si>
    <t>kaigan</t>
  </si>
  <si>
    <t>coast</t>
  </si>
  <si>
    <t>会議</t>
  </si>
  <si>
    <t>かいぎ</t>
  </si>
  <si>
    <t>kaigi</t>
  </si>
  <si>
    <t>meeting; conference</t>
  </si>
  <si>
    <t>会議室</t>
  </si>
  <si>
    <t>かいぎしつ</t>
  </si>
  <si>
    <t>kaigishitsu</t>
  </si>
  <si>
    <t>conference room</t>
  </si>
  <si>
    <t>会場</t>
  </si>
  <si>
    <t>かいじょう</t>
  </si>
  <si>
    <t>kaijou</t>
  </si>
  <si>
    <t>assembly hall; venue</t>
  </si>
  <si>
    <t>会話</t>
  </si>
  <si>
    <t>かいわ</t>
  </si>
  <si>
    <t>kaiwa</t>
  </si>
  <si>
    <t>conversation</t>
  </si>
  <si>
    <t>火事</t>
  </si>
  <si>
    <t>かじ</t>
  </si>
  <si>
    <t>kaji</t>
  </si>
  <si>
    <t>格好</t>
  </si>
  <si>
    <t>かっこう</t>
  </si>
  <si>
    <t>kakkou</t>
  </si>
  <si>
    <t>appearance</t>
  </si>
  <si>
    <t>髪</t>
  </si>
  <si>
    <t>かみ</t>
  </si>
  <si>
    <t>kami</t>
  </si>
  <si>
    <t>hair</t>
  </si>
  <si>
    <t>家内</t>
  </si>
  <si>
    <t>かない</t>
  </si>
  <si>
    <t>kanai</t>
  </si>
  <si>
    <t>(my) wife; inside the home</t>
  </si>
  <si>
    <t>看護婦</t>
  </si>
  <si>
    <t>かんごふ</t>
  </si>
  <si>
    <t>kangofu</t>
  </si>
  <si>
    <t>female nurse</t>
  </si>
  <si>
    <t>関係</t>
  </si>
  <si>
    <t>かんけい</t>
  </si>
  <si>
    <t>kankei</t>
  </si>
  <si>
    <t>relationship</t>
  </si>
  <si>
    <t>簡単</t>
  </si>
  <si>
    <t>かんたん</t>
  </si>
  <si>
    <t>kantan</t>
  </si>
  <si>
    <t>simple; easy</t>
  </si>
  <si>
    <t>形</t>
  </si>
  <si>
    <t>かたち</t>
  </si>
  <si>
    <t>katachi</t>
  </si>
  <si>
    <t>shape</t>
  </si>
  <si>
    <t>代わり</t>
  </si>
  <si>
    <t>かわり</t>
  </si>
  <si>
    <t>kawari</t>
  </si>
  <si>
    <t>instead; in place</t>
  </si>
  <si>
    <t>毛</t>
  </si>
  <si>
    <t>け</t>
  </si>
  <si>
    <t>ke</t>
  </si>
  <si>
    <t>hair or fur</t>
  </si>
  <si>
    <t>ケーキ</t>
  </si>
  <si>
    <t>keeki</t>
  </si>
  <si>
    <t>cake</t>
  </si>
  <si>
    <t>怪我</t>
  </si>
  <si>
    <t>けが</t>
  </si>
  <si>
    <t>kega</t>
  </si>
  <si>
    <t>to injure</t>
  </si>
  <si>
    <t>計画</t>
  </si>
  <si>
    <t>けいかく</t>
  </si>
  <si>
    <t>keikaku</t>
  </si>
  <si>
    <t>to plan</t>
  </si>
  <si>
    <t>経験</t>
  </si>
  <si>
    <t>けいけん</t>
  </si>
  <si>
    <t>keiken</t>
  </si>
  <si>
    <t>to experience</t>
  </si>
  <si>
    <t>警察</t>
  </si>
  <si>
    <t>けいさつ</t>
  </si>
  <si>
    <t>keisatsu</t>
  </si>
  <si>
    <t>police</t>
  </si>
  <si>
    <t>経済</t>
  </si>
  <si>
    <t>けいざい</t>
  </si>
  <si>
    <t>keizai</t>
  </si>
  <si>
    <t>finance, economy</t>
  </si>
  <si>
    <t>見物</t>
  </si>
  <si>
    <t>けんぶつ</t>
  </si>
  <si>
    <t>kenbutsu</t>
  </si>
  <si>
    <t>sightseeing; visit</t>
  </si>
  <si>
    <t>喧嘩</t>
  </si>
  <si>
    <t>けんか</t>
  </si>
  <si>
    <t>kenka</t>
  </si>
  <si>
    <t>to quarrel</t>
  </si>
  <si>
    <t>研究</t>
  </si>
  <si>
    <t>けんきゅう</t>
  </si>
  <si>
    <t>kenkyuu</t>
  </si>
  <si>
    <t>research</t>
  </si>
  <si>
    <t>研究室</t>
  </si>
  <si>
    <t>けんきゅうしつ</t>
  </si>
  <si>
    <t>kenkyuushitsu</t>
  </si>
  <si>
    <t>laboratory</t>
  </si>
  <si>
    <t>消しゴム</t>
  </si>
  <si>
    <t>けしごむ</t>
  </si>
  <si>
    <t>keshigomu</t>
  </si>
  <si>
    <t>eraser</t>
  </si>
  <si>
    <t>景色</t>
  </si>
  <si>
    <t>けしき</t>
  </si>
  <si>
    <t>keshiki</t>
  </si>
  <si>
    <t>scenery</t>
  </si>
  <si>
    <t>気</t>
  </si>
  <si>
    <t>き</t>
  </si>
  <si>
    <t>ki</t>
  </si>
  <si>
    <t>spirit</t>
  </si>
  <si>
    <t>気分</t>
  </si>
  <si>
    <t>きぶん</t>
  </si>
  <si>
    <t>kibun</t>
  </si>
  <si>
    <t>feeling; mood</t>
  </si>
  <si>
    <t>機会</t>
  </si>
  <si>
    <t>きかい</t>
  </si>
  <si>
    <t>kikai</t>
  </si>
  <si>
    <t>chance; opportunity</t>
  </si>
  <si>
    <t>危険</t>
  </si>
  <si>
    <t>きけん</t>
  </si>
  <si>
    <t>kiken</t>
  </si>
  <si>
    <t>danger</t>
  </si>
  <si>
    <t>気持ち</t>
  </si>
  <si>
    <t>きもち</t>
  </si>
  <si>
    <t>kimochi</t>
  </si>
  <si>
    <t>feeling</t>
  </si>
  <si>
    <t>着物</t>
  </si>
  <si>
    <t>きもの</t>
  </si>
  <si>
    <t>kimono</t>
  </si>
  <si>
    <t>kimono; traditional clothing</t>
  </si>
  <si>
    <t>近所</t>
  </si>
  <si>
    <t>きんじょ</t>
  </si>
  <si>
    <t>kinjo</t>
  </si>
  <si>
    <t>neighbourhood</t>
  </si>
  <si>
    <t>絹</t>
  </si>
  <si>
    <t>きぬ</t>
  </si>
  <si>
    <t>kinu</t>
  </si>
  <si>
    <t>silk</t>
  </si>
  <si>
    <t>季節</t>
  </si>
  <si>
    <t>きせつ</t>
  </si>
  <si>
    <t>kisetsu</t>
  </si>
  <si>
    <t>season</t>
  </si>
  <si>
    <t>汽車</t>
  </si>
  <si>
    <t>きしゃ</t>
  </si>
  <si>
    <t>kisha</t>
  </si>
  <si>
    <t>train</t>
  </si>
  <si>
    <t>規則</t>
  </si>
  <si>
    <t>きそく</t>
  </si>
  <si>
    <t>kisoku</t>
  </si>
  <si>
    <t>rule</t>
  </si>
  <si>
    <t>子</t>
  </si>
  <si>
    <t>こ</t>
  </si>
  <si>
    <t>ko</t>
  </si>
  <si>
    <t>child</t>
  </si>
  <si>
    <t>心</t>
  </si>
  <si>
    <t>こころ</t>
  </si>
  <si>
    <t>kokoro</t>
  </si>
  <si>
    <t>heart</t>
  </si>
  <si>
    <t>国際</t>
  </si>
  <si>
    <t>こくさい</t>
  </si>
  <si>
    <t>kokusai</t>
  </si>
  <si>
    <t>international</t>
  </si>
  <si>
    <t>米</t>
  </si>
  <si>
    <t>こめ</t>
  </si>
  <si>
    <t>kome</t>
  </si>
  <si>
    <t>rice</t>
  </si>
  <si>
    <t>今度</t>
  </si>
  <si>
    <t>こんど</t>
  </si>
  <si>
    <t>kondo</t>
  </si>
  <si>
    <t>this time; next time</t>
  </si>
  <si>
    <t>この間</t>
  </si>
  <si>
    <t>このあいだ</t>
  </si>
  <si>
    <t>kono aida</t>
  </si>
  <si>
    <t>the other day; recently</t>
  </si>
  <si>
    <t>このごろ</t>
  </si>
  <si>
    <t>kono goro</t>
  </si>
  <si>
    <t>these days; nowadays</t>
  </si>
  <si>
    <t>コンピュータ</t>
  </si>
  <si>
    <t>konpyuuta</t>
  </si>
  <si>
    <t>computer</t>
  </si>
  <si>
    <t>コンサート</t>
  </si>
  <si>
    <t>konsaato</t>
  </si>
  <si>
    <t>concert</t>
  </si>
  <si>
    <t>今夜</t>
  </si>
  <si>
    <t>こんや</t>
  </si>
  <si>
    <t>konya</t>
  </si>
  <si>
    <t>this evening; tonigh</t>
  </si>
  <si>
    <t>故障</t>
  </si>
  <si>
    <t>こしょう</t>
  </si>
  <si>
    <t>koshou</t>
  </si>
  <si>
    <t>to break-down</t>
  </si>
  <si>
    <t>答え</t>
  </si>
  <si>
    <t>こたえ</t>
  </si>
  <si>
    <t>kotae</t>
  </si>
  <si>
    <t>response</t>
  </si>
  <si>
    <t>小鳥</t>
  </si>
  <si>
    <t>ことり</t>
  </si>
  <si>
    <t>kotori</t>
  </si>
  <si>
    <t>small bird</t>
  </si>
  <si>
    <t>校長</t>
  </si>
  <si>
    <t>こうちょう</t>
  </si>
  <si>
    <t>kouchou</t>
  </si>
  <si>
    <t>principal; headmaster</t>
  </si>
  <si>
    <t>講堂</t>
  </si>
  <si>
    <t>こうどう</t>
  </si>
  <si>
    <t>koudou</t>
  </si>
  <si>
    <t>auditorium</t>
  </si>
  <si>
    <t>郊外</t>
  </si>
  <si>
    <t>こうがい</t>
  </si>
  <si>
    <t>kougai</t>
  </si>
  <si>
    <t>suburb; residential area</t>
  </si>
  <si>
    <t>講義</t>
  </si>
  <si>
    <t>こうぎ</t>
  </si>
  <si>
    <t>kougi</t>
  </si>
  <si>
    <t>lecture</t>
  </si>
  <si>
    <t>工業</t>
  </si>
  <si>
    <t>こうぎょう</t>
  </si>
  <si>
    <t>kougyou</t>
  </si>
  <si>
    <t>industry</t>
  </si>
  <si>
    <t>工場</t>
  </si>
  <si>
    <t>こうじょう</t>
  </si>
  <si>
    <t>koujou</t>
  </si>
  <si>
    <t>factory</t>
  </si>
  <si>
    <t>高校</t>
  </si>
  <si>
    <t>こうこう</t>
  </si>
  <si>
    <t>koukou</t>
  </si>
  <si>
    <t>high school</t>
  </si>
  <si>
    <t>高校生</t>
  </si>
  <si>
    <t>こうこうせい</t>
  </si>
  <si>
    <t>koukousei</t>
  </si>
  <si>
    <t>high school student</t>
  </si>
  <si>
    <t>公務員</t>
  </si>
  <si>
    <t>こうむいん</t>
  </si>
  <si>
    <t>koumuin</t>
  </si>
  <si>
    <t>government worker</t>
  </si>
  <si>
    <t>高等学校</t>
  </si>
  <si>
    <t>こうとうがっこう</t>
  </si>
  <si>
    <t>koutougakkou</t>
  </si>
  <si>
    <t>交通</t>
  </si>
  <si>
    <t>こうつう</t>
  </si>
  <si>
    <t>koutsuu</t>
  </si>
  <si>
    <t>traffic</t>
  </si>
  <si>
    <t>首</t>
  </si>
  <si>
    <t>くび</t>
  </si>
  <si>
    <t>kubi</t>
  </si>
  <si>
    <t>neck</t>
  </si>
  <si>
    <t>雲</t>
  </si>
  <si>
    <t>くも</t>
  </si>
  <si>
    <t>kumo</t>
  </si>
  <si>
    <t>cloud</t>
  </si>
  <si>
    <t>草</t>
  </si>
  <si>
    <t>くさ</t>
  </si>
  <si>
    <t>kusa</t>
  </si>
  <si>
    <t>grass</t>
  </si>
  <si>
    <t>空気</t>
  </si>
  <si>
    <t>くうき</t>
  </si>
  <si>
    <t>kuuki</t>
  </si>
  <si>
    <t>air</t>
  </si>
  <si>
    <t>空港</t>
  </si>
  <si>
    <t>くうこう</t>
  </si>
  <si>
    <t>kuukou</t>
  </si>
  <si>
    <t>airport</t>
  </si>
  <si>
    <t>客</t>
  </si>
  <si>
    <t>きゃく</t>
  </si>
  <si>
    <t>kyaku</t>
  </si>
  <si>
    <t>guest; customer</t>
  </si>
  <si>
    <t>教育</t>
  </si>
  <si>
    <t>きょういく</t>
  </si>
  <si>
    <t>kyouiku</t>
  </si>
  <si>
    <t>education</t>
  </si>
  <si>
    <t>教会</t>
  </si>
  <si>
    <t>きょうかい</t>
  </si>
  <si>
    <t>kyoukai</t>
  </si>
  <si>
    <t>church; Christian church</t>
  </si>
  <si>
    <t>興味</t>
  </si>
  <si>
    <t>きょうみ</t>
  </si>
  <si>
    <t>kyoumi</t>
  </si>
  <si>
    <t>interest; curiosity</t>
  </si>
  <si>
    <t>競争</t>
  </si>
  <si>
    <t>きょうそう</t>
  </si>
  <si>
    <t>kyousou</t>
  </si>
  <si>
    <t>competition</t>
  </si>
  <si>
    <t>急行</t>
  </si>
  <si>
    <t>きゅうこう</t>
  </si>
  <si>
    <t>kyuukou</t>
  </si>
  <si>
    <t>hurrying; rushing</t>
  </si>
  <si>
    <t>漫画</t>
  </si>
  <si>
    <t>まんが</t>
  </si>
  <si>
    <t>manga</t>
  </si>
  <si>
    <t>comic</t>
  </si>
  <si>
    <t>真ん中</t>
  </si>
  <si>
    <t>まんなか</t>
  </si>
  <si>
    <t>mannaka</t>
  </si>
  <si>
    <t>middle; centre; center</t>
  </si>
  <si>
    <t>周り</t>
  </si>
  <si>
    <t>まわり</t>
  </si>
  <si>
    <t>mawari</t>
  </si>
  <si>
    <t>around</t>
  </si>
  <si>
    <t>港</t>
  </si>
  <si>
    <t>みなと</t>
  </si>
  <si>
    <t>minato</t>
  </si>
  <si>
    <t>harbour</t>
  </si>
  <si>
    <t>味噌</t>
  </si>
  <si>
    <t>みそ</t>
  </si>
  <si>
    <t>miso</t>
  </si>
  <si>
    <t>fermented condiment made from soybeans</t>
  </si>
  <si>
    <t>都</t>
  </si>
  <si>
    <t>みやこ</t>
  </si>
  <si>
    <t>miyako</t>
  </si>
  <si>
    <t>capital</t>
  </si>
  <si>
    <t>湖</t>
  </si>
  <si>
    <t>みずうみ</t>
  </si>
  <si>
    <t>mizuumi</t>
  </si>
  <si>
    <t>lake</t>
  </si>
  <si>
    <t>木綿</t>
  </si>
  <si>
    <t>もめん</t>
  </si>
  <si>
    <t>momen</t>
  </si>
  <si>
    <t>cotton (material)</t>
  </si>
  <si>
    <t>森</t>
  </si>
  <si>
    <t>もり</t>
  </si>
  <si>
    <t>mori</t>
  </si>
  <si>
    <t>forest</t>
  </si>
  <si>
    <t>昔</t>
  </si>
  <si>
    <t>むかし</t>
  </si>
  <si>
    <t>mukashi</t>
  </si>
  <si>
    <t>olden days, former</t>
  </si>
  <si>
    <t>無理</t>
  </si>
  <si>
    <t>むり</t>
  </si>
  <si>
    <t>muri</t>
  </si>
  <si>
    <t>impossible</t>
  </si>
  <si>
    <t>虫</t>
  </si>
  <si>
    <t>むし</t>
  </si>
  <si>
    <t>mushi</t>
  </si>
  <si>
    <t>insect</t>
  </si>
  <si>
    <t>息子</t>
  </si>
  <si>
    <t>むすこ</t>
  </si>
  <si>
    <t>musuko</t>
  </si>
  <si>
    <t>son</t>
  </si>
  <si>
    <t>娘</t>
  </si>
  <si>
    <t>むすめ</t>
  </si>
  <si>
    <t>musume</t>
  </si>
  <si>
    <t>daughter</t>
  </si>
  <si>
    <t>生</t>
  </si>
  <si>
    <t>なま</t>
  </si>
  <si>
    <t>nama</t>
  </si>
  <si>
    <t>raw</t>
  </si>
  <si>
    <t>寝坊</t>
  </si>
  <si>
    <t>ねぼう</t>
  </si>
  <si>
    <t>nebou</t>
  </si>
  <si>
    <t>sleeping in late; oversleeping</t>
  </si>
  <si>
    <t>値段</t>
  </si>
  <si>
    <t>ねだん</t>
  </si>
  <si>
    <t>nedan</t>
  </si>
  <si>
    <t>price; cost</t>
  </si>
  <si>
    <t>熱</t>
  </si>
  <si>
    <t>ねつ</t>
  </si>
  <si>
    <t>netsu</t>
  </si>
  <si>
    <t>fever</t>
  </si>
  <si>
    <t>二階建て</t>
  </si>
  <si>
    <t>にかいだて</t>
  </si>
  <si>
    <t>nikaidate</t>
  </si>
  <si>
    <t>two-storied building</t>
  </si>
  <si>
    <t>人形</t>
  </si>
  <si>
    <t>にんぎょう</t>
  </si>
  <si>
    <t>ningyou</t>
  </si>
  <si>
    <t>doll</t>
  </si>
  <si>
    <t>匂い</t>
  </si>
  <si>
    <t>におい</t>
  </si>
  <si>
    <t>nioi</t>
  </si>
  <si>
    <t>a smell</t>
  </si>
  <si>
    <t>喉</t>
  </si>
  <si>
    <t>のど</t>
  </si>
  <si>
    <t>nodo</t>
  </si>
  <si>
    <t>throat</t>
  </si>
  <si>
    <t>乗り物</t>
  </si>
  <si>
    <t>のりもの</t>
  </si>
  <si>
    <t>norimono</t>
  </si>
  <si>
    <t>vehicle</t>
  </si>
  <si>
    <t>入学</t>
  </si>
  <si>
    <t>にゅうがく</t>
  </si>
  <si>
    <t>nyuugaku</t>
  </si>
  <si>
    <t>entry to school; enrollment</t>
  </si>
  <si>
    <t>入院</t>
  </si>
  <si>
    <t>にゅういん</t>
  </si>
  <si>
    <t>nyuuin</t>
  </si>
  <si>
    <t>hospitalization</t>
  </si>
  <si>
    <t>踊り</t>
  </si>
  <si>
    <t>おどり</t>
  </si>
  <si>
    <t>odori</t>
  </si>
  <si>
    <t>a dance</t>
  </si>
  <si>
    <t>お祝い</t>
  </si>
  <si>
    <t>おいわい</t>
  </si>
  <si>
    <t>oiwai</t>
  </si>
  <si>
    <t>congratulation</t>
  </si>
  <si>
    <t>お嬢さん</t>
  </si>
  <si>
    <t>おじょうさん</t>
  </si>
  <si>
    <t>ojousan</t>
  </si>
  <si>
    <t>(another's) daughter</t>
  </si>
  <si>
    <t>屋上</t>
  </si>
  <si>
    <t>おくじょう</t>
  </si>
  <si>
    <t>okujou</t>
  </si>
  <si>
    <t>rooftop</t>
  </si>
  <si>
    <t>贈り物</t>
  </si>
  <si>
    <t>おくりもの</t>
  </si>
  <si>
    <t>okurimono</t>
  </si>
  <si>
    <t>present; gift</t>
  </si>
  <si>
    <t>お祭り</t>
  </si>
  <si>
    <t>おまつり</t>
  </si>
  <si>
    <t>omatsuri</t>
  </si>
  <si>
    <t>festival</t>
  </si>
  <si>
    <t>お見舞い</t>
  </si>
  <si>
    <t>おみまい</t>
  </si>
  <si>
    <t>omimai</t>
  </si>
  <si>
    <t>visiting ill people</t>
  </si>
  <si>
    <t>お土産</t>
  </si>
  <si>
    <t>おみやげ</t>
  </si>
  <si>
    <t>omiyage</t>
  </si>
  <si>
    <t>souvenir</t>
  </si>
  <si>
    <t>おもちゃ</t>
  </si>
  <si>
    <t>omocha</t>
  </si>
  <si>
    <t>toy</t>
  </si>
  <si>
    <t>表</t>
  </si>
  <si>
    <t>おもて</t>
  </si>
  <si>
    <t>omote</t>
  </si>
  <si>
    <t>the front</t>
  </si>
  <si>
    <t>オートバイ</t>
  </si>
  <si>
    <t>ootobai</t>
  </si>
  <si>
    <t>motorcycle</t>
  </si>
  <si>
    <t>お礼</t>
  </si>
  <si>
    <t>おれい</t>
  </si>
  <si>
    <t>orei</t>
  </si>
  <si>
    <t>thanks</t>
  </si>
  <si>
    <t>押し入れ</t>
  </si>
  <si>
    <t>おしいれ</t>
  </si>
  <si>
    <t>oshiire</t>
  </si>
  <si>
    <t>closet</t>
  </si>
  <si>
    <t>お宅</t>
  </si>
  <si>
    <t>おたく</t>
  </si>
  <si>
    <t>otaku</t>
  </si>
  <si>
    <t>your home</t>
  </si>
  <si>
    <t>音</t>
  </si>
  <si>
    <t>おと</t>
  </si>
  <si>
    <t>oto</t>
  </si>
  <si>
    <t>sound; note</t>
  </si>
  <si>
    <t>お釣り</t>
  </si>
  <si>
    <t>おつり</t>
  </si>
  <si>
    <t>otsuri</t>
  </si>
  <si>
    <t>change (for a purchase)</t>
  </si>
  <si>
    <t>夫</t>
  </si>
  <si>
    <t>おっと</t>
  </si>
  <si>
    <t>otto</t>
  </si>
  <si>
    <t>husband</t>
  </si>
  <si>
    <t>終わり</t>
  </si>
  <si>
    <t>おわり</t>
  </si>
  <si>
    <t>owari</t>
  </si>
  <si>
    <t>the end</t>
  </si>
  <si>
    <t>親</t>
  </si>
  <si>
    <t>おや</t>
  </si>
  <si>
    <t>oya</t>
  </si>
  <si>
    <t>parents</t>
  </si>
  <si>
    <t>泳ぎ方</t>
  </si>
  <si>
    <t>およぎかた</t>
  </si>
  <si>
    <t>oyogikata</t>
  </si>
  <si>
    <t>way of swimming</t>
  </si>
  <si>
    <t>パート</t>
  </si>
  <si>
    <t>paato</t>
  </si>
  <si>
    <t>part; part time</t>
  </si>
  <si>
    <t>パソコン</t>
  </si>
  <si>
    <t>pasokon</t>
  </si>
  <si>
    <t>personal computer</t>
  </si>
  <si>
    <t>ピアノ</t>
  </si>
  <si>
    <t>piano</t>
  </si>
  <si>
    <t>プレゼント</t>
  </si>
  <si>
    <t>purezento</t>
  </si>
  <si>
    <t>冷房</t>
  </si>
  <si>
    <t>れいぼう</t>
  </si>
  <si>
    <t>reibou</t>
  </si>
  <si>
    <t>air conditioning</t>
  </si>
  <si>
    <t>レジ</t>
  </si>
  <si>
    <t>reji</t>
  </si>
  <si>
    <t>cashier</t>
  </si>
  <si>
    <t>歴史</t>
  </si>
  <si>
    <t>れきし</t>
  </si>
  <si>
    <t>rekishi</t>
  </si>
  <si>
    <t>history</t>
  </si>
  <si>
    <t>レポート</t>
  </si>
  <si>
    <t>repooto</t>
  </si>
  <si>
    <t>report</t>
  </si>
  <si>
    <t>利用</t>
  </si>
  <si>
    <t>りよう</t>
  </si>
  <si>
    <t>riyou</t>
  </si>
  <si>
    <t>use; utilization; application</t>
  </si>
  <si>
    <t>理由</t>
  </si>
  <si>
    <t>りゆう</t>
  </si>
  <si>
    <t>riyuu</t>
  </si>
  <si>
    <t>reason</t>
  </si>
  <si>
    <t>留守</t>
  </si>
  <si>
    <t>るす</t>
  </si>
  <si>
    <t>rusu</t>
  </si>
  <si>
    <t>absence</t>
  </si>
  <si>
    <t>旅館</t>
  </si>
  <si>
    <t>りょかん</t>
  </si>
  <si>
    <t>ryokan</t>
  </si>
  <si>
    <t>traditional Japanese inn</t>
  </si>
  <si>
    <t>両方</t>
  </si>
  <si>
    <t>りょうほう</t>
  </si>
  <si>
    <t>ryouhou</t>
  </si>
  <si>
    <t>both sides</t>
  </si>
  <si>
    <t>最後</t>
  </si>
  <si>
    <t>さいご</t>
  </si>
  <si>
    <t>saigo</t>
  </si>
  <si>
    <t>end; last</t>
  </si>
  <si>
    <t>最近</t>
  </si>
  <si>
    <t>さいきん</t>
  </si>
  <si>
    <t>saikin</t>
  </si>
  <si>
    <t>recently</t>
  </si>
  <si>
    <t>最初</t>
  </si>
  <si>
    <t>さいしょ</t>
  </si>
  <si>
    <t>saisho</t>
  </si>
  <si>
    <t>beginning; first</t>
  </si>
  <si>
    <t>坂</t>
  </si>
  <si>
    <t>さか</t>
  </si>
  <si>
    <t>saka</t>
  </si>
  <si>
    <t>slope; hill</t>
  </si>
  <si>
    <t>昨夜</t>
  </si>
  <si>
    <t>さくや</t>
  </si>
  <si>
    <t>sakuya</t>
  </si>
  <si>
    <t>last night</t>
  </si>
  <si>
    <t>サンダル</t>
  </si>
  <si>
    <t>sandaru</t>
  </si>
  <si>
    <t>sandal</t>
  </si>
  <si>
    <t>サンドイッチ</t>
  </si>
  <si>
    <t>sandoicchi</t>
  </si>
  <si>
    <t>sandwich</t>
  </si>
  <si>
    <t>産業</t>
  </si>
  <si>
    <t>さんぎょう</t>
  </si>
  <si>
    <t>sangyou</t>
  </si>
  <si>
    <t>サラダ</t>
  </si>
  <si>
    <t>sarada</t>
  </si>
  <si>
    <t>salad</t>
  </si>
  <si>
    <t>再来月</t>
  </si>
  <si>
    <t>さらいげつ</t>
  </si>
  <si>
    <t>saraigetsu</t>
  </si>
  <si>
    <t>month after next</t>
  </si>
  <si>
    <t>再来週</t>
  </si>
  <si>
    <t>さらいしゅう</t>
  </si>
  <si>
    <t>saraishuu</t>
  </si>
  <si>
    <t>week after next</t>
  </si>
  <si>
    <t>生物</t>
  </si>
  <si>
    <t>せいぶつ</t>
  </si>
  <si>
    <t>seibutsu</t>
  </si>
  <si>
    <t>政治</t>
  </si>
  <si>
    <t>せいじ</t>
  </si>
  <si>
    <t>seiji</t>
  </si>
  <si>
    <t>politics</t>
  </si>
  <si>
    <t>生活</t>
  </si>
  <si>
    <t>せいかつ</t>
  </si>
  <si>
    <t>seikatsu</t>
  </si>
  <si>
    <t>to live</t>
  </si>
  <si>
    <t>生命</t>
  </si>
  <si>
    <t>せいめい</t>
  </si>
  <si>
    <t>seimei</t>
  </si>
  <si>
    <t>life</t>
  </si>
  <si>
    <t>生産</t>
  </si>
  <si>
    <t>せいさん</t>
  </si>
  <si>
    <t>seisan</t>
  </si>
  <si>
    <t>production</t>
  </si>
  <si>
    <t>西洋</t>
  </si>
  <si>
    <t>せいよう</t>
  </si>
  <si>
    <t>seiyou</t>
  </si>
  <si>
    <t>the west; Western countries</t>
  </si>
  <si>
    <t>世界</t>
  </si>
  <si>
    <t>せかい</t>
  </si>
  <si>
    <t>sekai</t>
  </si>
  <si>
    <t>the world</t>
  </si>
  <si>
    <t>席</t>
  </si>
  <si>
    <t>せき</t>
  </si>
  <si>
    <t>seki</t>
  </si>
  <si>
    <t>seat</t>
  </si>
  <si>
    <t>線</t>
  </si>
  <si>
    <t>せん</t>
  </si>
  <si>
    <t>sen</t>
  </si>
  <si>
    <t>line</t>
  </si>
  <si>
    <t>背中</t>
  </si>
  <si>
    <t>せなか</t>
  </si>
  <si>
    <t>senaka</t>
  </si>
  <si>
    <t>back (of body)</t>
  </si>
  <si>
    <t>先輩</t>
  </si>
  <si>
    <t>せんぱい</t>
  </si>
  <si>
    <t>senpai</t>
  </si>
  <si>
    <t>senior</t>
  </si>
  <si>
    <t>戦争</t>
  </si>
  <si>
    <t>せんそう</t>
  </si>
  <si>
    <t>sensou</t>
  </si>
  <si>
    <t>war</t>
  </si>
  <si>
    <t>説明</t>
  </si>
  <si>
    <t>せつめい</t>
  </si>
  <si>
    <t>setsumei</t>
  </si>
  <si>
    <t>explanation</t>
  </si>
  <si>
    <t>社長</t>
  </si>
  <si>
    <t>しゃちょう</t>
  </si>
  <si>
    <t>shachou</t>
  </si>
  <si>
    <t>company president</t>
  </si>
  <si>
    <t>社会</t>
  </si>
  <si>
    <t>しゃかい</t>
  </si>
  <si>
    <t>shakai</t>
  </si>
  <si>
    <t>society; public; community</t>
  </si>
  <si>
    <t>市</t>
  </si>
  <si>
    <t>し</t>
  </si>
  <si>
    <t>shi</t>
  </si>
  <si>
    <t>city</t>
  </si>
  <si>
    <t>試合</t>
  </si>
  <si>
    <t>しあい</t>
  </si>
  <si>
    <t>shiai</t>
  </si>
  <si>
    <t>match,game</t>
  </si>
  <si>
    <t>仕方</t>
  </si>
  <si>
    <t>しかた</t>
  </si>
  <si>
    <t>shikata</t>
  </si>
  <si>
    <t>way; method</t>
  </si>
  <si>
    <t>試験</t>
  </si>
  <si>
    <t>しけん</t>
  </si>
  <si>
    <t>shiken</t>
  </si>
  <si>
    <t>examination</t>
  </si>
  <si>
    <t>島</t>
  </si>
  <si>
    <t>しま</t>
  </si>
  <si>
    <t>shima</t>
  </si>
  <si>
    <t>island</t>
  </si>
  <si>
    <t>市民</t>
  </si>
  <si>
    <t>shimin</t>
  </si>
  <si>
    <t>citizen</t>
  </si>
  <si>
    <t>品物</t>
  </si>
  <si>
    <t>しなもの</t>
  </si>
  <si>
    <t>shinamono</t>
  </si>
  <si>
    <t>goods; article; thing</t>
  </si>
  <si>
    <t>新聞社</t>
  </si>
  <si>
    <t>しんぶんしゃ</t>
  </si>
  <si>
    <t>shinbunsha</t>
  </si>
  <si>
    <t>newspaper company</t>
  </si>
  <si>
    <t>親切</t>
  </si>
  <si>
    <t>しんせつ</t>
  </si>
  <si>
    <t>shinsetsu</t>
  </si>
  <si>
    <t>kindness</t>
  </si>
  <si>
    <t>失敗</t>
  </si>
  <si>
    <t>しっぱい</t>
  </si>
  <si>
    <t>shippai</t>
  </si>
  <si>
    <t>failure</t>
  </si>
  <si>
    <t>下着</t>
  </si>
  <si>
    <t>したぎ</t>
  </si>
  <si>
    <t>shitagi</t>
  </si>
  <si>
    <t>underwear</t>
  </si>
  <si>
    <t>食料品</t>
  </si>
  <si>
    <t>しょくりょうひん</t>
  </si>
  <si>
    <t>shokuryouhin</t>
  </si>
  <si>
    <t>food; groceries</t>
  </si>
  <si>
    <t>小学校</t>
  </si>
  <si>
    <t>しょうがっこう</t>
  </si>
  <si>
    <t>shougakkou</t>
  </si>
  <si>
    <t>elementary school</t>
  </si>
  <si>
    <t>紹介</t>
  </si>
  <si>
    <t>しょうかい</t>
  </si>
  <si>
    <t>shoukai</t>
  </si>
  <si>
    <t>introduction</t>
  </si>
  <si>
    <t>将来</t>
  </si>
  <si>
    <t>しょうらい</t>
  </si>
  <si>
    <t>shourai</t>
  </si>
  <si>
    <t>future</t>
  </si>
  <si>
    <t>小説</t>
  </si>
  <si>
    <t>しょうせつ</t>
  </si>
  <si>
    <t>shousetsu</t>
  </si>
  <si>
    <t>novel</t>
  </si>
  <si>
    <t>趣味</t>
  </si>
  <si>
    <t>しゅみ</t>
  </si>
  <si>
    <t>shumi</t>
  </si>
  <si>
    <t>hobby; pastime; preference</t>
  </si>
  <si>
    <t>習慣</t>
  </si>
  <si>
    <t>しゅうかん</t>
  </si>
  <si>
    <t>shuukan</t>
  </si>
  <si>
    <t>habit; custom</t>
  </si>
  <si>
    <t>祖母</t>
  </si>
  <si>
    <t>そぼ</t>
  </si>
  <si>
    <t>sobo</t>
  </si>
  <si>
    <t>grandmother</t>
  </si>
  <si>
    <t>祖父</t>
  </si>
  <si>
    <t>そふ</t>
  </si>
  <si>
    <t>sofu</t>
  </si>
  <si>
    <t>grandfather</t>
  </si>
  <si>
    <t>ソフト</t>
  </si>
  <si>
    <t>sofuto</t>
  </si>
  <si>
    <t>soft</t>
  </si>
  <si>
    <t>卒業</t>
  </si>
  <si>
    <t>そつぎょう</t>
  </si>
  <si>
    <t>sotsugyou</t>
  </si>
  <si>
    <t>graduation</t>
  </si>
  <si>
    <t>相談</t>
  </si>
  <si>
    <t>そうだん</t>
  </si>
  <si>
    <t>soudan</t>
  </si>
  <si>
    <t>to discuss</t>
  </si>
  <si>
    <t>水道</t>
  </si>
  <si>
    <t>すいどう</t>
  </si>
  <si>
    <t>suidou</t>
  </si>
  <si>
    <t>water supply</t>
  </si>
  <si>
    <t>水泳</t>
  </si>
  <si>
    <t>すいえい</t>
  </si>
  <si>
    <t>suiei</t>
  </si>
  <si>
    <t>swimming</t>
  </si>
  <si>
    <t>スクリーン</t>
  </si>
  <si>
    <t>sukuriin</t>
  </si>
  <si>
    <t>screen</t>
  </si>
  <si>
    <t>隅</t>
  </si>
  <si>
    <t>すみ</t>
  </si>
  <si>
    <t>sumi</t>
  </si>
  <si>
    <t>corner; nook</t>
  </si>
  <si>
    <t>砂</t>
  </si>
  <si>
    <t>すな</t>
  </si>
  <si>
    <t>suna</t>
  </si>
  <si>
    <t>sand</t>
  </si>
  <si>
    <t>すり</t>
  </si>
  <si>
    <t>suri</t>
  </si>
  <si>
    <t>pickpocket</t>
  </si>
  <si>
    <t>スーツケース</t>
  </si>
  <si>
    <t>sustsukeesu</t>
  </si>
  <si>
    <t>suitcase</t>
  </si>
  <si>
    <t>ステーキ</t>
  </si>
  <si>
    <t>suteeki</t>
  </si>
  <si>
    <t>steak</t>
  </si>
  <si>
    <t>ステレオ</t>
  </si>
  <si>
    <t>sutereo</t>
  </si>
  <si>
    <t>stereo</t>
  </si>
  <si>
    <t>数学</t>
  </si>
  <si>
    <t>すうがく</t>
  </si>
  <si>
    <t>suugaku</t>
  </si>
  <si>
    <t>mathematics; arithmetic</t>
  </si>
  <si>
    <t>スーツ</t>
  </si>
  <si>
    <t>suutsu</t>
  </si>
  <si>
    <t>suit</t>
  </si>
  <si>
    <t>退院</t>
  </si>
  <si>
    <t>たいいん</t>
  </si>
  <si>
    <t>tai'in</t>
  </si>
  <si>
    <t>leaving hospital; discharge</t>
  </si>
  <si>
    <t>台風</t>
  </si>
  <si>
    <t>たいふう</t>
  </si>
  <si>
    <t>taifuu</t>
  </si>
  <si>
    <t>typhoon</t>
  </si>
  <si>
    <t>タイプ</t>
  </si>
  <si>
    <t>taipu</t>
  </si>
  <si>
    <t>type,style</t>
  </si>
  <si>
    <t>たいてい</t>
  </si>
  <si>
    <t>taitei</t>
  </si>
  <si>
    <t>棚</t>
  </si>
  <si>
    <t>たな</t>
  </si>
  <si>
    <t>tana</t>
  </si>
  <si>
    <t>shelves</t>
  </si>
  <si>
    <t>誕生</t>
  </si>
  <si>
    <t>たんじょう</t>
  </si>
  <si>
    <t>tanjou</t>
  </si>
  <si>
    <t>birth</t>
  </si>
  <si>
    <t>楽しみ</t>
  </si>
  <si>
    <t>たのしみ</t>
  </si>
  <si>
    <t>tanoshimi</t>
  </si>
  <si>
    <t>looking forward to</t>
  </si>
  <si>
    <t>畳</t>
  </si>
  <si>
    <t>たたみ</t>
  </si>
  <si>
    <t>tatami</t>
  </si>
  <si>
    <t>Japanese straw mat</t>
  </si>
  <si>
    <t>手袋</t>
  </si>
  <si>
    <t>てぶくろ</t>
  </si>
  <si>
    <t>tebukuro</t>
  </si>
  <si>
    <t>glove</t>
  </si>
  <si>
    <t>丁寧</t>
  </si>
  <si>
    <t>ていねい</t>
  </si>
  <si>
    <t>teinei</t>
  </si>
  <si>
    <t>polite</t>
  </si>
  <si>
    <t>テキスト</t>
  </si>
  <si>
    <t>tekisuto</t>
  </si>
  <si>
    <t>text; textbook</t>
  </si>
  <si>
    <t>適当</t>
  </si>
  <si>
    <t>てきとう</t>
  </si>
  <si>
    <t>tekitou</t>
  </si>
  <si>
    <t>suitable</t>
  </si>
  <si>
    <t>点</t>
  </si>
  <si>
    <t>てん</t>
  </si>
  <si>
    <t>ten</t>
  </si>
  <si>
    <t>point; dot</t>
  </si>
  <si>
    <t>店員</t>
  </si>
  <si>
    <t>てんいん</t>
  </si>
  <si>
    <t>ten'in</t>
  </si>
  <si>
    <t>shop assistant; clerk</t>
  </si>
  <si>
    <t>テニス</t>
  </si>
  <si>
    <t>tenisu</t>
  </si>
  <si>
    <t>tennis</t>
  </si>
  <si>
    <t>天気予報</t>
  </si>
  <si>
    <t>てんきよほう</t>
  </si>
  <si>
    <t>tenkiyohou</t>
  </si>
  <si>
    <t>weather forecast</t>
  </si>
  <si>
    <t>展覧会</t>
  </si>
  <si>
    <t>てんらんかい</t>
  </si>
  <si>
    <t>tenrankai</t>
  </si>
  <si>
    <t>exhibition</t>
  </si>
  <si>
    <t>寺</t>
  </si>
  <si>
    <t>てら</t>
  </si>
  <si>
    <t>tera</t>
  </si>
  <si>
    <t>temple</t>
  </si>
  <si>
    <t>途中</t>
  </si>
  <si>
    <t>とちゅう</t>
  </si>
  <si>
    <t>tochuu</t>
  </si>
  <si>
    <t>on the way</t>
  </si>
  <si>
    <t>特急</t>
  </si>
  <si>
    <t>とっきゅう</t>
  </si>
  <si>
    <t>tokkyuu</t>
  </si>
  <si>
    <t>limited express (train)</t>
  </si>
  <si>
    <t>床屋</t>
  </si>
  <si>
    <t>とこや</t>
  </si>
  <si>
    <t>tokoya</t>
  </si>
  <si>
    <t>barber</t>
  </si>
  <si>
    <t>特別</t>
  </si>
  <si>
    <t>とくべつ</t>
  </si>
  <si>
    <t>tokubetsu</t>
  </si>
  <si>
    <t>special; particular</t>
  </si>
  <si>
    <t>遠く</t>
  </si>
  <si>
    <t>とおく</t>
  </si>
  <si>
    <t>tooku</t>
  </si>
  <si>
    <t>distant</t>
  </si>
  <si>
    <t>都合</t>
  </si>
  <si>
    <t>つごう</t>
  </si>
  <si>
    <t>tsugou</t>
  </si>
  <si>
    <t>convenience</t>
  </si>
  <si>
    <t>月</t>
  </si>
  <si>
    <t>つき</t>
  </si>
  <si>
    <t>tsuki</t>
  </si>
  <si>
    <t>moon</t>
  </si>
  <si>
    <t>妻</t>
  </si>
  <si>
    <t>つま</t>
  </si>
  <si>
    <t>tsuma</t>
  </si>
  <si>
    <t>(humble) wife</t>
  </si>
  <si>
    <t>腕</t>
  </si>
  <si>
    <t>うで</t>
  </si>
  <si>
    <t>ude</t>
  </si>
  <si>
    <t>arm</t>
  </si>
  <si>
    <t>受付</t>
  </si>
  <si>
    <t>うけつけ</t>
  </si>
  <si>
    <t>uketsuke</t>
  </si>
  <si>
    <t>reception (desk)</t>
  </si>
  <si>
    <t>生まれ</t>
  </si>
  <si>
    <t>うまれ</t>
  </si>
  <si>
    <t>umare</t>
  </si>
  <si>
    <t>運転手</t>
  </si>
  <si>
    <t>うんてんしゅ</t>
  </si>
  <si>
    <t>untenshu</t>
  </si>
  <si>
    <t>driver; chauffeur</t>
  </si>
  <si>
    <t>裏</t>
  </si>
  <si>
    <t>うら</t>
  </si>
  <si>
    <t>ura</t>
  </si>
  <si>
    <t>reverse side</t>
  </si>
  <si>
    <t>売り場</t>
  </si>
  <si>
    <t>うりば</t>
  </si>
  <si>
    <t>uriba</t>
  </si>
  <si>
    <t>selling area</t>
  </si>
  <si>
    <t>嘘</t>
  </si>
  <si>
    <t>うそ</t>
  </si>
  <si>
    <t>uso</t>
  </si>
  <si>
    <t>a lie</t>
  </si>
  <si>
    <t>ワープロ</t>
  </si>
  <si>
    <t>waapuro</t>
  </si>
  <si>
    <t>word processor</t>
  </si>
  <si>
    <t>割合</t>
  </si>
  <si>
    <t>わりあい</t>
  </si>
  <si>
    <t>wariai</t>
  </si>
  <si>
    <t>rate; ratio</t>
  </si>
  <si>
    <t>忘れ物</t>
  </si>
  <si>
    <t>わすれもの</t>
  </si>
  <si>
    <t>wasuremono</t>
  </si>
  <si>
    <t>lost article</t>
  </si>
  <si>
    <t>約束</t>
  </si>
  <si>
    <t>やくそく</t>
  </si>
  <si>
    <t>yakusoku</t>
  </si>
  <si>
    <t>promise</t>
  </si>
  <si>
    <t>予習</t>
  </si>
  <si>
    <t>よしゅう</t>
  </si>
  <si>
    <t>yoshuu</t>
  </si>
  <si>
    <t>preparation for a lesson</t>
  </si>
  <si>
    <t>予定</t>
  </si>
  <si>
    <t>よてい</t>
  </si>
  <si>
    <t>yotei</t>
  </si>
  <si>
    <t>plan</t>
  </si>
  <si>
    <t>用</t>
  </si>
  <si>
    <t>よう</t>
  </si>
  <si>
    <t>you</t>
  </si>
  <si>
    <t>business; task; errand</t>
  </si>
  <si>
    <t>用意</t>
  </si>
  <si>
    <t>ようい</t>
  </si>
  <si>
    <t>youi</t>
  </si>
  <si>
    <t>preparation; arrangements</t>
  </si>
  <si>
    <t>用事</t>
  </si>
  <si>
    <t>ようじ</t>
  </si>
  <si>
    <t>youji</t>
  </si>
  <si>
    <t>tasks; things to do; errand</t>
  </si>
  <si>
    <t>予約</t>
  </si>
  <si>
    <t>よやく</t>
  </si>
  <si>
    <t>yoyaku</t>
  </si>
  <si>
    <t>reservation</t>
  </si>
  <si>
    <t>湯</t>
  </si>
  <si>
    <t>ゆ</t>
  </si>
  <si>
    <t>yu</t>
  </si>
  <si>
    <t>hot water</t>
  </si>
  <si>
    <t>指</t>
  </si>
  <si>
    <t>ゆび</t>
  </si>
  <si>
    <t>yubi</t>
  </si>
  <si>
    <t>finger</t>
  </si>
  <si>
    <t>手紙</t>
  </si>
  <si>
    <t>てがみ</t>
  </si>
  <si>
    <t>tegami</t>
  </si>
  <si>
    <t>Letter (message)</t>
  </si>
  <si>
    <t>天気</t>
  </si>
  <si>
    <t>てんき</t>
  </si>
  <si>
    <t>tenki</t>
  </si>
  <si>
    <t>weather; the elements</t>
  </si>
  <si>
    <t>テレビ</t>
  </si>
  <si>
    <t>terebi</t>
  </si>
  <si>
    <t>television; TV</t>
  </si>
  <si>
    <t>テスト</t>
  </si>
  <si>
    <t>tesuto</t>
  </si>
  <si>
    <t>examination; quiz; test</t>
  </si>
  <si>
    <t>戸</t>
  </si>
  <si>
    <t>と</t>
  </si>
  <si>
    <t>to</t>
  </si>
  <si>
    <t>Japanese style door</t>
  </si>
  <si>
    <t>トイレ</t>
  </si>
  <si>
    <t>toire</t>
  </si>
  <si>
    <t>toilet</t>
  </si>
  <si>
    <t>時計</t>
  </si>
  <si>
    <t>とけい</t>
  </si>
  <si>
    <t>tokei</t>
  </si>
  <si>
    <t>watch; clock; timepiece</t>
  </si>
  <si>
    <t>時</t>
  </si>
  <si>
    <t>とき</t>
  </si>
  <si>
    <t>toki</t>
  </si>
  <si>
    <t>time; moment</t>
  </si>
  <si>
    <t>時々</t>
  </si>
  <si>
    <t>ときどき</t>
  </si>
  <si>
    <t>tokidoki</t>
  </si>
  <si>
    <t>sometimes; at times</t>
  </si>
  <si>
    <t>所</t>
  </si>
  <si>
    <t>ところ</t>
  </si>
  <si>
    <t>tokoro</t>
  </si>
  <si>
    <t>友達</t>
  </si>
  <si>
    <t>ともだち</t>
  </si>
  <si>
    <t>tomodachi</t>
  </si>
  <si>
    <t>friend; companion</t>
  </si>
  <si>
    <t>隣</t>
  </si>
  <si>
    <t>となり</t>
  </si>
  <si>
    <t>tonari</t>
  </si>
  <si>
    <t>next door to</t>
  </si>
  <si>
    <t>十日</t>
  </si>
  <si>
    <t>とおか</t>
  </si>
  <si>
    <t>tooka</t>
  </si>
  <si>
    <t>tenth day of the month</t>
  </si>
  <si>
    <t>鳥</t>
  </si>
  <si>
    <t>とり</t>
  </si>
  <si>
    <t>tori</t>
  </si>
  <si>
    <t>bird</t>
  </si>
  <si>
    <t>鶏肉</t>
  </si>
  <si>
    <t>とりにく</t>
  </si>
  <si>
    <t>toriniku</t>
  </si>
  <si>
    <t>chicken meat</t>
  </si>
  <si>
    <t>年</t>
  </si>
  <si>
    <t>とし</t>
  </si>
  <si>
    <t>toshi</t>
  </si>
  <si>
    <t>year; age</t>
  </si>
  <si>
    <t>図書館</t>
  </si>
  <si>
    <t>としょかん</t>
  </si>
  <si>
    <t>toshokan</t>
  </si>
  <si>
    <t>library</t>
  </si>
  <si>
    <t>次</t>
  </si>
  <si>
    <t>つぎ</t>
  </si>
  <si>
    <t>tsugi</t>
  </si>
  <si>
    <t>next</t>
  </si>
  <si>
    <t>一日</t>
  </si>
  <si>
    <t>ついたち</t>
  </si>
  <si>
    <t>tsuitachi</t>
  </si>
  <si>
    <t>first day of the month</t>
  </si>
  <si>
    <t>机</t>
  </si>
  <si>
    <t>つくえ</t>
  </si>
  <si>
    <t>tsukue</t>
  </si>
  <si>
    <t>desk</t>
  </si>
  <si>
    <t>上</t>
  </si>
  <si>
    <t>うえ</t>
  </si>
  <si>
    <t>ue</t>
  </si>
  <si>
    <t>above; up; over; top</t>
  </si>
  <si>
    <t>海</t>
  </si>
  <si>
    <t>うみ</t>
  </si>
  <si>
    <t>umi</t>
  </si>
  <si>
    <t>sea</t>
  </si>
  <si>
    <t>後ろ</t>
  </si>
  <si>
    <t>うしろ</t>
  </si>
  <si>
    <t>ushiro</t>
  </si>
  <si>
    <t>back; behind; rear</t>
  </si>
  <si>
    <t>歌</t>
  </si>
  <si>
    <t>うた</t>
  </si>
  <si>
    <t>uta</t>
  </si>
  <si>
    <t>song</t>
  </si>
  <si>
    <t>上着</t>
  </si>
  <si>
    <t>うわぎ</t>
  </si>
  <si>
    <t>uwagi</t>
  </si>
  <si>
    <t>coat; jacket</t>
  </si>
  <si>
    <t>ワイシャツ</t>
  </si>
  <si>
    <t>wai shatsu</t>
  </si>
  <si>
    <t>shirt</t>
  </si>
  <si>
    <t>山</t>
  </si>
  <si>
    <t>やま</t>
  </si>
  <si>
    <t>yama</t>
  </si>
  <si>
    <t>mountain; hill</t>
  </si>
  <si>
    <t>八百屋</t>
  </si>
  <si>
    <t>やおや</t>
  </si>
  <si>
    <t>yaoya</t>
  </si>
  <si>
    <t>greengrocer</t>
  </si>
  <si>
    <t>野菜</t>
  </si>
  <si>
    <t>やさい</t>
  </si>
  <si>
    <t>yasai</t>
  </si>
  <si>
    <t>vegetable</t>
  </si>
  <si>
    <t>休み</t>
  </si>
  <si>
    <t>やすみ</t>
  </si>
  <si>
    <t>yasumi</t>
  </si>
  <si>
    <t>rest; vacation; holiday</t>
  </si>
  <si>
    <t>八つ</t>
  </si>
  <si>
    <t>やっつ</t>
  </si>
  <si>
    <t>yattsu</t>
  </si>
  <si>
    <t>eight: 8</t>
  </si>
  <si>
    <t>四日</t>
  </si>
  <si>
    <t>よっか</t>
  </si>
  <si>
    <t>yokka</t>
  </si>
  <si>
    <t>fourth day of the month</t>
  </si>
  <si>
    <t>横</t>
  </si>
  <si>
    <t>よこ</t>
  </si>
  <si>
    <t>yoko</t>
  </si>
  <si>
    <t>beside,side,width</t>
  </si>
  <si>
    <t>夜</t>
  </si>
  <si>
    <t>よる</t>
  </si>
  <si>
    <t>yoru</t>
  </si>
  <si>
    <t>evening; night</t>
  </si>
  <si>
    <t>四つ</t>
  </si>
  <si>
    <t>よつ</t>
  </si>
  <si>
    <t>yotsu</t>
  </si>
  <si>
    <t>four; 4</t>
  </si>
  <si>
    <t>洋服</t>
  </si>
  <si>
    <t>ようふく</t>
  </si>
  <si>
    <t>youfuku</t>
  </si>
  <si>
    <t>western clothes</t>
  </si>
  <si>
    <t>八日</t>
  </si>
  <si>
    <t>ようか</t>
  </si>
  <si>
    <t>youka</t>
  </si>
  <si>
    <t>eighth day of the month</t>
  </si>
  <si>
    <t>雪</t>
  </si>
  <si>
    <t>ゆき</t>
  </si>
  <si>
    <t>yuki</t>
  </si>
  <si>
    <t>snow</t>
  </si>
  <si>
    <t>ゆうべ</t>
  </si>
  <si>
    <t>yuube</t>
  </si>
  <si>
    <t>郵便局</t>
  </si>
  <si>
    <t>ゆうびんきょく</t>
  </si>
  <si>
    <t>yuubinkyoku</t>
  </si>
  <si>
    <t>post office</t>
  </si>
  <si>
    <t>夕方</t>
  </si>
  <si>
    <t>ゆうがた</t>
  </si>
  <si>
    <t>yuugata</t>
  </si>
  <si>
    <t>evening; dusk</t>
  </si>
  <si>
    <t>夕飯</t>
  </si>
  <si>
    <t>ゆうはん</t>
  </si>
  <si>
    <t>yuuhan</t>
  </si>
  <si>
    <t>evening meal</t>
  </si>
  <si>
    <t>有名</t>
  </si>
  <si>
    <t>ゆうめい</t>
  </si>
  <si>
    <t>yuumei</t>
  </si>
  <si>
    <t>famous</t>
  </si>
  <si>
    <t>雑誌</t>
  </si>
  <si>
    <t>ざっし</t>
  </si>
  <si>
    <t>zasshi</t>
  </si>
  <si>
    <t>magazine</t>
  </si>
  <si>
    <t>全部</t>
  </si>
  <si>
    <t>ぜんぶ</t>
  </si>
  <si>
    <t>zenbu</t>
  </si>
  <si>
    <t>all</t>
  </si>
  <si>
    <t>ゼロ</t>
  </si>
  <si>
    <t>zero</t>
  </si>
  <si>
    <t>ズボン</t>
  </si>
  <si>
    <t>zubon</t>
  </si>
  <si>
    <t>trousers; pants</t>
  </si>
  <si>
    <t>Romaji</t>
  </si>
  <si>
    <t>ば</t>
  </si>
  <si>
    <t>ba</t>
  </si>
  <si>
    <t>conditional form; If [A] then [B]</t>
  </si>
  <si>
    <t>ばかり</t>
  </si>
  <si>
    <t>bakari</t>
  </si>
  <si>
    <t>only; nothing but~</t>
  </si>
  <si>
    <t>でも</t>
  </si>
  <si>
    <t>demo</t>
  </si>
  <si>
    <t>... or something; how about~</t>
  </si>
  <si>
    <t>かしら</t>
  </si>
  <si>
    <t>ka shira</t>
  </si>
  <si>
    <t>I wonder~</t>
  </si>
  <si>
    <t>かい</t>
  </si>
  <si>
    <t>kai</t>
  </si>
  <si>
    <t>turns a sentence into a yes/no ?</t>
  </si>
  <si>
    <t>kana</t>
  </si>
  <si>
    <t>I wonder; should I?</t>
  </si>
  <si>
    <t>も</t>
  </si>
  <si>
    <t>mo</t>
  </si>
  <si>
    <t>as many as; as much as; nearly~</t>
  </si>
  <si>
    <t>な</t>
  </si>
  <si>
    <t>na</t>
  </si>
  <si>
    <t>don’t ~ (order somebody to not do)</t>
  </si>
  <si>
    <t>など</t>
  </si>
  <si>
    <t>nado</t>
  </si>
  <si>
    <t>such as, things like~</t>
  </si>
  <si>
    <t>ながら</t>
  </si>
  <si>
    <t>nagara</t>
  </si>
  <si>
    <t>while; during; as; simultaneously</t>
  </si>
  <si>
    <t>なら</t>
  </si>
  <si>
    <t>nara</t>
  </si>
  <si>
    <t>if; in the case that~</t>
  </si>
  <si>
    <t>のに</t>
  </si>
  <si>
    <t>noni</t>
  </si>
  <si>
    <t>although, in spite of, even though~</t>
  </si>
  <si>
    <t>to (do something); in order to~</t>
  </si>
  <si>
    <t>のは〜だ</t>
  </si>
  <si>
    <t>nowa~da</t>
  </si>
  <si>
    <t>[A] is [B]; the reason for [A] is [B]</t>
  </si>
  <si>
    <t>and; and what’s more; emphasis~</t>
  </si>
  <si>
    <t>たばかり</t>
  </si>
  <si>
    <t>ta bakari</t>
  </si>
  <si>
    <t>just finished/occurred</t>
  </si>
  <si>
    <t>たら</t>
  </si>
  <si>
    <t>tara</t>
  </si>
  <si>
    <t>if; after; when~</t>
  </si>
  <si>
    <t>て / で</t>
  </si>
  <si>
    <t>te / de</t>
  </si>
  <si>
    <t>conjunction; so; because of [A], [B]~</t>
  </si>
  <si>
    <t>ても</t>
  </si>
  <si>
    <t>temo</t>
  </si>
  <si>
    <t>even; even if; even though~</t>
  </si>
  <si>
    <t>whenever [A] happens, [B] ~</t>
  </si>
  <si>
    <t>という</t>
  </si>
  <si>
    <t>to iu</t>
  </si>
  <si>
    <t>called; named; that~</t>
  </si>
  <si>
    <t>とか～とか</t>
  </si>
  <si>
    <t>toka~toka</t>
  </si>
  <si>
    <t>among other things; such as; like~</t>
  </si>
  <si>
    <t>って</t>
  </si>
  <si>
    <t>tte</t>
  </si>
  <si>
    <t>named; called~</t>
  </si>
  <si>
    <t>より</t>
  </si>
  <si>
    <t>yori</t>
  </si>
  <si>
    <t>than; rather than; more than~</t>
  </si>
  <si>
    <t>petrol station</t>
  </si>
  <si>
    <t>ああ</t>
  </si>
  <si>
    <t>ah; yes</t>
  </si>
  <si>
    <t>間に</t>
  </si>
  <si>
    <t>あいだに</t>
  </si>
  <si>
    <t>while; during (the time when)</t>
  </si>
  <si>
    <t>あまり～ない</t>
  </si>
  <si>
    <t>not very, not much~</t>
  </si>
  <si>
    <t>後で</t>
  </si>
  <si>
    <t>あとで</t>
  </si>
  <si>
    <t>after~; later</t>
  </si>
  <si>
    <t>びっくり</t>
  </si>
  <si>
    <t>to be surprised</t>
  </si>
  <si>
    <t>大分</t>
  </si>
  <si>
    <t>だいぶ</t>
  </si>
  <si>
    <t>considerably; greatly; a lot</t>
  </si>
  <si>
    <t>できるだけ</t>
  </si>
  <si>
    <t>as much as possible</t>
  </si>
  <si>
    <t>どんどん</t>
  </si>
  <si>
    <t>rapidly; more and more</t>
  </si>
  <si>
    <t>はっきり</t>
  </si>
  <si>
    <t>clearly</t>
  </si>
  <si>
    <t>非常に</t>
  </si>
  <si>
    <t>ひじょうに</t>
  </si>
  <si>
    <t>extremely</t>
  </si>
  <si>
    <t>かどうか</t>
  </si>
  <si>
    <t>whether or not~</t>
  </si>
  <si>
    <t>必ず</t>
  </si>
  <si>
    <t>かならず</t>
  </si>
  <si>
    <t>always; certainly</t>
  </si>
  <si>
    <t>きっと</t>
  </si>
  <si>
    <t>surely; undoubtedly; most likely</t>
  </si>
  <si>
    <t>こう</t>
  </si>
  <si>
    <t>this way</t>
  </si>
  <si>
    <t>くする</t>
  </si>
  <si>
    <t>to make something ~</t>
  </si>
  <si>
    <t>急に</t>
  </si>
  <si>
    <t>きゅうに</t>
  </si>
  <si>
    <t>quickly; immediately; abruptly</t>
  </si>
  <si>
    <t>までに</t>
  </si>
  <si>
    <t>by; by the time</t>
  </si>
  <si>
    <t>まず</t>
  </si>
  <si>
    <t>first of all</t>
  </si>
  <si>
    <t>みたいに</t>
  </si>
  <si>
    <t>like; similar to~</t>
  </si>
  <si>
    <t>もし</t>
  </si>
  <si>
    <t>if; in case; supposing</t>
  </si>
  <si>
    <t>もうすぐ</t>
  </si>
  <si>
    <t>soon</t>
  </si>
  <si>
    <t>なかなか～ない</t>
  </si>
  <si>
    <t>not easy to; struggling to~</t>
  </si>
  <si>
    <t>なるほど</t>
  </si>
  <si>
    <t>that’s right; indeed</t>
  </si>
  <si>
    <t>の中で</t>
  </si>
  <si>
    <t>のなかで</t>
  </si>
  <si>
    <t>in; among~</t>
  </si>
  <si>
    <t>さすが</t>
  </si>
  <si>
    <t>as is to be expected; even~</t>
  </si>
  <si>
    <t>しっかり</t>
  </si>
  <si>
    <t>firmly; steadily</t>
  </si>
  <si>
    <t>そんなに</t>
  </si>
  <si>
    <t>so much; so; like that</t>
  </si>
  <si>
    <t>それほど</t>
  </si>
  <si>
    <t>to that extent</t>
  </si>
  <si>
    <t>そろそろ</t>
  </si>
  <si>
    <t>gradually; soon</t>
  </si>
  <si>
    <t>そうだ</t>
  </si>
  <si>
    <t>looks like; appears like; seeming~</t>
  </si>
  <si>
    <t>すっかり</t>
  </si>
  <si>
    <t>completely</t>
  </si>
  <si>
    <t>たまに</t>
  </si>
  <si>
    <t>occasionally</t>
  </si>
  <si>
    <t>特に</t>
  </si>
  <si>
    <t>とくに</t>
  </si>
  <si>
    <t>particularly; especially</t>
  </si>
  <si>
    <t>到頭</t>
  </si>
  <si>
    <t>とうとう</t>
  </si>
  <si>
    <t>finally, after all</t>
  </si>
  <si>
    <t>やっぱり</t>
  </si>
  <si>
    <t>as I thought</t>
  </si>
  <si>
    <t>やっと</t>
  </si>
  <si>
    <t>at last; finally; barely; narrowly~</t>
  </si>
  <si>
    <t>more</t>
  </si>
  <si>
    <t>ぜひ</t>
  </si>
  <si>
    <t>by all means; certainly; definitely~</t>
  </si>
  <si>
    <t>全然</t>
  </si>
  <si>
    <t>ぜんぜん</t>
  </si>
  <si>
    <t>not entirely (used in neg. sentence)</t>
  </si>
  <si>
    <t>全然～ない</t>
  </si>
  <si>
    <t>ぜんぜん～ない</t>
  </si>
  <si>
    <t>(not) at all</t>
  </si>
  <si>
    <t>浅い</t>
  </si>
  <si>
    <t>あさい</t>
  </si>
  <si>
    <t>shallow</t>
  </si>
  <si>
    <t>深い</t>
  </si>
  <si>
    <t>ふかい</t>
  </si>
  <si>
    <t>deep</t>
  </si>
  <si>
    <t>恥ずかしい</t>
  </si>
  <si>
    <t>はずかしい</t>
  </si>
  <si>
    <t>embarrassed</t>
  </si>
  <si>
    <t>酷い</t>
  </si>
  <si>
    <t>ひどい</t>
  </si>
  <si>
    <t>terrible; awful​</t>
  </si>
  <si>
    <t>悲しい</t>
  </si>
  <si>
    <t>かなしい</t>
  </si>
  <si>
    <t>sad</t>
  </si>
  <si>
    <t>硬い</t>
  </si>
  <si>
    <t>かたい</t>
  </si>
  <si>
    <t>hard</t>
  </si>
  <si>
    <t>厳しい</t>
  </si>
  <si>
    <t>きびしい</t>
  </si>
  <si>
    <t>strict</t>
  </si>
  <si>
    <t>細かい</t>
  </si>
  <si>
    <t>こまかい</t>
  </si>
  <si>
    <t>small, fine</t>
  </si>
  <si>
    <t>怖い</t>
  </si>
  <si>
    <t>こわい</t>
  </si>
  <si>
    <t>frightening</t>
  </si>
  <si>
    <t>珍しい</t>
  </si>
  <si>
    <t>めずらしい</t>
  </si>
  <si>
    <t>unusual; rare</t>
  </si>
  <si>
    <t>眠い</t>
  </si>
  <si>
    <t>ねむい</t>
  </si>
  <si>
    <t>sleepy</t>
  </si>
  <si>
    <t>苦い</t>
  </si>
  <si>
    <t>にがい</t>
  </si>
  <si>
    <t>bitter</t>
  </si>
  <si>
    <t>可笑しい</t>
  </si>
  <si>
    <t>おかしい</t>
  </si>
  <si>
    <t>strange or funny</t>
  </si>
  <si>
    <t>寂しい</t>
  </si>
  <si>
    <t>さびしい</t>
  </si>
  <si>
    <t>lonely</t>
  </si>
  <si>
    <t>素晴らしい</t>
  </si>
  <si>
    <t>すばらしい</t>
  </si>
  <si>
    <t>wonderful</t>
  </si>
  <si>
    <t>凄い</t>
  </si>
  <si>
    <t>すごい</t>
  </si>
  <si>
    <t>terrific</t>
  </si>
  <si>
    <t>正しい</t>
  </si>
  <si>
    <t>ただしい</t>
  </si>
  <si>
    <t>right; correct</t>
  </si>
  <si>
    <t>嬉しい</t>
  </si>
  <si>
    <t>うれしい</t>
  </si>
  <si>
    <t>happy</t>
  </si>
  <si>
    <t>美しい</t>
  </si>
  <si>
    <t>うつくしい</t>
  </si>
  <si>
    <t>beautiful</t>
  </si>
  <si>
    <t>優しい</t>
  </si>
  <si>
    <t>やさしい</t>
  </si>
  <si>
    <t>kind</t>
  </si>
  <si>
    <t>柔らかい</t>
  </si>
  <si>
    <t>やわらかい</t>
  </si>
  <si>
    <t>relief; peace of mind</t>
  </si>
  <si>
    <t>safety; security​</t>
  </si>
  <si>
    <t>大事</t>
  </si>
  <si>
    <t>だいじ</t>
  </si>
  <si>
    <t>important; serious; crucial</t>
  </si>
  <si>
    <t>inconvenient</t>
  </si>
  <si>
    <t>dangerous</t>
  </si>
  <si>
    <t>急</t>
  </si>
  <si>
    <t>きゅう</t>
  </si>
  <si>
    <t>sudden; abrupt; unexpected</t>
  </si>
  <si>
    <t>盛ん</t>
  </si>
  <si>
    <t>さかん</t>
  </si>
  <si>
    <t>popularity; prosperous</t>
  </si>
  <si>
    <t>looking forward to​</t>
  </si>
  <si>
    <t>special; particular; extraordinary</t>
  </si>
  <si>
    <t>残念</t>
  </si>
  <si>
    <t>ざんねん</t>
  </si>
  <si>
    <t>regrettable; unfortunate</t>
  </si>
  <si>
    <t>Kanji</t>
  </si>
  <si>
    <t>Onyomi</t>
  </si>
  <si>
    <t>Kunyomi</t>
  </si>
  <si>
    <t>Kanji Meaning</t>
  </si>
  <si>
    <t>会</t>
  </si>
  <si>
    <t>カイ</t>
  </si>
  <si>
    <t>あ(う)</t>
  </si>
  <si>
    <t>meeting; meet</t>
  </si>
  <si>
    <t>同</t>
  </si>
  <si>
    <t>ドウ</t>
  </si>
  <si>
    <t>おな(じ)</t>
  </si>
  <si>
    <t>same, agree, equal</t>
  </si>
  <si>
    <t>事</t>
  </si>
  <si>
    <t>ジ</t>
  </si>
  <si>
    <t>こと</t>
  </si>
  <si>
    <t>matter, thing, fact, business, reason, possibly</t>
  </si>
  <si>
    <t>自</t>
  </si>
  <si>
    <t>ジ、シ</t>
  </si>
  <si>
    <t>みずか(ら)</t>
  </si>
  <si>
    <t>oneself</t>
  </si>
  <si>
    <t>社</t>
  </si>
  <si>
    <t>シャ</t>
  </si>
  <si>
    <t>やしろ</t>
  </si>
  <si>
    <t>company, firm, office, association, shrine</t>
  </si>
  <si>
    <t>発</t>
  </si>
  <si>
    <t>ハツ、ホツ</t>
  </si>
  <si>
    <t>departure, discharge, emit, start from</t>
  </si>
  <si>
    <t>者</t>
  </si>
  <si>
    <t>もの</t>
  </si>
  <si>
    <t>someone, person</t>
  </si>
  <si>
    <t>地</t>
  </si>
  <si>
    <t>チ、ジ</t>
  </si>
  <si>
    <t>ground, earth</t>
  </si>
  <si>
    <t>業</t>
  </si>
  <si>
    <t>ギョウ</t>
  </si>
  <si>
    <t>わざ</t>
  </si>
  <si>
    <t>business, vocation, arts, performance</t>
  </si>
  <si>
    <t>方</t>
  </si>
  <si>
    <t>ホウ</t>
  </si>
  <si>
    <t>かた</t>
  </si>
  <si>
    <t>direction, person, alternative</t>
  </si>
  <si>
    <t>新</t>
  </si>
  <si>
    <t>シン</t>
  </si>
  <si>
    <t>あたら(しい)、あら(た)</t>
  </si>
  <si>
    <t>new</t>
  </si>
  <si>
    <t>場</t>
  </si>
  <si>
    <t>ジョウ</t>
  </si>
  <si>
    <t>location, place</t>
  </si>
  <si>
    <t>員</t>
  </si>
  <si>
    <t>イン</t>
  </si>
  <si>
    <t>employee, member, number, the one in charge</t>
  </si>
  <si>
    <t>立</t>
  </si>
  <si>
    <t>リツ</t>
  </si>
  <si>
    <t>た(つ)</t>
  </si>
  <si>
    <t>stand up, rise</t>
  </si>
  <si>
    <t>開</t>
  </si>
  <si>
    <t>ひら(く)、あ(ける)</t>
  </si>
  <si>
    <t>open, unfold, unseal</t>
  </si>
  <si>
    <t>手</t>
  </si>
  <si>
    <t>シュ</t>
  </si>
  <si>
    <t>て</t>
  </si>
  <si>
    <t>hand</t>
  </si>
  <si>
    <t>リョク、リキ</t>
  </si>
  <si>
    <t>power, strength, strong, strain, bear up, exert</t>
  </si>
  <si>
    <t>問</t>
  </si>
  <si>
    <t>モン</t>
  </si>
  <si>
    <t>と(う)</t>
  </si>
  <si>
    <t>question, ask, problem</t>
  </si>
  <si>
    <t>代</t>
  </si>
  <si>
    <t>ダイ</t>
  </si>
  <si>
    <t>か(わり)</t>
  </si>
  <si>
    <t>substitute, change, convert, replace, period</t>
  </si>
  <si>
    <t>明</t>
  </si>
  <si>
    <t>メイ、ミョウ</t>
  </si>
  <si>
    <t>あか(るい)</t>
  </si>
  <si>
    <t>bright, light</t>
  </si>
  <si>
    <t>動</t>
  </si>
  <si>
    <t>move, motion, change</t>
  </si>
  <si>
    <t>京</t>
  </si>
  <si>
    <t>キョウ、ケイ、キン</t>
  </si>
  <si>
    <t>目</t>
  </si>
  <si>
    <t>モク、ボク</t>
  </si>
  <si>
    <t>め</t>
  </si>
  <si>
    <t>eye, class, look, insight, experience</t>
  </si>
  <si>
    <t>通</t>
  </si>
  <si>
    <t>ツウ</t>
  </si>
  <si>
    <t>とお(る)、かよ(う)</t>
  </si>
  <si>
    <t>traffic, pass through, avenue, commute</t>
  </si>
  <si>
    <t>言</t>
  </si>
  <si>
    <t>ゲン、ゴン</t>
  </si>
  <si>
    <t>い（う）、こと</t>
  </si>
  <si>
    <t>say, word</t>
  </si>
  <si>
    <t>理</t>
  </si>
  <si>
    <t>リ</t>
  </si>
  <si>
    <t>logic, arrangement, reason, justice, truth</t>
  </si>
  <si>
    <t>体</t>
  </si>
  <si>
    <t>タイ</t>
  </si>
  <si>
    <t>からだ</t>
  </si>
  <si>
    <t>body, substance, object, reality</t>
  </si>
  <si>
    <t>田</t>
  </si>
  <si>
    <t>デン</t>
  </si>
  <si>
    <t>た</t>
  </si>
  <si>
    <t>rice field, rice paddy</t>
  </si>
  <si>
    <t>主</t>
  </si>
  <si>
    <t>ぬし、おも</t>
  </si>
  <si>
    <t>lord, chief, master, main thing, principal</t>
  </si>
  <si>
    <t>題</t>
  </si>
  <si>
    <t>topic, subject</t>
  </si>
  <si>
    <t>意</t>
  </si>
  <si>
    <t>イ</t>
  </si>
  <si>
    <t>idea, mind, heart, taste, thought</t>
  </si>
  <si>
    <t>不</t>
  </si>
  <si>
    <t>フ、ブ</t>
  </si>
  <si>
    <t>negative, non-, bad</t>
  </si>
  <si>
    <t>作</t>
  </si>
  <si>
    <t>サク、サ</t>
  </si>
  <si>
    <t>つく(る)</t>
  </si>
  <si>
    <t>make, production, prepare, build</t>
  </si>
  <si>
    <t>ヨウ</t>
  </si>
  <si>
    <t>もち(いる)</t>
  </si>
  <si>
    <t>utilize, business, service, use, employ</t>
  </si>
  <si>
    <t>度</t>
  </si>
  <si>
    <t>ド、タク</t>
  </si>
  <si>
    <t>たび、た(い)</t>
  </si>
  <si>
    <t>degrees, occurrence, time, counter for occurrences</t>
  </si>
  <si>
    <t>強</t>
  </si>
  <si>
    <t>キョウ、ゴウ</t>
  </si>
  <si>
    <t>つよ(い)</t>
  </si>
  <si>
    <t>strong</t>
  </si>
  <si>
    <t>公</t>
  </si>
  <si>
    <t>コウ</t>
  </si>
  <si>
    <t>public, prince, official, governmental</t>
  </si>
  <si>
    <t>持</t>
  </si>
  <si>
    <t>hold, have</t>
  </si>
  <si>
    <t>野</t>
  </si>
  <si>
    <t>ヤ</t>
  </si>
  <si>
    <t>の</t>
  </si>
  <si>
    <t>plains, field, rustic, civilian life</t>
  </si>
  <si>
    <t>以</t>
  </si>
  <si>
    <t>もっ(て)</t>
  </si>
  <si>
    <t>by means of, because, in view of, compared with</t>
  </si>
  <si>
    <t>思</t>
  </si>
  <si>
    <t>シ</t>
  </si>
  <si>
    <t>think</t>
  </si>
  <si>
    <t>家</t>
  </si>
  <si>
    <t>カ</t>
  </si>
  <si>
    <t>いえ、や、うち</t>
  </si>
  <si>
    <t>house, home, family, professional, expert</t>
  </si>
  <si>
    <t>世</t>
  </si>
  <si>
    <t>セイ、セ</t>
  </si>
  <si>
    <t>よ</t>
  </si>
  <si>
    <t>generation, world, society, public</t>
  </si>
  <si>
    <t>多</t>
  </si>
  <si>
    <t>タ</t>
  </si>
  <si>
    <t>おお(い)</t>
  </si>
  <si>
    <t>many, frequent, much</t>
  </si>
  <si>
    <t>正</t>
  </si>
  <si>
    <t>セイ、ショウ</t>
  </si>
  <si>
    <t>ただ(しい)、まさ(に)</t>
  </si>
  <si>
    <t>correct, justice, righteous</t>
  </si>
  <si>
    <t>安</t>
  </si>
  <si>
    <t>アン</t>
  </si>
  <si>
    <t>やす(い)</t>
  </si>
  <si>
    <t>safe, peaceful, cheap</t>
  </si>
  <si>
    <t>院</t>
  </si>
  <si>
    <t>institution, temple, mansion, school</t>
  </si>
  <si>
    <t>heart, mind, spirit</t>
  </si>
  <si>
    <t>界</t>
  </si>
  <si>
    <t>world, boundary</t>
  </si>
  <si>
    <t>教</t>
  </si>
  <si>
    <t>キョウ</t>
  </si>
  <si>
    <t>おし(える)、おそ(わる)</t>
  </si>
  <si>
    <t>teach, faith, doctrine</t>
  </si>
  <si>
    <t>文</t>
  </si>
  <si>
    <t>ブン、モン</t>
  </si>
  <si>
    <t>ふみ</t>
  </si>
  <si>
    <t>sentence, literature, style, art</t>
  </si>
  <si>
    <t>元</t>
  </si>
  <si>
    <t>ゲン、ガン</t>
  </si>
  <si>
    <t>もと</t>
  </si>
  <si>
    <t>beginning, former time, origin</t>
  </si>
  <si>
    <t>重</t>
  </si>
  <si>
    <t>ジュウ、チョウ</t>
  </si>
  <si>
    <t>おも(い)、かさ(ねる)</t>
  </si>
  <si>
    <t>heavy, important, esteem, respect</t>
  </si>
  <si>
    <t>近</t>
  </si>
  <si>
    <t>キン</t>
  </si>
  <si>
    <t>ちか(い)</t>
  </si>
  <si>
    <t>near, early, akin, tantamount</t>
  </si>
  <si>
    <t>考</t>
  </si>
  <si>
    <t>かんが(える)</t>
  </si>
  <si>
    <t>consider, think over</t>
  </si>
  <si>
    <t>画</t>
  </si>
  <si>
    <t>ガ、カク</t>
  </si>
  <si>
    <t>かく(する)</t>
  </si>
  <si>
    <t>brush-stroke, picture</t>
  </si>
  <si>
    <t>sea, ocean</t>
  </si>
  <si>
    <t>売</t>
  </si>
  <si>
    <t>バイ</t>
  </si>
  <si>
    <t>Sell</t>
  </si>
  <si>
    <t>知</t>
  </si>
  <si>
    <t>チ</t>
  </si>
  <si>
    <t>know, wisdom</t>
  </si>
  <si>
    <t>道</t>
  </si>
  <si>
    <t>みち</t>
  </si>
  <si>
    <t>road-way, street, district, journey, course</t>
  </si>
  <si>
    <t>集</t>
  </si>
  <si>
    <t>シュウ</t>
  </si>
  <si>
    <t>あつ(める)</t>
  </si>
  <si>
    <t>gather, meet</t>
  </si>
  <si>
    <t>別</t>
  </si>
  <si>
    <t>ベツ</t>
  </si>
  <si>
    <t>わか(れる)、わ(ける)</t>
  </si>
  <si>
    <t>separate, branch off, diverge</t>
  </si>
  <si>
    <t>物</t>
  </si>
  <si>
    <t>ブツ、モツ</t>
  </si>
  <si>
    <t>thing, object, matter</t>
  </si>
  <si>
    <t>使</t>
  </si>
  <si>
    <t>つか(う)</t>
  </si>
  <si>
    <t>use, order, messenger, ambassador</t>
  </si>
  <si>
    <t>品</t>
  </si>
  <si>
    <t>ヒン</t>
  </si>
  <si>
    <t>しな</t>
  </si>
  <si>
    <t>goods, refinement, dignity, article</t>
  </si>
  <si>
    <t>計</t>
  </si>
  <si>
    <t>ケイ</t>
  </si>
  <si>
    <t>はか(る)</t>
  </si>
  <si>
    <t>plot, plan, scheme, measure</t>
  </si>
  <si>
    <t>死</t>
  </si>
  <si>
    <t>death, die</t>
  </si>
  <si>
    <t>特</t>
  </si>
  <si>
    <t>トク</t>
  </si>
  <si>
    <t>special</t>
  </si>
  <si>
    <t>私</t>
  </si>
  <si>
    <t>わたくし、わたし</t>
  </si>
  <si>
    <t>private, I, me</t>
  </si>
  <si>
    <t>始</t>
  </si>
  <si>
    <t>はじ(める)</t>
  </si>
  <si>
    <t>commence, begin</t>
  </si>
  <si>
    <t>朝</t>
  </si>
  <si>
    <t>チョウ</t>
  </si>
  <si>
    <t>あさ</t>
  </si>
  <si>
    <t>morning</t>
  </si>
  <si>
    <t>運</t>
  </si>
  <si>
    <t>ウン</t>
  </si>
  <si>
    <t>はこ(ぶ)</t>
  </si>
  <si>
    <t>carry, luck, destiny, fate, transport</t>
  </si>
  <si>
    <t>終</t>
  </si>
  <si>
    <t>お(わる)</t>
  </si>
  <si>
    <t>end, finish</t>
  </si>
  <si>
    <t>台</t>
  </si>
  <si>
    <t>ダイ、タイ</t>
  </si>
  <si>
    <t>うてな</t>
  </si>
  <si>
    <t>pedestal, a stand, counter for machines and vehicles</t>
  </si>
  <si>
    <t>広</t>
  </si>
  <si>
    <t>ひろ(い)</t>
  </si>
  <si>
    <t>wide, broad, spacious</t>
  </si>
  <si>
    <t>住</t>
  </si>
  <si>
    <t>ジュウ、チュウ</t>
  </si>
  <si>
    <t>dwell, reside, live, inhabit</t>
  </si>
  <si>
    <t>無</t>
  </si>
  <si>
    <t>ム、ブ</t>
  </si>
  <si>
    <t>な(い)</t>
  </si>
  <si>
    <t>nothingness, none, ain't, nothing, nil, not</t>
  </si>
  <si>
    <t>真</t>
  </si>
  <si>
    <t>ま、まこと</t>
  </si>
  <si>
    <t>true, reality, Buddhist sect</t>
  </si>
  <si>
    <t>有</t>
  </si>
  <si>
    <t>ユウ、ウ</t>
  </si>
  <si>
    <t>あ(る)</t>
  </si>
  <si>
    <t>possess, have, exist, happen</t>
  </si>
  <si>
    <t>口</t>
  </si>
  <si>
    <t>くち</t>
  </si>
  <si>
    <t>mouth</t>
  </si>
  <si>
    <t>少</t>
  </si>
  <si>
    <t>ショウ</t>
  </si>
  <si>
    <t>すく(ない)、すこ(し)</t>
  </si>
  <si>
    <t>few, little</t>
  </si>
  <si>
    <t>町</t>
  </si>
  <si>
    <t>まち</t>
  </si>
  <si>
    <t>town, village, block, street</t>
  </si>
  <si>
    <t>料</t>
  </si>
  <si>
    <t>リョウ</t>
  </si>
  <si>
    <t>fee, materials</t>
  </si>
  <si>
    <t>工</t>
  </si>
  <si>
    <t>コウ、ク、グ</t>
  </si>
  <si>
    <t>craft, construction</t>
  </si>
  <si>
    <t>建</t>
  </si>
  <si>
    <t>ケン、コン</t>
  </si>
  <si>
    <t>た(てる)</t>
  </si>
  <si>
    <t>build</t>
  </si>
  <si>
    <t>空</t>
  </si>
  <si>
    <t>クウ</t>
  </si>
  <si>
    <t>そら、から、あ(く)、す(く)、むな(しい)</t>
  </si>
  <si>
    <t>empty, sky, void, vacant, vacuum</t>
  </si>
  <si>
    <t>キュウ</t>
  </si>
  <si>
    <t>いそ(ぐ)</t>
  </si>
  <si>
    <t>hurry, emergency, sudden, steep</t>
  </si>
  <si>
    <t>止</t>
  </si>
  <si>
    <t>と(まる)、とど(まる)、や(める)、よ(す)</t>
  </si>
  <si>
    <t>stop, halt</t>
  </si>
  <si>
    <t>送</t>
  </si>
  <si>
    <t>ソウ</t>
  </si>
  <si>
    <t>escort, send</t>
  </si>
  <si>
    <t>切</t>
  </si>
  <si>
    <t>セツ、サイ</t>
  </si>
  <si>
    <t>き(る)</t>
  </si>
  <si>
    <t>cut, cutoff, be sharp</t>
  </si>
  <si>
    <t>転</t>
  </si>
  <si>
    <t>テン</t>
  </si>
  <si>
    <t>ころ(がる)</t>
  </si>
  <si>
    <t>revolve, turn around, change</t>
  </si>
  <si>
    <t>研</t>
  </si>
  <si>
    <t>ケン</t>
  </si>
  <si>
    <t>polish, study of, sharpen</t>
  </si>
  <si>
    <t>足</t>
  </si>
  <si>
    <t>ソク</t>
  </si>
  <si>
    <t>あし、た(りる)</t>
  </si>
  <si>
    <t>leg, foot, be sufficient</t>
  </si>
  <si>
    <t>究</t>
  </si>
  <si>
    <t>research, study</t>
  </si>
  <si>
    <t>楽</t>
  </si>
  <si>
    <t>ガク、ラク</t>
  </si>
  <si>
    <t>たの(しい)</t>
  </si>
  <si>
    <t>music, comfort, ease</t>
  </si>
  <si>
    <t>起</t>
  </si>
  <si>
    <t>キ</t>
  </si>
  <si>
    <t>お(きる)、おこ(す)</t>
  </si>
  <si>
    <t>wake up, get up; rouse</t>
  </si>
  <si>
    <t>着</t>
  </si>
  <si>
    <t>チャク</t>
  </si>
  <si>
    <t>き(る)、つ(く)</t>
  </si>
  <si>
    <t>arrive, wear, counter for suits of clothing</t>
  </si>
  <si>
    <t>店</t>
  </si>
  <si>
    <t>みせ</t>
  </si>
  <si>
    <t>store, shop</t>
  </si>
  <si>
    <t>病</t>
  </si>
  <si>
    <t>ビョウ</t>
  </si>
  <si>
    <t>ill, sick</t>
  </si>
  <si>
    <t>質</t>
  </si>
  <si>
    <t>シツ、シチ</t>
  </si>
  <si>
    <t>たち、ただ(す)</t>
  </si>
  <si>
    <t>substance, quality, matter, temperament</t>
  </si>
  <si>
    <t>待</t>
  </si>
  <si>
    <t>wait, depend on</t>
  </si>
  <si>
    <t>試</t>
  </si>
  <si>
    <t>こころ(みる)、ため(す)</t>
  </si>
  <si>
    <t>test, try, attempt, experiment</t>
  </si>
  <si>
    <t>族</t>
  </si>
  <si>
    <t>ゾク</t>
  </si>
  <si>
    <t>tribe, family</t>
  </si>
  <si>
    <t>銀</t>
  </si>
  <si>
    <t>ギン</t>
  </si>
  <si>
    <t>silver</t>
  </si>
  <si>
    <t>早</t>
  </si>
  <si>
    <t>ソウ、サッ</t>
  </si>
  <si>
    <t>はや(い)</t>
  </si>
  <si>
    <t>early, fast</t>
  </si>
  <si>
    <t>映</t>
  </si>
  <si>
    <t>エイ</t>
  </si>
  <si>
    <t>うつ(る)、は(える)</t>
  </si>
  <si>
    <t>reflect, reflection, projection</t>
  </si>
  <si>
    <t>おや、した(しい)</t>
  </si>
  <si>
    <t>parent, intimacy, relative, familiarity</t>
  </si>
  <si>
    <t>験</t>
  </si>
  <si>
    <t>verification, effect, testing</t>
  </si>
  <si>
    <t>英</t>
  </si>
  <si>
    <t>England, English, hero, outstanding</t>
  </si>
  <si>
    <t>医</t>
  </si>
  <si>
    <t>doctor, medicine</t>
  </si>
  <si>
    <t>仕</t>
  </si>
  <si>
    <t>attend, doing, official, serve</t>
  </si>
  <si>
    <t>去</t>
  </si>
  <si>
    <t>キョ、コ</t>
  </si>
  <si>
    <t>gone, past, quit, leave, elapse, eliminate</t>
  </si>
  <si>
    <t>flavor, taste</t>
  </si>
  <si>
    <t>写</t>
  </si>
  <si>
    <t>copy, be photographed, describe</t>
  </si>
  <si>
    <t>character, letter, word</t>
  </si>
  <si>
    <t>答</t>
  </si>
  <si>
    <t>トウ</t>
  </si>
  <si>
    <t>こた(える)</t>
  </si>
  <si>
    <t>solution, answer</t>
  </si>
  <si>
    <t>よ、よる</t>
  </si>
  <si>
    <t>night, evening</t>
  </si>
  <si>
    <t>オン</t>
  </si>
  <si>
    <t>おと、ね</t>
  </si>
  <si>
    <t>sound, noise</t>
  </si>
  <si>
    <t>注</t>
  </si>
  <si>
    <t>チュウ</t>
  </si>
  <si>
    <t>そそ(ぐ)、さ(す)、つ(ぐ)</t>
  </si>
  <si>
    <t>pour, irrigate, shed (tears), flow into, concentrate on</t>
  </si>
  <si>
    <t>帰</t>
  </si>
  <si>
    <t>かえ(る)、かえ(す)</t>
  </si>
  <si>
    <t>homecoming, arrive at, lead to, result in</t>
  </si>
  <si>
    <t>古</t>
  </si>
  <si>
    <t>コ</t>
  </si>
  <si>
    <t>ふる(い)</t>
  </si>
  <si>
    <t>old</t>
  </si>
  <si>
    <t>うた、うた(う)</t>
  </si>
  <si>
    <t>song, sing</t>
  </si>
  <si>
    <t>買</t>
  </si>
  <si>
    <t>buy</t>
  </si>
  <si>
    <t>悪</t>
  </si>
  <si>
    <t>アク</t>
  </si>
  <si>
    <t>わる(い)</t>
  </si>
  <si>
    <t>bad, evil, wrong</t>
  </si>
  <si>
    <t>図</t>
  </si>
  <si>
    <t>ズ、ト</t>
  </si>
  <si>
    <t>map, drawing, plan, extraordinary</t>
  </si>
  <si>
    <t>週</t>
  </si>
  <si>
    <t>week</t>
  </si>
  <si>
    <t>室</t>
  </si>
  <si>
    <t>シツ</t>
  </si>
  <si>
    <t>むろ</t>
  </si>
  <si>
    <t>room, apartment, chamber, cellar</t>
  </si>
  <si>
    <t>歩</t>
  </si>
  <si>
    <t>ホ、ブ</t>
  </si>
  <si>
    <t>ある(く)、あゆ(む)</t>
  </si>
  <si>
    <t>walk, counter for steps</t>
  </si>
  <si>
    <t>風</t>
  </si>
  <si>
    <t>フウ、フ</t>
  </si>
  <si>
    <t>かぜ、かざ-</t>
  </si>
  <si>
    <t>wind, air, style, manner</t>
  </si>
  <si>
    <t>紙</t>
  </si>
  <si>
    <t>paper</t>
  </si>
  <si>
    <t>黒</t>
  </si>
  <si>
    <t>コク</t>
  </si>
  <si>
    <t>くろ</t>
  </si>
  <si>
    <t>black</t>
  </si>
  <si>
    <t>花</t>
  </si>
  <si>
    <t>カ、ケ</t>
  </si>
  <si>
    <t>はな</t>
  </si>
  <si>
    <t>flower</t>
  </si>
  <si>
    <t>春</t>
  </si>
  <si>
    <t>シュン</t>
  </si>
  <si>
    <t>はる</t>
  </si>
  <si>
    <t>spring</t>
  </si>
  <si>
    <t>赤</t>
  </si>
  <si>
    <t>セキ、シャク</t>
  </si>
  <si>
    <t>あか(い)</t>
  </si>
  <si>
    <t>red</t>
  </si>
  <si>
    <t>青</t>
  </si>
  <si>
    <t>あお(い)</t>
  </si>
  <si>
    <t>blue</t>
  </si>
  <si>
    <t>館</t>
  </si>
  <si>
    <t>カン</t>
  </si>
  <si>
    <t>やかた</t>
  </si>
  <si>
    <t>building, mansion, large building, palace</t>
  </si>
  <si>
    <t>屋</t>
  </si>
  <si>
    <t>オク</t>
  </si>
  <si>
    <t>や</t>
  </si>
  <si>
    <t>roof, house, shop, dealer, seller</t>
  </si>
  <si>
    <t>色</t>
  </si>
  <si>
    <t>ショク、シキ</t>
  </si>
  <si>
    <t>いろ</t>
  </si>
  <si>
    <t>color</t>
  </si>
  <si>
    <t>走</t>
  </si>
  <si>
    <t>はし(る)</t>
  </si>
  <si>
    <t>Run</t>
  </si>
  <si>
    <t>秋</t>
  </si>
  <si>
    <t>あき</t>
  </si>
  <si>
    <t>autumn, fall</t>
  </si>
  <si>
    <t>夏</t>
  </si>
  <si>
    <t>カ、ゲ</t>
  </si>
  <si>
    <t>なつ</t>
  </si>
  <si>
    <t>summer</t>
  </si>
  <si>
    <t>習</t>
  </si>
  <si>
    <t>learn</t>
  </si>
  <si>
    <t>駅</t>
  </si>
  <si>
    <t>エキ</t>
  </si>
  <si>
    <t>station</t>
  </si>
  <si>
    <t>洋</t>
  </si>
  <si>
    <t>ocean, sea, foreign, Western style</t>
  </si>
  <si>
    <t>旅</t>
  </si>
  <si>
    <t>リョ</t>
  </si>
  <si>
    <t>たび</t>
  </si>
  <si>
    <t>trip, travel</t>
  </si>
  <si>
    <t>服</t>
  </si>
  <si>
    <t>フク</t>
  </si>
  <si>
    <t>clothing, admit, obey</t>
  </si>
  <si>
    <t>夕</t>
  </si>
  <si>
    <t>セキ</t>
  </si>
  <si>
    <t>ゆう</t>
  </si>
  <si>
    <t>evening</t>
  </si>
  <si>
    <t>借</t>
  </si>
  <si>
    <t>シャク</t>
  </si>
  <si>
    <t>か(りる)</t>
  </si>
  <si>
    <t>borrow, rent</t>
  </si>
  <si>
    <t>曜</t>
  </si>
  <si>
    <t>weekday</t>
  </si>
  <si>
    <t>飲</t>
  </si>
  <si>
    <t>drink</t>
  </si>
  <si>
    <t>肉</t>
  </si>
  <si>
    <t>ニク</t>
  </si>
  <si>
    <t>meat</t>
  </si>
  <si>
    <t>貸</t>
  </si>
  <si>
    <t>か(す)、かし</t>
  </si>
  <si>
    <t>lend</t>
  </si>
  <si>
    <t>堂</t>
  </si>
  <si>
    <t>public chamber, hall</t>
  </si>
  <si>
    <t>bird, chicken</t>
  </si>
  <si>
    <t>飯</t>
  </si>
  <si>
    <t>ハン</t>
  </si>
  <si>
    <t>めし</t>
  </si>
  <si>
    <t>meal, rice</t>
  </si>
  <si>
    <t>勉</t>
  </si>
  <si>
    <t>ベン</t>
  </si>
  <si>
    <t>つと(める)</t>
  </si>
  <si>
    <t>exertion, endeavor, effort</t>
  </si>
  <si>
    <t>冬</t>
  </si>
  <si>
    <t>ふゆ</t>
  </si>
  <si>
    <t>winter</t>
  </si>
  <si>
    <t>昼</t>
  </si>
  <si>
    <t>ひる</t>
  </si>
  <si>
    <t>daytime, noon</t>
  </si>
  <si>
    <t>茶</t>
  </si>
  <si>
    <t>チャ、サ</t>
  </si>
  <si>
    <t>tea</t>
  </si>
  <si>
    <t>弟</t>
  </si>
  <si>
    <t>テイ、ダイ、デ</t>
  </si>
  <si>
    <t>おとうと</t>
  </si>
  <si>
    <t>younger brother</t>
  </si>
  <si>
    <t>牛</t>
  </si>
  <si>
    <t>ギュウ</t>
  </si>
  <si>
    <t>うし</t>
  </si>
  <si>
    <t>cow</t>
  </si>
  <si>
    <t>魚</t>
  </si>
  <si>
    <t>ギョ</t>
  </si>
  <si>
    <t>うお、さかな</t>
  </si>
  <si>
    <t>fish</t>
  </si>
  <si>
    <t>兄</t>
  </si>
  <si>
    <t>キョウ、ケイ</t>
  </si>
  <si>
    <t>あに</t>
  </si>
  <si>
    <t>elder brother</t>
  </si>
  <si>
    <t>犬</t>
  </si>
  <si>
    <t>いぬ</t>
  </si>
  <si>
    <t>dog</t>
  </si>
  <si>
    <t>妹</t>
  </si>
  <si>
    <t>マイ</t>
  </si>
  <si>
    <t>いもうと</t>
  </si>
  <si>
    <t>younger sister</t>
  </si>
  <si>
    <t>姉</t>
  </si>
  <si>
    <t>あね</t>
  </si>
  <si>
    <t>elder sister</t>
  </si>
  <si>
    <t>漢</t>
  </si>
  <si>
    <t>China</t>
  </si>
  <si>
    <t>Grammar</t>
  </si>
  <si>
    <t>Checked</t>
  </si>
  <si>
    <t>間</t>
  </si>
  <si>
    <t>aida</t>
  </si>
  <si>
    <t>while; during; between</t>
  </si>
  <si>
    <t>aida ni</t>
  </si>
  <si>
    <t>while/during~ something happened</t>
  </si>
  <si>
    <t>amari~nai</t>
  </si>
  <si>
    <t>not very, not much</t>
  </si>
  <si>
    <t>ato de</t>
  </si>
  <si>
    <t>after ~; later</t>
  </si>
  <si>
    <t>場合は</t>
  </si>
  <si>
    <t>baai wa</t>
  </si>
  <si>
    <t>in the event of; in the case that</t>
  </si>
  <si>
    <t>only; nothing but</t>
  </si>
  <si>
    <t>だけで</t>
  </si>
  <si>
    <t>dake de</t>
  </si>
  <si>
    <t>just by; just by doing</t>
  </si>
  <si>
    <t>出す</t>
  </si>
  <si>
    <t>dasu</t>
  </si>
  <si>
    <t>to suddenly begin; to suddenly appear</t>
  </si>
  <si>
    <t>でございます</t>
  </si>
  <si>
    <t>de gozaimasu</t>
  </si>
  <si>
    <t>to be (honorific)</t>
  </si>
  <si>
    <t>... or something</t>
  </si>
  <si>
    <t>ではないか</t>
  </si>
  <si>
    <t>dewa nai ka</t>
  </si>
  <si>
    <t>right?; isn't it?</t>
  </si>
  <si>
    <t>が必要</t>
  </si>
  <si>
    <t>ga hitsuyou</t>
  </si>
  <si>
    <t>need; necessary</t>
  </si>
  <si>
    <t>がする</t>
  </si>
  <si>
    <t>ga suru</t>
  </si>
  <si>
    <t>to smell; hear; taste</t>
  </si>
  <si>
    <t>がり</t>
  </si>
  <si>
    <t>gari</t>
  </si>
  <si>
    <t>personality; tend to~; sensitivity towards~</t>
  </si>
  <si>
    <t>がる・がっている</t>
  </si>
  <si>
    <t>garu; gatteiru</t>
  </si>
  <si>
    <t>to show signs of; to appear; to feel, to think</t>
  </si>
  <si>
    <t>ございます</t>
  </si>
  <si>
    <t>gozaimasu</t>
  </si>
  <si>
    <t>to be, to exist (the polite form of いる/ある)</t>
  </si>
  <si>
    <t>始める</t>
  </si>
  <si>
    <t>hajimeru</t>
  </si>
  <si>
    <t>to start; to begin to ~</t>
  </si>
  <si>
    <t>はずだ</t>
  </si>
  <si>
    <t>hazu da</t>
  </si>
  <si>
    <t>it must be; it should be (expectation)</t>
  </si>
  <si>
    <t>はずがない</t>
  </si>
  <si>
    <t>hazu ga nai</t>
  </si>
  <si>
    <t>cannot be (impossible)</t>
  </si>
  <si>
    <t>必要がある</t>
  </si>
  <si>
    <t>hitsuyou ga aru</t>
  </si>
  <si>
    <t>need to; it is necessary to</t>
  </si>
  <si>
    <t>意向形</t>
  </si>
  <si>
    <t>ikou kei</t>
  </si>
  <si>
    <t>volitional form​; let's do ~</t>
  </si>
  <si>
    <t>いらっしゃる</t>
  </si>
  <si>
    <t>irassharu</t>
  </si>
  <si>
    <t>to be; to come; to go (polite version)</t>
  </si>
  <si>
    <t>いたします</t>
  </si>
  <si>
    <t>itashimasu</t>
  </si>
  <si>
    <t>to do (polite form of する)</t>
  </si>
  <si>
    <t>じゃないか</t>
  </si>
  <si>
    <t>janai ka</t>
  </si>
  <si>
    <t>right? isn't it? let's~; confirmation</t>
  </si>
  <si>
    <t>ka dou ka</t>
  </si>
  <si>
    <t>whether or not</t>
  </si>
  <si>
    <t>I wonder</t>
  </si>
  <si>
    <t>turns a sentence into a yes/no question</t>
  </si>
  <si>
    <t>かもしれない</t>
  </si>
  <si>
    <t>kamo shirenai</t>
  </si>
  <si>
    <t>might; perhaps; indicates possibility</t>
  </si>
  <si>
    <t>から作る</t>
  </si>
  <si>
    <t>kara tsukuru</t>
  </si>
  <si>
    <t>made from; made with</t>
  </si>
  <si>
    <t>kitto</t>
  </si>
  <si>
    <t>surely; undoubtedly; almost certainly; likely</t>
  </si>
  <si>
    <t>頃</t>
  </si>
  <si>
    <t>koro / goro</t>
  </si>
  <si>
    <t>around; about; when</t>
  </si>
  <si>
    <t>koto</t>
  </si>
  <si>
    <t>Verb nominalizer</t>
  </si>
  <si>
    <t>ことがある</t>
  </si>
  <si>
    <t>koto ga aru</t>
  </si>
  <si>
    <t>there are times when</t>
  </si>
  <si>
    <t>ことができる</t>
  </si>
  <si>
    <t>koto ga dekiru</t>
  </si>
  <si>
    <t>can; able to</t>
  </si>
  <si>
    <t>ことになる</t>
  </si>
  <si>
    <t>koto ni naru</t>
  </si>
  <si>
    <t>It has been decided that..; it turns out that..</t>
  </si>
  <si>
    <t>ことにする</t>
  </si>
  <si>
    <t>koto ni suru</t>
  </si>
  <si>
    <t>to decide on</t>
  </si>
  <si>
    <t>ku suru</t>
  </si>
  <si>
    <t>kyuu ni</t>
  </si>
  <si>
    <t>suddenly</t>
  </si>
  <si>
    <t>made ni</t>
  </si>
  <si>
    <t>by; by the time; indicates time limit</t>
  </si>
  <si>
    <t>まま</t>
  </si>
  <si>
    <t>mama</t>
  </si>
  <si>
    <t>as it is; current state; without changing</t>
  </si>
  <si>
    <t>または</t>
  </si>
  <si>
    <t>matawa</t>
  </si>
  <si>
    <t>both; or; otherwise​; choice between [A] or [B]</t>
  </si>
  <si>
    <t>みたいだ</t>
  </si>
  <si>
    <t>mitai da</t>
  </si>
  <si>
    <t>like, similar to, resembling</t>
  </si>
  <si>
    <t>みたいな</t>
  </si>
  <si>
    <t>mitai na</t>
  </si>
  <si>
    <t>like, similar to</t>
  </si>
  <si>
    <t>mitai ni</t>
  </si>
  <si>
    <t>as many as; as much as; up to; nearly</t>
  </si>
  <si>
    <t>don’t ~ (order somebody to not do something)</t>
  </si>
  <si>
    <t>such as, things like</t>
  </si>
  <si>
    <t>nakanaka~nai</t>
  </si>
  <si>
    <t>not easy to; struggling to; not able to~</t>
  </si>
  <si>
    <t>なければいけない</t>
  </si>
  <si>
    <t>nakereba ikenai</t>
  </si>
  <si>
    <t>must do something; have to do something</t>
  </si>
  <si>
    <t>なければならない</t>
  </si>
  <si>
    <t>nakereba naranai</t>
  </si>
  <si>
    <t>if; in the case that ~</t>
  </si>
  <si>
    <t>なさい</t>
  </si>
  <si>
    <t>nasai</t>
  </si>
  <si>
    <t>do this (soft/firm command)</t>
  </si>
  <si>
    <t>なさる</t>
  </si>
  <si>
    <t>nasaru</t>
  </si>
  <si>
    <t>to do (honorific)</t>
  </si>
  <si>
    <t>に気がつく</t>
  </si>
  <si>
    <t>ni ki ga tsuku</t>
  </si>
  <si>
    <t>to notice; to realize</t>
  </si>
  <si>
    <t>にみえる</t>
  </si>
  <si>
    <t>ni mieru</t>
  </si>
  <si>
    <t>to look; to seem; to appear</t>
  </si>
  <si>
    <t>にする</t>
  </si>
  <si>
    <t>ni suru</t>
  </si>
  <si>
    <t>にくい</t>
  </si>
  <si>
    <t>nikui</t>
  </si>
  <si>
    <t>difficult to do</t>
  </si>
  <si>
    <t>no naka de</t>
  </si>
  <si>
    <t>in, among</t>
  </si>
  <si>
    <t>although, in spite of, even though</t>
  </si>
  <si>
    <t>to (do something); in order to</t>
  </si>
  <si>
    <t>お～ください</t>
  </si>
  <si>
    <t>o~kudasai</t>
  </si>
  <si>
    <t>please do (honorific)</t>
  </si>
  <si>
    <t>お～になる</t>
  </si>
  <si>
    <t>o~ni naru</t>
  </si>
  <si>
    <t>おきに</t>
  </si>
  <si>
    <t>oki ni</t>
  </si>
  <si>
    <t>repeated at intervals, every</t>
  </si>
  <si>
    <t>終わる</t>
  </si>
  <si>
    <t>owaru</t>
  </si>
  <si>
    <t>to finish; to end</t>
  </si>
  <si>
    <t>られる</t>
  </si>
  <si>
    <t>rareru</t>
  </si>
  <si>
    <t>potential form; ability/inability to do ~</t>
  </si>
  <si>
    <t>らしい</t>
  </si>
  <si>
    <t>rashii</t>
  </si>
  <si>
    <t>it seems like; I heard; apparently~</t>
  </si>
  <si>
    <t>さ</t>
  </si>
  <si>
    <t>sa</t>
  </si>
  <si>
    <t>-ness​ ; nominalizer for adjective</t>
  </si>
  <si>
    <t>さっき</t>
  </si>
  <si>
    <t>sakki</t>
  </si>
  <si>
    <t>some time ago; just now</t>
  </si>
  <si>
    <t>させられる</t>
  </si>
  <si>
    <t>saserareru</t>
  </si>
  <si>
    <t>causative-passive; to be made to do something</t>
  </si>
  <si>
    <t>させる</t>
  </si>
  <si>
    <t>saseru</t>
  </si>
  <si>
    <t>causative form; to make/let somebody do ~</t>
  </si>
  <si>
    <t>させてください</t>
  </si>
  <si>
    <t>sasete kudasai</t>
  </si>
  <si>
    <t>please let me do</t>
  </si>
  <si>
    <t>sasuga</t>
  </si>
  <si>
    <t>as one would expect; as is to be expected; even</t>
  </si>
  <si>
    <t>and; and what’s more; emphasis</t>
  </si>
  <si>
    <t>sonna ni</t>
  </si>
  <si>
    <t>それでも</t>
  </si>
  <si>
    <t>sore demo</t>
  </si>
  <si>
    <t>but still; and yet; even so</t>
  </si>
  <si>
    <t>sou da [1]</t>
  </si>
  <si>
    <t>I heard that; it is said that</t>
  </si>
  <si>
    <t>sou da [2]</t>
  </si>
  <si>
    <t>looks like; appears like</t>
  </si>
  <si>
    <t>そうに・そうな</t>
  </si>
  <si>
    <t>sou ni / sou na</t>
  </si>
  <si>
    <t>seems like; looks like</t>
  </si>
  <si>
    <t>just finished; something just occurred</t>
  </si>
  <si>
    <t>たところ</t>
  </si>
  <si>
    <t>ta tokoro</t>
  </si>
  <si>
    <t>just finished doing, was just doing</t>
  </si>
  <si>
    <t>他動詞 &amp; 自動詞</t>
  </si>
  <si>
    <t>tadoushi &amp; jidoushi</t>
  </si>
  <si>
    <t>Transitive &amp; Intransitive Verbs</t>
  </si>
  <si>
    <t>たがる</t>
  </si>
  <si>
    <t>tagaru</t>
  </si>
  <si>
    <t>wants to do~ (third person)</t>
  </si>
  <si>
    <t>if, after, when</t>
  </si>
  <si>
    <t>たらどう</t>
  </si>
  <si>
    <t>tara dou</t>
  </si>
  <si>
    <t>why don't you</t>
  </si>
  <si>
    <t>たらいいですか</t>
  </si>
  <si>
    <t>tara ii desu ka</t>
  </si>
  <si>
    <t>what should I do?; speaker seeking instruction</t>
  </si>
  <si>
    <t>conjunctive particle; so; because of [A], [B]...</t>
  </si>
  <si>
    <t>てあげる</t>
  </si>
  <si>
    <t>te ageru</t>
  </si>
  <si>
    <t>to do for; to do a favor</t>
  </si>
  <si>
    <t>てほしい</t>
  </si>
  <si>
    <t>te hoshii</t>
  </si>
  <si>
    <t>I want you to; need you to~</t>
  </si>
  <si>
    <t>ていく</t>
  </si>
  <si>
    <t>te iku</t>
  </si>
  <si>
    <t>to start; to continue; to go on</t>
  </si>
  <si>
    <t>ていた</t>
  </si>
  <si>
    <t>te ita</t>
  </si>
  <si>
    <t>was doing something (past continuous)</t>
  </si>
  <si>
    <t>ていただけませんか</t>
  </si>
  <si>
    <t>te itadakemasen ka</t>
  </si>
  <si>
    <t>could you please</t>
  </si>
  <si>
    <t>てくれる</t>
  </si>
  <si>
    <t>te kureru</t>
  </si>
  <si>
    <t>to do a favor; do something for someone</t>
  </si>
  <si>
    <t>てくる</t>
  </si>
  <si>
    <t>te kuru</t>
  </si>
  <si>
    <t>to do… and come back; to continue</t>
  </si>
  <si>
    <t>てみる</t>
  </si>
  <si>
    <t>te miru</t>
  </si>
  <si>
    <t>try doing</t>
  </si>
  <si>
    <t>てもらう</t>
  </si>
  <si>
    <t>te morau</t>
  </si>
  <si>
    <t>to get somebody to do something</t>
  </si>
  <si>
    <t>ておく</t>
  </si>
  <si>
    <t>te oku</t>
  </si>
  <si>
    <t>to do something in advance</t>
  </si>
  <si>
    <t>てしまう / ちゃう</t>
  </si>
  <si>
    <t>te shimau / chau</t>
  </si>
  <si>
    <t>to do something by accident, to finish</t>
  </si>
  <si>
    <t>てすみません</t>
  </si>
  <si>
    <t>te sumimasen</t>
  </si>
  <si>
    <t>I’m sorry for</t>
  </si>
  <si>
    <t>てやる</t>
  </si>
  <si>
    <t>te yaru</t>
  </si>
  <si>
    <t>to do for; to do a favor (casual)</t>
  </si>
  <si>
    <t>てよかった</t>
  </si>
  <si>
    <t>te yokatta</t>
  </si>
  <si>
    <t>I’m glad that..</t>
  </si>
  <si>
    <t>ているところ</t>
  </si>
  <si>
    <t>teiru tokoro</t>
  </si>
  <si>
    <t>in the process of doing</t>
  </si>
  <si>
    <t>even; even if; even though</t>
  </si>
  <si>
    <t>whenever [A] happens, [B] also happens</t>
  </si>
  <si>
    <t>と言ってもいい</t>
  </si>
  <si>
    <t>to ittemo ii</t>
  </si>
  <si>
    <t>you could say; one might say; I'd say</t>
  </si>
  <si>
    <t>called; named; that</t>
  </si>
  <si>
    <t>ということ</t>
  </si>
  <si>
    <t>to iu koto</t>
  </si>
  <si>
    <t>convert phrase into noun</t>
  </si>
  <si>
    <t>と言われている</t>
  </si>
  <si>
    <t>to iwarete iru</t>
  </si>
  <si>
    <t>it is said that...</t>
  </si>
  <si>
    <t>と聞いた</t>
  </si>
  <si>
    <t>to kiita</t>
  </si>
  <si>
    <t>I heard...</t>
  </si>
  <si>
    <t>と思う</t>
  </si>
  <si>
    <t>to omou</t>
  </si>
  <si>
    <t>to think…; I think…; you think…</t>
  </si>
  <si>
    <t>among other things; such as; like</t>
  </si>
  <si>
    <t>just about to; on the verge of doing something</t>
  </si>
  <si>
    <t>続ける</t>
  </si>
  <si>
    <t>tsuzukeru</t>
  </si>
  <si>
    <t>continue to; keen on</t>
  </si>
  <si>
    <t>named; called</t>
  </si>
  <si>
    <t>受身形</t>
  </si>
  <si>
    <t>ukemi kei</t>
  </si>
  <si>
    <t>passive form; passive voice</t>
  </si>
  <si>
    <t>は〜が… は</t>
  </si>
  <si>
    <t>wa~ga... wa</t>
  </si>
  <si>
    <t>[A] but [B]; however; comparison</t>
  </si>
  <si>
    <t>やすい</t>
  </si>
  <si>
    <t>yasui</t>
  </si>
  <si>
    <t>easy to; likely to; prone to; have a tendency to</t>
  </si>
  <si>
    <t>yatto</t>
  </si>
  <si>
    <t>at last; finally; barely; narrowly</t>
  </si>
  <si>
    <t>than; rather than; more than</t>
  </si>
  <si>
    <t>予定だ</t>
  </si>
  <si>
    <t>yotei da</t>
  </si>
  <si>
    <t>plan to, intend to</t>
  </si>
  <si>
    <t>ようだ</t>
  </si>
  <si>
    <t>you da</t>
  </si>
  <si>
    <t>appears; seems; looks as if</t>
  </si>
  <si>
    <t>ように / ような</t>
  </si>
  <si>
    <t>you ni / you na</t>
  </si>
  <si>
    <t>like; as; similar to</t>
  </si>
  <si>
    <t>ようになる</t>
  </si>
  <si>
    <t>you ni naru</t>
  </si>
  <si>
    <t>to reach the point that; to turn into</t>
  </si>
  <si>
    <t>ようにする</t>
  </si>
  <si>
    <t>you ni suru</t>
  </si>
  <si>
    <t>to try to; to make sure that</t>
  </si>
  <si>
    <t>ようと思う</t>
  </si>
  <si>
    <t>you to omou</t>
  </si>
  <si>
    <t>thinking of doing; planning to</t>
  </si>
  <si>
    <t>zehi</t>
  </si>
  <si>
    <t>by all means; certainly; definitely</t>
  </si>
  <si>
    <t>zenzen~nai</t>
  </si>
  <si>
    <t>づらい</t>
  </si>
  <si>
    <t>zurai</t>
  </si>
  <si>
    <t>動詞</t>
  </si>
  <si>
    <t>Verb</t>
  </si>
  <si>
    <t>浴びる</t>
  </si>
  <si>
    <t>abiruあびる</t>
  </si>
  <si>
    <t>to bathe, to shower</t>
  </si>
  <si>
    <t>上げる</t>
  </si>
  <si>
    <t>ageruあげる</t>
  </si>
  <si>
    <t>to raise; to elevate; to give</t>
  </si>
  <si>
    <t>開ける</t>
  </si>
  <si>
    <t>akeruあける</t>
  </si>
  <si>
    <t>to open (a door, etc.); to unwrap (e.g. parcel, package); to unlock</t>
  </si>
  <si>
    <t>開く</t>
  </si>
  <si>
    <t>akuあく</t>
  </si>
  <si>
    <t>to open (e.g. doors, business, etc)</t>
  </si>
  <si>
    <t>洗う</t>
  </si>
  <si>
    <t>arauあらう</t>
  </si>
  <si>
    <t>to wash</t>
  </si>
  <si>
    <t>ある</t>
  </si>
  <si>
    <t>aru</t>
  </si>
  <si>
    <t>to be, to have</t>
  </si>
  <si>
    <t>歩く</t>
  </si>
  <si>
    <t>arukuあるく</t>
  </si>
  <si>
    <t>to walk</t>
  </si>
  <si>
    <t>遊ぶ</t>
  </si>
  <si>
    <t>asobuあそぶ</t>
  </si>
  <si>
    <t>to play; to enjoy oneself</t>
  </si>
  <si>
    <t>会う</t>
  </si>
  <si>
    <t>auあう</t>
  </si>
  <si>
    <t>to meet; to encounter; to see</t>
  </si>
  <si>
    <t>勉強</t>
  </si>
  <si>
    <t>benkyouべんきょう</t>
  </si>
  <si>
    <t>to study</t>
  </si>
  <si>
    <t>違う</t>
  </si>
  <si>
    <t>chigauちがう</t>
  </si>
  <si>
    <t>to differ</t>
  </si>
  <si>
    <t>dasuだす</t>
  </si>
  <si>
    <t>to take out; to get out; to put out; to reveal</t>
  </si>
  <si>
    <t>出かける</t>
  </si>
  <si>
    <t>dekakeruでかける</t>
  </si>
  <si>
    <t>to go out; to leave; to depart</t>
  </si>
  <si>
    <t>電話</t>
  </si>
  <si>
    <t>denwaでんわ</t>
  </si>
  <si>
    <t>telephone (call / device)l; phone call</t>
  </si>
  <si>
    <t>出る</t>
  </si>
  <si>
    <t>deruでる</t>
  </si>
  <si>
    <t>to leave; to exit; to appear; to go out</t>
  </si>
  <si>
    <t>吹く</t>
  </si>
  <si>
    <t>fukuふく</t>
  </si>
  <si>
    <t>to blow (of the wind)</t>
  </si>
  <si>
    <t>降る</t>
  </si>
  <si>
    <t>furuふる</t>
  </si>
  <si>
    <t>to fall</t>
  </si>
  <si>
    <t>入る</t>
  </si>
  <si>
    <t>hairuはいる</t>
  </si>
  <si>
    <t>to enter; to go into</t>
  </si>
  <si>
    <t>始まる</t>
  </si>
  <si>
    <t>hajimaruはじまる</t>
  </si>
  <si>
    <t>to begin</t>
  </si>
  <si>
    <t>履く</t>
  </si>
  <si>
    <t>hakuはく</t>
  </si>
  <si>
    <t>to wear, to put on trousers</t>
  </si>
  <si>
    <t>話す</t>
  </si>
  <si>
    <t>hanasuはなす</t>
  </si>
  <si>
    <t>to speak; to talk; to converse</t>
  </si>
  <si>
    <t>晴れる</t>
  </si>
  <si>
    <t>hareruはれる</t>
  </si>
  <si>
    <t>to be sunny</t>
  </si>
  <si>
    <t>貼る</t>
  </si>
  <si>
    <t>haruはる</t>
  </si>
  <si>
    <t>to stick; to paste</t>
  </si>
  <si>
    <t>走る</t>
  </si>
  <si>
    <t>hashiruはしる</t>
  </si>
  <si>
    <t>to run</t>
  </si>
  <si>
    <t>働く</t>
  </si>
  <si>
    <t>hatarakuはたらく</t>
  </si>
  <si>
    <t>to work</t>
  </si>
  <si>
    <t>引く</t>
  </si>
  <si>
    <t>hikuひく</t>
  </si>
  <si>
    <t>to pull</t>
  </si>
  <si>
    <t>弾く</t>
  </si>
  <si>
    <t>to play</t>
  </si>
  <si>
    <t>行く</t>
  </si>
  <si>
    <t>ikuいく</t>
  </si>
  <si>
    <t>to go; to move</t>
  </si>
  <si>
    <t>入れる</t>
  </si>
  <si>
    <t>ireruいれる</t>
  </si>
  <si>
    <t>to put in; to let in; to take in; to bring in; to insert; to install</t>
  </si>
  <si>
    <t>要る</t>
  </si>
  <si>
    <t>iruいる</t>
  </si>
  <si>
    <t>to be needed</t>
  </si>
  <si>
    <t>居る</t>
  </si>
  <si>
    <t>言う</t>
  </si>
  <si>
    <t>iuいう</t>
  </si>
  <si>
    <t>to say; to call</t>
  </si>
  <si>
    <t>授業</t>
  </si>
  <si>
    <t>jugyouじゅぎょう</t>
  </si>
  <si>
    <t>lesson; class work</t>
  </si>
  <si>
    <t>帰る</t>
  </si>
  <si>
    <t>kaeruかえる</t>
  </si>
  <si>
    <t>to go back​</t>
  </si>
  <si>
    <t>返す</t>
  </si>
  <si>
    <t>kaesuかえす</t>
  </si>
  <si>
    <t>to return something</t>
  </si>
  <si>
    <t>掛かる</t>
  </si>
  <si>
    <t>kakaruかかる</t>
  </si>
  <si>
    <t>to take (a resource, e.g. time or money)</t>
  </si>
  <si>
    <t>掛ける</t>
  </si>
  <si>
    <t>kakeruかける</t>
  </si>
  <si>
    <t>to hang up; to make (a call)​;</t>
  </si>
  <si>
    <t>書く</t>
  </si>
  <si>
    <t>kakuかく</t>
  </si>
  <si>
    <t>to write; to compose; to pen; to draw</t>
  </si>
  <si>
    <t>借りる</t>
  </si>
  <si>
    <t>kariruかりる</t>
  </si>
  <si>
    <t>to borrow</t>
  </si>
  <si>
    <t>貸す</t>
  </si>
  <si>
    <t>kasuかす</t>
  </si>
  <si>
    <t>to lend; to loan</t>
  </si>
  <si>
    <t>買う</t>
  </si>
  <si>
    <t>kauかう</t>
  </si>
  <si>
    <t>to buy; to purchase</t>
  </si>
  <si>
    <t>結婚</t>
  </si>
  <si>
    <t>kekkonけっこん</t>
  </si>
  <si>
    <t>marriage</t>
  </si>
  <si>
    <t>消す</t>
  </si>
  <si>
    <t>kesuけす</t>
  </si>
  <si>
    <t>to erase, to turn off power</t>
  </si>
  <si>
    <t>消える</t>
  </si>
  <si>
    <t>kieruきえる</t>
  </si>
  <si>
    <t>to disappear</t>
  </si>
  <si>
    <t>聞く</t>
  </si>
  <si>
    <t>kikuきく</t>
  </si>
  <si>
    <t>to hear; to listen (to music); to ask; to learn of</t>
  </si>
  <si>
    <t>切る</t>
  </si>
  <si>
    <t>kiruきる</t>
  </si>
  <si>
    <t>to cut</t>
  </si>
  <si>
    <t>着る</t>
  </si>
  <si>
    <t>to wear</t>
  </si>
  <si>
    <t>困る</t>
  </si>
  <si>
    <t>komaruこまる</t>
  </si>
  <si>
    <t>to be troubled</t>
  </si>
  <si>
    <t>コピー</t>
  </si>
  <si>
    <t>kopii</t>
  </si>
  <si>
    <t>copy; photocopy</t>
  </si>
  <si>
    <t>答える</t>
  </si>
  <si>
    <t>kotaeruこたえる</t>
  </si>
  <si>
    <t>to answer</t>
  </si>
  <si>
    <t>曇る</t>
  </si>
  <si>
    <t>kumoruくもる</t>
  </si>
  <si>
    <t>to become cloudy, to become dim</t>
  </si>
  <si>
    <t>来る</t>
  </si>
  <si>
    <t>kuruくる</t>
  </si>
  <si>
    <t>to come</t>
  </si>
  <si>
    <t>曲がる</t>
  </si>
  <si>
    <t>magaruまがる</t>
  </si>
  <si>
    <t>to turn, to bend</t>
  </si>
  <si>
    <t>待つ</t>
  </si>
  <si>
    <t>matsuまつ</t>
  </si>
  <si>
    <t>to wait​</t>
  </si>
  <si>
    <t>磨く</t>
  </si>
  <si>
    <t>migakuみがく</t>
  </si>
  <si>
    <t>to polish; to shine; to brush (e.g. teeth)</t>
  </si>
  <si>
    <t>見る</t>
  </si>
  <si>
    <t>miruみる</t>
  </si>
  <si>
    <t>to see; to look; to watch; to view; to observe</t>
  </si>
  <si>
    <t>見せる</t>
  </si>
  <si>
    <t>miseruみせる</t>
  </si>
  <si>
    <t>to show; to display</t>
  </si>
  <si>
    <t>持つ</t>
  </si>
  <si>
    <t>motsuもつ</t>
  </si>
  <si>
    <t>to hold</t>
  </si>
  <si>
    <t>鳴く</t>
  </si>
  <si>
    <t>nakuなく</t>
  </si>
  <si>
    <t>animal noise. to chirp</t>
  </si>
  <si>
    <t>無くす</t>
  </si>
  <si>
    <t>nakusuなくす</t>
  </si>
  <si>
    <t>to lose (something)</t>
  </si>
  <si>
    <t>並べる</t>
  </si>
  <si>
    <t>naraberuならべる</t>
  </si>
  <si>
    <t>to line up,to set up</t>
  </si>
  <si>
    <t>並ぶ</t>
  </si>
  <si>
    <t>narabuならぶ</t>
  </si>
  <si>
    <t>to line up,to stand in a line</t>
  </si>
  <si>
    <t>習う</t>
  </si>
  <si>
    <t>narauならう</t>
  </si>
  <si>
    <t>to be taught; to learn (from a teacher)</t>
  </si>
  <si>
    <t>寝る</t>
  </si>
  <si>
    <t>neruねる</t>
  </si>
  <si>
    <t>to sleep; to go to bed; to lie down</t>
  </si>
  <si>
    <t>登る</t>
  </si>
  <si>
    <t>noboruのぼる</t>
  </si>
  <si>
    <t>to climb</t>
  </si>
  <si>
    <t>飲む</t>
  </si>
  <si>
    <t>nomuのむ</t>
  </si>
  <si>
    <t>to drink</t>
  </si>
  <si>
    <t>乗る</t>
  </si>
  <si>
    <t>noruのる</t>
  </si>
  <si>
    <t>to get on (train, plane, bus, ship, etc.)</t>
  </si>
  <si>
    <t>脱ぐ</t>
  </si>
  <si>
    <t>nuguぬぐ</t>
  </si>
  <si>
    <t>to take off clothes</t>
  </si>
  <si>
    <t>覚える</t>
  </si>
  <si>
    <t>oboeruおぼえる</t>
  </si>
  <si>
    <t>to remember</t>
  </si>
  <si>
    <t>起きる</t>
  </si>
  <si>
    <t>okiruおきる</t>
  </si>
  <si>
    <t>to get up; to wake up</t>
  </si>
  <si>
    <t>置く</t>
  </si>
  <si>
    <t>okuおく</t>
  </si>
  <si>
    <t>to put; to place​</t>
  </si>
  <si>
    <t>降りる</t>
  </si>
  <si>
    <t>oriruおりる</t>
  </si>
  <si>
    <t>to get off</t>
  </si>
  <si>
    <t>教える</t>
  </si>
  <si>
    <t>oshieruおしえる</t>
  </si>
  <si>
    <t>to teach</t>
  </si>
  <si>
    <t>押す</t>
  </si>
  <si>
    <t>osuおす</t>
  </si>
  <si>
    <t>to push; to press​</t>
  </si>
  <si>
    <t>owaruおわる</t>
  </si>
  <si>
    <t>泳ぐ</t>
  </si>
  <si>
    <t>oyoguおよぐ</t>
  </si>
  <si>
    <t>to swim</t>
  </si>
  <si>
    <t>練習</t>
  </si>
  <si>
    <t>renshuuれんしゅう</t>
  </si>
  <si>
    <t>practice; practicing</t>
  </si>
  <si>
    <t>旅行</t>
  </si>
  <si>
    <t>ryokouりょこう</t>
  </si>
  <si>
    <t>travel; trip; journey; excursion; tour</t>
  </si>
  <si>
    <t>料理</t>
  </si>
  <si>
    <t>ryouriりょうり</t>
  </si>
  <si>
    <t>cuisine</t>
  </si>
  <si>
    <t>咲く</t>
  </si>
  <si>
    <t>sakuさく</t>
  </si>
  <si>
    <t>to bloom</t>
  </si>
  <si>
    <t>散歩</t>
  </si>
  <si>
    <t>sanpoさんぽ</t>
  </si>
  <si>
    <t>walk; stroll</t>
  </si>
  <si>
    <t>差す</t>
  </si>
  <si>
    <t>sasuさす</t>
  </si>
  <si>
    <t>to stretch out hands, to raise an umbrella</t>
  </si>
  <si>
    <t>洗濯</t>
  </si>
  <si>
    <t>sentakuせんたく</t>
  </si>
  <si>
    <t>washing; laundry</t>
  </si>
  <si>
    <t>仕事</t>
  </si>
  <si>
    <t>shigotoしごと</t>
  </si>
  <si>
    <t>work; job; business</t>
  </si>
  <si>
    <t>閉まる</t>
  </si>
  <si>
    <t>shimaruしまる</t>
  </si>
  <si>
    <t>to close, to be closed</t>
  </si>
  <si>
    <t>閉める</t>
  </si>
  <si>
    <t>shimeruしめる</t>
  </si>
  <si>
    <t>to close; to shut</t>
  </si>
  <si>
    <t>締める</t>
  </si>
  <si>
    <t>to tie; to fasten; to tighten​</t>
  </si>
  <si>
    <t>死ぬ</t>
  </si>
  <si>
    <t>shinuしぬ</t>
  </si>
  <si>
    <t>to die</t>
  </si>
  <si>
    <t>知る</t>
  </si>
  <si>
    <t>shiruしる</t>
  </si>
  <si>
    <t>to know</t>
  </si>
  <si>
    <t>質問</t>
  </si>
  <si>
    <t>shitsumonしつもん</t>
  </si>
  <si>
    <t>question; inquiry</t>
  </si>
  <si>
    <t>掃除</t>
  </si>
  <si>
    <t>soujiそうじ</t>
  </si>
  <si>
    <t>to clean, to sweep</t>
  </si>
  <si>
    <t>住む</t>
  </si>
  <si>
    <t>sumuすむ</t>
  </si>
  <si>
    <t>to live in; to reside; to inhabit; to dwell; to abide</t>
  </si>
  <si>
    <t>吸う</t>
  </si>
  <si>
    <t>suuすう</t>
  </si>
  <si>
    <t>to smoke, to suck</t>
  </si>
  <si>
    <t>座る</t>
  </si>
  <si>
    <t>suwaruすわる</t>
  </si>
  <si>
    <t>to sit</t>
  </si>
  <si>
    <t>食べる</t>
  </si>
  <si>
    <t>taberuたべる</t>
  </si>
  <si>
    <t>to eat</t>
  </si>
  <si>
    <t>頼む</t>
  </si>
  <si>
    <t>tanomuたのむ</t>
  </si>
  <si>
    <t>to ask</t>
  </si>
  <si>
    <t>立つ</t>
  </si>
  <si>
    <t>tatsuたつ</t>
  </si>
  <si>
    <t>to stand; to stand up​</t>
  </si>
  <si>
    <t>飛ぶ</t>
  </si>
  <si>
    <t>tobuとぶ</t>
  </si>
  <si>
    <t>to fly; to hop</t>
  </si>
  <si>
    <t>止まる</t>
  </si>
  <si>
    <t>tomaruとまる</t>
  </si>
  <si>
    <t>to stop; to come to a halt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</si>
</sst>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212529"/>
      <name val="Arial"/>
      <scheme val="minor"/>
    </font>
    <font>
      <sz val="10.0"/>
      <color rgb="FF212529"/>
      <name val="Arial"/>
      <scheme val="minor"/>
    </font>
    <font>
      <b/>
      <sz val="10.0"/>
      <color rgb="FFFFFFFF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rgb="FF1155CC"/>
      <name val="Arial"/>
      <scheme val="minor"/>
    </font>
    <font>
      <color rgb="FFFFFFFF"/>
      <name val="Arial"/>
      <scheme val="minor"/>
    </font>
    <font>
      <color theme="1"/>
      <name val="Arial"/>
    </font>
    <font>
      <sz val="11.0"/>
      <color rgb="FF000000"/>
      <name val="Calibri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2" fontId="2" numFmtId="0" xfId="0" applyAlignment="1" applyBorder="1" applyFont="1">
      <alignment horizontal="center" readingOrder="0" vertical="bottom"/>
    </xf>
    <xf borderId="2" fillId="2" fontId="0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 vertical="center"/>
    </xf>
    <xf borderId="3" fillId="3" fontId="2" numFmtId="0" xfId="0" applyAlignment="1" applyBorder="1" applyFill="1" applyFont="1">
      <alignment horizontal="center" readingOrder="0" vertical="top"/>
    </xf>
    <xf borderId="4" fillId="3" fontId="2" numFmtId="0" xfId="0" applyAlignment="1" applyBorder="1" applyFont="1">
      <alignment horizontal="left" readingOrder="0" vertical="bottom"/>
    </xf>
    <xf borderId="4" fillId="3" fontId="0" numFmtId="0" xfId="0" applyAlignment="1" applyBorder="1" applyFont="1">
      <alignment horizontal="left" readingOrder="0" vertical="bottom"/>
    </xf>
    <xf borderId="4" fillId="3" fontId="6" numFmtId="0" xfId="0" applyAlignment="1" applyBorder="1" applyFont="1">
      <alignment horizontal="left" readingOrder="0"/>
    </xf>
    <xf borderId="4" fillId="3" fontId="0" numFmtId="0" xfId="0" applyAlignment="1" applyBorder="1" applyFont="1">
      <alignment horizontal="left" readingOrder="0"/>
    </xf>
    <xf borderId="4" fillId="3" fontId="7" numFmtId="0" xfId="0" applyAlignment="1" applyBorder="1" applyFont="1">
      <alignment readingOrder="0" vertical="top"/>
    </xf>
    <xf borderId="0" fillId="0" fontId="5" numFmtId="0" xfId="0" applyFont="1"/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/>
    </xf>
    <xf borderId="4" fillId="0" fontId="7" numFmtId="0" xfId="0" applyAlignment="1" applyBorder="1" applyFont="1">
      <alignment readingOrder="0" vertical="top"/>
    </xf>
    <xf borderId="0" fillId="0" fontId="5" numFmtId="0" xfId="0" applyAlignment="1" applyFont="1">
      <alignment readingOrder="0"/>
    </xf>
    <xf borderId="3" fillId="0" fontId="2" numFmtId="0" xfId="0" applyAlignment="1" applyBorder="1" applyFont="1">
      <alignment horizontal="center" readingOrder="0" vertical="top"/>
    </xf>
    <xf borderId="4" fillId="0" fontId="0" numFmtId="0" xfId="0" applyAlignment="1" applyBorder="1" applyFont="1">
      <alignment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left" readingOrder="0" vertical="bottom"/>
    </xf>
    <xf borderId="2" fillId="0" fontId="0" numFmtId="0" xfId="0" applyAlignment="1" applyBorder="1" applyFont="1">
      <alignment horizontal="left" readingOrder="0" vertical="bottom"/>
    </xf>
    <xf borderId="2" fillId="3" fontId="6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 vertical="top"/>
    </xf>
    <xf borderId="4" fillId="0" fontId="0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vertical="top"/>
    </xf>
    <xf borderId="2" fillId="0" fontId="8" numFmtId="0" xfId="0" applyAlignment="1" applyBorder="1" applyFont="1">
      <alignment horizontal="left" vertical="top"/>
    </xf>
    <xf borderId="4" fillId="0" fontId="0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readingOrder="0" vertical="top"/>
    </xf>
    <xf borderId="2" fillId="0" fontId="7" numFmtId="0" xfId="0" applyAlignment="1" applyBorder="1" applyFont="1">
      <alignment vertical="top"/>
    </xf>
    <xf borderId="4" fillId="0" fontId="8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readingOrder="0" vertical="top"/>
    </xf>
    <xf borderId="3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horizontal="left" readingOrder="0" vertical="top"/>
    </xf>
    <xf borderId="4" fillId="0" fontId="0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readingOrder="0"/>
    </xf>
    <xf borderId="0" fillId="0" fontId="7" numFmtId="0" xfId="0" applyFont="1"/>
    <xf borderId="0" fillId="0" fontId="7" numFmtId="0" xfId="0" applyFont="1"/>
    <xf borderId="0" fillId="0" fontId="0" numFmtId="0" xfId="0" applyFont="1"/>
    <xf borderId="0" fillId="3" fontId="6" numFmtId="0" xfId="0" applyFont="1"/>
    <xf borderId="0" fillId="0" fontId="9" numFmtId="0" xfId="0" applyAlignment="1" applyFont="1">
      <alignment readingOrder="0"/>
    </xf>
    <xf borderId="0" fillId="0" fontId="5" numFmtId="0" xfId="0" applyFont="1"/>
    <xf borderId="0" fillId="0" fontId="10" numFmtId="0" xfId="0" applyAlignment="1" applyFont="1">
      <alignment vertical="bottom"/>
    </xf>
    <xf borderId="0" fillId="0" fontId="9" numFmtId="0" xfId="0" applyFont="1"/>
    <xf borderId="0" fillId="0" fontId="9" numFmtId="0" xfId="0" applyFont="1"/>
    <xf borderId="0" fillId="3" fontId="9" numFmtId="0" xfId="0" applyAlignment="1" applyFont="1">
      <alignment readingOrder="0"/>
    </xf>
    <xf borderId="0" fillId="3" fontId="9" numFmtId="0" xfId="0" applyFont="1"/>
    <xf borderId="0" fillId="0" fontId="11" numFmtId="0" xfId="0" applyFont="1"/>
    <xf borderId="0" fillId="3" fontId="9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2" numFmtId="0" xfId="0" applyFont="1"/>
    <xf borderId="5" fillId="0" fontId="5" numFmtId="0" xfId="0" applyAlignment="1" applyBorder="1" applyFont="1">
      <alignment horizontal="left" readingOrder="0" shrinkToFit="0" vertical="center" wrapText="0"/>
    </xf>
    <xf borderId="6" fillId="0" fontId="5" numFmtId="0" xfId="0" applyAlignment="1" applyBorder="1" applyFont="1">
      <alignment horizontal="left" readingOrder="0" shrinkToFit="0" vertical="center" wrapText="0"/>
    </xf>
    <xf borderId="6" fillId="0" fontId="9" numFmtId="0" xfId="0" applyAlignment="1" applyBorder="1" applyFont="1">
      <alignment horizontal="left" readingOrder="0" shrinkToFit="0" vertical="center" wrapText="0"/>
    </xf>
    <xf borderId="7" fillId="0" fontId="5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1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Verb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1" displayName="Table4" name="Table4" id="1">
  <tableColumns count="5">
    <tableColumn name="#" id="1"/>
    <tableColumn name="動詞" id="2"/>
    <tableColumn name="Verb" id="3"/>
    <tableColumn name="Meaning" id="4"/>
    <tableColumn name="Check" id="5"/>
  </tableColumns>
  <tableStyleInfo name="Ver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5" max="5" width="36.0"/>
    <col customWidth="1" min="10" max="10" width="56.13"/>
    <col customWidth="1" min="11" max="11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K1" s="7" t="s">
        <v>6</v>
      </c>
    </row>
    <row r="2">
      <c r="A2" s="8">
        <v>1.0</v>
      </c>
      <c r="B2" s="9" t="s">
        <v>7</v>
      </c>
      <c r="C2" s="10"/>
      <c r="D2" s="11" t="s">
        <v>8</v>
      </c>
      <c r="E2" s="12" t="s">
        <v>9</v>
      </c>
      <c r="F2" s="13"/>
      <c r="K2" s="14" t="str">
        <f>IFERROR(__xludf.DUMMYFUNCTION("FILTER(B2:B971, F2:F971&lt;&gt;""✅"")"),"アフリカ")</f>
        <v>アフリカ</v>
      </c>
      <c r="L2" s="14" t="str">
        <f>IFERROR(__xludf.DUMMYFUNCTION("FILTER(C2:C971, F2:F971&lt;&gt;""✅"")"),"")</f>
        <v/>
      </c>
      <c r="M2" s="14" t="str">
        <f>IFERROR(__xludf.DUMMYFUNCTION("FILTER(E2:E971, F2:F971&lt;&gt;""✅"")"),"Africa")</f>
        <v>Africa</v>
      </c>
    </row>
    <row r="3">
      <c r="A3" s="15">
        <v>2.0</v>
      </c>
      <c r="B3" s="16" t="s">
        <v>10</v>
      </c>
      <c r="C3" s="17" t="s">
        <v>11</v>
      </c>
      <c r="D3" s="11" t="s">
        <v>12</v>
      </c>
      <c r="E3" s="18" t="s">
        <v>13</v>
      </c>
      <c r="F3" s="19"/>
      <c r="H3" s="20" t="s">
        <v>14</v>
      </c>
      <c r="K3" s="14" t="str">
        <f>IFERROR(__xludf.DUMMYFUNCTION("""COMPUTED_VALUE"""),"挨拶")</f>
        <v>挨拶</v>
      </c>
      <c r="L3" s="14" t="str">
        <f>IFERROR(__xludf.DUMMYFUNCTION("""COMPUTED_VALUE"""),"あいさつ")</f>
        <v>あいさつ</v>
      </c>
      <c r="M3" s="14" t="str">
        <f>IFERROR(__xludf.DUMMYFUNCTION("""COMPUTED_VALUE"""),"to greet")</f>
        <v>to greet</v>
      </c>
    </row>
    <row r="4">
      <c r="A4" s="21">
        <v>3.0</v>
      </c>
      <c r="B4" s="16" t="s">
        <v>15</v>
      </c>
      <c r="C4" s="17" t="s">
        <v>16</v>
      </c>
      <c r="D4" s="11" t="s">
        <v>17</v>
      </c>
      <c r="E4" s="18" t="s">
        <v>18</v>
      </c>
      <c r="F4" s="19"/>
      <c r="H4" s="20" t="s">
        <v>19</v>
      </c>
      <c r="I4" s="20">
        <f>COUNTIF(K2:K971, "&lt;&gt;")</f>
        <v>407</v>
      </c>
      <c r="K4" s="14" t="str">
        <f>IFERROR(__xludf.DUMMYFUNCTION("""COMPUTED_VALUE"""),"味")</f>
        <v>味</v>
      </c>
      <c r="L4" s="14" t="str">
        <f>IFERROR(__xludf.DUMMYFUNCTION("""COMPUTED_VALUE"""),"あじ")</f>
        <v>あじ</v>
      </c>
      <c r="M4" s="14" t="str">
        <f>IFERROR(__xludf.DUMMYFUNCTION("""COMPUTED_VALUE"""),"flavor; taste")</f>
        <v>flavor; taste</v>
      </c>
    </row>
    <row r="5">
      <c r="A5" s="15">
        <v>4.0</v>
      </c>
      <c r="B5" s="16" t="s">
        <v>20</v>
      </c>
      <c r="C5" s="17"/>
      <c r="D5" s="11" t="s">
        <v>21</v>
      </c>
      <c r="E5" s="18" t="s">
        <v>22</v>
      </c>
      <c r="F5" s="19"/>
      <c r="H5" s="20" t="s">
        <v>23</v>
      </c>
      <c r="I5" s="14">
        <f>COUNTIF(B2:B971, "&lt;&gt;")</f>
        <v>407</v>
      </c>
      <c r="K5" s="14" t="str">
        <f>IFERROR(__xludf.DUMMYFUNCTION("""COMPUTED_VALUE"""),"アジア")</f>
        <v>アジア</v>
      </c>
      <c r="L5" s="14"/>
      <c r="M5" s="14" t="str">
        <f>IFERROR(__xludf.DUMMYFUNCTION("""COMPUTED_VALUE"""),"Asia")</f>
        <v>Asia</v>
      </c>
    </row>
    <row r="6">
      <c r="A6" s="21">
        <v>5.0</v>
      </c>
      <c r="B6" s="16" t="s">
        <v>24</v>
      </c>
      <c r="C6" s="17" t="s">
        <v>25</v>
      </c>
      <c r="D6" s="11" t="s">
        <v>26</v>
      </c>
      <c r="E6" s="18" t="s">
        <v>27</v>
      </c>
      <c r="F6" s="19"/>
      <c r="I6" s="14">
        <f>TRUNC((I4/I5)*100, 1)</f>
        <v>100</v>
      </c>
      <c r="K6" s="14" t="str">
        <f>IFERROR(__xludf.DUMMYFUNCTION("""COMPUTED_VALUE"""),"赤ちゃん")</f>
        <v>赤ちゃん</v>
      </c>
      <c r="L6" s="14" t="str">
        <f>IFERROR(__xludf.DUMMYFUNCTION("""COMPUTED_VALUE"""),"あかちゃん")</f>
        <v>あかちゃん</v>
      </c>
      <c r="M6" s="14" t="str">
        <f>IFERROR(__xludf.DUMMYFUNCTION("""COMPUTED_VALUE"""),"baby; infant")</f>
        <v>baby; infant</v>
      </c>
    </row>
    <row r="7">
      <c r="A7" s="15">
        <v>6.0</v>
      </c>
      <c r="B7" s="16" t="s">
        <v>28</v>
      </c>
      <c r="C7" s="17" t="s">
        <v>29</v>
      </c>
      <c r="D7" s="11" t="s">
        <v>30</v>
      </c>
      <c r="E7" s="18" t="s">
        <v>27</v>
      </c>
      <c r="F7" s="19"/>
      <c r="H7" s="20" t="s">
        <v>31</v>
      </c>
      <c r="I7" s="14">
        <f>100-I6</f>
        <v>0</v>
      </c>
      <c r="K7" s="14" t="str">
        <f>IFERROR(__xludf.DUMMYFUNCTION("""COMPUTED_VALUE"""),"赤ん坊")</f>
        <v>赤ん坊</v>
      </c>
      <c r="L7" s="14" t="str">
        <f>IFERROR(__xludf.DUMMYFUNCTION("""COMPUTED_VALUE"""),"あかんぼう")</f>
        <v>あかんぼう</v>
      </c>
      <c r="M7" s="14" t="str">
        <f>IFERROR(__xludf.DUMMYFUNCTION("""COMPUTED_VALUE"""),"baby; infant")</f>
        <v>baby; infant</v>
      </c>
    </row>
    <row r="8">
      <c r="A8" s="21">
        <v>7.0</v>
      </c>
      <c r="B8" s="16" t="s">
        <v>32</v>
      </c>
      <c r="C8" s="17"/>
      <c r="D8" s="11" t="s">
        <v>33</v>
      </c>
      <c r="E8" s="18" t="s">
        <v>34</v>
      </c>
      <c r="F8" s="19"/>
      <c r="H8" s="20" t="s">
        <v>35</v>
      </c>
      <c r="K8" s="14" t="str">
        <f>IFERROR(__xludf.DUMMYFUNCTION("""COMPUTED_VALUE"""),"アクセサリー")</f>
        <v>アクセサリー</v>
      </c>
      <c r="L8" s="14"/>
      <c r="M8" s="14" t="str">
        <f>IFERROR(__xludf.DUMMYFUNCTION("""COMPUTED_VALUE"""),"accessory")</f>
        <v>accessory</v>
      </c>
    </row>
    <row r="9">
      <c r="A9" s="15">
        <v>8.0</v>
      </c>
      <c r="B9" s="16" t="s">
        <v>36</v>
      </c>
      <c r="C9" s="22"/>
      <c r="D9" s="11" t="s">
        <v>37</v>
      </c>
      <c r="E9" s="18" t="s">
        <v>38</v>
      </c>
      <c r="F9" s="19"/>
      <c r="K9" s="14" t="str">
        <f>IFERROR(__xludf.DUMMYFUNCTION("""COMPUTED_VALUE"""),"アメリカ")</f>
        <v>アメリカ</v>
      </c>
      <c r="L9" s="14"/>
      <c r="M9" s="14" t="str">
        <f>IFERROR(__xludf.DUMMYFUNCTION("""COMPUTED_VALUE"""),"America")</f>
        <v>America</v>
      </c>
    </row>
    <row r="10">
      <c r="A10" s="21">
        <v>9.0</v>
      </c>
      <c r="B10" s="16" t="s">
        <v>39</v>
      </c>
      <c r="C10" s="17"/>
      <c r="D10" s="11" t="s">
        <v>40</v>
      </c>
      <c r="E10" s="18" t="s">
        <v>41</v>
      </c>
      <c r="F10" s="19"/>
      <c r="K10" s="14" t="str">
        <f>IFERROR(__xludf.DUMMYFUNCTION("""COMPUTED_VALUE"""),"アナウンサー")</f>
        <v>アナウンサー</v>
      </c>
      <c r="L10" s="14"/>
      <c r="M10" s="14" t="str">
        <f>IFERROR(__xludf.DUMMYFUNCTION("""COMPUTED_VALUE"""),"announcer")</f>
        <v>announcer</v>
      </c>
    </row>
    <row r="11">
      <c r="A11" s="15">
        <v>10.0</v>
      </c>
      <c r="B11" s="16" t="s">
        <v>42</v>
      </c>
      <c r="C11" s="17" t="s">
        <v>43</v>
      </c>
      <c r="D11" s="11" t="s">
        <v>44</v>
      </c>
      <c r="E11" s="18" t="s">
        <v>45</v>
      </c>
      <c r="F11" s="19"/>
      <c r="K11" s="14" t="str">
        <f>IFERROR(__xludf.DUMMYFUNCTION("""COMPUTED_VALUE"""),"案内")</f>
        <v>案内</v>
      </c>
      <c r="L11" s="14" t="str">
        <f>IFERROR(__xludf.DUMMYFUNCTION("""COMPUTED_VALUE"""),"あんない")</f>
        <v>あんない</v>
      </c>
      <c r="M11" s="14" t="str">
        <f>IFERROR(__xludf.DUMMYFUNCTION("""COMPUTED_VALUE"""),"to guide")</f>
        <v>to guide</v>
      </c>
    </row>
    <row r="12">
      <c r="A12" s="21">
        <v>11.0</v>
      </c>
      <c r="B12" s="16" t="s">
        <v>46</v>
      </c>
      <c r="C12" s="17" t="s">
        <v>47</v>
      </c>
      <c r="D12" s="11" t="s">
        <v>48</v>
      </c>
      <c r="E12" s="18" t="s">
        <v>49</v>
      </c>
      <c r="F12" s="19"/>
      <c r="K12" s="14" t="str">
        <f>IFERROR(__xludf.DUMMYFUNCTION("""COMPUTED_VALUE"""),"安心")</f>
        <v>安心</v>
      </c>
      <c r="L12" s="14" t="str">
        <f>IFERROR(__xludf.DUMMYFUNCTION("""COMPUTED_VALUE"""),"あんしん")</f>
        <v>あんしん</v>
      </c>
      <c r="M12" s="14" t="str">
        <f>IFERROR(__xludf.DUMMYFUNCTION("""COMPUTED_VALUE"""),"peace of mind")</f>
        <v>peace of mind</v>
      </c>
    </row>
    <row r="13">
      <c r="A13" s="15">
        <v>12.0</v>
      </c>
      <c r="B13" s="16" t="s">
        <v>50</v>
      </c>
      <c r="C13" s="17" t="s">
        <v>51</v>
      </c>
      <c r="D13" s="11" t="s">
        <v>52</v>
      </c>
      <c r="E13" s="18" t="s">
        <v>53</v>
      </c>
      <c r="F13" s="19"/>
      <c r="K13" s="14" t="str">
        <f>IFERROR(__xludf.DUMMYFUNCTION("""COMPUTED_VALUE"""),"安全")</f>
        <v>安全</v>
      </c>
      <c r="L13" s="14" t="str">
        <f>IFERROR(__xludf.DUMMYFUNCTION("""COMPUTED_VALUE"""),"あんぜん")</f>
        <v>あんぜん</v>
      </c>
      <c r="M13" s="14" t="str">
        <f>IFERROR(__xludf.DUMMYFUNCTION("""COMPUTED_VALUE"""),"safety; security")</f>
        <v>safety; security</v>
      </c>
    </row>
    <row r="14">
      <c r="A14" s="21">
        <v>13.0</v>
      </c>
      <c r="B14" s="16" t="s">
        <v>54</v>
      </c>
      <c r="C14" s="17"/>
      <c r="D14" s="11" t="s">
        <v>55</v>
      </c>
      <c r="E14" s="18" t="s">
        <v>56</v>
      </c>
      <c r="F14" s="19"/>
      <c r="K14" s="14" t="str">
        <f>IFERROR(__xludf.DUMMYFUNCTION("""COMPUTED_VALUE"""),"アルバイト")</f>
        <v>アルバイト</v>
      </c>
      <c r="L14" s="14"/>
      <c r="M14" s="14" t="str">
        <f>IFERROR(__xludf.DUMMYFUNCTION("""COMPUTED_VALUE"""),"part-time job")</f>
        <v>part-time job</v>
      </c>
    </row>
    <row r="15">
      <c r="A15" s="15">
        <v>14.0</v>
      </c>
      <c r="B15" s="16" t="s">
        <v>57</v>
      </c>
      <c r="C15" s="17"/>
      <c r="D15" s="11" t="s">
        <v>58</v>
      </c>
      <c r="E15" s="18" t="s">
        <v>59</v>
      </c>
      <c r="F15" s="19"/>
      <c r="K15" s="14" t="str">
        <f>IFERROR(__xludf.DUMMYFUNCTION("""COMPUTED_VALUE"""),"アルコール")</f>
        <v>アルコール</v>
      </c>
      <c r="L15" s="14"/>
      <c r="M15" s="14" t="str">
        <f>IFERROR(__xludf.DUMMYFUNCTION("""COMPUTED_VALUE"""),"alcohol")</f>
        <v>alcohol</v>
      </c>
    </row>
    <row r="16">
      <c r="A16" s="21">
        <v>15.0</v>
      </c>
      <c r="B16" s="16" t="s">
        <v>60</v>
      </c>
      <c r="C16" s="17" t="s">
        <v>61</v>
      </c>
      <c r="D16" s="11" t="s">
        <v>62</v>
      </c>
      <c r="E16" s="18" t="s">
        <v>63</v>
      </c>
      <c r="F16" s="19"/>
      <c r="K16" s="14" t="str">
        <f>IFERROR(__xludf.DUMMYFUNCTION("""COMPUTED_VALUE"""),"遊び")</f>
        <v>遊び</v>
      </c>
      <c r="L16" s="14" t="str">
        <f>IFERROR(__xludf.DUMMYFUNCTION("""COMPUTED_VALUE"""),"あそび")</f>
        <v>あそび</v>
      </c>
      <c r="M16" s="14" t="str">
        <f>IFERROR(__xludf.DUMMYFUNCTION("""COMPUTED_VALUE"""),"playing")</f>
        <v>playing</v>
      </c>
    </row>
    <row r="17">
      <c r="A17" s="15">
        <v>16.0</v>
      </c>
      <c r="B17" s="16" t="s">
        <v>64</v>
      </c>
      <c r="C17" s="17" t="s">
        <v>65</v>
      </c>
      <c r="D17" s="11" t="s">
        <v>66</v>
      </c>
      <c r="E17" s="18" t="s">
        <v>67</v>
      </c>
      <c r="F17" s="19"/>
      <c r="K17" s="14" t="str">
        <f>IFERROR(__xludf.DUMMYFUNCTION("""COMPUTED_VALUE"""),"倍")</f>
        <v>倍</v>
      </c>
      <c r="L17" s="14" t="str">
        <f>IFERROR(__xludf.DUMMYFUNCTION("""COMPUTED_VALUE"""),"ばい")</f>
        <v>ばい</v>
      </c>
      <c r="M17" s="14" t="str">
        <f>IFERROR(__xludf.DUMMYFUNCTION("""COMPUTED_VALUE"""),"double")</f>
        <v>double</v>
      </c>
    </row>
    <row r="18">
      <c r="A18" s="23">
        <v>17.0</v>
      </c>
      <c r="B18" s="24" t="s">
        <v>68</v>
      </c>
      <c r="C18" s="25" t="s">
        <v>69</v>
      </c>
      <c r="D18" s="26" t="s">
        <v>70</v>
      </c>
      <c r="E18" s="27" t="s">
        <v>71</v>
      </c>
      <c r="F18" s="28"/>
      <c r="K18" s="14" t="str">
        <f>IFERROR(__xludf.DUMMYFUNCTION("""COMPUTED_VALUE"""),"番組")</f>
        <v>番組</v>
      </c>
      <c r="L18" s="14" t="str">
        <f>IFERROR(__xludf.DUMMYFUNCTION("""COMPUTED_VALUE"""),"ばんぐみ")</f>
        <v>ばんぐみ</v>
      </c>
      <c r="M18" s="14" t="str">
        <f>IFERROR(__xludf.DUMMYFUNCTION("""COMPUTED_VALUE"""),"program (e.g. TV)")</f>
        <v>program (e.g. TV)</v>
      </c>
    </row>
    <row r="19">
      <c r="A19" s="15">
        <v>18.0</v>
      </c>
      <c r="B19" s="16" t="s">
        <v>72</v>
      </c>
      <c r="C19" s="29" t="s">
        <v>73</v>
      </c>
      <c r="D19" s="11" t="s">
        <v>74</v>
      </c>
      <c r="E19" s="18" t="s">
        <v>75</v>
      </c>
      <c r="F19" s="19"/>
      <c r="K19" s="14" t="str">
        <f>IFERROR(__xludf.DUMMYFUNCTION("""COMPUTED_VALUE"""),"場所")</f>
        <v>場所</v>
      </c>
      <c r="L19" s="14" t="str">
        <f>IFERROR(__xludf.DUMMYFUNCTION("""COMPUTED_VALUE"""),"ばしょ")</f>
        <v>ばしょ</v>
      </c>
      <c r="M19" s="14" t="str">
        <f>IFERROR(__xludf.DUMMYFUNCTION("""COMPUTED_VALUE"""),"place")</f>
        <v>place</v>
      </c>
    </row>
    <row r="20">
      <c r="A20" s="21">
        <v>19.0</v>
      </c>
      <c r="B20" s="16" t="s">
        <v>76</v>
      </c>
      <c r="C20" s="22"/>
      <c r="D20" s="11" t="s">
        <v>77</v>
      </c>
      <c r="E20" s="18" t="s">
        <v>78</v>
      </c>
      <c r="F20" s="19"/>
      <c r="K20" s="14" t="str">
        <f>IFERROR(__xludf.DUMMYFUNCTION("""COMPUTED_VALUE"""),"ベル")</f>
        <v>ベル</v>
      </c>
      <c r="L20" s="14"/>
      <c r="M20" s="14" t="str">
        <f>IFERROR(__xludf.DUMMYFUNCTION("""COMPUTED_VALUE"""),"bell")</f>
        <v>bell</v>
      </c>
    </row>
    <row r="21">
      <c r="A21" s="15">
        <v>20.0</v>
      </c>
      <c r="B21" s="16" t="s">
        <v>79</v>
      </c>
      <c r="C21" s="29" t="s">
        <v>80</v>
      </c>
      <c r="D21" s="11" t="s">
        <v>81</v>
      </c>
      <c r="E21" s="18" t="s">
        <v>82</v>
      </c>
      <c r="F21" s="19"/>
      <c r="K21" s="14" t="str">
        <f>IFERROR(__xludf.DUMMYFUNCTION("""COMPUTED_VALUE"""),"美術館")</f>
        <v>美術館</v>
      </c>
      <c r="L21" s="14" t="str">
        <f>IFERROR(__xludf.DUMMYFUNCTION("""COMPUTED_VALUE"""),"びじゅつかん")</f>
        <v>びじゅつかん</v>
      </c>
      <c r="M21" s="14" t="str">
        <f>IFERROR(__xludf.DUMMYFUNCTION("""COMPUTED_VALUE"""),"art gallery; art museum")</f>
        <v>art gallery; art museum</v>
      </c>
    </row>
    <row r="22">
      <c r="A22" s="21">
        <v>21.0</v>
      </c>
      <c r="B22" s="16" t="s">
        <v>83</v>
      </c>
      <c r="C22" s="17"/>
      <c r="D22" s="11" t="s">
        <v>84</v>
      </c>
      <c r="E22" s="18" t="s">
        <v>85</v>
      </c>
      <c r="F22" s="19"/>
      <c r="K22" s="14" t="str">
        <f>IFERROR(__xludf.DUMMYFUNCTION("""COMPUTED_VALUE"""),"ビル")</f>
        <v>ビル</v>
      </c>
      <c r="L22" s="14"/>
      <c r="M22" s="14" t="str">
        <f>IFERROR(__xludf.DUMMYFUNCTION("""COMPUTED_VALUE"""),"building")</f>
        <v>building</v>
      </c>
    </row>
    <row r="23">
      <c r="A23" s="15">
        <v>22.0</v>
      </c>
      <c r="B23" s="16" t="s">
        <v>86</v>
      </c>
      <c r="C23" s="29" t="s">
        <v>87</v>
      </c>
      <c r="D23" s="11" t="s">
        <v>88</v>
      </c>
      <c r="E23" s="18" t="s">
        <v>89</v>
      </c>
      <c r="F23" s="19"/>
      <c r="K23" s="14" t="str">
        <f>IFERROR(__xludf.DUMMYFUNCTION("""COMPUTED_VALUE"""),"貿易")</f>
        <v>貿易</v>
      </c>
      <c r="L23" s="14" t="str">
        <f>IFERROR(__xludf.DUMMYFUNCTION("""COMPUTED_VALUE"""),"ぼうえき")</f>
        <v>ぼうえき</v>
      </c>
      <c r="M23" s="14" t="str">
        <f>IFERROR(__xludf.DUMMYFUNCTION("""COMPUTED_VALUE"""),"trade")</f>
        <v>trade</v>
      </c>
    </row>
    <row r="24">
      <c r="A24" s="21">
        <v>23.0</v>
      </c>
      <c r="B24" s="16" t="s">
        <v>90</v>
      </c>
      <c r="C24" s="29" t="s">
        <v>91</v>
      </c>
      <c r="D24" s="11" t="s">
        <v>92</v>
      </c>
      <c r="E24" s="18" t="s">
        <v>93</v>
      </c>
      <c r="F24" s="19"/>
      <c r="K24" s="14" t="str">
        <f>IFERROR(__xludf.DUMMYFUNCTION("""COMPUTED_VALUE"""),"部長")</f>
        <v>部長</v>
      </c>
      <c r="L24" s="14" t="str">
        <f>IFERROR(__xludf.DUMMYFUNCTION("""COMPUTED_VALUE"""),"ぶちょう")</f>
        <v>ぶちょう</v>
      </c>
      <c r="M24" s="14" t="str">
        <f>IFERROR(__xludf.DUMMYFUNCTION("""COMPUTED_VALUE"""),"manager; director")</f>
        <v>manager; director</v>
      </c>
    </row>
    <row r="25">
      <c r="A25" s="30">
        <v>24.0</v>
      </c>
      <c r="B25" s="24" t="s">
        <v>94</v>
      </c>
      <c r="C25" s="25"/>
      <c r="D25" s="26" t="s">
        <v>95</v>
      </c>
      <c r="E25" s="27" t="s">
        <v>96</v>
      </c>
      <c r="F25" s="31"/>
      <c r="K25" s="14" t="str">
        <f>IFERROR(__xludf.DUMMYFUNCTION("""COMPUTED_VALUE"""),"ぶどう")</f>
        <v>ぶどう</v>
      </c>
      <c r="L25" s="14"/>
      <c r="M25" s="14" t="str">
        <f>IFERROR(__xludf.DUMMYFUNCTION("""COMPUTED_VALUE"""),"grapes")</f>
        <v>grapes</v>
      </c>
    </row>
    <row r="26">
      <c r="A26" s="15">
        <v>25.0</v>
      </c>
      <c r="B26" s="16" t="s">
        <v>97</v>
      </c>
      <c r="C26" s="17" t="s">
        <v>98</v>
      </c>
      <c r="D26" s="11" t="s">
        <v>99</v>
      </c>
      <c r="E26" s="18" t="s">
        <v>100</v>
      </c>
      <c r="F26" s="32"/>
      <c r="K26" s="14" t="str">
        <f>IFERROR(__xludf.DUMMYFUNCTION("""COMPUTED_VALUE"""),"文学")</f>
        <v>文学</v>
      </c>
      <c r="L26" s="14" t="str">
        <f>IFERROR(__xludf.DUMMYFUNCTION("""COMPUTED_VALUE"""),"ぶんがく")</f>
        <v>ぶんがく</v>
      </c>
      <c r="M26" s="14" t="str">
        <f>IFERROR(__xludf.DUMMYFUNCTION("""COMPUTED_VALUE"""),"literature")</f>
        <v>literature</v>
      </c>
    </row>
    <row r="27">
      <c r="A27" s="21">
        <v>26.0</v>
      </c>
      <c r="B27" s="16" t="s">
        <v>101</v>
      </c>
      <c r="C27" s="17" t="s">
        <v>102</v>
      </c>
      <c r="D27" s="11" t="s">
        <v>103</v>
      </c>
      <c r="E27" s="18" t="s">
        <v>104</v>
      </c>
      <c r="F27" s="32"/>
      <c r="K27" s="14" t="str">
        <f>IFERROR(__xludf.DUMMYFUNCTION("""COMPUTED_VALUE"""),"文化")</f>
        <v>文化</v>
      </c>
      <c r="L27" s="14" t="str">
        <f>IFERROR(__xludf.DUMMYFUNCTION("""COMPUTED_VALUE"""),"ぶんか")</f>
        <v>ぶんか</v>
      </c>
      <c r="M27" s="14" t="str">
        <f>IFERROR(__xludf.DUMMYFUNCTION("""COMPUTED_VALUE"""),"culture")</f>
        <v>culture</v>
      </c>
    </row>
    <row r="28">
      <c r="A28" s="15">
        <v>27.0</v>
      </c>
      <c r="B28" s="16" t="s">
        <v>105</v>
      </c>
      <c r="C28" s="17" t="s">
        <v>106</v>
      </c>
      <c r="D28" s="11" t="s">
        <v>107</v>
      </c>
      <c r="E28" s="18" t="s">
        <v>108</v>
      </c>
      <c r="F28" s="32"/>
      <c r="K28" s="14" t="str">
        <f>IFERROR(__xludf.DUMMYFUNCTION("""COMPUTED_VALUE"""),"文法")</f>
        <v>文法</v>
      </c>
      <c r="L28" s="14" t="str">
        <f>IFERROR(__xludf.DUMMYFUNCTION("""COMPUTED_VALUE"""),"ぶんぽう")</f>
        <v>ぶんぽう</v>
      </c>
      <c r="M28" s="14" t="str">
        <f>IFERROR(__xludf.DUMMYFUNCTION("""COMPUTED_VALUE"""),"grammar")</f>
        <v>grammar</v>
      </c>
    </row>
    <row r="29">
      <c r="A29" s="21">
        <v>28.0</v>
      </c>
      <c r="B29" s="16" t="s">
        <v>109</v>
      </c>
      <c r="C29" s="17"/>
      <c r="D29" s="11" t="s">
        <v>110</v>
      </c>
      <c r="E29" s="18" t="s">
        <v>111</v>
      </c>
      <c r="F29" s="32"/>
      <c r="K29" s="14" t="str">
        <f>IFERROR(__xludf.DUMMYFUNCTION("""COMPUTED_VALUE"""),"チェック")</f>
        <v>チェック</v>
      </c>
      <c r="L29" s="14"/>
      <c r="M29" s="14" t="str">
        <f>IFERROR(__xludf.DUMMYFUNCTION("""COMPUTED_VALUE"""),"to check")</f>
        <v>to check</v>
      </c>
    </row>
    <row r="30">
      <c r="A30" s="15">
        <v>29.0</v>
      </c>
      <c r="B30" s="16" t="s">
        <v>112</v>
      </c>
      <c r="C30" s="17" t="s">
        <v>113</v>
      </c>
      <c r="D30" s="11" t="s">
        <v>114</v>
      </c>
      <c r="E30" s="18" t="s">
        <v>115</v>
      </c>
      <c r="F30" s="32"/>
      <c r="K30" s="14" t="str">
        <f>IFERROR(__xludf.DUMMYFUNCTION("""COMPUTED_VALUE"""),"血")</f>
        <v>血</v>
      </c>
      <c r="L30" s="14" t="str">
        <f>IFERROR(__xludf.DUMMYFUNCTION("""COMPUTED_VALUE"""),"ち")</f>
        <v>ち</v>
      </c>
      <c r="M30" s="14" t="str">
        <f>IFERROR(__xludf.DUMMYFUNCTION("""COMPUTED_VALUE"""),"blood")</f>
        <v>blood</v>
      </c>
    </row>
    <row r="31">
      <c r="A31" s="21">
        <v>30.0</v>
      </c>
      <c r="B31" s="16" t="s">
        <v>116</v>
      </c>
      <c r="C31" s="17" t="s">
        <v>117</v>
      </c>
      <c r="D31" s="11" t="s">
        <v>118</v>
      </c>
      <c r="E31" s="18" t="s">
        <v>119</v>
      </c>
      <c r="F31" s="32"/>
      <c r="K31" s="14" t="str">
        <f>IFERROR(__xludf.DUMMYFUNCTION("""COMPUTED_VALUE"""),"力")</f>
        <v>力</v>
      </c>
      <c r="L31" s="14" t="str">
        <f>IFERROR(__xludf.DUMMYFUNCTION("""COMPUTED_VALUE"""),"ちから")</f>
        <v>ちから</v>
      </c>
      <c r="M31" s="14" t="str">
        <f>IFERROR(__xludf.DUMMYFUNCTION("""COMPUTED_VALUE"""),"energy; strength; power")</f>
        <v>energy; strength; power</v>
      </c>
    </row>
    <row r="32">
      <c r="A32" s="15">
        <v>31.0</v>
      </c>
      <c r="B32" s="16" t="s">
        <v>120</v>
      </c>
      <c r="C32" s="17" t="s">
        <v>121</v>
      </c>
      <c r="D32" s="11" t="s">
        <v>122</v>
      </c>
      <c r="E32" s="18" t="s">
        <v>123</v>
      </c>
      <c r="F32" s="32"/>
      <c r="K32" s="14" t="str">
        <f>IFERROR(__xludf.DUMMYFUNCTION("""COMPUTED_VALUE"""),"地理")</f>
        <v>地理</v>
      </c>
      <c r="L32" s="14" t="str">
        <f>IFERROR(__xludf.DUMMYFUNCTION("""COMPUTED_VALUE"""),"ちり")</f>
        <v>ちり</v>
      </c>
      <c r="M32" s="14" t="str">
        <f>IFERROR(__xludf.DUMMYFUNCTION("""COMPUTED_VALUE"""),"geography")</f>
        <v>geography</v>
      </c>
    </row>
    <row r="33">
      <c r="A33" s="21">
        <v>32.0</v>
      </c>
      <c r="B33" s="16" t="s">
        <v>124</v>
      </c>
      <c r="C33" s="17" t="s">
        <v>125</v>
      </c>
      <c r="D33" s="11" t="s">
        <v>126</v>
      </c>
      <c r="E33" s="18" t="s">
        <v>127</v>
      </c>
      <c r="F33" s="32"/>
      <c r="K33" s="14" t="str">
        <f>IFERROR(__xludf.DUMMYFUNCTION("""COMPUTED_VALUE"""),"中学校")</f>
        <v>中学校</v>
      </c>
      <c r="L33" s="14" t="str">
        <f>IFERROR(__xludf.DUMMYFUNCTION("""COMPUTED_VALUE"""),"ちゅうがっこう")</f>
        <v>ちゅうがっこう</v>
      </c>
      <c r="M33" s="14" t="str">
        <f>IFERROR(__xludf.DUMMYFUNCTION("""COMPUTED_VALUE"""),"junior high/ middle school")</f>
        <v>junior high/ middle school</v>
      </c>
    </row>
    <row r="34">
      <c r="A34" s="15">
        <v>33.0</v>
      </c>
      <c r="B34" s="16" t="s">
        <v>128</v>
      </c>
      <c r="C34" s="17" t="s">
        <v>129</v>
      </c>
      <c r="D34" s="11" t="s">
        <v>130</v>
      </c>
      <c r="E34" s="18" t="s">
        <v>131</v>
      </c>
      <c r="F34" s="32"/>
      <c r="K34" s="14" t="str">
        <f>IFERROR(__xludf.DUMMYFUNCTION("""COMPUTED_VALUE"""),"注意")</f>
        <v>注意</v>
      </c>
      <c r="L34" s="14" t="str">
        <f>IFERROR(__xludf.DUMMYFUNCTION("""COMPUTED_VALUE"""),"ちゅうい")</f>
        <v>ちゅうい</v>
      </c>
      <c r="M34" s="14" t="str">
        <f>IFERROR(__xludf.DUMMYFUNCTION("""COMPUTED_VALUE"""),"caution")</f>
        <v>caution</v>
      </c>
    </row>
    <row r="35">
      <c r="A35" s="23">
        <v>34.0</v>
      </c>
      <c r="B35" s="24" t="s">
        <v>132</v>
      </c>
      <c r="C35" s="25" t="s">
        <v>133</v>
      </c>
      <c r="D35" s="26" t="s">
        <v>134</v>
      </c>
      <c r="E35" s="27" t="s">
        <v>135</v>
      </c>
      <c r="F35" s="28"/>
      <c r="K35" s="14" t="str">
        <f>IFERROR(__xludf.DUMMYFUNCTION("""COMPUTED_VALUE"""),"注射")</f>
        <v>注射</v>
      </c>
      <c r="L35" s="14" t="str">
        <f>IFERROR(__xludf.DUMMYFUNCTION("""COMPUTED_VALUE"""),"ちゅうしゃ")</f>
        <v>ちゅうしゃ</v>
      </c>
      <c r="M35" s="14" t="str">
        <f>IFERROR(__xludf.DUMMYFUNCTION("""COMPUTED_VALUE"""),"injection")</f>
        <v>injection</v>
      </c>
    </row>
    <row r="36">
      <c r="A36" s="15">
        <v>35.0</v>
      </c>
      <c r="B36" s="16" t="s">
        <v>136</v>
      </c>
      <c r="C36" s="17" t="s">
        <v>137</v>
      </c>
      <c r="D36" s="11" t="s">
        <v>138</v>
      </c>
      <c r="E36" s="18" t="s">
        <v>139</v>
      </c>
      <c r="F36" s="19"/>
      <c r="K36" s="14" t="str">
        <f>IFERROR(__xludf.DUMMYFUNCTION("""COMPUTED_VALUE"""),"駐車場")</f>
        <v>駐車場</v>
      </c>
      <c r="L36" s="14" t="str">
        <f>IFERROR(__xludf.DUMMYFUNCTION("""COMPUTED_VALUE"""),"ちゅうしゃじょう")</f>
        <v>ちゅうしゃじょう</v>
      </c>
      <c r="M36" s="14" t="str">
        <f>IFERROR(__xludf.DUMMYFUNCTION("""COMPUTED_VALUE"""),"parking lot")</f>
        <v>parking lot</v>
      </c>
    </row>
    <row r="37">
      <c r="A37" s="21">
        <v>36.0</v>
      </c>
      <c r="B37" s="16" t="s">
        <v>140</v>
      </c>
      <c r="C37" s="17" t="s">
        <v>141</v>
      </c>
      <c r="D37" s="11" t="s">
        <v>142</v>
      </c>
      <c r="E37" s="18" t="s">
        <v>143</v>
      </c>
      <c r="F37" s="19"/>
      <c r="K37" s="14" t="str">
        <f>IFERROR(__xludf.DUMMYFUNCTION("""COMPUTED_VALUE"""),"大学生")</f>
        <v>大学生</v>
      </c>
      <c r="L37" s="14" t="str">
        <f>IFERROR(__xludf.DUMMYFUNCTION("""COMPUTED_VALUE"""),"だいがくせい")</f>
        <v>だいがくせい</v>
      </c>
      <c r="M37" s="14" t="str">
        <f>IFERROR(__xludf.DUMMYFUNCTION("""COMPUTED_VALUE"""),"university student")</f>
        <v>university student</v>
      </c>
    </row>
    <row r="38">
      <c r="A38" s="15">
        <v>37.0</v>
      </c>
      <c r="B38" s="16" t="s">
        <v>144</v>
      </c>
      <c r="C38" s="17" t="s">
        <v>145</v>
      </c>
      <c r="D38" s="11" t="s">
        <v>146</v>
      </c>
      <c r="E38" s="18" t="s">
        <v>147</v>
      </c>
      <c r="F38" s="19"/>
      <c r="K38" s="14" t="str">
        <f>IFERROR(__xludf.DUMMYFUNCTION("""COMPUTED_VALUE"""),"大体")</f>
        <v>大体</v>
      </c>
      <c r="L38" s="14" t="str">
        <f>IFERROR(__xludf.DUMMYFUNCTION("""COMPUTED_VALUE"""),"だいたい")</f>
        <v>だいたい</v>
      </c>
      <c r="M38" s="14" t="str">
        <f>IFERROR(__xludf.DUMMYFUNCTION("""COMPUTED_VALUE"""),"roughly")</f>
        <v>roughly</v>
      </c>
    </row>
    <row r="39">
      <c r="A39" s="21">
        <v>38.0</v>
      </c>
      <c r="B39" s="16" t="s">
        <v>148</v>
      </c>
      <c r="C39" s="17" t="s">
        <v>149</v>
      </c>
      <c r="D39" s="11" t="s">
        <v>150</v>
      </c>
      <c r="E39" s="18" t="s">
        <v>151</v>
      </c>
      <c r="F39" s="19"/>
      <c r="K39" s="14" t="str">
        <f>IFERROR(__xludf.DUMMYFUNCTION("""COMPUTED_VALUE"""),"暖房")</f>
        <v>暖房</v>
      </c>
      <c r="L39" s="14" t="str">
        <f>IFERROR(__xludf.DUMMYFUNCTION("""COMPUTED_VALUE"""),"だんぼう")</f>
        <v>だんぼう</v>
      </c>
      <c r="M39" s="14" t="str">
        <f>IFERROR(__xludf.DUMMYFUNCTION("""COMPUTED_VALUE"""),"heating")</f>
        <v>heating</v>
      </c>
    </row>
    <row r="40">
      <c r="A40" s="15">
        <v>39.0</v>
      </c>
      <c r="B40" s="16" t="s">
        <v>152</v>
      </c>
      <c r="C40" s="29" t="s">
        <v>153</v>
      </c>
      <c r="D40" s="11" t="s">
        <v>154</v>
      </c>
      <c r="E40" s="18" t="s">
        <v>155</v>
      </c>
      <c r="F40" s="19"/>
      <c r="K40" s="14" t="str">
        <f>IFERROR(__xludf.DUMMYFUNCTION("""COMPUTED_VALUE"""),"男性")</f>
        <v>男性</v>
      </c>
      <c r="L40" s="14" t="str">
        <f>IFERROR(__xludf.DUMMYFUNCTION("""COMPUTED_VALUE"""),"だんせい")</f>
        <v>だんせい</v>
      </c>
      <c r="M40" s="14" t="str">
        <f>IFERROR(__xludf.DUMMYFUNCTION("""COMPUTED_VALUE"""),"man; male")</f>
        <v>man; male</v>
      </c>
    </row>
    <row r="41">
      <c r="A41" s="21">
        <v>40.0</v>
      </c>
      <c r="B41" s="16" t="s">
        <v>156</v>
      </c>
      <c r="C41" s="29" t="s">
        <v>157</v>
      </c>
      <c r="D41" s="11" t="s">
        <v>158</v>
      </c>
      <c r="E41" s="18" t="s">
        <v>159</v>
      </c>
      <c r="F41" s="19"/>
      <c r="K41" s="14" t="str">
        <f>IFERROR(__xludf.DUMMYFUNCTION("""COMPUTED_VALUE"""),"電報")</f>
        <v>電報</v>
      </c>
      <c r="L41" s="14" t="str">
        <f>IFERROR(__xludf.DUMMYFUNCTION("""COMPUTED_VALUE"""),"でんぽう")</f>
        <v>でんぽう</v>
      </c>
      <c r="M41" s="14" t="str">
        <f>IFERROR(__xludf.DUMMYFUNCTION("""COMPUTED_VALUE"""),"telegram")</f>
        <v>telegram</v>
      </c>
    </row>
    <row r="42">
      <c r="A42" s="15">
        <v>41.0</v>
      </c>
      <c r="B42" s="16" t="s">
        <v>160</v>
      </c>
      <c r="C42" s="29" t="s">
        <v>161</v>
      </c>
      <c r="D42" s="11" t="s">
        <v>162</v>
      </c>
      <c r="E42" s="18" t="s">
        <v>163</v>
      </c>
      <c r="F42" s="19"/>
      <c r="K42" s="14" t="str">
        <f>IFERROR(__xludf.DUMMYFUNCTION("""COMPUTED_VALUE"""),"電灯")</f>
        <v>電灯</v>
      </c>
      <c r="L42" s="14" t="str">
        <f>IFERROR(__xludf.DUMMYFUNCTION("""COMPUTED_VALUE"""),"でんとう")</f>
        <v>でんとう</v>
      </c>
      <c r="M42" s="14" t="str">
        <f>IFERROR(__xludf.DUMMYFUNCTION("""COMPUTED_VALUE"""),"electric light")</f>
        <v>electric light</v>
      </c>
    </row>
    <row r="43">
      <c r="A43" s="21">
        <v>42.0</v>
      </c>
      <c r="B43" s="16" t="s">
        <v>164</v>
      </c>
      <c r="C43" s="17" t="s">
        <v>165</v>
      </c>
      <c r="D43" s="11" t="s">
        <v>166</v>
      </c>
      <c r="E43" s="18" t="s">
        <v>167</v>
      </c>
      <c r="F43" s="33"/>
      <c r="K43" s="14" t="str">
        <f>IFERROR(__xludf.DUMMYFUNCTION("""COMPUTED_VALUE"""),"泥棒")</f>
        <v>泥棒</v>
      </c>
      <c r="L43" s="14" t="str">
        <f>IFERROR(__xludf.DUMMYFUNCTION("""COMPUTED_VALUE"""),"どろぼう")</f>
        <v>どろぼう</v>
      </c>
      <c r="M43" s="14" t="str">
        <f>IFERROR(__xludf.DUMMYFUNCTION("""COMPUTED_VALUE"""),"thief")</f>
        <v>thief</v>
      </c>
    </row>
    <row r="44">
      <c r="A44" s="15">
        <v>43.0</v>
      </c>
      <c r="B44" s="16" t="s">
        <v>168</v>
      </c>
      <c r="C44" s="17" t="s">
        <v>169</v>
      </c>
      <c r="D44" s="11" t="s">
        <v>170</v>
      </c>
      <c r="E44" s="18" t="s">
        <v>171</v>
      </c>
      <c r="F44" s="19"/>
      <c r="K44" s="14" t="str">
        <f>IFERROR(__xludf.DUMMYFUNCTION("""COMPUTED_VALUE"""),"動物園")</f>
        <v>動物園</v>
      </c>
      <c r="L44" s="14" t="str">
        <f>IFERROR(__xludf.DUMMYFUNCTION("""COMPUTED_VALUE"""),"どうぶつえん")</f>
        <v>どうぶつえん</v>
      </c>
      <c r="M44" s="14" t="str">
        <f>IFERROR(__xludf.DUMMYFUNCTION("""COMPUTED_VALUE"""),"zoo; zoological gardens")</f>
        <v>zoo; zoological gardens</v>
      </c>
    </row>
    <row r="45">
      <c r="A45" s="21">
        <v>44.0</v>
      </c>
      <c r="B45" s="16" t="s">
        <v>172</v>
      </c>
      <c r="C45" s="17" t="s">
        <v>173</v>
      </c>
      <c r="D45" s="11" t="s">
        <v>174</v>
      </c>
      <c r="E45" s="18" t="s">
        <v>175</v>
      </c>
      <c r="F45" s="33"/>
      <c r="K45" s="14" t="str">
        <f>IFERROR(__xludf.DUMMYFUNCTION("""COMPUTED_VALUE"""),"道具")</f>
        <v>道具</v>
      </c>
      <c r="L45" s="14" t="str">
        <f>IFERROR(__xludf.DUMMYFUNCTION("""COMPUTED_VALUE"""),"どうぐ")</f>
        <v>どうぐ</v>
      </c>
      <c r="M45" s="14" t="str">
        <f>IFERROR(__xludf.DUMMYFUNCTION("""COMPUTED_VALUE"""),"tool")</f>
        <v>tool</v>
      </c>
    </row>
    <row r="46">
      <c r="A46" s="15">
        <v>45.0</v>
      </c>
      <c r="B46" s="16" t="s">
        <v>176</v>
      </c>
      <c r="C46" s="29" t="s">
        <v>177</v>
      </c>
      <c r="D46" s="11" t="s">
        <v>178</v>
      </c>
      <c r="E46" s="18" t="s">
        <v>179</v>
      </c>
      <c r="F46" s="19"/>
      <c r="K46" s="14" t="str">
        <f>IFERROR(__xludf.DUMMYFUNCTION("""COMPUTED_VALUE"""),"枝")</f>
        <v>枝</v>
      </c>
      <c r="L46" s="14" t="str">
        <f>IFERROR(__xludf.DUMMYFUNCTION("""COMPUTED_VALUE"""),"えだ")</f>
        <v>えだ</v>
      </c>
      <c r="M46" s="14" t="str">
        <f>IFERROR(__xludf.DUMMYFUNCTION("""COMPUTED_VALUE"""),"branch")</f>
        <v>branch</v>
      </c>
    </row>
    <row r="47">
      <c r="A47" s="21">
        <v>46.0</v>
      </c>
      <c r="B47" s="16" t="s">
        <v>180</v>
      </c>
      <c r="C47" s="17" t="s">
        <v>181</v>
      </c>
      <c r="D47" s="11" t="s">
        <v>182</v>
      </c>
      <c r="E47" s="18" t="s">
        <v>183</v>
      </c>
      <c r="F47" s="19"/>
      <c r="K47" s="14" t="str">
        <f>IFERROR(__xludf.DUMMYFUNCTION("""COMPUTED_VALUE"""),"遠慮")</f>
        <v>遠慮</v>
      </c>
      <c r="L47" s="14" t="str">
        <f>IFERROR(__xludf.DUMMYFUNCTION("""COMPUTED_VALUE"""),"えんりょ")</f>
        <v>えんりょ</v>
      </c>
      <c r="M47" s="14" t="str">
        <f>IFERROR(__xludf.DUMMYFUNCTION("""COMPUTED_VALUE"""),"reserve; refraining")</f>
        <v>reserve; refraining</v>
      </c>
    </row>
    <row r="48">
      <c r="A48" s="15">
        <v>47.0</v>
      </c>
      <c r="B48" s="16" t="s">
        <v>184</v>
      </c>
      <c r="C48" s="17"/>
      <c r="D48" s="11" t="s">
        <v>185</v>
      </c>
      <c r="E48" s="18" t="s">
        <v>186</v>
      </c>
      <c r="F48" s="19"/>
      <c r="K48" s="14" t="str">
        <f>IFERROR(__xludf.DUMMYFUNCTION("""COMPUTED_VALUE"""),"エスカレーター")</f>
        <v>エスカレーター</v>
      </c>
      <c r="L48" s="14"/>
      <c r="M48" s="14" t="str">
        <f>IFERROR(__xludf.DUMMYFUNCTION("""COMPUTED_VALUE"""),"escalator")</f>
        <v>escalator</v>
      </c>
    </row>
    <row r="49">
      <c r="A49" s="21">
        <v>48.0</v>
      </c>
      <c r="B49" s="16" t="s">
        <v>187</v>
      </c>
      <c r="C49" s="17"/>
      <c r="D49" s="11" t="s">
        <v>188</v>
      </c>
      <c r="E49" s="18" t="s">
        <v>189</v>
      </c>
      <c r="F49" s="19"/>
      <c r="K49" s="14" t="str">
        <f>IFERROR(__xludf.DUMMYFUNCTION("""COMPUTED_VALUE"""),"ファックス")</f>
        <v>ファックス</v>
      </c>
      <c r="L49" s="14"/>
      <c r="M49" s="14" t="str">
        <f>IFERROR(__xludf.DUMMYFUNCTION("""COMPUTED_VALUE"""),"fax")</f>
        <v>fax</v>
      </c>
    </row>
    <row r="50">
      <c r="A50" s="30">
        <v>49.0</v>
      </c>
      <c r="B50" s="24" t="s">
        <v>190</v>
      </c>
      <c r="C50" s="25" t="s">
        <v>191</v>
      </c>
      <c r="D50" s="26" t="s">
        <v>192</v>
      </c>
      <c r="E50" s="27" t="s">
        <v>193</v>
      </c>
      <c r="F50" s="34"/>
      <c r="K50" s="14" t="str">
        <f>IFERROR(__xludf.DUMMYFUNCTION("""COMPUTED_VALUE"""),"不便")</f>
        <v>不便</v>
      </c>
      <c r="L50" s="14" t="str">
        <f>IFERROR(__xludf.DUMMYFUNCTION("""COMPUTED_VALUE"""),"ふべん")</f>
        <v>ふべん</v>
      </c>
      <c r="M50" s="14" t="str">
        <f>IFERROR(__xludf.DUMMYFUNCTION("""COMPUTED_VALUE"""),"inconvenience")</f>
        <v>inconvenience</v>
      </c>
    </row>
    <row r="51">
      <c r="A51" s="21">
        <v>50.0</v>
      </c>
      <c r="B51" s="16" t="s">
        <v>194</v>
      </c>
      <c r="C51" s="35" t="s">
        <v>195</v>
      </c>
      <c r="D51" s="11" t="s">
        <v>196</v>
      </c>
      <c r="E51" s="18" t="s">
        <v>197</v>
      </c>
      <c r="F51" s="32"/>
      <c r="K51" s="14" t="str">
        <f>IFERROR(__xludf.DUMMYFUNCTION("""COMPUTED_VALUE"""),"復習")</f>
        <v>復習</v>
      </c>
      <c r="L51" s="14" t="str">
        <f>IFERROR(__xludf.DUMMYFUNCTION("""COMPUTED_VALUE"""),"ふくしゅう")</f>
        <v>ふくしゅう</v>
      </c>
      <c r="M51" s="14" t="str">
        <f>IFERROR(__xludf.DUMMYFUNCTION("""COMPUTED_VALUE"""),"review (of learned material)")</f>
        <v>review (of learned material)</v>
      </c>
    </row>
    <row r="52">
      <c r="A52" s="30">
        <v>51.0</v>
      </c>
      <c r="B52" s="24" t="s">
        <v>198</v>
      </c>
      <c r="C52" s="36" t="s">
        <v>199</v>
      </c>
      <c r="D52" s="26" t="s">
        <v>200</v>
      </c>
      <c r="E52" s="27" t="s">
        <v>201</v>
      </c>
      <c r="F52" s="37"/>
      <c r="K52" s="14" t="str">
        <f>IFERROR(__xludf.DUMMYFUNCTION("""COMPUTED_VALUE"""),"複雑")</f>
        <v>複雑</v>
      </c>
      <c r="L52" s="14" t="str">
        <f>IFERROR(__xludf.DUMMYFUNCTION("""COMPUTED_VALUE"""),"ふくざつ")</f>
        <v>ふくざつ</v>
      </c>
      <c r="M52" s="14" t="str">
        <f>IFERROR(__xludf.DUMMYFUNCTION("""COMPUTED_VALUE"""),"complexity; complication")</f>
        <v>complexity; complication</v>
      </c>
    </row>
    <row r="53">
      <c r="A53" s="21">
        <v>52.0</v>
      </c>
      <c r="B53" s="16" t="s">
        <v>202</v>
      </c>
      <c r="C53" s="29" t="s">
        <v>203</v>
      </c>
      <c r="D53" s="11" t="s">
        <v>204</v>
      </c>
      <c r="E53" s="18" t="s">
        <v>205</v>
      </c>
      <c r="F53" s="19"/>
      <c r="K53" s="14" t="str">
        <f>IFERROR(__xludf.DUMMYFUNCTION("""COMPUTED_VALUE"""),"船")</f>
        <v>船</v>
      </c>
      <c r="L53" s="14" t="str">
        <f>IFERROR(__xludf.DUMMYFUNCTION("""COMPUTED_VALUE"""),"ふね")</f>
        <v>ふね</v>
      </c>
      <c r="M53" s="14" t="str">
        <f>IFERROR(__xludf.DUMMYFUNCTION("""COMPUTED_VALUE"""),"ship")</f>
        <v>ship</v>
      </c>
    </row>
    <row r="54">
      <c r="A54" s="15">
        <v>53.0</v>
      </c>
      <c r="B54" s="16" t="s">
        <v>206</v>
      </c>
      <c r="C54" s="17" t="s">
        <v>207</v>
      </c>
      <c r="D54" s="11" t="s">
        <v>208</v>
      </c>
      <c r="E54" s="18" t="s">
        <v>209</v>
      </c>
      <c r="F54" s="19"/>
      <c r="K54" s="14" t="str">
        <f>IFERROR(__xludf.DUMMYFUNCTION("""COMPUTED_VALUE"""),"布団")</f>
        <v>布団</v>
      </c>
      <c r="L54" s="14" t="str">
        <f>IFERROR(__xludf.DUMMYFUNCTION("""COMPUTED_VALUE"""),"ふとん")</f>
        <v>ふとん</v>
      </c>
      <c r="M54" s="14" t="str">
        <f>IFERROR(__xludf.DUMMYFUNCTION("""COMPUTED_VALUE"""),"Japanese bedding, futon")</f>
        <v>Japanese bedding, futon</v>
      </c>
    </row>
    <row r="55">
      <c r="A55" s="21">
        <v>54.0</v>
      </c>
      <c r="B55" s="16" t="s">
        <v>210</v>
      </c>
      <c r="C55" s="17" t="s">
        <v>211</v>
      </c>
      <c r="D55" s="11" t="s">
        <v>212</v>
      </c>
      <c r="E55" s="18" t="s">
        <v>213</v>
      </c>
      <c r="F55" s="19"/>
      <c r="K55" s="14" t="str">
        <f>IFERROR(__xludf.DUMMYFUNCTION("""COMPUTED_VALUE"""),"普通")</f>
        <v>普通</v>
      </c>
      <c r="L55" s="14" t="str">
        <f>IFERROR(__xludf.DUMMYFUNCTION("""COMPUTED_VALUE"""),"ふつう")</f>
        <v>ふつう</v>
      </c>
      <c r="M55" s="14" t="str">
        <f>IFERROR(__xludf.DUMMYFUNCTION("""COMPUTED_VALUE"""),"usually")</f>
        <v>usually</v>
      </c>
    </row>
    <row r="56">
      <c r="A56" s="15">
        <v>55.0</v>
      </c>
      <c r="B56" s="16" t="s">
        <v>214</v>
      </c>
      <c r="C56" s="17"/>
      <c r="D56" s="11" t="s">
        <v>215</v>
      </c>
      <c r="E56" s="18" t="s">
        <v>216</v>
      </c>
      <c r="F56" s="19"/>
      <c r="K56" s="14" t="str">
        <f>IFERROR(__xludf.DUMMYFUNCTION("""COMPUTED_VALUE"""),"ガラス")</f>
        <v>ガラス</v>
      </c>
      <c r="L56" s="14"/>
      <c r="M56" s="14" t="str">
        <f>IFERROR(__xludf.DUMMYFUNCTION("""COMPUTED_VALUE"""),"a glass")</f>
        <v>a glass</v>
      </c>
    </row>
    <row r="57">
      <c r="A57" s="21">
        <v>56.0</v>
      </c>
      <c r="B57" s="16" t="s">
        <v>217</v>
      </c>
      <c r="C57" s="17"/>
      <c r="D57" s="11" t="s">
        <v>218</v>
      </c>
      <c r="E57" s="18" t="s">
        <v>219</v>
      </c>
      <c r="F57" s="19"/>
      <c r="K57" s="14" t="str">
        <f>IFERROR(__xludf.DUMMYFUNCTION("""COMPUTED_VALUE"""),"ガソリン")</f>
        <v>ガソリン</v>
      </c>
      <c r="L57" s="14"/>
      <c r="M57" s="14" t="str">
        <f>IFERROR(__xludf.DUMMYFUNCTION("""COMPUTED_VALUE"""),"gasoline; petrol")</f>
        <v>gasoline; petrol</v>
      </c>
    </row>
    <row r="58">
      <c r="A58" s="15">
        <v>57.0</v>
      </c>
      <c r="B58" s="16" t="s">
        <v>220</v>
      </c>
      <c r="C58" s="17"/>
      <c r="D58" s="11" t="s">
        <v>221</v>
      </c>
      <c r="E58" s="18" t="s">
        <v>222</v>
      </c>
      <c r="F58" s="33"/>
      <c r="K58" s="14" t="str">
        <f>IFERROR(__xludf.DUMMYFUNCTION("""COMPUTED_VALUE"""),"ガソリンスタンド")</f>
        <v>ガソリンスタンド</v>
      </c>
      <c r="L58" s="14"/>
      <c r="M58" s="14" t="str">
        <f>IFERROR(__xludf.DUMMYFUNCTION("""COMPUTED_VALUE"""),"petrol/gas station")</f>
        <v>petrol/gas station</v>
      </c>
    </row>
    <row r="59">
      <c r="A59" s="21">
        <v>58.0</v>
      </c>
      <c r="B59" s="16" t="s">
        <v>223</v>
      </c>
      <c r="C59" s="17"/>
      <c r="D59" s="11" t="s">
        <v>224</v>
      </c>
      <c r="E59" s="18" t="s">
        <v>225</v>
      </c>
      <c r="F59" s="19"/>
      <c r="K59" s="14" t="str">
        <f>IFERROR(__xludf.DUMMYFUNCTION("""COMPUTED_VALUE"""),"ガス")</f>
        <v>ガス</v>
      </c>
      <c r="L59" s="14"/>
      <c r="M59" s="14" t="str">
        <f>IFERROR(__xludf.DUMMYFUNCTION("""COMPUTED_VALUE"""),"petrol")</f>
        <v>petrol</v>
      </c>
    </row>
    <row r="60">
      <c r="A60" s="15">
        <v>59.0</v>
      </c>
      <c r="B60" s="16" t="s">
        <v>226</v>
      </c>
      <c r="C60" s="17" t="s">
        <v>227</v>
      </c>
      <c r="D60" s="11" t="s">
        <v>228</v>
      </c>
      <c r="E60" s="18" t="s">
        <v>229</v>
      </c>
      <c r="F60" s="19"/>
      <c r="K60" s="14" t="str">
        <f>IFERROR(__xludf.DUMMYFUNCTION("""COMPUTED_VALUE"""),"原因")</f>
        <v>原因</v>
      </c>
      <c r="L60" s="14" t="str">
        <f>IFERROR(__xludf.DUMMYFUNCTION("""COMPUTED_VALUE"""),"げんいん")</f>
        <v>げんいん</v>
      </c>
      <c r="M60" s="14" t="str">
        <f>IFERROR(__xludf.DUMMYFUNCTION("""COMPUTED_VALUE"""),"cause")</f>
        <v>cause</v>
      </c>
    </row>
    <row r="61">
      <c r="A61" s="21">
        <v>60.0</v>
      </c>
      <c r="B61" s="16" t="s">
        <v>230</v>
      </c>
      <c r="C61" s="17" t="s">
        <v>231</v>
      </c>
      <c r="D61" s="11" t="s">
        <v>232</v>
      </c>
      <c r="E61" s="18" t="s">
        <v>233</v>
      </c>
      <c r="F61" s="19"/>
      <c r="K61" s="14" t="str">
        <f>IFERROR(__xludf.DUMMYFUNCTION("""COMPUTED_VALUE"""),"下宿")</f>
        <v>下宿</v>
      </c>
      <c r="L61" s="14" t="str">
        <f>IFERROR(__xludf.DUMMYFUNCTION("""COMPUTED_VALUE"""),"げしゅく")</f>
        <v>げしゅく</v>
      </c>
      <c r="M61" s="14" t="str">
        <f>IFERROR(__xludf.DUMMYFUNCTION("""COMPUTED_VALUE"""),"lodging")</f>
        <v>lodging</v>
      </c>
    </row>
    <row r="62">
      <c r="A62" s="15">
        <v>61.0</v>
      </c>
      <c r="B62" s="16" t="s">
        <v>234</v>
      </c>
      <c r="C62" s="17" t="s">
        <v>235</v>
      </c>
      <c r="D62" s="11" t="s">
        <v>236</v>
      </c>
      <c r="E62" s="18" t="s">
        <v>237</v>
      </c>
      <c r="F62" s="19"/>
      <c r="K62" s="14" t="str">
        <f>IFERROR(__xludf.DUMMYFUNCTION("""COMPUTED_VALUE"""),"技術")</f>
        <v>技術</v>
      </c>
      <c r="L62" s="14" t="str">
        <f>IFERROR(__xludf.DUMMYFUNCTION("""COMPUTED_VALUE"""),"ぎじゅつ")</f>
        <v>ぎじゅつ</v>
      </c>
      <c r="M62" s="14" t="str">
        <f>IFERROR(__xludf.DUMMYFUNCTION("""COMPUTED_VALUE"""),"art; technology; skill")</f>
        <v>art; technology; skill</v>
      </c>
    </row>
    <row r="63">
      <c r="A63" s="21">
        <v>62.0</v>
      </c>
      <c r="B63" s="16" t="s">
        <v>238</v>
      </c>
      <c r="C63" s="17"/>
      <c r="D63" s="11" t="s">
        <v>239</v>
      </c>
      <c r="E63" s="18" t="s">
        <v>240</v>
      </c>
      <c r="F63" s="19"/>
      <c r="K63" s="14" t="str">
        <f>IFERROR(__xludf.DUMMYFUNCTION("""COMPUTED_VALUE"""),"ごちそう")</f>
        <v>ごちそう</v>
      </c>
      <c r="L63" s="14"/>
      <c r="M63" s="14" t="str">
        <f>IFERROR(__xludf.DUMMYFUNCTION("""COMPUTED_VALUE"""),"a feast")</f>
        <v>a feast</v>
      </c>
    </row>
    <row r="64">
      <c r="A64" s="15">
        <v>63.0</v>
      </c>
      <c r="B64" s="16" t="s">
        <v>241</v>
      </c>
      <c r="C64" s="17"/>
      <c r="D64" s="11" t="s">
        <v>242</v>
      </c>
      <c r="E64" s="18" t="s">
        <v>243</v>
      </c>
      <c r="F64" s="33"/>
      <c r="K64" s="14" t="str">
        <f>IFERROR(__xludf.DUMMYFUNCTION("""COMPUTED_VALUE"""),"ごみ")</f>
        <v>ごみ</v>
      </c>
      <c r="L64" s="14"/>
      <c r="M64" s="14" t="str">
        <f>IFERROR(__xludf.DUMMYFUNCTION("""COMPUTED_VALUE"""),"rubbish")</f>
        <v>rubbish</v>
      </c>
    </row>
    <row r="65">
      <c r="A65" s="21">
        <v>64.0</v>
      </c>
      <c r="B65" s="16" t="s">
        <v>244</v>
      </c>
      <c r="C65" s="17" t="s">
        <v>245</v>
      </c>
      <c r="D65" s="11" t="s">
        <v>246</v>
      </c>
      <c r="E65" s="18" t="s">
        <v>247</v>
      </c>
      <c r="F65" s="19"/>
      <c r="K65" s="14" t="str">
        <f>IFERROR(__xludf.DUMMYFUNCTION("""COMPUTED_VALUE"""),"ご主人")</f>
        <v>ご主人</v>
      </c>
      <c r="L65" s="14" t="str">
        <f>IFERROR(__xludf.DUMMYFUNCTION("""COMPUTED_VALUE"""),"ごしゅじん")</f>
        <v>ごしゅじん</v>
      </c>
      <c r="M65" s="14" t="str">
        <f>IFERROR(__xludf.DUMMYFUNCTION("""COMPUTED_VALUE"""),"your husband; her husband")</f>
        <v>your husband; her husband</v>
      </c>
    </row>
    <row r="66">
      <c r="A66" s="15">
        <v>65.0</v>
      </c>
      <c r="B66" s="16" t="s">
        <v>248</v>
      </c>
      <c r="C66" s="17" t="s">
        <v>249</v>
      </c>
      <c r="D66" s="11" t="s">
        <v>250</v>
      </c>
      <c r="E66" s="18" t="s">
        <v>251</v>
      </c>
      <c r="F66" s="19"/>
      <c r="K66" s="14" t="str">
        <f>IFERROR(__xludf.DUMMYFUNCTION("""COMPUTED_VALUE"""),"ご存じ")</f>
        <v>ご存じ</v>
      </c>
      <c r="L66" s="14" t="str">
        <f>IFERROR(__xludf.DUMMYFUNCTION("""COMPUTED_VALUE"""),"ごぞんじ")</f>
        <v>ごぞんじ</v>
      </c>
      <c r="M66" s="14" t="str">
        <f>IFERROR(__xludf.DUMMYFUNCTION("""COMPUTED_VALUE"""),"knowing")</f>
        <v>knowing</v>
      </c>
    </row>
    <row r="67">
      <c r="A67" s="21">
        <v>66.0</v>
      </c>
      <c r="B67" s="16" t="s">
        <v>252</v>
      </c>
      <c r="C67" s="17" t="s">
        <v>253</v>
      </c>
      <c r="D67" s="11" t="s">
        <v>254</v>
      </c>
      <c r="E67" s="18" t="s">
        <v>255</v>
      </c>
      <c r="F67" s="19"/>
      <c r="K67" s="14" t="str">
        <f>IFERROR(__xludf.DUMMYFUNCTION("""COMPUTED_VALUE"""),"具合")</f>
        <v>具合</v>
      </c>
      <c r="L67" s="14" t="str">
        <f>IFERROR(__xludf.DUMMYFUNCTION("""COMPUTED_VALUE"""),"ぐあい")</f>
        <v>ぐあい</v>
      </c>
      <c r="M67" s="14" t="str">
        <f>IFERROR(__xludf.DUMMYFUNCTION("""COMPUTED_VALUE"""),"condition; health")</f>
        <v>condition; health</v>
      </c>
    </row>
    <row r="68">
      <c r="A68" s="15">
        <v>67.0</v>
      </c>
      <c r="B68" s="16" t="s">
        <v>256</v>
      </c>
      <c r="C68" s="29" t="s">
        <v>257</v>
      </c>
      <c r="D68" s="11" t="s">
        <v>258</v>
      </c>
      <c r="E68" s="18" t="s">
        <v>259</v>
      </c>
      <c r="F68" s="19"/>
      <c r="K68" s="14" t="str">
        <f>IFERROR(__xludf.DUMMYFUNCTION("""COMPUTED_VALUE"""),"葉")</f>
        <v>葉</v>
      </c>
      <c r="L68" s="14" t="str">
        <f>IFERROR(__xludf.DUMMYFUNCTION("""COMPUTED_VALUE"""),"は")</f>
        <v>は</v>
      </c>
      <c r="M68" s="14" t="str">
        <f>IFERROR(__xludf.DUMMYFUNCTION("""COMPUTED_VALUE"""),"leaves; leaf")</f>
        <v>leaves; leaf</v>
      </c>
    </row>
    <row r="69">
      <c r="A69" s="21">
        <v>68.0</v>
      </c>
      <c r="B69" s="16" t="s">
        <v>260</v>
      </c>
      <c r="C69" s="17" t="s">
        <v>261</v>
      </c>
      <c r="D69" s="11" t="s">
        <v>262</v>
      </c>
      <c r="E69" s="18" t="s">
        <v>263</v>
      </c>
      <c r="F69" s="19"/>
      <c r="K69" s="14" t="str">
        <f>IFERROR(__xludf.DUMMYFUNCTION("""COMPUTED_VALUE"""),"拝見")</f>
        <v>拝見</v>
      </c>
      <c r="L69" s="14" t="str">
        <f>IFERROR(__xludf.DUMMYFUNCTION("""COMPUTED_VALUE"""),"はいけん")</f>
        <v>はいけん</v>
      </c>
      <c r="M69" s="14" t="str">
        <f>IFERROR(__xludf.DUMMYFUNCTION("""COMPUTED_VALUE"""),"seeing; looking at")</f>
        <v>seeing; looking at</v>
      </c>
    </row>
    <row r="70">
      <c r="A70" s="30">
        <v>69.0</v>
      </c>
      <c r="B70" s="24" t="s">
        <v>264</v>
      </c>
      <c r="C70" s="25" t="s">
        <v>265</v>
      </c>
      <c r="D70" s="26" t="s">
        <v>266</v>
      </c>
      <c r="E70" s="27" t="s">
        <v>267</v>
      </c>
      <c r="F70" s="28"/>
      <c r="K70" s="14" t="str">
        <f>IFERROR(__xludf.DUMMYFUNCTION("""COMPUTED_VALUE"""),"歯医者")</f>
        <v>歯医者</v>
      </c>
      <c r="L70" s="14" t="str">
        <f>IFERROR(__xludf.DUMMYFUNCTION("""COMPUTED_VALUE"""),"はいしゃ")</f>
        <v>はいしゃ</v>
      </c>
      <c r="M70" s="14" t="str">
        <f>IFERROR(__xludf.DUMMYFUNCTION("""COMPUTED_VALUE"""),"dentist")</f>
        <v>dentist</v>
      </c>
    </row>
    <row r="71">
      <c r="A71" s="21">
        <v>70.0</v>
      </c>
      <c r="B71" s="16" t="s">
        <v>268</v>
      </c>
      <c r="C71" s="17" t="s">
        <v>269</v>
      </c>
      <c r="D71" s="11" t="s">
        <v>270</v>
      </c>
      <c r="E71" s="18" t="s">
        <v>271</v>
      </c>
      <c r="F71" s="19"/>
      <c r="K71" s="14" t="str">
        <f>IFERROR(__xludf.DUMMYFUNCTION("""COMPUTED_VALUE"""),"花見")</f>
        <v>花見</v>
      </c>
      <c r="L71" s="14" t="str">
        <f>IFERROR(__xludf.DUMMYFUNCTION("""COMPUTED_VALUE"""),"はなみ")</f>
        <v>はなみ</v>
      </c>
      <c r="M71" s="14" t="str">
        <f>IFERROR(__xludf.DUMMYFUNCTION("""COMPUTED_VALUE"""),"cherry blossom viewing")</f>
        <v>cherry blossom viewing</v>
      </c>
    </row>
    <row r="72">
      <c r="A72" s="15">
        <v>71.0</v>
      </c>
      <c r="B72" s="16" t="s">
        <v>272</v>
      </c>
      <c r="C72" s="17"/>
      <c r="D72" s="11" t="s">
        <v>273</v>
      </c>
      <c r="E72" s="18" t="s">
        <v>274</v>
      </c>
      <c r="F72" s="19"/>
      <c r="K72" s="14" t="str">
        <f>IFERROR(__xludf.DUMMYFUNCTION("""COMPUTED_VALUE"""),"ハンドバッグ")</f>
        <v>ハンドバッグ</v>
      </c>
      <c r="L72" s="14"/>
      <c r="M72" s="14" t="str">
        <f>IFERROR(__xludf.DUMMYFUNCTION("""COMPUTED_VALUE"""),"handbag")</f>
        <v>handbag</v>
      </c>
    </row>
    <row r="73">
      <c r="A73" s="21">
        <v>72.0</v>
      </c>
      <c r="B73" s="16" t="s">
        <v>275</v>
      </c>
      <c r="C73" s="29" t="s">
        <v>276</v>
      </c>
      <c r="D73" s="11" t="s">
        <v>277</v>
      </c>
      <c r="E73" s="18" t="s">
        <v>278</v>
      </c>
      <c r="F73" s="19"/>
      <c r="K73" s="14" t="str">
        <f>IFERROR(__xludf.DUMMYFUNCTION("""COMPUTED_VALUE"""),"反対")</f>
        <v>反対</v>
      </c>
      <c r="L73" s="14" t="str">
        <f>IFERROR(__xludf.DUMMYFUNCTION("""COMPUTED_VALUE"""),"はんたい")</f>
        <v>はんたい</v>
      </c>
      <c r="M73" s="14" t="str">
        <f>IFERROR(__xludf.DUMMYFUNCTION("""COMPUTED_VALUE"""),"opposition")</f>
        <v>opposition</v>
      </c>
    </row>
    <row r="74">
      <c r="A74" s="21">
        <v>73.0</v>
      </c>
      <c r="B74" s="16" t="s">
        <v>279</v>
      </c>
      <c r="C74" s="17" t="s">
        <v>280</v>
      </c>
      <c r="D74" s="11" t="s">
        <v>281</v>
      </c>
      <c r="E74" s="18" t="s">
        <v>282</v>
      </c>
      <c r="F74" s="19"/>
      <c r="K74" s="14" t="str">
        <f>IFERROR(__xludf.DUMMYFUNCTION("""COMPUTED_VALUE"""),"発音")</f>
        <v>発音</v>
      </c>
      <c r="L74" s="14" t="str">
        <f>IFERROR(__xludf.DUMMYFUNCTION("""COMPUTED_VALUE"""),"はつおん")</f>
        <v>はつおん</v>
      </c>
      <c r="M74" s="14" t="str">
        <f>IFERROR(__xludf.DUMMYFUNCTION("""COMPUTED_VALUE"""),"pronunciation")</f>
        <v>pronunciation</v>
      </c>
    </row>
    <row r="75">
      <c r="A75" s="15">
        <v>74.0</v>
      </c>
      <c r="B75" s="16" t="s">
        <v>283</v>
      </c>
      <c r="C75" s="17" t="s">
        <v>284</v>
      </c>
      <c r="D75" s="11" t="s">
        <v>285</v>
      </c>
      <c r="E75" s="18" t="s">
        <v>286</v>
      </c>
      <c r="F75" s="19"/>
      <c r="K75" s="14" t="str">
        <f>IFERROR(__xludf.DUMMYFUNCTION("""COMPUTED_VALUE"""),"林")</f>
        <v>林</v>
      </c>
      <c r="L75" s="14" t="str">
        <f>IFERROR(__xludf.DUMMYFUNCTION("""COMPUTED_VALUE"""),"はやし")</f>
        <v>はやし</v>
      </c>
      <c r="M75" s="14" t="str">
        <f>IFERROR(__xludf.DUMMYFUNCTION("""COMPUTED_VALUE"""),"woods; forest")</f>
        <v>woods; forest</v>
      </c>
    </row>
    <row r="76">
      <c r="A76" s="30">
        <v>75.0</v>
      </c>
      <c r="B76" s="24" t="s">
        <v>287</v>
      </c>
      <c r="C76" s="25" t="s">
        <v>288</v>
      </c>
      <c r="D76" s="26" t="s">
        <v>289</v>
      </c>
      <c r="E76" s="27" t="s">
        <v>290</v>
      </c>
      <c r="F76" s="31"/>
      <c r="K76" s="14" t="str">
        <f>IFERROR(__xludf.DUMMYFUNCTION("""COMPUTED_VALUE"""),"変")</f>
        <v>変</v>
      </c>
      <c r="L76" s="14" t="str">
        <f>IFERROR(__xludf.DUMMYFUNCTION("""COMPUTED_VALUE"""),"へん")</f>
        <v>へん</v>
      </c>
      <c r="M76" s="14" t="str">
        <f>IFERROR(__xludf.DUMMYFUNCTION("""COMPUTED_VALUE"""),"strange; peculiar; weird")</f>
        <v>strange; peculiar; weird</v>
      </c>
    </row>
    <row r="77">
      <c r="A77" s="21">
        <v>76.0</v>
      </c>
      <c r="B77" s="16" t="s">
        <v>291</v>
      </c>
      <c r="C77" s="17" t="s">
        <v>292</v>
      </c>
      <c r="D77" s="11" t="s">
        <v>293</v>
      </c>
      <c r="E77" s="18" t="s">
        <v>294</v>
      </c>
      <c r="F77" s="38"/>
      <c r="K77" s="14" t="str">
        <f>IFERROR(__xludf.DUMMYFUNCTION("""COMPUTED_VALUE"""),"返事")</f>
        <v>返事</v>
      </c>
      <c r="L77" s="14" t="str">
        <f>IFERROR(__xludf.DUMMYFUNCTION("""COMPUTED_VALUE"""),"へんじ")</f>
        <v>へんじ</v>
      </c>
      <c r="M77" s="14" t="str">
        <f>IFERROR(__xludf.DUMMYFUNCTION("""COMPUTED_VALUE"""),"reply; answer; response")</f>
        <v>reply; answer; response</v>
      </c>
    </row>
    <row r="78">
      <c r="A78" s="15">
        <v>77.0</v>
      </c>
      <c r="B78" s="16" t="s">
        <v>295</v>
      </c>
      <c r="C78" s="17" t="s">
        <v>296</v>
      </c>
      <c r="D78" s="11" t="s">
        <v>297</v>
      </c>
      <c r="E78" s="18" t="s">
        <v>298</v>
      </c>
      <c r="F78" s="32"/>
      <c r="K78" s="14" t="str">
        <f>IFERROR(__xludf.DUMMYFUNCTION("""COMPUTED_VALUE"""),"火")</f>
        <v>火</v>
      </c>
      <c r="L78" s="14" t="str">
        <f>IFERROR(__xludf.DUMMYFUNCTION("""COMPUTED_VALUE"""),"ひ")</f>
        <v>ひ</v>
      </c>
      <c r="M78" s="14" t="str">
        <f>IFERROR(__xludf.DUMMYFUNCTION("""COMPUTED_VALUE"""),"fire")</f>
        <v>fire</v>
      </c>
    </row>
    <row r="79">
      <c r="A79" s="21">
        <v>78.0</v>
      </c>
      <c r="B79" s="16" t="s">
        <v>299</v>
      </c>
      <c r="C79" s="35" t="s">
        <v>300</v>
      </c>
      <c r="D79" s="11" t="s">
        <v>301</v>
      </c>
      <c r="E79" s="18" t="s">
        <v>302</v>
      </c>
      <c r="F79" s="32"/>
      <c r="K79" s="14" t="str">
        <f>IFERROR(__xludf.DUMMYFUNCTION("""COMPUTED_VALUE"""),"髭")</f>
        <v>髭</v>
      </c>
      <c r="L79" s="14" t="str">
        <f>IFERROR(__xludf.DUMMYFUNCTION("""COMPUTED_VALUE"""),"ひげ")</f>
        <v>ひげ</v>
      </c>
      <c r="M79" s="14" t="str">
        <f>IFERROR(__xludf.DUMMYFUNCTION("""COMPUTED_VALUE"""),"beard")</f>
        <v>beard</v>
      </c>
    </row>
    <row r="80">
      <c r="A80" s="15">
        <v>79.0</v>
      </c>
      <c r="B80" s="16" t="s">
        <v>303</v>
      </c>
      <c r="C80" s="17" t="s">
        <v>304</v>
      </c>
      <c r="D80" s="11" t="s">
        <v>305</v>
      </c>
      <c r="E80" s="18" t="s">
        <v>306</v>
      </c>
      <c r="F80" s="32"/>
      <c r="K80" s="14" t="str">
        <f>IFERROR(__xludf.DUMMYFUNCTION("""COMPUTED_VALUE"""),"光")</f>
        <v>光</v>
      </c>
      <c r="L80" s="14" t="str">
        <f>IFERROR(__xludf.DUMMYFUNCTION("""COMPUTED_VALUE"""),"ひかり")</f>
        <v>ひかり</v>
      </c>
      <c r="M80" s="14" t="str">
        <f>IFERROR(__xludf.DUMMYFUNCTION("""COMPUTED_VALUE"""),"light")</f>
        <v>light</v>
      </c>
    </row>
    <row r="81">
      <c r="A81" s="21">
        <v>80.0</v>
      </c>
      <c r="B81" s="16" t="s">
        <v>307</v>
      </c>
      <c r="C81" s="17" t="s">
        <v>308</v>
      </c>
      <c r="D81" s="11" t="s">
        <v>309</v>
      </c>
      <c r="E81" s="18" t="s">
        <v>310</v>
      </c>
      <c r="F81" s="38"/>
      <c r="K81" s="14" t="str">
        <f>IFERROR(__xludf.DUMMYFUNCTION("""COMPUTED_VALUE"""),"引き出し")</f>
        <v>引き出し</v>
      </c>
      <c r="L81" s="14" t="str">
        <f>IFERROR(__xludf.DUMMYFUNCTION("""COMPUTED_VALUE"""),"ひきだし")</f>
        <v>ひきだし</v>
      </c>
      <c r="M81" s="14" t="str">
        <f>IFERROR(__xludf.DUMMYFUNCTION("""COMPUTED_VALUE"""),"drawer")</f>
        <v>drawer</v>
      </c>
    </row>
    <row r="82">
      <c r="A82" s="15">
        <v>81.0</v>
      </c>
      <c r="B82" s="16" t="s">
        <v>311</v>
      </c>
      <c r="C82" s="17" t="s">
        <v>312</v>
      </c>
      <c r="D82" s="11" t="s">
        <v>313</v>
      </c>
      <c r="E82" s="18" t="s">
        <v>314</v>
      </c>
      <c r="F82" s="32"/>
      <c r="K82" s="14" t="str">
        <f>IFERROR(__xludf.DUMMYFUNCTION("""COMPUTED_VALUE"""),"飛行場")</f>
        <v>飛行場</v>
      </c>
      <c r="L82" s="14" t="str">
        <f>IFERROR(__xludf.DUMMYFUNCTION("""COMPUTED_VALUE"""),"ひこうじょう")</f>
        <v>ひこうじょう</v>
      </c>
      <c r="M82" s="14" t="str">
        <f>IFERROR(__xludf.DUMMYFUNCTION("""COMPUTED_VALUE"""),"airfield; airport")</f>
        <v>airfield; airport</v>
      </c>
    </row>
    <row r="83">
      <c r="A83" s="21">
        <v>82.0</v>
      </c>
      <c r="B83" s="16" t="s">
        <v>315</v>
      </c>
      <c r="C83" s="17" t="s">
        <v>316</v>
      </c>
      <c r="D83" s="11" t="s">
        <v>317</v>
      </c>
      <c r="E83" s="18" t="s">
        <v>318</v>
      </c>
      <c r="F83" s="32"/>
      <c r="K83" s="14" t="str">
        <f>IFERROR(__xludf.DUMMYFUNCTION("""COMPUTED_VALUE"""),"昼間")</f>
        <v>昼間</v>
      </c>
      <c r="L83" s="14" t="str">
        <f>IFERROR(__xludf.DUMMYFUNCTION("""COMPUTED_VALUE"""),"ひるま")</f>
        <v>ひるま</v>
      </c>
      <c r="M83" s="14" t="str">
        <f>IFERROR(__xludf.DUMMYFUNCTION("""COMPUTED_VALUE"""),"daytime; during the day")</f>
        <v>daytime; during the day</v>
      </c>
    </row>
    <row r="84">
      <c r="A84" s="15">
        <v>83.0</v>
      </c>
      <c r="B84" s="16" t="s">
        <v>319</v>
      </c>
      <c r="C84" s="17" t="s">
        <v>320</v>
      </c>
      <c r="D84" s="11" t="s">
        <v>321</v>
      </c>
      <c r="E84" s="18" t="s">
        <v>322</v>
      </c>
      <c r="F84" s="38"/>
      <c r="K84" s="14" t="str">
        <f>IFERROR(__xludf.DUMMYFUNCTION("""COMPUTED_VALUE"""),"昼休み")</f>
        <v>昼休み</v>
      </c>
      <c r="L84" s="14" t="str">
        <f>IFERROR(__xludf.DUMMYFUNCTION("""COMPUTED_VALUE"""),"ひるやすみ")</f>
        <v>ひるやすみ</v>
      </c>
      <c r="M84" s="14" t="str">
        <f>IFERROR(__xludf.DUMMYFUNCTION("""COMPUTED_VALUE"""),"lunch break; noon recess")</f>
        <v>lunch break; noon recess</v>
      </c>
    </row>
    <row r="85">
      <c r="A85" s="21">
        <v>84.0</v>
      </c>
      <c r="B85" s="16" t="s">
        <v>323</v>
      </c>
      <c r="C85" s="17" t="s">
        <v>324</v>
      </c>
      <c r="D85" s="11" t="s">
        <v>325</v>
      </c>
      <c r="E85" s="18" t="s">
        <v>326</v>
      </c>
      <c r="F85" s="32"/>
      <c r="K85" s="14" t="str">
        <f>IFERROR(__xludf.DUMMYFUNCTION("""COMPUTED_VALUE"""),"久しぶり")</f>
        <v>久しぶり</v>
      </c>
      <c r="L85" s="14" t="str">
        <f>IFERROR(__xludf.DUMMYFUNCTION("""COMPUTED_VALUE"""),"ひさしぶり")</f>
        <v>ひさしぶり</v>
      </c>
      <c r="M85" s="14" t="str">
        <f>IFERROR(__xludf.DUMMYFUNCTION("""COMPUTED_VALUE"""),"after a long time")</f>
        <v>after a long time</v>
      </c>
    </row>
    <row r="86">
      <c r="A86" s="15">
        <v>85.0</v>
      </c>
      <c r="B86" s="16" t="s">
        <v>327</v>
      </c>
      <c r="C86" s="17" t="s">
        <v>328</v>
      </c>
      <c r="D86" s="11" t="s">
        <v>329</v>
      </c>
      <c r="E86" s="18" t="s">
        <v>330</v>
      </c>
      <c r="F86" s="32"/>
      <c r="K86" s="14" t="str">
        <f>IFERROR(__xludf.DUMMYFUNCTION("""COMPUTED_VALUE"""),"翻訳")</f>
        <v>翻訳</v>
      </c>
      <c r="L86" s="14" t="str">
        <f>IFERROR(__xludf.DUMMYFUNCTION("""COMPUTED_VALUE"""),"ほんやく")</f>
        <v>ほんやく</v>
      </c>
      <c r="M86" s="14" t="str">
        <f>IFERROR(__xludf.DUMMYFUNCTION("""COMPUTED_VALUE"""),"translation")</f>
        <v>translation</v>
      </c>
    </row>
    <row r="87">
      <c r="A87" s="23">
        <v>86.0</v>
      </c>
      <c r="B87" s="24" t="s">
        <v>331</v>
      </c>
      <c r="C87" s="36" t="s">
        <v>332</v>
      </c>
      <c r="D87" s="26" t="s">
        <v>333</v>
      </c>
      <c r="E87" s="27" t="s">
        <v>334</v>
      </c>
      <c r="F87" s="28"/>
      <c r="K87" s="14" t="str">
        <f>IFERROR(__xludf.DUMMYFUNCTION("""COMPUTED_VALUE"""),"星")</f>
        <v>星</v>
      </c>
      <c r="L87" s="14" t="str">
        <f>IFERROR(__xludf.DUMMYFUNCTION("""COMPUTED_VALUE"""),"ほし")</f>
        <v>ほし</v>
      </c>
      <c r="M87" s="14" t="str">
        <f>IFERROR(__xludf.DUMMYFUNCTION("""COMPUTED_VALUE"""),"star")</f>
        <v>star</v>
      </c>
    </row>
    <row r="88">
      <c r="A88" s="15">
        <v>87.0</v>
      </c>
      <c r="B88" s="16" t="s">
        <v>335</v>
      </c>
      <c r="C88" s="17"/>
      <c r="D88" s="11" t="s">
        <v>336</v>
      </c>
      <c r="E88" s="18" t="s">
        <v>337</v>
      </c>
      <c r="F88" s="19"/>
      <c r="K88" s="14" t="str">
        <f>IFERROR(__xludf.DUMMYFUNCTION("""COMPUTED_VALUE"""),"ほとんど")</f>
        <v>ほとんど</v>
      </c>
      <c r="L88" s="14"/>
      <c r="M88" s="14" t="str">
        <f>IFERROR(__xludf.DUMMYFUNCTION("""COMPUTED_VALUE"""),"mostly")</f>
        <v>mostly</v>
      </c>
    </row>
    <row r="89">
      <c r="A89" s="21">
        <v>88.0</v>
      </c>
      <c r="B89" s="16" t="s">
        <v>338</v>
      </c>
      <c r="C89" s="17" t="s">
        <v>339</v>
      </c>
      <c r="D89" s="11" t="s">
        <v>340</v>
      </c>
      <c r="E89" s="18" t="s">
        <v>341</v>
      </c>
      <c r="F89" s="19"/>
      <c r="K89" s="14" t="str">
        <f>IFERROR(__xludf.DUMMYFUNCTION("""COMPUTED_VALUE"""),"法律")</f>
        <v>法律</v>
      </c>
      <c r="L89" s="14" t="str">
        <f>IFERROR(__xludf.DUMMYFUNCTION("""COMPUTED_VALUE"""),"ほうりつ")</f>
        <v>ほうりつ</v>
      </c>
      <c r="M89" s="14" t="str">
        <f>IFERROR(__xludf.DUMMYFUNCTION("""COMPUTED_VALUE"""),"law")</f>
        <v>law</v>
      </c>
    </row>
    <row r="90">
      <c r="A90" s="15">
        <v>89.0</v>
      </c>
      <c r="B90" s="16" t="s">
        <v>342</v>
      </c>
      <c r="C90" s="17" t="s">
        <v>343</v>
      </c>
      <c r="D90" s="11" t="s">
        <v>344</v>
      </c>
      <c r="E90" s="18" t="s">
        <v>345</v>
      </c>
      <c r="F90" s="19"/>
      <c r="K90" s="14" t="str">
        <f>IFERROR(__xludf.DUMMYFUNCTION("""COMPUTED_VALUE"""),"放送")</f>
        <v>放送</v>
      </c>
      <c r="L90" s="14" t="str">
        <f>IFERROR(__xludf.DUMMYFUNCTION("""COMPUTED_VALUE"""),"ほうそう")</f>
        <v>ほうそう</v>
      </c>
      <c r="M90" s="14" t="str">
        <f>IFERROR(__xludf.DUMMYFUNCTION("""COMPUTED_VALUE"""),"to broadcast")</f>
        <v>to broadcast</v>
      </c>
    </row>
    <row r="91">
      <c r="A91" s="21">
        <v>90.0</v>
      </c>
      <c r="B91" s="16" t="s">
        <v>346</v>
      </c>
      <c r="C91" s="17" t="s">
        <v>347</v>
      </c>
      <c r="D91" s="11" t="s">
        <v>348</v>
      </c>
      <c r="E91" s="18" t="s">
        <v>349</v>
      </c>
      <c r="F91" s="33"/>
      <c r="K91" s="14" t="str">
        <f>IFERROR(__xludf.DUMMYFUNCTION("""COMPUTED_VALUE"""),"一度")</f>
        <v>一度</v>
      </c>
      <c r="L91" s="14" t="str">
        <f>IFERROR(__xludf.DUMMYFUNCTION("""COMPUTED_VALUE"""),"いちど")</f>
        <v>いちど</v>
      </c>
      <c r="M91" s="14" t="str">
        <f>IFERROR(__xludf.DUMMYFUNCTION("""COMPUTED_VALUE"""),"once; one time")</f>
        <v>once; one time</v>
      </c>
    </row>
    <row r="92">
      <c r="A92" s="15">
        <v>91.0</v>
      </c>
      <c r="B92" s="16" t="s">
        <v>350</v>
      </c>
      <c r="C92" s="17" t="s">
        <v>351</v>
      </c>
      <c r="D92" s="11" t="s">
        <v>352</v>
      </c>
      <c r="E92" s="18" t="s">
        <v>353</v>
      </c>
      <c r="F92" s="19"/>
      <c r="K92" s="14" t="str">
        <f>IFERROR(__xludf.DUMMYFUNCTION("""COMPUTED_VALUE"""),"以外")</f>
        <v>以外</v>
      </c>
      <c r="L92" s="14" t="str">
        <f>IFERROR(__xludf.DUMMYFUNCTION("""COMPUTED_VALUE"""),"いがい")</f>
        <v>いがい</v>
      </c>
      <c r="M92" s="14" t="str">
        <f>IFERROR(__xludf.DUMMYFUNCTION("""COMPUTED_VALUE"""),"with the exception of")</f>
        <v>with the exception of</v>
      </c>
    </row>
    <row r="93">
      <c r="A93" s="21">
        <v>92.0</v>
      </c>
      <c r="B93" s="16" t="s">
        <v>354</v>
      </c>
      <c r="C93" s="17" t="s">
        <v>355</v>
      </c>
      <c r="D93" s="11" t="s">
        <v>356</v>
      </c>
      <c r="E93" s="18" t="s">
        <v>357</v>
      </c>
      <c r="F93" s="19"/>
      <c r="K93" s="14" t="str">
        <f>IFERROR(__xludf.DUMMYFUNCTION("""COMPUTED_VALUE"""),"医学")</f>
        <v>医学</v>
      </c>
      <c r="L93" s="14" t="str">
        <f>IFERROR(__xludf.DUMMYFUNCTION("""COMPUTED_VALUE"""),"いがく")</f>
        <v>いがく</v>
      </c>
      <c r="M93" s="14" t="str">
        <f>IFERROR(__xludf.DUMMYFUNCTION("""COMPUTED_VALUE"""),"medical science; medicine")</f>
        <v>medical science; medicine</v>
      </c>
    </row>
    <row r="94">
      <c r="A94" s="15">
        <v>93.0</v>
      </c>
      <c r="B94" s="16" t="s">
        <v>358</v>
      </c>
      <c r="C94" s="17" t="s">
        <v>359</v>
      </c>
      <c r="D94" s="11" t="s">
        <v>360</v>
      </c>
      <c r="E94" s="18" t="s">
        <v>361</v>
      </c>
      <c r="F94" s="33"/>
      <c r="K94" s="14" t="str">
        <f>IFERROR(__xludf.DUMMYFUNCTION("""COMPUTED_VALUE"""),"以上")</f>
        <v>以上</v>
      </c>
      <c r="L94" s="14" t="str">
        <f>IFERROR(__xludf.DUMMYFUNCTION("""COMPUTED_VALUE"""),"いじょう")</f>
        <v>いじょう</v>
      </c>
      <c r="M94" s="14" t="str">
        <f>IFERROR(__xludf.DUMMYFUNCTION("""COMPUTED_VALUE"""),"... and more; ... and upwards")</f>
        <v>... and more; ... and upwards</v>
      </c>
    </row>
    <row r="95">
      <c r="A95" s="21">
        <v>94.0</v>
      </c>
      <c r="B95" s="16" t="s">
        <v>362</v>
      </c>
      <c r="C95" s="17" t="s">
        <v>363</v>
      </c>
      <c r="D95" s="11" t="s">
        <v>364</v>
      </c>
      <c r="E95" s="18" t="s">
        <v>365</v>
      </c>
      <c r="F95" s="19"/>
      <c r="K95" s="14" t="str">
        <f>IFERROR(__xludf.DUMMYFUNCTION("""COMPUTED_VALUE"""),"以下")</f>
        <v>以下</v>
      </c>
      <c r="L95" s="14" t="str">
        <f>IFERROR(__xludf.DUMMYFUNCTION("""COMPUTED_VALUE"""),"いか")</f>
        <v>いか</v>
      </c>
      <c r="M95" s="14" t="str">
        <f>IFERROR(__xludf.DUMMYFUNCTION("""COMPUTED_VALUE"""),"not exceeding")</f>
        <v>not exceeding</v>
      </c>
    </row>
    <row r="96">
      <c r="A96" s="15">
        <v>95.0</v>
      </c>
      <c r="B96" s="16" t="s">
        <v>366</v>
      </c>
      <c r="C96" s="17" t="s">
        <v>367</v>
      </c>
      <c r="D96" s="11" t="s">
        <v>368</v>
      </c>
      <c r="E96" s="18" t="s">
        <v>369</v>
      </c>
      <c r="F96" s="19"/>
      <c r="K96" s="14" t="str">
        <f>IFERROR(__xludf.DUMMYFUNCTION("""COMPUTED_VALUE"""),"意見")</f>
        <v>意見</v>
      </c>
      <c r="L96" s="14" t="str">
        <f>IFERROR(__xludf.DUMMYFUNCTION("""COMPUTED_VALUE"""),"いけん")</f>
        <v>いけん</v>
      </c>
      <c r="M96" s="14" t="str">
        <f>IFERROR(__xludf.DUMMYFUNCTION("""COMPUTED_VALUE"""),"opinion; view; comment")</f>
        <v>opinion; view; comment</v>
      </c>
    </row>
    <row r="97">
      <c r="A97" s="21">
        <v>96.0</v>
      </c>
      <c r="B97" s="16" t="s">
        <v>370</v>
      </c>
      <c r="C97" s="17" t="s">
        <v>371</v>
      </c>
      <c r="D97" s="11" t="s">
        <v>372</v>
      </c>
      <c r="E97" s="18" t="s">
        <v>373</v>
      </c>
      <c r="F97" s="19"/>
      <c r="K97" s="14" t="str">
        <f>IFERROR(__xludf.DUMMYFUNCTION("""COMPUTED_VALUE"""),"生き物")</f>
        <v>生き物</v>
      </c>
      <c r="L97" s="14" t="str">
        <f>IFERROR(__xludf.DUMMYFUNCTION("""COMPUTED_VALUE"""),"いきもの")</f>
        <v>いきもの</v>
      </c>
      <c r="M97" s="14" t="str">
        <f>IFERROR(__xludf.DUMMYFUNCTION("""COMPUTED_VALUE"""),"living thing")</f>
        <v>living thing</v>
      </c>
    </row>
    <row r="98">
      <c r="A98" s="39">
        <v>97.0</v>
      </c>
      <c r="B98" s="16" t="s">
        <v>374</v>
      </c>
      <c r="C98" s="17" t="s">
        <v>375</v>
      </c>
      <c r="D98" s="11" t="s">
        <v>376</v>
      </c>
      <c r="E98" s="18" t="s">
        <v>377</v>
      </c>
      <c r="F98" s="19"/>
      <c r="K98" s="14" t="str">
        <f>IFERROR(__xludf.DUMMYFUNCTION("""COMPUTED_VALUE"""),"以内")</f>
        <v>以内</v>
      </c>
      <c r="L98" s="14" t="str">
        <f>IFERROR(__xludf.DUMMYFUNCTION("""COMPUTED_VALUE"""),"いない")</f>
        <v>いない</v>
      </c>
      <c r="M98" s="14" t="str">
        <f>IFERROR(__xludf.DUMMYFUNCTION("""COMPUTED_VALUE"""),"within")</f>
        <v>within</v>
      </c>
    </row>
    <row r="99">
      <c r="A99" s="40">
        <v>98.0</v>
      </c>
      <c r="B99" s="16" t="s">
        <v>378</v>
      </c>
      <c r="C99" s="17" t="s">
        <v>379</v>
      </c>
      <c r="D99" s="11" t="s">
        <v>380</v>
      </c>
      <c r="E99" s="18" t="s">
        <v>381</v>
      </c>
      <c r="F99" s="19"/>
      <c r="K99" s="14" t="str">
        <f>IFERROR(__xludf.DUMMYFUNCTION("""COMPUTED_VALUE"""),"田舎")</f>
        <v>田舎</v>
      </c>
      <c r="L99" s="14" t="str">
        <f>IFERROR(__xludf.DUMMYFUNCTION("""COMPUTED_VALUE"""),"いなか")</f>
        <v>いなか</v>
      </c>
      <c r="M99" s="14" t="str">
        <f>IFERROR(__xludf.DUMMYFUNCTION("""COMPUTED_VALUE"""),"countryside")</f>
        <v>countryside</v>
      </c>
    </row>
    <row r="100">
      <c r="A100" s="39">
        <v>99.0</v>
      </c>
      <c r="B100" s="16" t="s">
        <v>382</v>
      </c>
      <c r="C100" s="17"/>
      <c r="D100" s="11" t="s">
        <v>383</v>
      </c>
      <c r="E100" s="18" t="s">
        <v>384</v>
      </c>
      <c r="F100" s="19"/>
      <c r="K100" s="14" t="str">
        <f>IFERROR(__xludf.DUMMYFUNCTION("""COMPUTED_VALUE"""),"いっぱい")</f>
        <v>いっぱい</v>
      </c>
      <c r="L100" s="14"/>
      <c r="M100" s="14" t="str">
        <f>IFERROR(__xludf.DUMMYFUNCTION("""COMPUTED_VALUE"""),"full")</f>
        <v>full</v>
      </c>
    </row>
    <row r="101">
      <c r="A101" s="40">
        <v>100.0</v>
      </c>
      <c r="B101" s="16" t="s">
        <v>385</v>
      </c>
      <c r="C101" s="17" t="s">
        <v>386</v>
      </c>
      <c r="D101" s="11" t="s">
        <v>387</v>
      </c>
      <c r="E101" s="18" t="s">
        <v>388</v>
      </c>
      <c r="F101" s="19"/>
      <c r="K101" s="14" t="str">
        <f>IFERROR(__xludf.DUMMYFUNCTION("""COMPUTED_VALUE"""),"石")</f>
        <v>石</v>
      </c>
      <c r="L101" s="14" t="str">
        <f>IFERROR(__xludf.DUMMYFUNCTION("""COMPUTED_VALUE"""),"いし")</f>
        <v>いし</v>
      </c>
      <c r="M101" s="14" t="str">
        <f>IFERROR(__xludf.DUMMYFUNCTION("""COMPUTED_VALUE"""),"stone")</f>
        <v>stone</v>
      </c>
    </row>
    <row r="102">
      <c r="A102" s="41">
        <v>101.0</v>
      </c>
      <c r="B102" s="24" t="s">
        <v>389</v>
      </c>
      <c r="C102" s="25" t="s">
        <v>390</v>
      </c>
      <c r="D102" s="26" t="s">
        <v>391</v>
      </c>
      <c r="E102" s="27" t="s">
        <v>392</v>
      </c>
      <c r="F102" s="31"/>
      <c r="K102" s="14" t="str">
        <f>IFERROR(__xludf.DUMMYFUNCTION("""COMPUTED_VALUE"""),"一生懸命")</f>
        <v>一生懸命</v>
      </c>
      <c r="L102" s="14" t="str">
        <f>IFERROR(__xludf.DUMMYFUNCTION("""COMPUTED_VALUE"""),"いっしょうけんめい")</f>
        <v>いっしょうけんめい</v>
      </c>
      <c r="M102" s="14" t="str">
        <f>IFERROR(__xludf.DUMMYFUNCTION("""COMPUTED_VALUE"""),"very hard; with utmost effort")</f>
        <v>very hard; with utmost effort</v>
      </c>
    </row>
    <row r="103">
      <c r="A103" s="39">
        <v>102.0</v>
      </c>
      <c r="B103" s="16" t="s">
        <v>393</v>
      </c>
      <c r="C103" s="17" t="s">
        <v>394</v>
      </c>
      <c r="D103" s="11" t="s">
        <v>395</v>
      </c>
      <c r="E103" s="18" t="s">
        <v>396</v>
      </c>
      <c r="F103" s="32"/>
      <c r="K103" s="14" t="str">
        <f>IFERROR(__xludf.DUMMYFUNCTION("""COMPUTED_VALUE"""),"糸")</f>
        <v>糸</v>
      </c>
      <c r="L103" s="14" t="str">
        <f>IFERROR(__xludf.DUMMYFUNCTION("""COMPUTED_VALUE"""),"いと")</f>
        <v>いと</v>
      </c>
      <c r="M103" s="14" t="str">
        <f>IFERROR(__xludf.DUMMYFUNCTION("""COMPUTED_VALUE"""),"thread")</f>
        <v>thread</v>
      </c>
    </row>
    <row r="104">
      <c r="A104" s="41">
        <v>103.0</v>
      </c>
      <c r="B104" s="24" t="s">
        <v>397</v>
      </c>
      <c r="C104" s="25"/>
      <c r="D104" s="26" t="s">
        <v>398</v>
      </c>
      <c r="E104" s="27" t="s">
        <v>399</v>
      </c>
      <c r="F104" s="28"/>
      <c r="K104" s="14" t="str">
        <f>IFERROR(__xludf.DUMMYFUNCTION("""COMPUTED_VALUE"""),"ジャム")</f>
        <v>ジャム</v>
      </c>
      <c r="L104" s="14"/>
      <c r="M104" s="14" t="str">
        <f>IFERROR(__xludf.DUMMYFUNCTION("""COMPUTED_VALUE"""),"jam")</f>
        <v>jam</v>
      </c>
    </row>
    <row r="105">
      <c r="A105" s="39">
        <v>104.0</v>
      </c>
      <c r="B105" s="16" t="s">
        <v>400</v>
      </c>
      <c r="C105" s="29" t="s">
        <v>401</v>
      </c>
      <c r="D105" s="11" t="s">
        <v>402</v>
      </c>
      <c r="E105" s="18" t="s">
        <v>403</v>
      </c>
      <c r="F105" s="19"/>
      <c r="K105" s="14" t="str">
        <f>IFERROR(__xludf.DUMMYFUNCTION("""COMPUTED_VALUE"""),"字")</f>
        <v>字</v>
      </c>
      <c r="L105" s="14" t="str">
        <f>IFERROR(__xludf.DUMMYFUNCTION("""COMPUTED_VALUE"""),"じ")</f>
        <v>じ</v>
      </c>
      <c r="M105" s="14" t="str">
        <f>IFERROR(__xludf.DUMMYFUNCTION("""COMPUTED_VALUE"""),"character")</f>
        <v>character</v>
      </c>
    </row>
    <row r="106">
      <c r="A106" s="40">
        <v>105.0</v>
      </c>
      <c r="B106" s="16" t="s">
        <v>404</v>
      </c>
      <c r="C106" s="17" t="s">
        <v>405</v>
      </c>
      <c r="D106" s="11" t="s">
        <v>406</v>
      </c>
      <c r="E106" s="18" t="s">
        <v>407</v>
      </c>
      <c r="F106" s="19"/>
      <c r="K106" s="14" t="str">
        <f>IFERROR(__xludf.DUMMYFUNCTION("""COMPUTED_VALUE"""),"時代")</f>
        <v>時代</v>
      </c>
      <c r="L106" s="14" t="str">
        <f>IFERROR(__xludf.DUMMYFUNCTION("""COMPUTED_VALUE"""),"じだい")</f>
        <v>じだい</v>
      </c>
      <c r="M106" s="14" t="str">
        <f>IFERROR(__xludf.DUMMYFUNCTION("""COMPUTED_VALUE"""),"period")</f>
        <v>period</v>
      </c>
    </row>
    <row r="107">
      <c r="A107" s="39">
        <v>106.0</v>
      </c>
      <c r="B107" s="16" t="s">
        <v>408</v>
      </c>
      <c r="C107" s="17" t="s">
        <v>409</v>
      </c>
      <c r="D107" s="11" t="s">
        <v>410</v>
      </c>
      <c r="E107" s="18" t="s">
        <v>411</v>
      </c>
      <c r="F107" s="19"/>
      <c r="K107" s="14" t="str">
        <f>IFERROR(__xludf.DUMMYFUNCTION("""COMPUTED_VALUE"""),"事故")</f>
        <v>事故</v>
      </c>
      <c r="L107" s="14" t="str">
        <f>IFERROR(__xludf.DUMMYFUNCTION("""COMPUTED_VALUE"""),"じこ")</f>
        <v>じこ</v>
      </c>
      <c r="M107" s="14" t="str">
        <f>IFERROR(__xludf.DUMMYFUNCTION("""COMPUTED_VALUE"""),"accident")</f>
        <v>accident</v>
      </c>
    </row>
    <row r="108">
      <c r="A108" s="40">
        <v>107.0</v>
      </c>
      <c r="B108" s="16" t="s">
        <v>412</v>
      </c>
      <c r="C108" s="17" t="s">
        <v>413</v>
      </c>
      <c r="D108" s="11" t="s">
        <v>414</v>
      </c>
      <c r="E108" s="18" t="s">
        <v>415</v>
      </c>
      <c r="F108" s="19"/>
      <c r="K108" s="14" t="str">
        <f>IFERROR(__xludf.DUMMYFUNCTION("""COMPUTED_VALUE"""),"事務所")</f>
        <v>事務所</v>
      </c>
      <c r="L108" s="14" t="str">
        <f>IFERROR(__xludf.DUMMYFUNCTION("""COMPUTED_VALUE"""),"じむしょ")</f>
        <v>じむしょ</v>
      </c>
      <c r="M108" s="14" t="str">
        <f>IFERROR(__xludf.DUMMYFUNCTION("""COMPUTED_VALUE"""),"office")</f>
        <v>office</v>
      </c>
    </row>
    <row r="109">
      <c r="A109" s="39">
        <v>108.0</v>
      </c>
      <c r="B109" s="16" t="s">
        <v>416</v>
      </c>
      <c r="C109" s="29" t="s">
        <v>417</v>
      </c>
      <c r="D109" s="11" t="s">
        <v>418</v>
      </c>
      <c r="E109" s="18" t="s">
        <v>419</v>
      </c>
      <c r="F109" s="19"/>
      <c r="K109" s="14" t="str">
        <f>IFERROR(__xludf.DUMMYFUNCTION("""COMPUTED_VALUE"""),"神社")</f>
        <v>神社</v>
      </c>
      <c r="L109" s="14" t="str">
        <f>IFERROR(__xludf.DUMMYFUNCTION("""COMPUTED_VALUE"""),"じんじゃ")</f>
        <v>じんじゃ</v>
      </c>
      <c r="M109" s="14" t="str">
        <f>IFERROR(__xludf.DUMMYFUNCTION("""COMPUTED_VALUE"""),"Shinto shrine")</f>
        <v>Shinto shrine</v>
      </c>
    </row>
    <row r="110">
      <c r="A110" s="40">
        <v>109.0</v>
      </c>
      <c r="B110" s="16" t="s">
        <v>420</v>
      </c>
      <c r="C110" s="17" t="s">
        <v>421</v>
      </c>
      <c r="D110" s="11" t="s">
        <v>422</v>
      </c>
      <c r="E110" s="18" t="s">
        <v>423</v>
      </c>
      <c r="F110" s="19"/>
      <c r="K110" s="14" t="str">
        <f>IFERROR(__xludf.DUMMYFUNCTION("""COMPUTED_VALUE"""),"人口")</f>
        <v>人口</v>
      </c>
      <c r="L110" s="14" t="str">
        <f>IFERROR(__xludf.DUMMYFUNCTION("""COMPUTED_VALUE"""),"じんこう")</f>
        <v>じんこう</v>
      </c>
      <c r="M110" s="14" t="str">
        <f>IFERROR(__xludf.DUMMYFUNCTION("""COMPUTED_VALUE"""),"population")</f>
        <v>population</v>
      </c>
    </row>
    <row r="111">
      <c r="A111" s="39">
        <v>110.0</v>
      </c>
      <c r="B111" s="16" t="s">
        <v>424</v>
      </c>
      <c r="C111" s="17" t="s">
        <v>425</v>
      </c>
      <c r="D111" s="11" t="s">
        <v>426</v>
      </c>
      <c r="E111" s="18" t="s">
        <v>427</v>
      </c>
      <c r="F111" s="19"/>
      <c r="K111" s="14" t="str">
        <f>IFERROR(__xludf.DUMMYFUNCTION("""COMPUTED_VALUE"""),"人生")</f>
        <v>人生</v>
      </c>
      <c r="L111" s="14" t="str">
        <f>IFERROR(__xludf.DUMMYFUNCTION("""COMPUTED_VALUE"""),"じんせい")</f>
        <v>じんせい</v>
      </c>
      <c r="M111" s="14" t="str">
        <f>IFERROR(__xludf.DUMMYFUNCTION("""COMPUTED_VALUE"""),"human life")</f>
        <v>human life</v>
      </c>
    </row>
    <row r="112">
      <c r="A112" s="40">
        <v>111.0</v>
      </c>
      <c r="B112" s="16" t="s">
        <v>428</v>
      </c>
      <c r="C112" s="17" t="s">
        <v>429</v>
      </c>
      <c r="D112" s="11" t="s">
        <v>430</v>
      </c>
      <c r="E112" s="18" t="s">
        <v>431</v>
      </c>
      <c r="F112" s="19"/>
      <c r="K112" s="14" t="str">
        <f>IFERROR(__xludf.DUMMYFUNCTION("""COMPUTED_VALUE"""),"地震")</f>
        <v>地震</v>
      </c>
      <c r="L112" s="14" t="str">
        <f>IFERROR(__xludf.DUMMYFUNCTION("""COMPUTED_VALUE"""),"じしん")</f>
        <v>じしん</v>
      </c>
      <c r="M112" s="14" t="str">
        <f>IFERROR(__xludf.DUMMYFUNCTION("""COMPUTED_VALUE"""),"earthquake")</f>
        <v>earthquake</v>
      </c>
    </row>
    <row r="113">
      <c r="A113" s="39">
        <v>112.0</v>
      </c>
      <c r="B113" s="16" t="s">
        <v>432</v>
      </c>
      <c r="C113" s="17" t="s">
        <v>433</v>
      </c>
      <c r="D113" s="11" t="s">
        <v>434</v>
      </c>
      <c r="E113" s="18" t="s">
        <v>435</v>
      </c>
      <c r="F113" s="19"/>
      <c r="K113" s="14" t="str">
        <f>IFERROR(__xludf.DUMMYFUNCTION("""COMPUTED_VALUE"""),"辞典")</f>
        <v>辞典</v>
      </c>
      <c r="L113" s="14" t="str">
        <f>IFERROR(__xludf.DUMMYFUNCTION("""COMPUTED_VALUE"""),"じてん")</f>
        <v>じてん</v>
      </c>
      <c r="M113" s="14" t="str">
        <f>IFERROR(__xludf.DUMMYFUNCTION("""COMPUTED_VALUE"""),"dictionary")</f>
        <v>dictionary</v>
      </c>
    </row>
    <row r="114">
      <c r="A114" s="40">
        <v>113.0</v>
      </c>
      <c r="B114" s="16" t="s">
        <v>436</v>
      </c>
      <c r="C114" s="17" t="s">
        <v>437</v>
      </c>
      <c r="D114" s="11" t="s">
        <v>438</v>
      </c>
      <c r="E114" s="18" t="s">
        <v>439</v>
      </c>
      <c r="F114" s="19"/>
      <c r="K114" s="14" t="str">
        <f>IFERROR(__xludf.DUMMYFUNCTION("""COMPUTED_VALUE"""),"自由")</f>
        <v>自由</v>
      </c>
      <c r="L114" s="14" t="str">
        <f>IFERROR(__xludf.DUMMYFUNCTION("""COMPUTED_VALUE"""),"じゆう")</f>
        <v>じゆう</v>
      </c>
      <c r="M114" s="14" t="str">
        <f>IFERROR(__xludf.DUMMYFUNCTION("""COMPUTED_VALUE"""),"freedom")</f>
        <v>freedom</v>
      </c>
    </row>
    <row r="115">
      <c r="A115" s="39">
        <v>114.0</v>
      </c>
      <c r="B115" s="16" t="s">
        <v>440</v>
      </c>
      <c r="C115" s="17" t="s">
        <v>441</v>
      </c>
      <c r="D115" s="11" t="s">
        <v>442</v>
      </c>
      <c r="E115" s="18" t="s">
        <v>443</v>
      </c>
      <c r="F115" s="19"/>
      <c r="K115" s="14" t="str">
        <f>IFERROR(__xludf.DUMMYFUNCTION("""COMPUTED_VALUE"""),"女性")</f>
        <v>女性</v>
      </c>
      <c r="L115" s="14" t="str">
        <f>IFERROR(__xludf.DUMMYFUNCTION("""COMPUTED_VALUE"""),"じょせい")</f>
        <v>じょせい</v>
      </c>
      <c r="M115" s="14" t="str">
        <f>IFERROR(__xludf.DUMMYFUNCTION("""COMPUTED_VALUE"""),"woman; female")</f>
        <v>woman; female</v>
      </c>
    </row>
    <row r="116">
      <c r="A116" s="40">
        <v>115.0</v>
      </c>
      <c r="B116" s="16" t="s">
        <v>444</v>
      </c>
      <c r="C116" s="29" t="s">
        <v>445</v>
      </c>
      <c r="D116" s="11" t="s">
        <v>446</v>
      </c>
      <c r="E116" s="18" t="s">
        <v>447</v>
      </c>
      <c r="F116" s="19"/>
      <c r="K116" s="14" t="str">
        <f>IFERROR(__xludf.DUMMYFUNCTION("""COMPUTED_VALUE"""),"準備")</f>
        <v>準備</v>
      </c>
      <c r="L116" s="14" t="str">
        <f>IFERROR(__xludf.DUMMYFUNCTION("""COMPUTED_VALUE"""),"じゅんび")</f>
        <v>じゅんび</v>
      </c>
      <c r="M116" s="14" t="str">
        <f>IFERROR(__xludf.DUMMYFUNCTION("""COMPUTED_VALUE"""),"to prepare")</f>
        <v>to prepare</v>
      </c>
    </row>
    <row r="117">
      <c r="A117" s="39">
        <v>116.0</v>
      </c>
      <c r="B117" s="16" t="s">
        <v>448</v>
      </c>
      <c r="C117" s="17" t="s">
        <v>449</v>
      </c>
      <c r="D117" s="11" t="s">
        <v>450</v>
      </c>
      <c r="E117" s="18" t="s">
        <v>451</v>
      </c>
      <c r="F117" s="19"/>
      <c r="K117" s="14" t="str">
        <f>IFERROR(__xludf.DUMMYFUNCTION("""COMPUTED_VALUE"""),"十分")</f>
        <v>十分</v>
      </c>
      <c r="L117" s="14" t="str">
        <f>IFERROR(__xludf.DUMMYFUNCTION("""COMPUTED_VALUE"""),"じゅうぶん")</f>
        <v>じゅうぶん</v>
      </c>
      <c r="M117" s="14" t="str">
        <f>IFERROR(__xludf.DUMMYFUNCTION("""COMPUTED_VALUE"""),"enough; sufficient; plenty")</f>
        <v>enough; sufficient; plenty</v>
      </c>
    </row>
    <row r="118">
      <c r="A118" s="40">
        <v>117.0</v>
      </c>
      <c r="B118" s="16" t="s">
        <v>452</v>
      </c>
      <c r="C118" s="17" t="s">
        <v>453</v>
      </c>
      <c r="D118" s="11" t="s">
        <v>454</v>
      </c>
      <c r="E118" s="18" t="s">
        <v>455</v>
      </c>
      <c r="F118" s="33"/>
      <c r="K118" s="14" t="str">
        <f>IFERROR(__xludf.DUMMYFUNCTION("""COMPUTED_VALUE"""),"柔道")</f>
        <v>柔道</v>
      </c>
      <c r="L118" s="14" t="str">
        <f>IFERROR(__xludf.DUMMYFUNCTION("""COMPUTED_VALUE"""),"じゅうどう")</f>
        <v>じゅうどう</v>
      </c>
      <c r="M118" s="14" t="str">
        <f>IFERROR(__xludf.DUMMYFUNCTION("""COMPUTED_VALUE"""),"judo")</f>
        <v>judo</v>
      </c>
    </row>
    <row r="119">
      <c r="A119" s="39">
        <v>118.0</v>
      </c>
      <c r="B119" s="16" t="s">
        <v>456</v>
      </c>
      <c r="C119" s="17" t="s">
        <v>457</v>
      </c>
      <c r="D119" s="11" t="s">
        <v>458</v>
      </c>
      <c r="E119" s="18" t="s">
        <v>459</v>
      </c>
      <c r="F119" s="19"/>
      <c r="K119" s="14" t="str">
        <f>IFERROR(__xludf.DUMMYFUNCTION("""COMPUTED_VALUE"""),"住所")</f>
        <v>住所</v>
      </c>
      <c r="L119" s="14" t="str">
        <f>IFERROR(__xludf.DUMMYFUNCTION("""COMPUTED_VALUE"""),"じゅうしょ")</f>
        <v>じゅうしょ</v>
      </c>
      <c r="M119" s="14" t="str">
        <f>IFERROR(__xludf.DUMMYFUNCTION("""COMPUTED_VALUE"""),"address")</f>
        <v>address</v>
      </c>
    </row>
    <row r="120">
      <c r="A120" s="40">
        <v>119.0</v>
      </c>
      <c r="B120" s="16" t="s">
        <v>460</v>
      </c>
      <c r="C120" s="17"/>
      <c r="D120" s="11" t="s">
        <v>461</v>
      </c>
      <c r="E120" s="18" t="s">
        <v>462</v>
      </c>
      <c r="F120" s="19"/>
      <c r="K120" s="14" t="str">
        <f>IFERROR(__xludf.DUMMYFUNCTION("""COMPUTED_VALUE"""),"カーテン")</f>
        <v>カーテン</v>
      </c>
      <c r="L120" s="14"/>
      <c r="M120" s="14" t="str">
        <f>IFERROR(__xludf.DUMMYFUNCTION("""COMPUTED_VALUE"""),"curtain")</f>
        <v>curtain</v>
      </c>
    </row>
    <row r="121">
      <c r="A121" s="39">
        <v>120.0</v>
      </c>
      <c r="B121" s="16" t="s">
        <v>463</v>
      </c>
      <c r="C121" s="17" t="s">
        <v>464</v>
      </c>
      <c r="D121" s="11" t="s">
        <v>465</v>
      </c>
      <c r="E121" s="18" t="s">
        <v>466</v>
      </c>
      <c r="F121" s="19"/>
      <c r="K121" s="14" t="str">
        <f>IFERROR(__xludf.DUMMYFUNCTION("""COMPUTED_VALUE"""),"壁")</f>
        <v>壁</v>
      </c>
      <c r="L121" s="14" t="str">
        <f>IFERROR(__xludf.DUMMYFUNCTION("""COMPUTED_VALUE"""),"かべ")</f>
        <v>かべ</v>
      </c>
      <c r="M121" s="14" t="str">
        <f>IFERROR(__xludf.DUMMYFUNCTION("""COMPUTED_VALUE"""),"wall")</f>
        <v>wall</v>
      </c>
    </row>
    <row r="122">
      <c r="A122" s="39">
        <v>121.0</v>
      </c>
      <c r="B122" s="16" t="s">
        <v>467</v>
      </c>
      <c r="C122" s="17" t="s">
        <v>468</v>
      </c>
      <c r="D122" s="11" t="s">
        <v>469</v>
      </c>
      <c r="E122" s="18" t="s">
        <v>470</v>
      </c>
      <c r="F122" s="19"/>
      <c r="K122" s="14" t="str">
        <f>IFERROR(__xludf.DUMMYFUNCTION("""COMPUTED_VALUE"""),"課長")</f>
        <v>課長</v>
      </c>
      <c r="L122" s="14" t="str">
        <f>IFERROR(__xludf.DUMMYFUNCTION("""COMPUTED_VALUE"""),"かちょう")</f>
        <v>かちょう</v>
      </c>
      <c r="M122" s="14" t="str">
        <f>IFERROR(__xludf.DUMMYFUNCTION("""COMPUTED_VALUE"""),"section manager/chief")</f>
        <v>section manager/chief</v>
      </c>
    </row>
    <row r="123">
      <c r="A123" s="40">
        <v>122.0</v>
      </c>
      <c r="B123" s="16" t="s">
        <v>471</v>
      </c>
      <c r="C123" s="17" t="s">
        <v>472</v>
      </c>
      <c r="D123" s="11" t="s">
        <v>473</v>
      </c>
      <c r="E123" s="18" t="s">
        <v>474</v>
      </c>
      <c r="F123" s="19"/>
      <c r="K123" s="14" t="str">
        <f>IFERROR(__xludf.DUMMYFUNCTION("""COMPUTED_VALUE"""),"帰り")</f>
        <v>帰り</v>
      </c>
      <c r="L123" s="14" t="str">
        <f>IFERROR(__xludf.DUMMYFUNCTION("""COMPUTED_VALUE"""),"かえり")</f>
        <v>かえり</v>
      </c>
      <c r="M123" s="14" t="str">
        <f>IFERROR(__xludf.DUMMYFUNCTION("""COMPUTED_VALUE"""),"return; coming back")</f>
        <v>return; coming back</v>
      </c>
    </row>
    <row r="124">
      <c r="A124" s="39">
        <v>123.0</v>
      </c>
      <c r="B124" s="16" t="s">
        <v>475</v>
      </c>
      <c r="C124" s="17" t="s">
        <v>476</v>
      </c>
      <c r="D124" s="11" t="s">
        <v>477</v>
      </c>
      <c r="E124" s="18" t="s">
        <v>478</v>
      </c>
      <c r="F124" s="19"/>
      <c r="K124" s="14" t="str">
        <f>IFERROR(__xludf.DUMMYFUNCTION("""COMPUTED_VALUE"""),"科学")</f>
        <v>科学</v>
      </c>
      <c r="L124" s="14" t="str">
        <f>IFERROR(__xludf.DUMMYFUNCTION("""COMPUTED_VALUE"""),"かがく")</f>
        <v>かがく</v>
      </c>
      <c r="M124" s="14" t="str">
        <f>IFERROR(__xludf.DUMMYFUNCTION("""COMPUTED_VALUE"""),"science")</f>
        <v>science</v>
      </c>
    </row>
    <row r="125">
      <c r="A125" s="40">
        <v>124.0</v>
      </c>
      <c r="B125" s="16" t="s">
        <v>479</v>
      </c>
      <c r="C125" s="17" t="s">
        <v>480</v>
      </c>
      <c r="D125" s="11" t="s">
        <v>481</v>
      </c>
      <c r="E125" s="18" t="s">
        <v>482</v>
      </c>
      <c r="F125" s="19"/>
      <c r="K125" s="14" t="str">
        <f>IFERROR(__xludf.DUMMYFUNCTION("""COMPUTED_VALUE"""),"鏡")</f>
        <v>鏡</v>
      </c>
      <c r="L125" s="14" t="str">
        <f>IFERROR(__xludf.DUMMYFUNCTION("""COMPUTED_VALUE"""),"かがみ")</f>
        <v>かがみ</v>
      </c>
      <c r="M125" s="14" t="str">
        <f>IFERROR(__xludf.DUMMYFUNCTION("""COMPUTED_VALUE"""),"mirror")</f>
        <v>mirror</v>
      </c>
    </row>
    <row r="126">
      <c r="A126" s="39">
        <v>125.0</v>
      </c>
      <c r="B126" s="16" t="s">
        <v>483</v>
      </c>
      <c r="C126" s="17" t="s">
        <v>484</v>
      </c>
      <c r="D126" s="11" t="s">
        <v>485</v>
      </c>
      <c r="E126" s="18" t="s">
        <v>486</v>
      </c>
      <c r="F126" s="19"/>
      <c r="K126" s="14" t="str">
        <f>IFERROR(__xludf.DUMMYFUNCTION("""COMPUTED_VALUE"""),"海岸")</f>
        <v>海岸</v>
      </c>
      <c r="L126" s="14" t="str">
        <f>IFERROR(__xludf.DUMMYFUNCTION("""COMPUTED_VALUE"""),"かいがん")</f>
        <v>かいがん</v>
      </c>
      <c r="M126" s="14" t="str">
        <f>IFERROR(__xludf.DUMMYFUNCTION("""COMPUTED_VALUE"""),"coast")</f>
        <v>coast</v>
      </c>
    </row>
    <row r="127">
      <c r="A127" s="40">
        <v>126.0</v>
      </c>
      <c r="B127" s="16" t="s">
        <v>487</v>
      </c>
      <c r="C127" s="17" t="s">
        <v>488</v>
      </c>
      <c r="D127" s="11" t="s">
        <v>489</v>
      </c>
      <c r="E127" s="18" t="s">
        <v>490</v>
      </c>
      <c r="F127" s="19"/>
      <c r="K127" s="14" t="str">
        <f>IFERROR(__xludf.DUMMYFUNCTION("""COMPUTED_VALUE"""),"会議")</f>
        <v>会議</v>
      </c>
      <c r="L127" s="14" t="str">
        <f>IFERROR(__xludf.DUMMYFUNCTION("""COMPUTED_VALUE"""),"かいぎ")</f>
        <v>かいぎ</v>
      </c>
      <c r="M127" s="14" t="str">
        <f>IFERROR(__xludf.DUMMYFUNCTION("""COMPUTED_VALUE"""),"meeting; conference")</f>
        <v>meeting; conference</v>
      </c>
    </row>
    <row r="128">
      <c r="A128" s="41">
        <v>127.0</v>
      </c>
      <c r="B128" s="24" t="s">
        <v>491</v>
      </c>
      <c r="C128" s="25" t="s">
        <v>492</v>
      </c>
      <c r="D128" s="26" t="s">
        <v>493</v>
      </c>
      <c r="E128" s="27" t="s">
        <v>494</v>
      </c>
      <c r="F128" s="34"/>
      <c r="K128" s="14" t="str">
        <f>IFERROR(__xludf.DUMMYFUNCTION("""COMPUTED_VALUE"""),"会議室")</f>
        <v>会議室</v>
      </c>
      <c r="L128" s="14" t="str">
        <f>IFERROR(__xludf.DUMMYFUNCTION("""COMPUTED_VALUE"""),"かいぎしつ")</f>
        <v>かいぎしつ</v>
      </c>
      <c r="M128" s="14" t="str">
        <f>IFERROR(__xludf.DUMMYFUNCTION("""COMPUTED_VALUE"""),"conference room")</f>
        <v>conference room</v>
      </c>
    </row>
    <row r="129">
      <c r="A129" s="39">
        <v>128.0</v>
      </c>
      <c r="B129" s="16" t="s">
        <v>495</v>
      </c>
      <c r="C129" s="17" t="s">
        <v>496</v>
      </c>
      <c r="D129" s="11" t="s">
        <v>497</v>
      </c>
      <c r="E129" s="18" t="s">
        <v>498</v>
      </c>
      <c r="F129" s="38"/>
      <c r="K129" s="14" t="str">
        <f>IFERROR(__xludf.DUMMYFUNCTION("""COMPUTED_VALUE"""),"会場")</f>
        <v>会場</v>
      </c>
      <c r="L129" s="14" t="str">
        <f>IFERROR(__xludf.DUMMYFUNCTION("""COMPUTED_VALUE"""),"かいじょう")</f>
        <v>かいじょう</v>
      </c>
      <c r="M129" s="14" t="str">
        <f>IFERROR(__xludf.DUMMYFUNCTION("""COMPUTED_VALUE"""),"assembly hall; venue")</f>
        <v>assembly hall; venue</v>
      </c>
    </row>
    <row r="130">
      <c r="A130" s="40">
        <v>129.0</v>
      </c>
      <c r="B130" s="16" t="s">
        <v>499</v>
      </c>
      <c r="C130" s="17" t="s">
        <v>500</v>
      </c>
      <c r="D130" s="11" t="s">
        <v>501</v>
      </c>
      <c r="E130" s="18" t="s">
        <v>502</v>
      </c>
      <c r="F130" s="32"/>
      <c r="K130" s="14" t="str">
        <f>IFERROR(__xludf.DUMMYFUNCTION("""COMPUTED_VALUE"""),"会話")</f>
        <v>会話</v>
      </c>
      <c r="L130" s="14" t="str">
        <f>IFERROR(__xludf.DUMMYFUNCTION("""COMPUTED_VALUE"""),"かいわ")</f>
        <v>かいわ</v>
      </c>
      <c r="M130" s="14" t="str">
        <f>IFERROR(__xludf.DUMMYFUNCTION("""COMPUTED_VALUE"""),"conversation")</f>
        <v>conversation</v>
      </c>
    </row>
    <row r="131">
      <c r="A131" s="39">
        <v>130.0</v>
      </c>
      <c r="B131" s="16" t="s">
        <v>503</v>
      </c>
      <c r="C131" s="17" t="s">
        <v>504</v>
      </c>
      <c r="D131" s="11" t="s">
        <v>505</v>
      </c>
      <c r="E131" s="18" t="s">
        <v>298</v>
      </c>
      <c r="F131" s="32"/>
      <c r="K131" s="14" t="str">
        <f>IFERROR(__xludf.DUMMYFUNCTION("""COMPUTED_VALUE"""),"火事")</f>
        <v>火事</v>
      </c>
      <c r="L131" s="14" t="str">
        <f>IFERROR(__xludf.DUMMYFUNCTION("""COMPUTED_VALUE"""),"かじ")</f>
        <v>かじ</v>
      </c>
      <c r="M131" s="14" t="str">
        <f>IFERROR(__xludf.DUMMYFUNCTION("""COMPUTED_VALUE"""),"fire")</f>
        <v>fire</v>
      </c>
    </row>
    <row r="132">
      <c r="A132" s="40">
        <v>131.0</v>
      </c>
      <c r="B132" s="16" t="s">
        <v>506</v>
      </c>
      <c r="C132" s="17" t="s">
        <v>507</v>
      </c>
      <c r="D132" s="11" t="s">
        <v>508</v>
      </c>
      <c r="E132" s="18" t="s">
        <v>509</v>
      </c>
      <c r="F132" s="38"/>
      <c r="K132" s="14" t="str">
        <f>IFERROR(__xludf.DUMMYFUNCTION("""COMPUTED_VALUE"""),"格好")</f>
        <v>格好</v>
      </c>
      <c r="L132" s="14" t="str">
        <f>IFERROR(__xludf.DUMMYFUNCTION("""COMPUTED_VALUE"""),"かっこう")</f>
        <v>かっこう</v>
      </c>
      <c r="M132" s="14" t="str">
        <f>IFERROR(__xludf.DUMMYFUNCTION("""COMPUTED_VALUE"""),"appearance")</f>
        <v>appearance</v>
      </c>
    </row>
    <row r="133">
      <c r="A133" s="39">
        <v>132.0</v>
      </c>
      <c r="B133" s="16" t="s">
        <v>510</v>
      </c>
      <c r="C133" s="17" t="s">
        <v>511</v>
      </c>
      <c r="D133" s="11" t="s">
        <v>512</v>
      </c>
      <c r="E133" s="18" t="s">
        <v>513</v>
      </c>
      <c r="F133" s="32"/>
      <c r="K133" s="14" t="str">
        <f>IFERROR(__xludf.DUMMYFUNCTION("""COMPUTED_VALUE"""),"髪")</f>
        <v>髪</v>
      </c>
      <c r="L133" s="14" t="str">
        <f>IFERROR(__xludf.DUMMYFUNCTION("""COMPUTED_VALUE"""),"かみ")</f>
        <v>かみ</v>
      </c>
      <c r="M133" s="14" t="str">
        <f>IFERROR(__xludf.DUMMYFUNCTION("""COMPUTED_VALUE"""),"hair")</f>
        <v>hair</v>
      </c>
    </row>
    <row r="134">
      <c r="A134" s="40">
        <v>133.0</v>
      </c>
      <c r="B134" s="16" t="s">
        <v>514</v>
      </c>
      <c r="C134" s="17" t="s">
        <v>515</v>
      </c>
      <c r="D134" s="11" t="s">
        <v>516</v>
      </c>
      <c r="E134" s="18" t="s">
        <v>517</v>
      </c>
      <c r="F134" s="32"/>
      <c r="K134" s="14" t="str">
        <f>IFERROR(__xludf.DUMMYFUNCTION("""COMPUTED_VALUE"""),"家内")</f>
        <v>家内</v>
      </c>
      <c r="L134" s="14" t="str">
        <f>IFERROR(__xludf.DUMMYFUNCTION("""COMPUTED_VALUE"""),"かない")</f>
        <v>かない</v>
      </c>
      <c r="M134" s="14" t="str">
        <f>IFERROR(__xludf.DUMMYFUNCTION("""COMPUTED_VALUE"""),"(my) wife; inside the home")</f>
        <v>(my) wife; inside the home</v>
      </c>
    </row>
    <row r="135">
      <c r="A135" s="39">
        <v>134.0</v>
      </c>
      <c r="B135" s="16" t="s">
        <v>518</v>
      </c>
      <c r="C135" s="17" t="s">
        <v>519</v>
      </c>
      <c r="D135" s="11" t="s">
        <v>520</v>
      </c>
      <c r="E135" s="18" t="s">
        <v>521</v>
      </c>
      <c r="F135" s="38"/>
      <c r="K135" s="14" t="str">
        <f>IFERROR(__xludf.DUMMYFUNCTION("""COMPUTED_VALUE"""),"看護婦")</f>
        <v>看護婦</v>
      </c>
      <c r="L135" s="14" t="str">
        <f>IFERROR(__xludf.DUMMYFUNCTION("""COMPUTED_VALUE"""),"かんごふ")</f>
        <v>かんごふ</v>
      </c>
      <c r="M135" s="14" t="str">
        <f>IFERROR(__xludf.DUMMYFUNCTION("""COMPUTED_VALUE"""),"female nurse")</f>
        <v>female nurse</v>
      </c>
    </row>
    <row r="136">
      <c r="A136" s="40">
        <v>135.0</v>
      </c>
      <c r="B136" s="16" t="s">
        <v>522</v>
      </c>
      <c r="C136" s="17" t="s">
        <v>523</v>
      </c>
      <c r="D136" s="11" t="s">
        <v>524</v>
      </c>
      <c r="E136" s="18" t="s">
        <v>525</v>
      </c>
      <c r="F136" s="32"/>
      <c r="K136" s="14" t="str">
        <f>IFERROR(__xludf.DUMMYFUNCTION("""COMPUTED_VALUE"""),"関係")</f>
        <v>関係</v>
      </c>
      <c r="L136" s="14" t="str">
        <f>IFERROR(__xludf.DUMMYFUNCTION("""COMPUTED_VALUE"""),"かんけい")</f>
        <v>かんけい</v>
      </c>
      <c r="M136" s="14" t="str">
        <f>IFERROR(__xludf.DUMMYFUNCTION("""COMPUTED_VALUE"""),"relationship")</f>
        <v>relationship</v>
      </c>
    </row>
    <row r="137">
      <c r="A137" s="39">
        <v>136.0</v>
      </c>
      <c r="B137" s="16" t="s">
        <v>526</v>
      </c>
      <c r="C137" s="35" t="s">
        <v>527</v>
      </c>
      <c r="D137" s="11" t="s">
        <v>528</v>
      </c>
      <c r="E137" s="18" t="s">
        <v>529</v>
      </c>
      <c r="F137" s="32"/>
      <c r="K137" s="14" t="str">
        <f>IFERROR(__xludf.DUMMYFUNCTION("""COMPUTED_VALUE"""),"簡単")</f>
        <v>簡単</v>
      </c>
      <c r="L137" s="14" t="str">
        <f>IFERROR(__xludf.DUMMYFUNCTION("""COMPUTED_VALUE"""),"かんたん")</f>
        <v>かんたん</v>
      </c>
      <c r="M137" s="14" t="str">
        <f>IFERROR(__xludf.DUMMYFUNCTION("""COMPUTED_VALUE"""),"simple; easy")</f>
        <v>simple; easy</v>
      </c>
    </row>
    <row r="138">
      <c r="A138" s="40">
        <v>137.0</v>
      </c>
      <c r="B138" s="16" t="s">
        <v>530</v>
      </c>
      <c r="C138" s="17" t="s">
        <v>531</v>
      </c>
      <c r="D138" s="11" t="s">
        <v>532</v>
      </c>
      <c r="E138" s="18" t="s">
        <v>533</v>
      </c>
      <c r="F138" s="32"/>
      <c r="K138" s="14" t="str">
        <f>IFERROR(__xludf.DUMMYFUNCTION("""COMPUTED_VALUE"""),"形")</f>
        <v>形</v>
      </c>
      <c r="L138" s="14" t="str">
        <f>IFERROR(__xludf.DUMMYFUNCTION("""COMPUTED_VALUE"""),"かたち")</f>
        <v>かたち</v>
      </c>
      <c r="M138" s="14" t="str">
        <f>IFERROR(__xludf.DUMMYFUNCTION("""COMPUTED_VALUE"""),"shape")</f>
        <v>shape</v>
      </c>
    </row>
    <row r="139">
      <c r="A139" s="42">
        <v>138.0</v>
      </c>
      <c r="B139" s="24" t="s">
        <v>534</v>
      </c>
      <c r="C139" s="25" t="s">
        <v>535</v>
      </c>
      <c r="D139" s="26" t="s">
        <v>536</v>
      </c>
      <c r="E139" s="27" t="s">
        <v>537</v>
      </c>
      <c r="F139" s="28"/>
      <c r="K139" s="14" t="str">
        <f>IFERROR(__xludf.DUMMYFUNCTION("""COMPUTED_VALUE"""),"代わり")</f>
        <v>代わり</v>
      </c>
      <c r="L139" s="14" t="str">
        <f>IFERROR(__xludf.DUMMYFUNCTION("""COMPUTED_VALUE"""),"かわり")</f>
        <v>かわり</v>
      </c>
      <c r="M139" s="14" t="str">
        <f>IFERROR(__xludf.DUMMYFUNCTION("""COMPUTED_VALUE"""),"instead; in place")</f>
        <v>instead; in place</v>
      </c>
    </row>
    <row r="140">
      <c r="A140" s="40">
        <v>139.0</v>
      </c>
      <c r="B140" s="16" t="s">
        <v>538</v>
      </c>
      <c r="C140" s="17" t="s">
        <v>539</v>
      </c>
      <c r="D140" s="11" t="s">
        <v>540</v>
      </c>
      <c r="E140" s="18" t="s">
        <v>541</v>
      </c>
      <c r="F140" s="33"/>
      <c r="K140" s="14" t="str">
        <f>IFERROR(__xludf.DUMMYFUNCTION("""COMPUTED_VALUE"""),"毛")</f>
        <v>毛</v>
      </c>
      <c r="L140" s="14" t="str">
        <f>IFERROR(__xludf.DUMMYFUNCTION("""COMPUTED_VALUE"""),"け")</f>
        <v>け</v>
      </c>
      <c r="M140" s="14" t="str">
        <f>IFERROR(__xludf.DUMMYFUNCTION("""COMPUTED_VALUE"""),"hair or fur")</f>
        <v>hair or fur</v>
      </c>
    </row>
    <row r="141">
      <c r="A141" s="39">
        <v>140.0</v>
      </c>
      <c r="B141" s="16" t="s">
        <v>542</v>
      </c>
      <c r="C141" s="17"/>
      <c r="D141" s="11" t="s">
        <v>543</v>
      </c>
      <c r="E141" s="18" t="s">
        <v>544</v>
      </c>
      <c r="F141" s="33"/>
      <c r="K141" s="14" t="str">
        <f>IFERROR(__xludf.DUMMYFUNCTION("""COMPUTED_VALUE"""),"ケーキ")</f>
        <v>ケーキ</v>
      </c>
      <c r="L141" s="14"/>
      <c r="M141" s="14" t="str">
        <f>IFERROR(__xludf.DUMMYFUNCTION("""COMPUTED_VALUE"""),"cake")</f>
        <v>cake</v>
      </c>
    </row>
    <row r="142">
      <c r="A142" s="40">
        <v>141.0</v>
      </c>
      <c r="B142" s="16" t="s">
        <v>545</v>
      </c>
      <c r="C142" s="17" t="s">
        <v>546</v>
      </c>
      <c r="D142" s="11" t="s">
        <v>547</v>
      </c>
      <c r="E142" s="18" t="s">
        <v>548</v>
      </c>
      <c r="F142" s="19"/>
      <c r="K142" s="14" t="str">
        <f>IFERROR(__xludf.DUMMYFUNCTION("""COMPUTED_VALUE"""),"怪我")</f>
        <v>怪我</v>
      </c>
      <c r="L142" s="14" t="str">
        <f>IFERROR(__xludf.DUMMYFUNCTION("""COMPUTED_VALUE"""),"けが")</f>
        <v>けが</v>
      </c>
      <c r="M142" s="14" t="str">
        <f>IFERROR(__xludf.DUMMYFUNCTION("""COMPUTED_VALUE"""),"to injure")</f>
        <v>to injure</v>
      </c>
    </row>
    <row r="143">
      <c r="A143" s="39">
        <v>142.0</v>
      </c>
      <c r="B143" s="16" t="s">
        <v>549</v>
      </c>
      <c r="C143" s="17" t="s">
        <v>550</v>
      </c>
      <c r="D143" s="11" t="s">
        <v>551</v>
      </c>
      <c r="E143" s="18" t="s">
        <v>552</v>
      </c>
      <c r="F143" s="19"/>
      <c r="K143" s="14" t="str">
        <f>IFERROR(__xludf.DUMMYFUNCTION("""COMPUTED_VALUE"""),"計画")</f>
        <v>計画</v>
      </c>
      <c r="L143" s="14" t="str">
        <f>IFERROR(__xludf.DUMMYFUNCTION("""COMPUTED_VALUE"""),"けいかく")</f>
        <v>けいかく</v>
      </c>
      <c r="M143" s="14" t="str">
        <f>IFERROR(__xludf.DUMMYFUNCTION("""COMPUTED_VALUE"""),"to plan")</f>
        <v>to plan</v>
      </c>
    </row>
    <row r="144">
      <c r="A144" s="40">
        <v>143.0</v>
      </c>
      <c r="B144" s="16" t="s">
        <v>553</v>
      </c>
      <c r="C144" s="29" t="s">
        <v>554</v>
      </c>
      <c r="D144" s="11" t="s">
        <v>555</v>
      </c>
      <c r="E144" s="18" t="s">
        <v>556</v>
      </c>
      <c r="F144" s="19"/>
      <c r="K144" s="14" t="str">
        <f>IFERROR(__xludf.DUMMYFUNCTION("""COMPUTED_VALUE"""),"経験")</f>
        <v>経験</v>
      </c>
      <c r="L144" s="14" t="str">
        <f>IFERROR(__xludf.DUMMYFUNCTION("""COMPUTED_VALUE"""),"けいけん")</f>
        <v>けいけん</v>
      </c>
      <c r="M144" s="14" t="str">
        <f>IFERROR(__xludf.DUMMYFUNCTION("""COMPUTED_VALUE"""),"to experience")</f>
        <v>to experience</v>
      </c>
    </row>
    <row r="145">
      <c r="A145" s="39">
        <v>144.0</v>
      </c>
      <c r="B145" s="16" t="s">
        <v>557</v>
      </c>
      <c r="C145" s="17" t="s">
        <v>558</v>
      </c>
      <c r="D145" s="11" t="s">
        <v>559</v>
      </c>
      <c r="E145" s="18" t="s">
        <v>560</v>
      </c>
      <c r="F145" s="19"/>
      <c r="K145" s="14" t="str">
        <f>IFERROR(__xludf.DUMMYFUNCTION("""COMPUTED_VALUE"""),"警察")</f>
        <v>警察</v>
      </c>
      <c r="L145" s="14" t="str">
        <f>IFERROR(__xludf.DUMMYFUNCTION("""COMPUTED_VALUE"""),"けいさつ")</f>
        <v>けいさつ</v>
      </c>
      <c r="M145" s="14" t="str">
        <f>IFERROR(__xludf.DUMMYFUNCTION("""COMPUTED_VALUE"""),"police")</f>
        <v>police</v>
      </c>
    </row>
    <row r="146">
      <c r="A146" s="39">
        <v>145.0</v>
      </c>
      <c r="B146" s="16" t="s">
        <v>561</v>
      </c>
      <c r="C146" s="29" t="s">
        <v>562</v>
      </c>
      <c r="D146" s="11" t="s">
        <v>563</v>
      </c>
      <c r="E146" s="18" t="s">
        <v>564</v>
      </c>
      <c r="F146" s="19"/>
      <c r="K146" s="14" t="str">
        <f>IFERROR(__xludf.DUMMYFUNCTION("""COMPUTED_VALUE"""),"経済")</f>
        <v>経済</v>
      </c>
      <c r="L146" s="14" t="str">
        <f>IFERROR(__xludf.DUMMYFUNCTION("""COMPUTED_VALUE"""),"けいざい")</f>
        <v>けいざい</v>
      </c>
      <c r="M146" s="14" t="str">
        <f>IFERROR(__xludf.DUMMYFUNCTION("""COMPUTED_VALUE"""),"finance, economy")</f>
        <v>finance, economy</v>
      </c>
    </row>
    <row r="147">
      <c r="A147" s="40">
        <v>146.0</v>
      </c>
      <c r="B147" s="16" t="s">
        <v>565</v>
      </c>
      <c r="C147" s="17" t="s">
        <v>566</v>
      </c>
      <c r="D147" s="11" t="s">
        <v>567</v>
      </c>
      <c r="E147" s="18" t="s">
        <v>568</v>
      </c>
      <c r="F147" s="19"/>
      <c r="K147" s="14" t="str">
        <f>IFERROR(__xludf.DUMMYFUNCTION("""COMPUTED_VALUE"""),"見物")</f>
        <v>見物</v>
      </c>
      <c r="L147" s="14" t="str">
        <f>IFERROR(__xludf.DUMMYFUNCTION("""COMPUTED_VALUE"""),"けんぶつ")</f>
        <v>けんぶつ</v>
      </c>
      <c r="M147" s="14" t="str">
        <f>IFERROR(__xludf.DUMMYFUNCTION("""COMPUTED_VALUE"""),"sightseeing; visit")</f>
        <v>sightseeing; visit</v>
      </c>
    </row>
    <row r="148">
      <c r="A148" s="39">
        <v>147.0</v>
      </c>
      <c r="B148" s="16" t="s">
        <v>569</v>
      </c>
      <c r="C148" s="29" t="s">
        <v>570</v>
      </c>
      <c r="D148" s="11" t="s">
        <v>571</v>
      </c>
      <c r="E148" s="18" t="s">
        <v>572</v>
      </c>
      <c r="F148" s="19"/>
      <c r="K148" s="14" t="str">
        <f>IFERROR(__xludf.DUMMYFUNCTION("""COMPUTED_VALUE"""),"喧嘩")</f>
        <v>喧嘩</v>
      </c>
      <c r="L148" s="14" t="str">
        <f>IFERROR(__xludf.DUMMYFUNCTION("""COMPUTED_VALUE"""),"けんか")</f>
        <v>けんか</v>
      </c>
      <c r="M148" s="14" t="str">
        <f>IFERROR(__xludf.DUMMYFUNCTION("""COMPUTED_VALUE"""),"to quarrel")</f>
        <v>to quarrel</v>
      </c>
    </row>
    <row r="149">
      <c r="A149" s="40">
        <v>148.0</v>
      </c>
      <c r="B149" s="16" t="s">
        <v>573</v>
      </c>
      <c r="C149" s="29" t="s">
        <v>574</v>
      </c>
      <c r="D149" s="11" t="s">
        <v>575</v>
      </c>
      <c r="E149" s="18" t="s">
        <v>576</v>
      </c>
      <c r="F149" s="19"/>
      <c r="K149" s="14" t="str">
        <f>IFERROR(__xludf.DUMMYFUNCTION("""COMPUTED_VALUE"""),"研究")</f>
        <v>研究</v>
      </c>
      <c r="L149" s="14" t="str">
        <f>IFERROR(__xludf.DUMMYFUNCTION("""COMPUTED_VALUE"""),"けんきゅう")</f>
        <v>けんきゅう</v>
      </c>
      <c r="M149" s="14" t="str">
        <f>IFERROR(__xludf.DUMMYFUNCTION("""COMPUTED_VALUE"""),"research")</f>
        <v>research</v>
      </c>
    </row>
    <row r="150">
      <c r="A150" s="39">
        <v>149.0</v>
      </c>
      <c r="B150" s="16" t="s">
        <v>577</v>
      </c>
      <c r="C150" s="17" t="s">
        <v>578</v>
      </c>
      <c r="D150" s="11" t="s">
        <v>579</v>
      </c>
      <c r="E150" s="18" t="s">
        <v>580</v>
      </c>
      <c r="F150" s="19"/>
      <c r="K150" s="14" t="str">
        <f>IFERROR(__xludf.DUMMYFUNCTION("""COMPUTED_VALUE"""),"研究室")</f>
        <v>研究室</v>
      </c>
      <c r="L150" s="14" t="str">
        <f>IFERROR(__xludf.DUMMYFUNCTION("""COMPUTED_VALUE"""),"けんきゅうしつ")</f>
        <v>けんきゅうしつ</v>
      </c>
      <c r="M150" s="14" t="str">
        <f>IFERROR(__xludf.DUMMYFUNCTION("""COMPUTED_VALUE"""),"laboratory")</f>
        <v>laboratory</v>
      </c>
    </row>
    <row r="151">
      <c r="A151" s="40">
        <v>150.0</v>
      </c>
      <c r="B151" s="16" t="s">
        <v>581</v>
      </c>
      <c r="C151" s="17" t="s">
        <v>582</v>
      </c>
      <c r="D151" s="11" t="s">
        <v>583</v>
      </c>
      <c r="E151" s="18" t="s">
        <v>584</v>
      </c>
      <c r="F151" s="19"/>
      <c r="K151" s="14" t="str">
        <f>IFERROR(__xludf.DUMMYFUNCTION("""COMPUTED_VALUE"""),"消しゴム")</f>
        <v>消しゴム</v>
      </c>
      <c r="L151" s="14" t="str">
        <f>IFERROR(__xludf.DUMMYFUNCTION("""COMPUTED_VALUE"""),"けしごむ")</f>
        <v>けしごむ</v>
      </c>
      <c r="M151" s="14" t="str">
        <f>IFERROR(__xludf.DUMMYFUNCTION("""COMPUTED_VALUE"""),"eraser")</f>
        <v>eraser</v>
      </c>
    </row>
    <row r="152">
      <c r="A152" s="39">
        <v>151.0</v>
      </c>
      <c r="B152" s="16" t="s">
        <v>585</v>
      </c>
      <c r="C152" s="17" t="s">
        <v>586</v>
      </c>
      <c r="D152" s="11" t="s">
        <v>587</v>
      </c>
      <c r="E152" s="18" t="s">
        <v>588</v>
      </c>
      <c r="F152" s="19"/>
      <c r="K152" s="14" t="str">
        <f>IFERROR(__xludf.DUMMYFUNCTION("""COMPUTED_VALUE"""),"景色")</f>
        <v>景色</v>
      </c>
      <c r="L152" s="14" t="str">
        <f>IFERROR(__xludf.DUMMYFUNCTION("""COMPUTED_VALUE"""),"けしき")</f>
        <v>けしき</v>
      </c>
      <c r="M152" s="14" t="str">
        <f>IFERROR(__xludf.DUMMYFUNCTION("""COMPUTED_VALUE"""),"scenery")</f>
        <v>scenery</v>
      </c>
    </row>
    <row r="153">
      <c r="A153" s="40">
        <v>152.0</v>
      </c>
      <c r="B153" s="16" t="s">
        <v>589</v>
      </c>
      <c r="C153" s="17" t="s">
        <v>590</v>
      </c>
      <c r="D153" s="11" t="s">
        <v>591</v>
      </c>
      <c r="E153" s="18" t="s">
        <v>592</v>
      </c>
      <c r="F153" s="19"/>
      <c r="K153" s="14" t="str">
        <f>IFERROR(__xludf.DUMMYFUNCTION("""COMPUTED_VALUE"""),"気")</f>
        <v>気</v>
      </c>
      <c r="L153" s="14" t="str">
        <f>IFERROR(__xludf.DUMMYFUNCTION("""COMPUTED_VALUE"""),"き")</f>
        <v>き</v>
      </c>
      <c r="M153" s="14" t="str">
        <f>IFERROR(__xludf.DUMMYFUNCTION("""COMPUTED_VALUE"""),"spirit")</f>
        <v>spirit</v>
      </c>
    </row>
    <row r="154">
      <c r="A154" s="41">
        <v>153.0</v>
      </c>
      <c r="B154" s="24" t="s">
        <v>593</v>
      </c>
      <c r="C154" s="25" t="s">
        <v>594</v>
      </c>
      <c r="D154" s="26" t="s">
        <v>595</v>
      </c>
      <c r="E154" s="27" t="s">
        <v>596</v>
      </c>
      <c r="F154" s="31"/>
      <c r="K154" s="14" t="str">
        <f>IFERROR(__xludf.DUMMYFUNCTION("""COMPUTED_VALUE"""),"気分")</f>
        <v>気分</v>
      </c>
      <c r="L154" s="14" t="str">
        <f>IFERROR(__xludf.DUMMYFUNCTION("""COMPUTED_VALUE"""),"きぶん")</f>
        <v>きぶん</v>
      </c>
      <c r="M154" s="14" t="str">
        <f>IFERROR(__xludf.DUMMYFUNCTION("""COMPUTED_VALUE"""),"feeling; mood")</f>
        <v>feeling; mood</v>
      </c>
    </row>
    <row r="155">
      <c r="A155" s="39">
        <v>154.0</v>
      </c>
      <c r="B155" s="16" t="s">
        <v>597</v>
      </c>
      <c r="C155" s="17" t="s">
        <v>598</v>
      </c>
      <c r="D155" s="11" t="s">
        <v>599</v>
      </c>
      <c r="E155" s="18" t="s">
        <v>600</v>
      </c>
      <c r="F155" s="32"/>
      <c r="K155" s="14" t="str">
        <f>IFERROR(__xludf.DUMMYFUNCTION("""COMPUTED_VALUE"""),"機会")</f>
        <v>機会</v>
      </c>
      <c r="L155" s="14" t="str">
        <f>IFERROR(__xludf.DUMMYFUNCTION("""COMPUTED_VALUE"""),"きかい")</f>
        <v>きかい</v>
      </c>
      <c r="M155" s="14" t="str">
        <f>IFERROR(__xludf.DUMMYFUNCTION("""COMPUTED_VALUE"""),"chance; opportunity")</f>
        <v>chance; opportunity</v>
      </c>
    </row>
    <row r="156">
      <c r="A156" s="41">
        <v>155.0</v>
      </c>
      <c r="B156" s="24" t="s">
        <v>601</v>
      </c>
      <c r="C156" s="25" t="s">
        <v>602</v>
      </c>
      <c r="D156" s="26" t="s">
        <v>603</v>
      </c>
      <c r="E156" s="27" t="s">
        <v>604</v>
      </c>
      <c r="F156" s="28"/>
      <c r="K156" s="14" t="str">
        <f>IFERROR(__xludf.DUMMYFUNCTION("""COMPUTED_VALUE"""),"危険")</f>
        <v>危険</v>
      </c>
      <c r="L156" s="14" t="str">
        <f>IFERROR(__xludf.DUMMYFUNCTION("""COMPUTED_VALUE"""),"きけん")</f>
        <v>きけん</v>
      </c>
      <c r="M156" s="14" t="str">
        <f>IFERROR(__xludf.DUMMYFUNCTION("""COMPUTED_VALUE"""),"danger")</f>
        <v>danger</v>
      </c>
    </row>
    <row r="157">
      <c r="A157" s="39">
        <v>156.0</v>
      </c>
      <c r="B157" s="16" t="s">
        <v>605</v>
      </c>
      <c r="C157" s="17" t="s">
        <v>606</v>
      </c>
      <c r="D157" s="11" t="s">
        <v>607</v>
      </c>
      <c r="E157" s="18" t="s">
        <v>608</v>
      </c>
      <c r="F157" s="19"/>
      <c r="K157" s="14" t="str">
        <f>IFERROR(__xludf.DUMMYFUNCTION("""COMPUTED_VALUE"""),"気持ち")</f>
        <v>気持ち</v>
      </c>
      <c r="L157" s="14" t="str">
        <f>IFERROR(__xludf.DUMMYFUNCTION("""COMPUTED_VALUE"""),"きもち")</f>
        <v>きもち</v>
      </c>
      <c r="M157" s="14" t="str">
        <f>IFERROR(__xludf.DUMMYFUNCTION("""COMPUTED_VALUE"""),"feeling")</f>
        <v>feeling</v>
      </c>
    </row>
    <row r="158">
      <c r="A158" s="40">
        <v>157.0</v>
      </c>
      <c r="B158" s="16" t="s">
        <v>609</v>
      </c>
      <c r="C158" s="17" t="s">
        <v>610</v>
      </c>
      <c r="D158" s="11" t="s">
        <v>611</v>
      </c>
      <c r="E158" s="18" t="s">
        <v>612</v>
      </c>
      <c r="F158" s="33"/>
      <c r="K158" s="14" t="str">
        <f>IFERROR(__xludf.DUMMYFUNCTION("""COMPUTED_VALUE"""),"着物")</f>
        <v>着物</v>
      </c>
      <c r="L158" s="14" t="str">
        <f>IFERROR(__xludf.DUMMYFUNCTION("""COMPUTED_VALUE"""),"きもの")</f>
        <v>きもの</v>
      </c>
      <c r="M158" s="14" t="str">
        <f>IFERROR(__xludf.DUMMYFUNCTION("""COMPUTED_VALUE"""),"kimono; traditional clothing")</f>
        <v>kimono; traditional clothing</v>
      </c>
    </row>
    <row r="159">
      <c r="A159" s="39">
        <v>158.0</v>
      </c>
      <c r="B159" s="16" t="s">
        <v>613</v>
      </c>
      <c r="C159" s="17" t="s">
        <v>614</v>
      </c>
      <c r="D159" s="11" t="s">
        <v>615</v>
      </c>
      <c r="E159" s="18" t="s">
        <v>616</v>
      </c>
      <c r="F159" s="33"/>
      <c r="K159" s="14" t="str">
        <f>IFERROR(__xludf.DUMMYFUNCTION("""COMPUTED_VALUE"""),"近所")</f>
        <v>近所</v>
      </c>
      <c r="L159" s="14" t="str">
        <f>IFERROR(__xludf.DUMMYFUNCTION("""COMPUTED_VALUE"""),"きんじょ")</f>
        <v>きんじょ</v>
      </c>
      <c r="M159" s="14" t="str">
        <f>IFERROR(__xludf.DUMMYFUNCTION("""COMPUTED_VALUE"""),"neighbourhood")</f>
        <v>neighbourhood</v>
      </c>
    </row>
    <row r="160">
      <c r="A160" s="40">
        <v>159.0</v>
      </c>
      <c r="B160" s="16" t="s">
        <v>617</v>
      </c>
      <c r="C160" s="17" t="s">
        <v>618</v>
      </c>
      <c r="D160" s="11" t="s">
        <v>619</v>
      </c>
      <c r="E160" s="18" t="s">
        <v>620</v>
      </c>
      <c r="F160" s="33"/>
      <c r="K160" s="14" t="str">
        <f>IFERROR(__xludf.DUMMYFUNCTION("""COMPUTED_VALUE"""),"絹")</f>
        <v>絹</v>
      </c>
      <c r="L160" s="14" t="str">
        <f>IFERROR(__xludf.DUMMYFUNCTION("""COMPUTED_VALUE"""),"きぬ")</f>
        <v>きぬ</v>
      </c>
      <c r="M160" s="14" t="str">
        <f>IFERROR(__xludf.DUMMYFUNCTION("""COMPUTED_VALUE"""),"silk")</f>
        <v>silk</v>
      </c>
    </row>
    <row r="161">
      <c r="A161" s="39">
        <v>160.0</v>
      </c>
      <c r="B161" s="16" t="s">
        <v>621</v>
      </c>
      <c r="C161" s="17" t="s">
        <v>622</v>
      </c>
      <c r="D161" s="11" t="s">
        <v>623</v>
      </c>
      <c r="E161" s="18" t="s">
        <v>624</v>
      </c>
      <c r="F161" s="33"/>
      <c r="K161" s="14" t="str">
        <f>IFERROR(__xludf.DUMMYFUNCTION("""COMPUTED_VALUE"""),"季節")</f>
        <v>季節</v>
      </c>
      <c r="L161" s="14" t="str">
        <f>IFERROR(__xludf.DUMMYFUNCTION("""COMPUTED_VALUE"""),"きせつ")</f>
        <v>きせつ</v>
      </c>
      <c r="M161" s="14" t="str">
        <f>IFERROR(__xludf.DUMMYFUNCTION("""COMPUTED_VALUE"""),"season")</f>
        <v>season</v>
      </c>
    </row>
    <row r="162">
      <c r="A162" s="40">
        <v>161.0</v>
      </c>
      <c r="B162" s="16" t="s">
        <v>625</v>
      </c>
      <c r="C162" s="17" t="s">
        <v>626</v>
      </c>
      <c r="D162" s="11" t="s">
        <v>627</v>
      </c>
      <c r="E162" s="18" t="s">
        <v>628</v>
      </c>
      <c r="F162" s="19"/>
      <c r="K162" s="14" t="str">
        <f>IFERROR(__xludf.DUMMYFUNCTION("""COMPUTED_VALUE"""),"汽車")</f>
        <v>汽車</v>
      </c>
      <c r="L162" s="14" t="str">
        <f>IFERROR(__xludf.DUMMYFUNCTION("""COMPUTED_VALUE"""),"きしゃ")</f>
        <v>きしゃ</v>
      </c>
      <c r="M162" s="14" t="str">
        <f>IFERROR(__xludf.DUMMYFUNCTION("""COMPUTED_VALUE"""),"train")</f>
        <v>train</v>
      </c>
    </row>
    <row r="163">
      <c r="A163" s="39">
        <v>162.0</v>
      </c>
      <c r="B163" s="16" t="s">
        <v>629</v>
      </c>
      <c r="C163" s="17" t="s">
        <v>630</v>
      </c>
      <c r="D163" s="11" t="s">
        <v>631</v>
      </c>
      <c r="E163" s="18" t="s">
        <v>632</v>
      </c>
      <c r="F163" s="19"/>
      <c r="K163" s="14" t="str">
        <f>IFERROR(__xludf.DUMMYFUNCTION("""COMPUTED_VALUE"""),"規則")</f>
        <v>規則</v>
      </c>
      <c r="L163" s="14" t="str">
        <f>IFERROR(__xludf.DUMMYFUNCTION("""COMPUTED_VALUE"""),"きそく")</f>
        <v>きそく</v>
      </c>
      <c r="M163" s="14" t="str">
        <f>IFERROR(__xludf.DUMMYFUNCTION("""COMPUTED_VALUE"""),"rule")</f>
        <v>rule</v>
      </c>
    </row>
    <row r="164">
      <c r="A164" s="40">
        <v>163.0</v>
      </c>
      <c r="B164" s="16" t="s">
        <v>633</v>
      </c>
      <c r="C164" s="17" t="s">
        <v>634</v>
      </c>
      <c r="D164" s="11" t="s">
        <v>635</v>
      </c>
      <c r="E164" s="18" t="s">
        <v>636</v>
      </c>
      <c r="F164" s="19"/>
      <c r="K164" s="14" t="str">
        <f>IFERROR(__xludf.DUMMYFUNCTION("""COMPUTED_VALUE"""),"子")</f>
        <v>子</v>
      </c>
      <c r="L164" s="14" t="str">
        <f>IFERROR(__xludf.DUMMYFUNCTION("""COMPUTED_VALUE"""),"こ")</f>
        <v>こ</v>
      </c>
      <c r="M164" s="14" t="str">
        <f>IFERROR(__xludf.DUMMYFUNCTION("""COMPUTED_VALUE"""),"child")</f>
        <v>child</v>
      </c>
    </row>
    <row r="165">
      <c r="A165" s="39">
        <v>164.0</v>
      </c>
      <c r="B165" s="16" t="s">
        <v>637</v>
      </c>
      <c r="C165" s="17" t="s">
        <v>638</v>
      </c>
      <c r="D165" s="11" t="s">
        <v>639</v>
      </c>
      <c r="E165" s="18" t="s">
        <v>640</v>
      </c>
      <c r="F165" s="33"/>
      <c r="K165" s="14" t="str">
        <f>IFERROR(__xludf.DUMMYFUNCTION("""COMPUTED_VALUE"""),"心")</f>
        <v>心</v>
      </c>
      <c r="L165" s="14" t="str">
        <f>IFERROR(__xludf.DUMMYFUNCTION("""COMPUTED_VALUE"""),"こころ")</f>
        <v>こころ</v>
      </c>
      <c r="M165" s="14" t="str">
        <f>IFERROR(__xludf.DUMMYFUNCTION("""COMPUTED_VALUE"""),"heart")</f>
        <v>heart</v>
      </c>
    </row>
    <row r="166">
      <c r="A166" s="40">
        <v>165.0</v>
      </c>
      <c r="B166" s="16" t="s">
        <v>641</v>
      </c>
      <c r="C166" s="17" t="s">
        <v>642</v>
      </c>
      <c r="D166" s="11" t="s">
        <v>643</v>
      </c>
      <c r="E166" s="18" t="s">
        <v>644</v>
      </c>
      <c r="F166" s="19"/>
      <c r="K166" s="14" t="str">
        <f>IFERROR(__xludf.DUMMYFUNCTION("""COMPUTED_VALUE"""),"国際")</f>
        <v>国際</v>
      </c>
      <c r="L166" s="14" t="str">
        <f>IFERROR(__xludf.DUMMYFUNCTION("""COMPUTED_VALUE"""),"こくさい")</f>
        <v>こくさい</v>
      </c>
      <c r="M166" s="14" t="str">
        <f>IFERROR(__xludf.DUMMYFUNCTION("""COMPUTED_VALUE"""),"international")</f>
        <v>international</v>
      </c>
    </row>
    <row r="167">
      <c r="A167" s="39">
        <v>166.0</v>
      </c>
      <c r="B167" s="16" t="s">
        <v>645</v>
      </c>
      <c r="C167" s="29" t="s">
        <v>646</v>
      </c>
      <c r="D167" s="11" t="s">
        <v>647</v>
      </c>
      <c r="E167" s="18" t="s">
        <v>648</v>
      </c>
      <c r="F167" s="19"/>
      <c r="K167" s="14" t="str">
        <f>IFERROR(__xludf.DUMMYFUNCTION("""COMPUTED_VALUE"""),"米")</f>
        <v>米</v>
      </c>
      <c r="L167" s="14" t="str">
        <f>IFERROR(__xludf.DUMMYFUNCTION("""COMPUTED_VALUE"""),"こめ")</f>
        <v>こめ</v>
      </c>
      <c r="M167" s="14" t="str">
        <f>IFERROR(__xludf.DUMMYFUNCTION("""COMPUTED_VALUE"""),"rice")</f>
        <v>rice</v>
      </c>
    </row>
    <row r="168">
      <c r="A168" s="40">
        <v>167.0</v>
      </c>
      <c r="B168" s="16" t="s">
        <v>649</v>
      </c>
      <c r="C168" s="29" t="s">
        <v>650</v>
      </c>
      <c r="D168" s="11" t="s">
        <v>651</v>
      </c>
      <c r="E168" s="18" t="s">
        <v>652</v>
      </c>
      <c r="F168" s="19"/>
      <c r="K168" s="14" t="str">
        <f>IFERROR(__xludf.DUMMYFUNCTION("""COMPUTED_VALUE"""),"今度")</f>
        <v>今度</v>
      </c>
      <c r="L168" s="14" t="str">
        <f>IFERROR(__xludf.DUMMYFUNCTION("""COMPUTED_VALUE"""),"こんど")</f>
        <v>こんど</v>
      </c>
      <c r="M168" s="14" t="str">
        <f>IFERROR(__xludf.DUMMYFUNCTION("""COMPUTED_VALUE"""),"this time; next time")</f>
        <v>this time; next time</v>
      </c>
    </row>
    <row r="169">
      <c r="A169" s="39">
        <v>168.0</v>
      </c>
      <c r="B169" s="16" t="s">
        <v>653</v>
      </c>
      <c r="C169" s="17" t="s">
        <v>654</v>
      </c>
      <c r="D169" s="11" t="s">
        <v>655</v>
      </c>
      <c r="E169" s="18" t="s">
        <v>656</v>
      </c>
      <c r="F169" s="33"/>
      <c r="K169" s="14" t="str">
        <f>IFERROR(__xludf.DUMMYFUNCTION("""COMPUTED_VALUE"""),"この間")</f>
        <v>この間</v>
      </c>
      <c r="L169" s="14" t="str">
        <f>IFERROR(__xludf.DUMMYFUNCTION("""COMPUTED_VALUE"""),"このあいだ")</f>
        <v>このあいだ</v>
      </c>
      <c r="M169" s="14" t="str">
        <f>IFERROR(__xludf.DUMMYFUNCTION("""COMPUTED_VALUE"""),"the other day; recently")</f>
        <v>the other day; recently</v>
      </c>
    </row>
    <row r="170">
      <c r="A170" s="39">
        <v>169.0</v>
      </c>
      <c r="B170" s="16" t="s">
        <v>657</v>
      </c>
      <c r="C170" s="17"/>
      <c r="D170" s="11" t="s">
        <v>658</v>
      </c>
      <c r="E170" s="18" t="s">
        <v>659</v>
      </c>
      <c r="F170" s="19"/>
      <c r="K170" s="14" t="str">
        <f>IFERROR(__xludf.DUMMYFUNCTION("""COMPUTED_VALUE"""),"このごろ")</f>
        <v>このごろ</v>
      </c>
      <c r="L170" s="14"/>
      <c r="M170" s="14" t="str">
        <f>IFERROR(__xludf.DUMMYFUNCTION("""COMPUTED_VALUE"""),"these days; nowadays")</f>
        <v>these days; nowadays</v>
      </c>
    </row>
    <row r="171">
      <c r="A171" s="40">
        <v>170.0</v>
      </c>
      <c r="B171" s="16" t="s">
        <v>660</v>
      </c>
      <c r="C171" s="22"/>
      <c r="D171" s="11" t="s">
        <v>661</v>
      </c>
      <c r="E171" s="18" t="s">
        <v>662</v>
      </c>
      <c r="F171" s="19"/>
      <c r="K171" s="14" t="str">
        <f>IFERROR(__xludf.DUMMYFUNCTION("""COMPUTED_VALUE"""),"コンピュータ")</f>
        <v>コンピュータ</v>
      </c>
      <c r="L171" s="14"/>
      <c r="M171" s="14" t="str">
        <f>IFERROR(__xludf.DUMMYFUNCTION("""COMPUTED_VALUE"""),"computer")</f>
        <v>computer</v>
      </c>
    </row>
    <row r="172">
      <c r="A172" s="39">
        <v>171.0</v>
      </c>
      <c r="B172" s="16" t="s">
        <v>663</v>
      </c>
      <c r="C172" s="22"/>
      <c r="D172" s="11" t="s">
        <v>664</v>
      </c>
      <c r="E172" s="18" t="s">
        <v>665</v>
      </c>
      <c r="F172" s="19"/>
      <c r="K172" s="14" t="str">
        <f>IFERROR(__xludf.DUMMYFUNCTION("""COMPUTED_VALUE"""),"コンサート")</f>
        <v>コンサート</v>
      </c>
      <c r="L172" s="14"/>
      <c r="M172" s="14" t="str">
        <f>IFERROR(__xludf.DUMMYFUNCTION("""COMPUTED_VALUE"""),"concert")</f>
        <v>concert</v>
      </c>
    </row>
    <row r="173">
      <c r="A173" s="41">
        <v>172.0</v>
      </c>
      <c r="B173" s="24" t="s">
        <v>666</v>
      </c>
      <c r="C173" s="25" t="s">
        <v>667</v>
      </c>
      <c r="D173" s="26" t="s">
        <v>668</v>
      </c>
      <c r="E173" s="27" t="s">
        <v>669</v>
      </c>
      <c r="F173" s="28"/>
      <c r="K173" s="14" t="str">
        <f>IFERROR(__xludf.DUMMYFUNCTION("""COMPUTED_VALUE"""),"今夜")</f>
        <v>今夜</v>
      </c>
      <c r="L173" s="14" t="str">
        <f>IFERROR(__xludf.DUMMYFUNCTION("""COMPUTED_VALUE"""),"こんや")</f>
        <v>こんや</v>
      </c>
      <c r="M173" s="14" t="str">
        <f>IFERROR(__xludf.DUMMYFUNCTION("""COMPUTED_VALUE"""),"this evening; tonigh")</f>
        <v>this evening; tonigh</v>
      </c>
    </row>
    <row r="174">
      <c r="A174" s="39">
        <v>173.0</v>
      </c>
      <c r="B174" s="16" t="s">
        <v>670</v>
      </c>
      <c r="C174" s="17" t="s">
        <v>671</v>
      </c>
      <c r="D174" s="11" t="s">
        <v>672</v>
      </c>
      <c r="E174" s="18" t="s">
        <v>673</v>
      </c>
      <c r="F174" s="19"/>
      <c r="K174" s="14" t="str">
        <f>IFERROR(__xludf.DUMMYFUNCTION("""COMPUTED_VALUE"""),"故障")</f>
        <v>故障</v>
      </c>
      <c r="L174" s="14" t="str">
        <f>IFERROR(__xludf.DUMMYFUNCTION("""COMPUTED_VALUE"""),"こしょう")</f>
        <v>こしょう</v>
      </c>
      <c r="M174" s="14" t="str">
        <f>IFERROR(__xludf.DUMMYFUNCTION("""COMPUTED_VALUE"""),"to break-down")</f>
        <v>to break-down</v>
      </c>
    </row>
    <row r="175">
      <c r="A175" s="40">
        <v>174.0</v>
      </c>
      <c r="B175" s="16" t="s">
        <v>674</v>
      </c>
      <c r="C175" s="17" t="s">
        <v>675</v>
      </c>
      <c r="D175" s="11" t="s">
        <v>676</v>
      </c>
      <c r="E175" s="18" t="s">
        <v>677</v>
      </c>
      <c r="F175" s="19"/>
      <c r="K175" s="14" t="str">
        <f>IFERROR(__xludf.DUMMYFUNCTION("""COMPUTED_VALUE"""),"答え")</f>
        <v>答え</v>
      </c>
      <c r="L175" s="14" t="str">
        <f>IFERROR(__xludf.DUMMYFUNCTION("""COMPUTED_VALUE"""),"こたえ")</f>
        <v>こたえ</v>
      </c>
      <c r="M175" s="14" t="str">
        <f>IFERROR(__xludf.DUMMYFUNCTION("""COMPUTED_VALUE"""),"response")</f>
        <v>response</v>
      </c>
    </row>
    <row r="176">
      <c r="A176" s="39">
        <v>175.0</v>
      </c>
      <c r="B176" s="16" t="s">
        <v>678</v>
      </c>
      <c r="C176" s="17" t="s">
        <v>679</v>
      </c>
      <c r="D176" s="11" t="s">
        <v>680</v>
      </c>
      <c r="E176" s="18" t="s">
        <v>681</v>
      </c>
      <c r="F176" s="19"/>
      <c r="K176" s="14" t="str">
        <f>IFERROR(__xludf.DUMMYFUNCTION("""COMPUTED_VALUE"""),"小鳥")</f>
        <v>小鳥</v>
      </c>
      <c r="L176" s="14" t="str">
        <f>IFERROR(__xludf.DUMMYFUNCTION("""COMPUTED_VALUE"""),"ことり")</f>
        <v>ことり</v>
      </c>
      <c r="M176" s="14" t="str">
        <f>IFERROR(__xludf.DUMMYFUNCTION("""COMPUTED_VALUE"""),"small bird")</f>
        <v>small bird</v>
      </c>
    </row>
    <row r="177">
      <c r="A177" s="40">
        <v>176.0</v>
      </c>
      <c r="B177" s="16" t="s">
        <v>682</v>
      </c>
      <c r="C177" s="17" t="s">
        <v>683</v>
      </c>
      <c r="D177" s="11" t="s">
        <v>684</v>
      </c>
      <c r="E177" s="18" t="s">
        <v>685</v>
      </c>
      <c r="F177" s="19"/>
      <c r="K177" s="14" t="str">
        <f>IFERROR(__xludf.DUMMYFUNCTION("""COMPUTED_VALUE"""),"校長")</f>
        <v>校長</v>
      </c>
      <c r="L177" s="14" t="str">
        <f>IFERROR(__xludf.DUMMYFUNCTION("""COMPUTED_VALUE"""),"こうちょう")</f>
        <v>こうちょう</v>
      </c>
      <c r="M177" s="14" t="str">
        <f>IFERROR(__xludf.DUMMYFUNCTION("""COMPUTED_VALUE"""),"principal; headmaster")</f>
        <v>principal; headmaster</v>
      </c>
    </row>
    <row r="178">
      <c r="A178" s="39">
        <v>177.0</v>
      </c>
      <c r="B178" s="16" t="s">
        <v>686</v>
      </c>
      <c r="C178" s="17" t="s">
        <v>687</v>
      </c>
      <c r="D178" s="11" t="s">
        <v>688</v>
      </c>
      <c r="E178" s="18" t="s">
        <v>689</v>
      </c>
      <c r="F178" s="19"/>
      <c r="K178" s="14" t="str">
        <f>IFERROR(__xludf.DUMMYFUNCTION("""COMPUTED_VALUE"""),"講堂")</f>
        <v>講堂</v>
      </c>
      <c r="L178" s="14" t="str">
        <f>IFERROR(__xludf.DUMMYFUNCTION("""COMPUTED_VALUE"""),"こうどう")</f>
        <v>こうどう</v>
      </c>
      <c r="M178" s="14" t="str">
        <f>IFERROR(__xludf.DUMMYFUNCTION("""COMPUTED_VALUE"""),"auditorium")</f>
        <v>auditorium</v>
      </c>
    </row>
    <row r="179">
      <c r="A179" s="40">
        <v>178.0</v>
      </c>
      <c r="B179" s="16" t="s">
        <v>690</v>
      </c>
      <c r="C179" s="17" t="s">
        <v>691</v>
      </c>
      <c r="D179" s="11" t="s">
        <v>692</v>
      </c>
      <c r="E179" s="18" t="s">
        <v>693</v>
      </c>
      <c r="F179" s="19"/>
      <c r="K179" s="14" t="str">
        <f>IFERROR(__xludf.DUMMYFUNCTION("""COMPUTED_VALUE"""),"郊外")</f>
        <v>郊外</v>
      </c>
      <c r="L179" s="14" t="str">
        <f>IFERROR(__xludf.DUMMYFUNCTION("""COMPUTED_VALUE"""),"こうがい")</f>
        <v>こうがい</v>
      </c>
      <c r="M179" s="14" t="str">
        <f>IFERROR(__xludf.DUMMYFUNCTION("""COMPUTED_VALUE"""),"suburb; residential area")</f>
        <v>suburb; residential area</v>
      </c>
    </row>
    <row r="180">
      <c r="A180" s="41">
        <v>179.0</v>
      </c>
      <c r="B180" s="24" t="s">
        <v>694</v>
      </c>
      <c r="C180" s="43" t="s">
        <v>695</v>
      </c>
      <c r="D180" s="26" t="s">
        <v>696</v>
      </c>
      <c r="E180" s="27" t="s">
        <v>697</v>
      </c>
      <c r="F180" s="31"/>
      <c r="K180" s="14" t="str">
        <f>IFERROR(__xludf.DUMMYFUNCTION("""COMPUTED_VALUE"""),"講義")</f>
        <v>講義</v>
      </c>
      <c r="L180" s="14" t="str">
        <f>IFERROR(__xludf.DUMMYFUNCTION("""COMPUTED_VALUE"""),"こうぎ")</f>
        <v>こうぎ</v>
      </c>
      <c r="M180" s="14" t="str">
        <f>IFERROR(__xludf.DUMMYFUNCTION("""COMPUTED_VALUE"""),"lecture")</f>
        <v>lecture</v>
      </c>
    </row>
    <row r="181">
      <c r="A181" s="39">
        <v>180.0</v>
      </c>
      <c r="B181" s="16" t="s">
        <v>698</v>
      </c>
      <c r="C181" s="35" t="s">
        <v>699</v>
      </c>
      <c r="D181" s="11" t="s">
        <v>700</v>
      </c>
      <c r="E181" s="18" t="s">
        <v>701</v>
      </c>
      <c r="F181" s="32"/>
      <c r="K181" s="14" t="str">
        <f>IFERROR(__xludf.DUMMYFUNCTION("""COMPUTED_VALUE"""),"工業")</f>
        <v>工業</v>
      </c>
      <c r="L181" s="14" t="str">
        <f>IFERROR(__xludf.DUMMYFUNCTION("""COMPUTED_VALUE"""),"こうぎょう")</f>
        <v>こうぎょう</v>
      </c>
      <c r="M181" s="14" t="str">
        <f>IFERROR(__xludf.DUMMYFUNCTION("""COMPUTED_VALUE"""),"industry")</f>
        <v>industry</v>
      </c>
    </row>
    <row r="182">
      <c r="A182" s="40">
        <v>181.0</v>
      </c>
      <c r="B182" s="16" t="s">
        <v>702</v>
      </c>
      <c r="C182" s="35" t="s">
        <v>703</v>
      </c>
      <c r="D182" s="11" t="s">
        <v>704</v>
      </c>
      <c r="E182" s="18" t="s">
        <v>705</v>
      </c>
      <c r="F182" s="32"/>
      <c r="K182" s="14" t="str">
        <f>IFERROR(__xludf.DUMMYFUNCTION("""COMPUTED_VALUE"""),"工場")</f>
        <v>工場</v>
      </c>
      <c r="L182" s="14" t="str">
        <f>IFERROR(__xludf.DUMMYFUNCTION("""COMPUTED_VALUE"""),"こうじょう")</f>
        <v>こうじょう</v>
      </c>
      <c r="M182" s="14" t="str">
        <f>IFERROR(__xludf.DUMMYFUNCTION("""COMPUTED_VALUE"""),"factory")</f>
        <v>factory</v>
      </c>
    </row>
    <row r="183">
      <c r="A183" s="39">
        <v>182.0</v>
      </c>
      <c r="B183" s="16" t="s">
        <v>706</v>
      </c>
      <c r="C183" s="35" t="s">
        <v>707</v>
      </c>
      <c r="D183" s="11" t="s">
        <v>708</v>
      </c>
      <c r="E183" s="18" t="s">
        <v>709</v>
      </c>
      <c r="F183" s="32"/>
      <c r="K183" s="14" t="str">
        <f>IFERROR(__xludf.DUMMYFUNCTION("""COMPUTED_VALUE"""),"高校")</f>
        <v>高校</v>
      </c>
      <c r="L183" s="14" t="str">
        <f>IFERROR(__xludf.DUMMYFUNCTION("""COMPUTED_VALUE"""),"こうこう")</f>
        <v>こうこう</v>
      </c>
      <c r="M183" s="14" t="str">
        <f>IFERROR(__xludf.DUMMYFUNCTION("""COMPUTED_VALUE"""),"high school")</f>
        <v>high school</v>
      </c>
    </row>
    <row r="184">
      <c r="A184" s="40">
        <v>183.0</v>
      </c>
      <c r="B184" s="16" t="s">
        <v>710</v>
      </c>
      <c r="C184" s="17" t="s">
        <v>711</v>
      </c>
      <c r="D184" s="11" t="s">
        <v>712</v>
      </c>
      <c r="E184" s="18" t="s">
        <v>713</v>
      </c>
      <c r="F184" s="32"/>
      <c r="K184" s="14" t="str">
        <f>IFERROR(__xludf.DUMMYFUNCTION("""COMPUTED_VALUE"""),"高校生")</f>
        <v>高校生</v>
      </c>
      <c r="L184" s="14" t="str">
        <f>IFERROR(__xludf.DUMMYFUNCTION("""COMPUTED_VALUE"""),"こうこうせい")</f>
        <v>こうこうせい</v>
      </c>
      <c r="M184" s="14" t="str">
        <f>IFERROR(__xludf.DUMMYFUNCTION("""COMPUTED_VALUE"""),"high school student")</f>
        <v>high school student</v>
      </c>
    </row>
    <row r="185">
      <c r="A185" s="39">
        <v>184.0</v>
      </c>
      <c r="B185" s="16" t="s">
        <v>714</v>
      </c>
      <c r="C185" s="17" t="s">
        <v>715</v>
      </c>
      <c r="D185" s="11" t="s">
        <v>716</v>
      </c>
      <c r="E185" s="18" t="s">
        <v>717</v>
      </c>
      <c r="F185" s="32"/>
      <c r="K185" s="14" t="str">
        <f>IFERROR(__xludf.DUMMYFUNCTION("""COMPUTED_VALUE"""),"公務員")</f>
        <v>公務員</v>
      </c>
      <c r="L185" s="14" t="str">
        <f>IFERROR(__xludf.DUMMYFUNCTION("""COMPUTED_VALUE"""),"こうむいん")</f>
        <v>こうむいん</v>
      </c>
      <c r="M185" s="14" t="str">
        <f>IFERROR(__xludf.DUMMYFUNCTION("""COMPUTED_VALUE"""),"government worker")</f>
        <v>government worker</v>
      </c>
    </row>
    <row r="186">
      <c r="A186" s="40">
        <v>185.0</v>
      </c>
      <c r="B186" s="16" t="s">
        <v>718</v>
      </c>
      <c r="C186" s="17" t="s">
        <v>719</v>
      </c>
      <c r="D186" s="11" t="s">
        <v>720</v>
      </c>
      <c r="E186" s="18" t="s">
        <v>709</v>
      </c>
      <c r="F186" s="38"/>
      <c r="K186" s="14" t="str">
        <f>IFERROR(__xludf.DUMMYFUNCTION("""COMPUTED_VALUE"""),"高等学校")</f>
        <v>高等学校</v>
      </c>
      <c r="L186" s="14" t="str">
        <f>IFERROR(__xludf.DUMMYFUNCTION("""COMPUTED_VALUE"""),"こうとうがっこう")</f>
        <v>こうとうがっこう</v>
      </c>
      <c r="M186" s="14" t="str">
        <f>IFERROR(__xludf.DUMMYFUNCTION("""COMPUTED_VALUE"""),"high school")</f>
        <v>high school</v>
      </c>
    </row>
    <row r="187">
      <c r="A187" s="39">
        <v>186.0</v>
      </c>
      <c r="B187" s="16" t="s">
        <v>721</v>
      </c>
      <c r="C187" s="17" t="s">
        <v>722</v>
      </c>
      <c r="D187" s="11" t="s">
        <v>723</v>
      </c>
      <c r="E187" s="18" t="s">
        <v>724</v>
      </c>
      <c r="F187" s="38"/>
      <c r="K187" s="14" t="str">
        <f>IFERROR(__xludf.DUMMYFUNCTION("""COMPUTED_VALUE"""),"交通")</f>
        <v>交通</v>
      </c>
      <c r="L187" s="14" t="str">
        <f>IFERROR(__xludf.DUMMYFUNCTION("""COMPUTED_VALUE"""),"こうつう")</f>
        <v>こうつう</v>
      </c>
      <c r="M187" s="14" t="str">
        <f>IFERROR(__xludf.DUMMYFUNCTION("""COMPUTED_VALUE"""),"traffic")</f>
        <v>traffic</v>
      </c>
    </row>
    <row r="188">
      <c r="A188" s="40">
        <v>187.0</v>
      </c>
      <c r="B188" s="16" t="s">
        <v>725</v>
      </c>
      <c r="C188" s="17" t="s">
        <v>726</v>
      </c>
      <c r="D188" s="11" t="s">
        <v>727</v>
      </c>
      <c r="E188" s="18" t="s">
        <v>728</v>
      </c>
      <c r="F188" s="32"/>
      <c r="K188" s="14" t="str">
        <f>IFERROR(__xludf.DUMMYFUNCTION("""COMPUTED_VALUE"""),"首")</f>
        <v>首</v>
      </c>
      <c r="L188" s="14" t="str">
        <f>IFERROR(__xludf.DUMMYFUNCTION("""COMPUTED_VALUE"""),"くび")</f>
        <v>くび</v>
      </c>
      <c r="M188" s="14" t="str">
        <f>IFERROR(__xludf.DUMMYFUNCTION("""COMPUTED_VALUE"""),"neck")</f>
        <v>neck</v>
      </c>
    </row>
    <row r="189">
      <c r="A189" s="39">
        <v>188.0</v>
      </c>
      <c r="B189" s="16" t="s">
        <v>729</v>
      </c>
      <c r="C189" s="17" t="s">
        <v>730</v>
      </c>
      <c r="D189" s="11" t="s">
        <v>731</v>
      </c>
      <c r="E189" s="18" t="s">
        <v>732</v>
      </c>
      <c r="F189" s="38"/>
      <c r="K189" s="14" t="str">
        <f>IFERROR(__xludf.DUMMYFUNCTION("""COMPUTED_VALUE"""),"雲")</f>
        <v>雲</v>
      </c>
      <c r="L189" s="14" t="str">
        <f>IFERROR(__xludf.DUMMYFUNCTION("""COMPUTED_VALUE"""),"くも")</f>
        <v>くも</v>
      </c>
      <c r="M189" s="14" t="str">
        <f>IFERROR(__xludf.DUMMYFUNCTION("""COMPUTED_VALUE"""),"cloud")</f>
        <v>cloud</v>
      </c>
    </row>
    <row r="190">
      <c r="A190" s="40">
        <v>189.0</v>
      </c>
      <c r="B190" s="16" t="s">
        <v>733</v>
      </c>
      <c r="C190" s="17" t="s">
        <v>734</v>
      </c>
      <c r="D190" s="11" t="s">
        <v>735</v>
      </c>
      <c r="E190" s="18" t="s">
        <v>736</v>
      </c>
      <c r="F190" s="32"/>
      <c r="K190" s="14" t="str">
        <f>IFERROR(__xludf.DUMMYFUNCTION("""COMPUTED_VALUE"""),"草")</f>
        <v>草</v>
      </c>
      <c r="L190" s="14" t="str">
        <f>IFERROR(__xludf.DUMMYFUNCTION("""COMPUTED_VALUE"""),"くさ")</f>
        <v>くさ</v>
      </c>
      <c r="M190" s="14" t="str">
        <f>IFERROR(__xludf.DUMMYFUNCTION("""COMPUTED_VALUE"""),"grass")</f>
        <v>grass</v>
      </c>
    </row>
    <row r="191">
      <c r="A191" s="42">
        <v>190.0</v>
      </c>
      <c r="B191" s="24" t="s">
        <v>737</v>
      </c>
      <c r="C191" s="25" t="s">
        <v>738</v>
      </c>
      <c r="D191" s="26" t="s">
        <v>739</v>
      </c>
      <c r="E191" s="27" t="s">
        <v>740</v>
      </c>
      <c r="F191" s="28"/>
      <c r="K191" s="14" t="str">
        <f>IFERROR(__xludf.DUMMYFUNCTION("""COMPUTED_VALUE"""),"空気")</f>
        <v>空気</v>
      </c>
      <c r="L191" s="14" t="str">
        <f>IFERROR(__xludf.DUMMYFUNCTION("""COMPUTED_VALUE"""),"くうき")</f>
        <v>くうき</v>
      </c>
      <c r="M191" s="14" t="str">
        <f>IFERROR(__xludf.DUMMYFUNCTION("""COMPUTED_VALUE"""),"air")</f>
        <v>air</v>
      </c>
    </row>
    <row r="192">
      <c r="A192" s="40">
        <v>191.0</v>
      </c>
      <c r="B192" s="16" t="s">
        <v>741</v>
      </c>
      <c r="C192" s="17" t="s">
        <v>742</v>
      </c>
      <c r="D192" s="11" t="s">
        <v>743</v>
      </c>
      <c r="E192" s="18" t="s">
        <v>744</v>
      </c>
      <c r="F192" s="19"/>
      <c r="K192" s="14" t="str">
        <f>IFERROR(__xludf.DUMMYFUNCTION("""COMPUTED_VALUE"""),"空港")</f>
        <v>空港</v>
      </c>
      <c r="L192" s="14" t="str">
        <f>IFERROR(__xludf.DUMMYFUNCTION("""COMPUTED_VALUE"""),"くうこう")</f>
        <v>くうこう</v>
      </c>
      <c r="M192" s="14" t="str">
        <f>IFERROR(__xludf.DUMMYFUNCTION("""COMPUTED_VALUE"""),"airport")</f>
        <v>airport</v>
      </c>
    </row>
    <row r="193">
      <c r="A193" s="39">
        <v>192.0</v>
      </c>
      <c r="B193" s="16" t="s">
        <v>745</v>
      </c>
      <c r="C193" s="17" t="s">
        <v>746</v>
      </c>
      <c r="D193" s="11" t="s">
        <v>747</v>
      </c>
      <c r="E193" s="18" t="s">
        <v>748</v>
      </c>
      <c r="F193" s="19"/>
      <c r="K193" s="14" t="str">
        <f>IFERROR(__xludf.DUMMYFUNCTION("""COMPUTED_VALUE"""),"客")</f>
        <v>客</v>
      </c>
      <c r="L193" s="14" t="str">
        <f>IFERROR(__xludf.DUMMYFUNCTION("""COMPUTED_VALUE"""),"きゃく")</f>
        <v>きゃく</v>
      </c>
      <c r="M193" s="14" t="str">
        <f>IFERROR(__xludf.DUMMYFUNCTION("""COMPUTED_VALUE"""),"guest; customer")</f>
        <v>guest; customer</v>
      </c>
    </row>
    <row r="194">
      <c r="A194" s="39">
        <v>193.0</v>
      </c>
      <c r="B194" s="16" t="s">
        <v>749</v>
      </c>
      <c r="C194" s="17" t="s">
        <v>750</v>
      </c>
      <c r="D194" s="11" t="s">
        <v>751</v>
      </c>
      <c r="E194" s="18" t="s">
        <v>752</v>
      </c>
      <c r="F194" s="19"/>
      <c r="K194" s="14" t="str">
        <f>IFERROR(__xludf.DUMMYFUNCTION("""COMPUTED_VALUE"""),"教育")</f>
        <v>教育</v>
      </c>
      <c r="L194" s="14" t="str">
        <f>IFERROR(__xludf.DUMMYFUNCTION("""COMPUTED_VALUE"""),"きょういく")</f>
        <v>きょういく</v>
      </c>
      <c r="M194" s="14" t="str">
        <f>IFERROR(__xludf.DUMMYFUNCTION("""COMPUTED_VALUE"""),"education")</f>
        <v>education</v>
      </c>
    </row>
    <row r="195">
      <c r="A195" s="40">
        <v>194.0</v>
      </c>
      <c r="B195" s="16" t="s">
        <v>753</v>
      </c>
      <c r="C195" s="17" t="s">
        <v>754</v>
      </c>
      <c r="D195" s="11" t="s">
        <v>755</v>
      </c>
      <c r="E195" s="18" t="s">
        <v>756</v>
      </c>
      <c r="F195" s="19"/>
      <c r="K195" s="14" t="str">
        <f>IFERROR(__xludf.DUMMYFUNCTION("""COMPUTED_VALUE"""),"教会")</f>
        <v>教会</v>
      </c>
      <c r="L195" s="14" t="str">
        <f>IFERROR(__xludf.DUMMYFUNCTION("""COMPUTED_VALUE"""),"きょうかい")</f>
        <v>きょうかい</v>
      </c>
      <c r="M195" s="14" t="str">
        <f>IFERROR(__xludf.DUMMYFUNCTION("""COMPUTED_VALUE"""),"church; Christian church")</f>
        <v>church; Christian church</v>
      </c>
    </row>
    <row r="196">
      <c r="A196" s="39">
        <v>195.0</v>
      </c>
      <c r="B196" s="16" t="s">
        <v>757</v>
      </c>
      <c r="C196" s="17" t="s">
        <v>758</v>
      </c>
      <c r="D196" s="11" t="s">
        <v>759</v>
      </c>
      <c r="E196" s="18" t="s">
        <v>760</v>
      </c>
      <c r="F196" s="19"/>
      <c r="K196" s="14" t="str">
        <f>IFERROR(__xludf.DUMMYFUNCTION("""COMPUTED_VALUE"""),"興味")</f>
        <v>興味</v>
      </c>
      <c r="L196" s="14" t="str">
        <f>IFERROR(__xludf.DUMMYFUNCTION("""COMPUTED_VALUE"""),"きょうみ")</f>
        <v>きょうみ</v>
      </c>
      <c r="M196" s="14" t="str">
        <f>IFERROR(__xludf.DUMMYFUNCTION("""COMPUTED_VALUE"""),"interest; curiosity")</f>
        <v>interest; curiosity</v>
      </c>
    </row>
    <row r="197">
      <c r="A197" s="40">
        <v>196.0</v>
      </c>
      <c r="B197" s="16" t="s">
        <v>761</v>
      </c>
      <c r="C197" s="17" t="s">
        <v>762</v>
      </c>
      <c r="D197" s="11" t="s">
        <v>763</v>
      </c>
      <c r="E197" s="18" t="s">
        <v>764</v>
      </c>
      <c r="F197" s="33"/>
      <c r="K197" s="14" t="str">
        <f>IFERROR(__xludf.DUMMYFUNCTION("""COMPUTED_VALUE"""),"競争")</f>
        <v>競争</v>
      </c>
      <c r="L197" s="14" t="str">
        <f>IFERROR(__xludf.DUMMYFUNCTION("""COMPUTED_VALUE"""),"きょうそう")</f>
        <v>きょうそう</v>
      </c>
      <c r="M197" s="14" t="str">
        <f>IFERROR(__xludf.DUMMYFUNCTION("""COMPUTED_VALUE"""),"competition")</f>
        <v>competition</v>
      </c>
    </row>
    <row r="198">
      <c r="A198" s="39">
        <v>197.0</v>
      </c>
      <c r="B198" s="16" t="s">
        <v>765</v>
      </c>
      <c r="C198" s="17" t="s">
        <v>766</v>
      </c>
      <c r="D198" s="11" t="s">
        <v>767</v>
      </c>
      <c r="E198" s="18" t="s">
        <v>768</v>
      </c>
      <c r="F198" s="33"/>
      <c r="K198" s="14" t="str">
        <f>IFERROR(__xludf.DUMMYFUNCTION("""COMPUTED_VALUE"""),"急行")</f>
        <v>急行</v>
      </c>
      <c r="L198" s="14" t="str">
        <f>IFERROR(__xludf.DUMMYFUNCTION("""COMPUTED_VALUE"""),"きゅうこう")</f>
        <v>きゅうこう</v>
      </c>
      <c r="M198" s="14" t="str">
        <f>IFERROR(__xludf.DUMMYFUNCTION("""COMPUTED_VALUE"""),"hurrying; rushing")</f>
        <v>hurrying; rushing</v>
      </c>
    </row>
    <row r="199">
      <c r="A199" s="40">
        <v>198.0</v>
      </c>
      <c r="B199" s="16" t="s">
        <v>769</v>
      </c>
      <c r="C199" s="17" t="s">
        <v>770</v>
      </c>
      <c r="D199" s="11" t="s">
        <v>771</v>
      </c>
      <c r="E199" s="18" t="s">
        <v>772</v>
      </c>
      <c r="F199" s="19"/>
      <c r="K199" s="14" t="str">
        <f>IFERROR(__xludf.DUMMYFUNCTION("""COMPUTED_VALUE"""),"漫画")</f>
        <v>漫画</v>
      </c>
      <c r="L199" s="14" t="str">
        <f>IFERROR(__xludf.DUMMYFUNCTION("""COMPUTED_VALUE"""),"まんが")</f>
        <v>まんが</v>
      </c>
      <c r="M199" s="14" t="str">
        <f>IFERROR(__xludf.DUMMYFUNCTION("""COMPUTED_VALUE"""),"comic")</f>
        <v>comic</v>
      </c>
    </row>
    <row r="200">
      <c r="A200" s="39">
        <v>199.0</v>
      </c>
      <c r="B200" s="16" t="s">
        <v>773</v>
      </c>
      <c r="C200" s="17" t="s">
        <v>774</v>
      </c>
      <c r="D200" s="11" t="s">
        <v>775</v>
      </c>
      <c r="E200" s="18" t="s">
        <v>776</v>
      </c>
      <c r="F200" s="19"/>
      <c r="K200" s="14" t="str">
        <f>IFERROR(__xludf.DUMMYFUNCTION("""COMPUTED_VALUE"""),"真ん中")</f>
        <v>真ん中</v>
      </c>
      <c r="L200" s="14" t="str">
        <f>IFERROR(__xludf.DUMMYFUNCTION("""COMPUTED_VALUE"""),"まんなか")</f>
        <v>まんなか</v>
      </c>
      <c r="M200" s="14" t="str">
        <f>IFERROR(__xludf.DUMMYFUNCTION("""COMPUTED_VALUE"""),"middle; centre; center")</f>
        <v>middle; centre; center</v>
      </c>
    </row>
    <row r="201">
      <c r="A201" s="40">
        <v>200.0</v>
      </c>
      <c r="B201" s="16" t="s">
        <v>777</v>
      </c>
      <c r="C201" s="17" t="s">
        <v>778</v>
      </c>
      <c r="D201" s="11" t="s">
        <v>779</v>
      </c>
      <c r="E201" s="18" t="s">
        <v>780</v>
      </c>
      <c r="F201" s="19"/>
      <c r="K201" s="14" t="str">
        <f>IFERROR(__xludf.DUMMYFUNCTION("""COMPUTED_VALUE"""),"周り")</f>
        <v>周り</v>
      </c>
      <c r="L201" s="14" t="str">
        <f>IFERROR(__xludf.DUMMYFUNCTION("""COMPUTED_VALUE"""),"まわり")</f>
        <v>まわり</v>
      </c>
      <c r="M201" s="14" t="str">
        <f>IFERROR(__xludf.DUMMYFUNCTION("""COMPUTED_VALUE"""),"around")</f>
        <v>around</v>
      </c>
    </row>
    <row r="202">
      <c r="A202" s="39">
        <v>201.0</v>
      </c>
      <c r="B202" s="16" t="s">
        <v>781</v>
      </c>
      <c r="C202" s="17" t="s">
        <v>782</v>
      </c>
      <c r="D202" s="11" t="s">
        <v>783</v>
      </c>
      <c r="E202" s="18" t="s">
        <v>784</v>
      </c>
      <c r="F202" s="19"/>
      <c r="K202" s="14" t="str">
        <f>IFERROR(__xludf.DUMMYFUNCTION("""COMPUTED_VALUE"""),"港")</f>
        <v>港</v>
      </c>
      <c r="L202" s="14" t="str">
        <f>IFERROR(__xludf.DUMMYFUNCTION("""COMPUTED_VALUE"""),"みなと")</f>
        <v>みなと</v>
      </c>
      <c r="M202" s="14" t="str">
        <f>IFERROR(__xludf.DUMMYFUNCTION("""COMPUTED_VALUE"""),"harbour")</f>
        <v>harbour</v>
      </c>
    </row>
    <row r="203">
      <c r="A203" s="40">
        <v>202.0</v>
      </c>
      <c r="B203" s="16" t="s">
        <v>785</v>
      </c>
      <c r="C203" s="17" t="s">
        <v>786</v>
      </c>
      <c r="D203" s="11" t="s">
        <v>787</v>
      </c>
      <c r="E203" s="18" t="s">
        <v>788</v>
      </c>
      <c r="F203" s="19"/>
      <c r="K203" s="14" t="str">
        <f>IFERROR(__xludf.DUMMYFUNCTION("""COMPUTED_VALUE"""),"味噌")</f>
        <v>味噌</v>
      </c>
      <c r="L203" s="14" t="str">
        <f>IFERROR(__xludf.DUMMYFUNCTION("""COMPUTED_VALUE"""),"みそ")</f>
        <v>みそ</v>
      </c>
      <c r="M203" s="14" t="str">
        <f>IFERROR(__xludf.DUMMYFUNCTION("""COMPUTED_VALUE"""),"fermented condiment made from soybeans")</f>
        <v>fermented condiment made from soybeans</v>
      </c>
    </row>
    <row r="204">
      <c r="A204" s="39">
        <v>203.0</v>
      </c>
      <c r="B204" s="16" t="s">
        <v>789</v>
      </c>
      <c r="C204" s="29" t="s">
        <v>790</v>
      </c>
      <c r="D204" s="11" t="s">
        <v>791</v>
      </c>
      <c r="E204" s="18" t="s">
        <v>792</v>
      </c>
      <c r="F204" s="19"/>
      <c r="K204" s="14" t="str">
        <f>IFERROR(__xludf.DUMMYFUNCTION("""COMPUTED_VALUE"""),"都")</f>
        <v>都</v>
      </c>
      <c r="L204" s="14" t="str">
        <f>IFERROR(__xludf.DUMMYFUNCTION("""COMPUTED_VALUE"""),"みやこ")</f>
        <v>みやこ</v>
      </c>
      <c r="M204" s="14" t="str">
        <f>IFERROR(__xludf.DUMMYFUNCTION("""COMPUTED_VALUE"""),"capital")</f>
        <v>capital</v>
      </c>
    </row>
    <row r="205">
      <c r="A205" s="40">
        <v>204.0</v>
      </c>
      <c r="B205" s="16" t="s">
        <v>793</v>
      </c>
      <c r="C205" s="17" t="s">
        <v>794</v>
      </c>
      <c r="D205" s="11" t="s">
        <v>795</v>
      </c>
      <c r="E205" s="18" t="s">
        <v>796</v>
      </c>
      <c r="F205" s="19"/>
      <c r="K205" s="14" t="str">
        <f>IFERROR(__xludf.DUMMYFUNCTION("""COMPUTED_VALUE"""),"湖")</f>
        <v>湖</v>
      </c>
      <c r="L205" s="14" t="str">
        <f>IFERROR(__xludf.DUMMYFUNCTION("""COMPUTED_VALUE"""),"みずうみ")</f>
        <v>みずうみ</v>
      </c>
      <c r="M205" s="14" t="str">
        <f>IFERROR(__xludf.DUMMYFUNCTION("""COMPUTED_VALUE"""),"lake")</f>
        <v>lake</v>
      </c>
    </row>
    <row r="206">
      <c r="A206" s="41">
        <v>205.0</v>
      </c>
      <c r="B206" s="24" t="s">
        <v>797</v>
      </c>
      <c r="C206" s="25" t="s">
        <v>798</v>
      </c>
      <c r="D206" s="26" t="s">
        <v>799</v>
      </c>
      <c r="E206" s="27" t="s">
        <v>800</v>
      </c>
      <c r="F206" s="31"/>
      <c r="K206" s="14" t="str">
        <f>IFERROR(__xludf.DUMMYFUNCTION("""COMPUTED_VALUE"""),"木綿")</f>
        <v>木綿</v>
      </c>
      <c r="L206" s="14" t="str">
        <f>IFERROR(__xludf.DUMMYFUNCTION("""COMPUTED_VALUE"""),"もめん")</f>
        <v>もめん</v>
      </c>
      <c r="M206" s="14" t="str">
        <f>IFERROR(__xludf.DUMMYFUNCTION("""COMPUTED_VALUE"""),"cotton (material)")</f>
        <v>cotton (material)</v>
      </c>
    </row>
    <row r="207">
      <c r="A207" s="39">
        <v>206.0</v>
      </c>
      <c r="B207" s="16" t="s">
        <v>801</v>
      </c>
      <c r="C207" s="17" t="s">
        <v>802</v>
      </c>
      <c r="D207" s="11" t="s">
        <v>803</v>
      </c>
      <c r="E207" s="18" t="s">
        <v>804</v>
      </c>
      <c r="F207" s="32"/>
      <c r="K207" s="14" t="str">
        <f>IFERROR(__xludf.DUMMYFUNCTION("""COMPUTED_VALUE"""),"森")</f>
        <v>森</v>
      </c>
      <c r="L207" s="14" t="str">
        <f>IFERROR(__xludf.DUMMYFUNCTION("""COMPUTED_VALUE"""),"もり")</f>
        <v>もり</v>
      </c>
      <c r="M207" s="14" t="str">
        <f>IFERROR(__xludf.DUMMYFUNCTION("""COMPUTED_VALUE"""),"forest")</f>
        <v>forest</v>
      </c>
    </row>
    <row r="208">
      <c r="A208" s="41">
        <v>207.0</v>
      </c>
      <c r="B208" s="24" t="s">
        <v>805</v>
      </c>
      <c r="C208" s="25" t="s">
        <v>806</v>
      </c>
      <c r="D208" s="26" t="s">
        <v>807</v>
      </c>
      <c r="E208" s="27" t="s">
        <v>808</v>
      </c>
      <c r="F208" s="28"/>
      <c r="K208" s="14" t="str">
        <f>IFERROR(__xludf.DUMMYFUNCTION("""COMPUTED_VALUE"""),"昔")</f>
        <v>昔</v>
      </c>
      <c r="L208" s="14" t="str">
        <f>IFERROR(__xludf.DUMMYFUNCTION("""COMPUTED_VALUE"""),"むかし")</f>
        <v>むかし</v>
      </c>
      <c r="M208" s="14" t="str">
        <f>IFERROR(__xludf.DUMMYFUNCTION("""COMPUTED_VALUE"""),"olden days, former")</f>
        <v>olden days, former</v>
      </c>
    </row>
    <row r="209">
      <c r="A209" s="39">
        <v>208.0</v>
      </c>
      <c r="B209" s="16" t="s">
        <v>809</v>
      </c>
      <c r="C209" s="17" t="s">
        <v>810</v>
      </c>
      <c r="D209" s="11" t="s">
        <v>811</v>
      </c>
      <c r="E209" s="18" t="s">
        <v>812</v>
      </c>
      <c r="F209" s="19"/>
      <c r="K209" s="14" t="str">
        <f>IFERROR(__xludf.DUMMYFUNCTION("""COMPUTED_VALUE"""),"無理")</f>
        <v>無理</v>
      </c>
      <c r="L209" s="14" t="str">
        <f>IFERROR(__xludf.DUMMYFUNCTION("""COMPUTED_VALUE"""),"むり")</f>
        <v>むり</v>
      </c>
      <c r="M209" s="14" t="str">
        <f>IFERROR(__xludf.DUMMYFUNCTION("""COMPUTED_VALUE"""),"impossible")</f>
        <v>impossible</v>
      </c>
    </row>
    <row r="210">
      <c r="A210" s="40">
        <v>209.0</v>
      </c>
      <c r="B210" s="16" t="s">
        <v>813</v>
      </c>
      <c r="C210" s="17" t="s">
        <v>814</v>
      </c>
      <c r="D210" s="11" t="s">
        <v>815</v>
      </c>
      <c r="E210" s="18" t="s">
        <v>816</v>
      </c>
      <c r="F210" s="19"/>
      <c r="K210" s="14" t="str">
        <f>IFERROR(__xludf.DUMMYFUNCTION("""COMPUTED_VALUE"""),"虫")</f>
        <v>虫</v>
      </c>
      <c r="L210" s="14" t="str">
        <f>IFERROR(__xludf.DUMMYFUNCTION("""COMPUTED_VALUE"""),"むし")</f>
        <v>むし</v>
      </c>
      <c r="M210" s="14" t="str">
        <f>IFERROR(__xludf.DUMMYFUNCTION("""COMPUTED_VALUE"""),"insect")</f>
        <v>insect</v>
      </c>
    </row>
    <row r="211">
      <c r="A211" s="39">
        <v>210.0</v>
      </c>
      <c r="B211" s="16" t="s">
        <v>817</v>
      </c>
      <c r="C211" s="17" t="s">
        <v>818</v>
      </c>
      <c r="D211" s="11" t="s">
        <v>819</v>
      </c>
      <c r="E211" s="18" t="s">
        <v>820</v>
      </c>
      <c r="F211" s="19"/>
      <c r="K211" s="14" t="str">
        <f>IFERROR(__xludf.DUMMYFUNCTION("""COMPUTED_VALUE"""),"息子")</f>
        <v>息子</v>
      </c>
      <c r="L211" s="14" t="str">
        <f>IFERROR(__xludf.DUMMYFUNCTION("""COMPUTED_VALUE"""),"むすこ")</f>
        <v>むすこ</v>
      </c>
      <c r="M211" s="14" t="str">
        <f>IFERROR(__xludf.DUMMYFUNCTION("""COMPUTED_VALUE"""),"son")</f>
        <v>son</v>
      </c>
    </row>
    <row r="212">
      <c r="A212" s="40">
        <v>211.0</v>
      </c>
      <c r="B212" s="16" t="s">
        <v>821</v>
      </c>
      <c r="C212" s="17" t="s">
        <v>822</v>
      </c>
      <c r="D212" s="11" t="s">
        <v>823</v>
      </c>
      <c r="E212" s="18" t="s">
        <v>824</v>
      </c>
      <c r="F212" s="19"/>
      <c r="K212" s="14" t="str">
        <f>IFERROR(__xludf.DUMMYFUNCTION("""COMPUTED_VALUE"""),"娘")</f>
        <v>娘</v>
      </c>
      <c r="L212" s="14" t="str">
        <f>IFERROR(__xludf.DUMMYFUNCTION("""COMPUTED_VALUE"""),"むすめ")</f>
        <v>むすめ</v>
      </c>
      <c r="M212" s="14" t="str">
        <f>IFERROR(__xludf.DUMMYFUNCTION("""COMPUTED_VALUE"""),"daughter")</f>
        <v>daughter</v>
      </c>
    </row>
    <row r="213">
      <c r="A213" s="39">
        <v>212.0</v>
      </c>
      <c r="B213" s="16" t="s">
        <v>825</v>
      </c>
      <c r="C213" s="17" t="s">
        <v>826</v>
      </c>
      <c r="D213" s="11" t="s">
        <v>827</v>
      </c>
      <c r="E213" s="18" t="s">
        <v>828</v>
      </c>
      <c r="F213" s="19"/>
      <c r="K213" s="14" t="str">
        <f>IFERROR(__xludf.DUMMYFUNCTION("""COMPUTED_VALUE"""),"生")</f>
        <v>生</v>
      </c>
      <c r="L213" s="14" t="str">
        <f>IFERROR(__xludf.DUMMYFUNCTION("""COMPUTED_VALUE"""),"なま")</f>
        <v>なま</v>
      </c>
      <c r="M213" s="14" t="str">
        <f>IFERROR(__xludf.DUMMYFUNCTION("""COMPUTED_VALUE"""),"raw")</f>
        <v>raw</v>
      </c>
    </row>
    <row r="214">
      <c r="A214" s="40">
        <v>213.0</v>
      </c>
      <c r="B214" s="16" t="s">
        <v>829</v>
      </c>
      <c r="C214" s="17" t="s">
        <v>830</v>
      </c>
      <c r="D214" s="11" t="s">
        <v>831</v>
      </c>
      <c r="E214" s="18" t="s">
        <v>832</v>
      </c>
      <c r="F214" s="19"/>
      <c r="K214" s="14" t="str">
        <f>IFERROR(__xludf.DUMMYFUNCTION("""COMPUTED_VALUE"""),"寝坊")</f>
        <v>寝坊</v>
      </c>
      <c r="L214" s="14" t="str">
        <f>IFERROR(__xludf.DUMMYFUNCTION("""COMPUTED_VALUE"""),"ねぼう")</f>
        <v>ねぼう</v>
      </c>
      <c r="M214" s="14" t="str">
        <f>IFERROR(__xludf.DUMMYFUNCTION("""COMPUTED_VALUE"""),"sleeping in late; oversleeping")</f>
        <v>sleeping in late; oversleeping</v>
      </c>
    </row>
    <row r="215">
      <c r="A215" s="39">
        <v>214.0</v>
      </c>
      <c r="B215" s="16" t="s">
        <v>833</v>
      </c>
      <c r="C215" s="17" t="s">
        <v>834</v>
      </c>
      <c r="D215" s="11" t="s">
        <v>835</v>
      </c>
      <c r="E215" s="18" t="s">
        <v>836</v>
      </c>
      <c r="F215" s="33"/>
      <c r="K215" s="14" t="str">
        <f>IFERROR(__xludf.DUMMYFUNCTION("""COMPUTED_VALUE"""),"値段")</f>
        <v>値段</v>
      </c>
      <c r="L215" s="14" t="str">
        <f>IFERROR(__xludf.DUMMYFUNCTION("""COMPUTED_VALUE"""),"ねだん")</f>
        <v>ねだん</v>
      </c>
      <c r="M215" s="14" t="str">
        <f>IFERROR(__xludf.DUMMYFUNCTION("""COMPUTED_VALUE"""),"price; cost")</f>
        <v>price; cost</v>
      </c>
    </row>
    <row r="216">
      <c r="A216" s="40">
        <v>215.0</v>
      </c>
      <c r="B216" s="16" t="s">
        <v>837</v>
      </c>
      <c r="C216" s="17" t="s">
        <v>838</v>
      </c>
      <c r="D216" s="11" t="s">
        <v>839</v>
      </c>
      <c r="E216" s="18" t="s">
        <v>840</v>
      </c>
      <c r="F216" s="33"/>
      <c r="K216" s="14" t="str">
        <f>IFERROR(__xludf.DUMMYFUNCTION("""COMPUTED_VALUE"""),"熱")</f>
        <v>熱</v>
      </c>
      <c r="L216" s="14" t="str">
        <f>IFERROR(__xludf.DUMMYFUNCTION("""COMPUTED_VALUE"""),"ねつ")</f>
        <v>ねつ</v>
      </c>
      <c r="M216" s="14" t="str">
        <f>IFERROR(__xludf.DUMMYFUNCTION("""COMPUTED_VALUE"""),"fever")</f>
        <v>fever</v>
      </c>
    </row>
    <row r="217">
      <c r="A217" s="39">
        <v>216.0</v>
      </c>
      <c r="B217" s="16" t="s">
        <v>841</v>
      </c>
      <c r="C217" s="17" t="s">
        <v>842</v>
      </c>
      <c r="D217" s="11" t="s">
        <v>843</v>
      </c>
      <c r="E217" s="18" t="s">
        <v>844</v>
      </c>
      <c r="F217" s="19"/>
      <c r="K217" s="14" t="str">
        <f>IFERROR(__xludf.DUMMYFUNCTION("""COMPUTED_VALUE"""),"二階建て")</f>
        <v>二階建て</v>
      </c>
      <c r="L217" s="14" t="str">
        <f>IFERROR(__xludf.DUMMYFUNCTION("""COMPUTED_VALUE"""),"にかいだて")</f>
        <v>にかいだて</v>
      </c>
      <c r="M217" s="14" t="str">
        <f>IFERROR(__xludf.DUMMYFUNCTION("""COMPUTED_VALUE"""),"two-storied building")</f>
        <v>two-storied building</v>
      </c>
    </row>
    <row r="218">
      <c r="A218" s="39">
        <v>217.0</v>
      </c>
      <c r="B218" s="16" t="s">
        <v>845</v>
      </c>
      <c r="C218" s="17" t="s">
        <v>846</v>
      </c>
      <c r="D218" s="11" t="s">
        <v>847</v>
      </c>
      <c r="E218" s="18" t="s">
        <v>848</v>
      </c>
      <c r="F218" s="33"/>
      <c r="K218" s="14" t="str">
        <f>IFERROR(__xludf.DUMMYFUNCTION("""COMPUTED_VALUE"""),"人形")</f>
        <v>人形</v>
      </c>
      <c r="L218" s="14" t="str">
        <f>IFERROR(__xludf.DUMMYFUNCTION("""COMPUTED_VALUE"""),"にんぎょう")</f>
        <v>にんぎょう</v>
      </c>
      <c r="M218" s="14" t="str">
        <f>IFERROR(__xludf.DUMMYFUNCTION("""COMPUTED_VALUE"""),"doll")</f>
        <v>doll</v>
      </c>
    </row>
    <row r="219">
      <c r="A219" s="40">
        <v>218.0</v>
      </c>
      <c r="B219" s="16" t="s">
        <v>849</v>
      </c>
      <c r="C219" s="17" t="s">
        <v>850</v>
      </c>
      <c r="D219" s="11" t="s">
        <v>851</v>
      </c>
      <c r="E219" s="18" t="s">
        <v>852</v>
      </c>
      <c r="F219" s="33"/>
      <c r="K219" s="14" t="str">
        <f>IFERROR(__xludf.DUMMYFUNCTION("""COMPUTED_VALUE"""),"匂い")</f>
        <v>匂い</v>
      </c>
      <c r="L219" s="14" t="str">
        <f>IFERROR(__xludf.DUMMYFUNCTION("""COMPUTED_VALUE"""),"におい")</f>
        <v>におい</v>
      </c>
      <c r="M219" s="14" t="str">
        <f>IFERROR(__xludf.DUMMYFUNCTION("""COMPUTED_VALUE"""),"a smell")</f>
        <v>a smell</v>
      </c>
    </row>
    <row r="220">
      <c r="A220" s="39">
        <v>219.0</v>
      </c>
      <c r="B220" s="16" t="s">
        <v>853</v>
      </c>
      <c r="C220" s="17" t="s">
        <v>854</v>
      </c>
      <c r="D220" s="11" t="s">
        <v>855</v>
      </c>
      <c r="E220" s="18" t="s">
        <v>856</v>
      </c>
      <c r="F220" s="33"/>
      <c r="K220" s="14" t="str">
        <f>IFERROR(__xludf.DUMMYFUNCTION("""COMPUTED_VALUE"""),"喉")</f>
        <v>喉</v>
      </c>
      <c r="L220" s="14" t="str">
        <f>IFERROR(__xludf.DUMMYFUNCTION("""COMPUTED_VALUE"""),"のど")</f>
        <v>のど</v>
      </c>
      <c r="M220" s="14" t="str">
        <f>IFERROR(__xludf.DUMMYFUNCTION("""COMPUTED_VALUE"""),"throat")</f>
        <v>throat</v>
      </c>
    </row>
    <row r="221">
      <c r="A221" s="40">
        <v>220.0</v>
      </c>
      <c r="B221" s="16" t="s">
        <v>857</v>
      </c>
      <c r="C221" s="17" t="s">
        <v>858</v>
      </c>
      <c r="D221" s="11" t="s">
        <v>859</v>
      </c>
      <c r="E221" s="18" t="s">
        <v>860</v>
      </c>
      <c r="F221" s="19"/>
      <c r="K221" s="14" t="str">
        <f>IFERROR(__xludf.DUMMYFUNCTION("""COMPUTED_VALUE"""),"乗り物")</f>
        <v>乗り物</v>
      </c>
      <c r="L221" s="14" t="str">
        <f>IFERROR(__xludf.DUMMYFUNCTION("""COMPUTED_VALUE"""),"のりもの")</f>
        <v>のりもの</v>
      </c>
      <c r="M221" s="14" t="str">
        <f>IFERROR(__xludf.DUMMYFUNCTION("""COMPUTED_VALUE"""),"vehicle")</f>
        <v>vehicle</v>
      </c>
    </row>
    <row r="222">
      <c r="A222" s="39">
        <v>221.0</v>
      </c>
      <c r="B222" s="16" t="s">
        <v>861</v>
      </c>
      <c r="C222" s="17" t="s">
        <v>862</v>
      </c>
      <c r="D222" s="11" t="s">
        <v>863</v>
      </c>
      <c r="E222" s="18" t="s">
        <v>864</v>
      </c>
      <c r="F222" s="19"/>
      <c r="K222" s="14" t="str">
        <f>IFERROR(__xludf.DUMMYFUNCTION("""COMPUTED_VALUE"""),"入学")</f>
        <v>入学</v>
      </c>
      <c r="L222" s="14" t="str">
        <f>IFERROR(__xludf.DUMMYFUNCTION("""COMPUTED_VALUE"""),"にゅうがく")</f>
        <v>にゅうがく</v>
      </c>
      <c r="M222" s="14" t="str">
        <f>IFERROR(__xludf.DUMMYFUNCTION("""COMPUTED_VALUE"""),"entry to school; enrollment")</f>
        <v>entry to school; enrollment</v>
      </c>
    </row>
    <row r="223">
      <c r="A223" s="40">
        <v>222.0</v>
      </c>
      <c r="B223" s="16" t="s">
        <v>865</v>
      </c>
      <c r="C223" s="17" t="s">
        <v>866</v>
      </c>
      <c r="D223" s="11" t="s">
        <v>867</v>
      </c>
      <c r="E223" s="18" t="s">
        <v>868</v>
      </c>
      <c r="F223" s="19"/>
      <c r="K223" s="14" t="str">
        <f>IFERROR(__xludf.DUMMYFUNCTION("""COMPUTED_VALUE"""),"入院")</f>
        <v>入院</v>
      </c>
      <c r="L223" s="14" t="str">
        <f>IFERROR(__xludf.DUMMYFUNCTION("""COMPUTED_VALUE"""),"にゅういん")</f>
        <v>にゅういん</v>
      </c>
      <c r="M223" s="14" t="str">
        <f>IFERROR(__xludf.DUMMYFUNCTION("""COMPUTED_VALUE"""),"hospitalization")</f>
        <v>hospitalization</v>
      </c>
    </row>
    <row r="224">
      <c r="A224" s="39">
        <v>223.0</v>
      </c>
      <c r="B224" s="16" t="s">
        <v>869</v>
      </c>
      <c r="C224" s="17" t="s">
        <v>870</v>
      </c>
      <c r="D224" s="11" t="s">
        <v>871</v>
      </c>
      <c r="E224" s="18" t="s">
        <v>872</v>
      </c>
      <c r="F224" s="19"/>
      <c r="K224" s="14" t="str">
        <f>IFERROR(__xludf.DUMMYFUNCTION("""COMPUTED_VALUE"""),"踊り")</f>
        <v>踊り</v>
      </c>
      <c r="L224" s="14" t="str">
        <f>IFERROR(__xludf.DUMMYFUNCTION("""COMPUTED_VALUE"""),"おどり")</f>
        <v>おどり</v>
      </c>
      <c r="M224" s="14" t="str">
        <f>IFERROR(__xludf.DUMMYFUNCTION("""COMPUTED_VALUE"""),"a dance")</f>
        <v>a dance</v>
      </c>
    </row>
    <row r="225">
      <c r="A225" s="40">
        <v>224.0</v>
      </c>
      <c r="B225" s="16" t="s">
        <v>873</v>
      </c>
      <c r="C225" s="17" t="s">
        <v>874</v>
      </c>
      <c r="D225" s="11" t="s">
        <v>875</v>
      </c>
      <c r="E225" s="18" t="s">
        <v>876</v>
      </c>
      <c r="F225" s="19"/>
      <c r="K225" s="14" t="str">
        <f>IFERROR(__xludf.DUMMYFUNCTION("""COMPUTED_VALUE"""),"お祝い")</f>
        <v>お祝い</v>
      </c>
      <c r="L225" s="14" t="str">
        <f>IFERROR(__xludf.DUMMYFUNCTION("""COMPUTED_VALUE"""),"おいわい")</f>
        <v>おいわい</v>
      </c>
      <c r="M225" s="14" t="str">
        <f>IFERROR(__xludf.DUMMYFUNCTION("""COMPUTED_VALUE"""),"congratulation")</f>
        <v>congratulation</v>
      </c>
    </row>
    <row r="226">
      <c r="A226" s="39">
        <v>225.0</v>
      </c>
      <c r="B226" s="16" t="s">
        <v>877</v>
      </c>
      <c r="C226" s="29" t="s">
        <v>878</v>
      </c>
      <c r="D226" s="11" t="s">
        <v>879</v>
      </c>
      <c r="E226" s="18" t="s">
        <v>880</v>
      </c>
      <c r="F226" s="19"/>
      <c r="K226" s="14" t="str">
        <f>IFERROR(__xludf.DUMMYFUNCTION("""COMPUTED_VALUE"""),"お嬢さん")</f>
        <v>お嬢さん</v>
      </c>
      <c r="L226" s="14" t="str">
        <f>IFERROR(__xludf.DUMMYFUNCTION("""COMPUTED_VALUE"""),"おじょうさん")</f>
        <v>おじょうさん</v>
      </c>
      <c r="M226" s="14" t="str">
        <f>IFERROR(__xludf.DUMMYFUNCTION("""COMPUTED_VALUE"""),"(another's) daughter")</f>
        <v>(another's) daughter</v>
      </c>
    </row>
    <row r="227">
      <c r="A227" s="40">
        <v>226.0</v>
      </c>
      <c r="B227" s="16" t="s">
        <v>881</v>
      </c>
      <c r="C227" s="17" t="s">
        <v>882</v>
      </c>
      <c r="D227" s="11" t="s">
        <v>883</v>
      </c>
      <c r="E227" s="18" t="s">
        <v>884</v>
      </c>
      <c r="F227" s="19"/>
      <c r="K227" s="14" t="str">
        <f>IFERROR(__xludf.DUMMYFUNCTION("""COMPUTED_VALUE"""),"屋上")</f>
        <v>屋上</v>
      </c>
      <c r="L227" s="14" t="str">
        <f>IFERROR(__xludf.DUMMYFUNCTION("""COMPUTED_VALUE"""),"おくじょう")</f>
        <v>おくじょう</v>
      </c>
      <c r="M227" s="14" t="str">
        <f>IFERROR(__xludf.DUMMYFUNCTION("""COMPUTED_VALUE"""),"rooftop")</f>
        <v>rooftop</v>
      </c>
    </row>
    <row r="228">
      <c r="A228" s="39">
        <v>227.0</v>
      </c>
      <c r="B228" s="16" t="s">
        <v>885</v>
      </c>
      <c r="C228" s="17" t="s">
        <v>886</v>
      </c>
      <c r="D228" s="11" t="s">
        <v>887</v>
      </c>
      <c r="E228" s="18" t="s">
        <v>888</v>
      </c>
      <c r="F228" s="19"/>
      <c r="K228" s="14" t="str">
        <f>IFERROR(__xludf.DUMMYFUNCTION("""COMPUTED_VALUE"""),"贈り物")</f>
        <v>贈り物</v>
      </c>
      <c r="L228" s="14" t="str">
        <f>IFERROR(__xludf.DUMMYFUNCTION("""COMPUTED_VALUE"""),"おくりもの")</f>
        <v>おくりもの</v>
      </c>
      <c r="M228" s="14" t="str">
        <f>IFERROR(__xludf.DUMMYFUNCTION("""COMPUTED_VALUE"""),"present; gift")</f>
        <v>present; gift</v>
      </c>
    </row>
    <row r="229">
      <c r="A229" s="40">
        <v>228.0</v>
      </c>
      <c r="B229" s="16" t="s">
        <v>889</v>
      </c>
      <c r="C229" s="17" t="s">
        <v>890</v>
      </c>
      <c r="D229" s="11" t="s">
        <v>891</v>
      </c>
      <c r="E229" s="18" t="s">
        <v>892</v>
      </c>
      <c r="F229" s="19"/>
      <c r="K229" s="14" t="str">
        <f>IFERROR(__xludf.DUMMYFUNCTION("""COMPUTED_VALUE"""),"お祭り")</f>
        <v>お祭り</v>
      </c>
      <c r="L229" s="14" t="str">
        <f>IFERROR(__xludf.DUMMYFUNCTION("""COMPUTED_VALUE"""),"おまつり")</f>
        <v>おまつり</v>
      </c>
      <c r="M229" s="14" t="str">
        <f>IFERROR(__xludf.DUMMYFUNCTION("""COMPUTED_VALUE"""),"festival")</f>
        <v>festival</v>
      </c>
    </row>
    <row r="230">
      <c r="A230" s="39">
        <v>229.0</v>
      </c>
      <c r="B230" s="16" t="s">
        <v>893</v>
      </c>
      <c r="C230" s="17" t="s">
        <v>894</v>
      </c>
      <c r="D230" s="11" t="s">
        <v>895</v>
      </c>
      <c r="E230" s="18" t="s">
        <v>896</v>
      </c>
      <c r="F230" s="19"/>
      <c r="K230" s="14" t="str">
        <f>IFERROR(__xludf.DUMMYFUNCTION("""COMPUTED_VALUE"""),"お見舞い")</f>
        <v>お見舞い</v>
      </c>
      <c r="L230" s="14" t="str">
        <f>IFERROR(__xludf.DUMMYFUNCTION("""COMPUTED_VALUE"""),"おみまい")</f>
        <v>おみまい</v>
      </c>
      <c r="M230" s="14" t="str">
        <f>IFERROR(__xludf.DUMMYFUNCTION("""COMPUTED_VALUE"""),"visiting ill people")</f>
        <v>visiting ill people</v>
      </c>
    </row>
    <row r="231">
      <c r="A231" s="40">
        <v>230.0</v>
      </c>
      <c r="B231" s="16" t="s">
        <v>897</v>
      </c>
      <c r="C231" s="17" t="s">
        <v>898</v>
      </c>
      <c r="D231" s="11" t="s">
        <v>899</v>
      </c>
      <c r="E231" s="18" t="s">
        <v>900</v>
      </c>
      <c r="F231" s="19"/>
      <c r="K231" s="14" t="str">
        <f>IFERROR(__xludf.DUMMYFUNCTION("""COMPUTED_VALUE"""),"お土産")</f>
        <v>お土産</v>
      </c>
      <c r="L231" s="14" t="str">
        <f>IFERROR(__xludf.DUMMYFUNCTION("""COMPUTED_VALUE"""),"おみやげ")</f>
        <v>おみやげ</v>
      </c>
      <c r="M231" s="14" t="str">
        <f>IFERROR(__xludf.DUMMYFUNCTION("""COMPUTED_VALUE"""),"souvenir")</f>
        <v>souvenir</v>
      </c>
    </row>
    <row r="232">
      <c r="A232" s="41">
        <v>231.0</v>
      </c>
      <c r="B232" s="24" t="s">
        <v>901</v>
      </c>
      <c r="C232" s="25"/>
      <c r="D232" s="26" t="s">
        <v>902</v>
      </c>
      <c r="E232" s="27" t="s">
        <v>903</v>
      </c>
      <c r="F232" s="34"/>
      <c r="K232" s="14" t="str">
        <f>IFERROR(__xludf.DUMMYFUNCTION("""COMPUTED_VALUE"""),"おもちゃ")</f>
        <v>おもちゃ</v>
      </c>
      <c r="L232" s="14"/>
      <c r="M232" s="14" t="str">
        <f>IFERROR(__xludf.DUMMYFUNCTION("""COMPUTED_VALUE"""),"toy")</f>
        <v>toy</v>
      </c>
    </row>
    <row r="233">
      <c r="A233" s="39">
        <v>232.0</v>
      </c>
      <c r="B233" s="16" t="s">
        <v>904</v>
      </c>
      <c r="C233" s="17" t="s">
        <v>905</v>
      </c>
      <c r="D233" s="11" t="s">
        <v>906</v>
      </c>
      <c r="E233" s="18" t="s">
        <v>907</v>
      </c>
      <c r="F233" s="32"/>
      <c r="K233" s="14" t="str">
        <f>IFERROR(__xludf.DUMMYFUNCTION("""COMPUTED_VALUE"""),"表")</f>
        <v>表</v>
      </c>
      <c r="L233" s="14" t="str">
        <f>IFERROR(__xludf.DUMMYFUNCTION("""COMPUTED_VALUE"""),"おもて")</f>
        <v>おもて</v>
      </c>
      <c r="M233" s="14" t="str">
        <f>IFERROR(__xludf.DUMMYFUNCTION("""COMPUTED_VALUE"""),"the front")</f>
        <v>the front</v>
      </c>
    </row>
    <row r="234">
      <c r="A234" s="40">
        <v>233.0</v>
      </c>
      <c r="B234" s="16" t="s">
        <v>908</v>
      </c>
      <c r="C234" s="17"/>
      <c r="D234" s="11" t="s">
        <v>909</v>
      </c>
      <c r="E234" s="18" t="s">
        <v>910</v>
      </c>
      <c r="F234" s="32"/>
      <c r="K234" s="14" t="str">
        <f>IFERROR(__xludf.DUMMYFUNCTION("""COMPUTED_VALUE"""),"オートバイ")</f>
        <v>オートバイ</v>
      </c>
      <c r="L234" s="14"/>
      <c r="M234" s="14" t="str">
        <f>IFERROR(__xludf.DUMMYFUNCTION("""COMPUTED_VALUE"""),"motorcycle")</f>
        <v>motorcycle</v>
      </c>
    </row>
    <row r="235">
      <c r="A235" s="39">
        <v>234.0</v>
      </c>
      <c r="B235" s="16" t="s">
        <v>911</v>
      </c>
      <c r="C235" s="17" t="s">
        <v>912</v>
      </c>
      <c r="D235" s="11" t="s">
        <v>913</v>
      </c>
      <c r="E235" s="18" t="s">
        <v>914</v>
      </c>
      <c r="F235" s="32"/>
      <c r="K235" s="14" t="str">
        <f>IFERROR(__xludf.DUMMYFUNCTION("""COMPUTED_VALUE"""),"お礼")</f>
        <v>お礼</v>
      </c>
      <c r="L235" s="14" t="str">
        <f>IFERROR(__xludf.DUMMYFUNCTION("""COMPUTED_VALUE"""),"おれい")</f>
        <v>おれい</v>
      </c>
      <c r="M235" s="14" t="str">
        <f>IFERROR(__xludf.DUMMYFUNCTION("""COMPUTED_VALUE"""),"thanks")</f>
        <v>thanks</v>
      </c>
    </row>
    <row r="236">
      <c r="A236" s="40">
        <v>235.0</v>
      </c>
      <c r="B236" s="16" t="s">
        <v>915</v>
      </c>
      <c r="C236" s="17" t="s">
        <v>916</v>
      </c>
      <c r="D236" s="11" t="s">
        <v>917</v>
      </c>
      <c r="E236" s="18" t="s">
        <v>918</v>
      </c>
      <c r="F236" s="32"/>
      <c r="K236" s="14" t="str">
        <f>IFERROR(__xludf.DUMMYFUNCTION("""COMPUTED_VALUE"""),"押し入れ")</f>
        <v>押し入れ</v>
      </c>
      <c r="L236" s="14" t="str">
        <f>IFERROR(__xludf.DUMMYFUNCTION("""COMPUTED_VALUE"""),"おしいれ")</f>
        <v>おしいれ</v>
      </c>
      <c r="M236" s="14" t="str">
        <f>IFERROR(__xludf.DUMMYFUNCTION("""COMPUTED_VALUE"""),"closet")</f>
        <v>closet</v>
      </c>
    </row>
    <row r="237">
      <c r="A237" s="39">
        <v>236.0</v>
      </c>
      <c r="B237" s="16" t="s">
        <v>919</v>
      </c>
      <c r="C237" s="17" t="s">
        <v>920</v>
      </c>
      <c r="D237" s="11" t="s">
        <v>921</v>
      </c>
      <c r="E237" s="18" t="s">
        <v>922</v>
      </c>
      <c r="F237" s="32"/>
      <c r="K237" s="14" t="str">
        <f>IFERROR(__xludf.DUMMYFUNCTION("""COMPUTED_VALUE"""),"お宅")</f>
        <v>お宅</v>
      </c>
      <c r="L237" s="14" t="str">
        <f>IFERROR(__xludf.DUMMYFUNCTION("""COMPUTED_VALUE"""),"おたく")</f>
        <v>おたく</v>
      </c>
      <c r="M237" s="14" t="str">
        <f>IFERROR(__xludf.DUMMYFUNCTION("""COMPUTED_VALUE"""),"your home")</f>
        <v>your home</v>
      </c>
    </row>
    <row r="238">
      <c r="A238" s="40">
        <v>237.0</v>
      </c>
      <c r="B238" s="16" t="s">
        <v>923</v>
      </c>
      <c r="C238" s="35" t="s">
        <v>924</v>
      </c>
      <c r="D238" s="11" t="s">
        <v>925</v>
      </c>
      <c r="E238" s="18" t="s">
        <v>926</v>
      </c>
      <c r="F238" s="32"/>
      <c r="K238" s="14" t="str">
        <f>IFERROR(__xludf.DUMMYFUNCTION("""COMPUTED_VALUE"""),"音")</f>
        <v>音</v>
      </c>
      <c r="L238" s="14" t="str">
        <f>IFERROR(__xludf.DUMMYFUNCTION("""COMPUTED_VALUE"""),"おと")</f>
        <v>おと</v>
      </c>
      <c r="M238" s="14" t="str">
        <f>IFERROR(__xludf.DUMMYFUNCTION("""COMPUTED_VALUE"""),"sound; note")</f>
        <v>sound; note</v>
      </c>
    </row>
    <row r="239">
      <c r="A239" s="39">
        <v>238.0</v>
      </c>
      <c r="B239" s="16" t="s">
        <v>927</v>
      </c>
      <c r="C239" s="17" t="s">
        <v>928</v>
      </c>
      <c r="D239" s="11" t="s">
        <v>929</v>
      </c>
      <c r="E239" s="18" t="s">
        <v>930</v>
      </c>
      <c r="F239" s="32"/>
      <c r="K239" s="14" t="str">
        <f>IFERROR(__xludf.DUMMYFUNCTION("""COMPUTED_VALUE"""),"お釣り")</f>
        <v>お釣り</v>
      </c>
      <c r="L239" s="14" t="str">
        <f>IFERROR(__xludf.DUMMYFUNCTION("""COMPUTED_VALUE"""),"おつり")</f>
        <v>おつり</v>
      </c>
      <c r="M239" s="14" t="str">
        <f>IFERROR(__xludf.DUMMYFUNCTION("""COMPUTED_VALUE"""),"change (for a purchase)")</f>
        <v>change (for a purchase)</v>
      </c>
    </row>
    <row r="240">
      <c r="A240" s="40">
        <v>239.0</v>
      </c>
      <c r="B240" s="16" t="s">
        <v>931</v>
      </c>
      <c r="C240" s="17" t="s">
        <v>932</v>
      </c>
      <c r="D240" s="11" t="s">
        <v>933</v>
      </c>
      <c r="E240" s="18" t="s">
        <v>934</v>
      </c>
      <c r="F240" s="32"/>
      <c r="K240" s="14" t="str">
        <f>IFERROR(__xludf.DUMMYFUNCTION("""COMPUTED_VALUE"""),"夫")</f>
        <v>夫</v>
      </c>
      <c r="L240" s="14" t="str">
        <f>IFERROR(__xludf.DUMMYFUNCTION("""COMPUTED_VALUE"""),"おっと")</f>
        <v>おっと</v>
      </c>
      <c r="M240" s="14" t="str">
        <f>IFERROR(__xludf.DUMMYFUNCTION("""COMPUTED_VALUE"""),"husband")</f>
        <v>husband</v>
      </c>
    </row>
    <row r="241">
      <c r="A241" s="39">
        <v>240.0</v>
      </c>
      <c r="B241" s="16" t="s">
        <v>935</v>
      </c>
      <c r="C241" s="17" t="s">
        <v>936</v>
      </c>
      <c r="D241" s="11" t="s">
        <v>937</v>
      </c>
      <c r="E241" s="18" t="s">
        <v>938</v>
      </c>
      <c r="F241" s="32"/>
      <c r="K241" s="14" t="str">
        <f>IFERROR(__xludf.DUMMYFUNCTION("""COMPUTED_VALUE"""),"終わり")</f>
        <v>終わり</v>
      </c>
      <c r="L241" s="14" t="str">
        <f>IFERROR(__xludf.DUMMYFUNCTION("""COMPUTED_VALUE"""),"おわり")</f>
        <v>おわり</v>
      </c>
      <c r="M241" s="14" t="str">
        <f>IFERROR(__xludf.DUMMYFUNCTION("""COMPUTED_VALUE"""),"the end")</f>
        <v>the end</v>
      </c>
    </row>
    <row r="242">
      <c r="A242" s="39">
        <v>241.0</v>
      </c>
      <c r="B242" s="16" t="s">
        <v>939</v>
      </c>
      <c r="C242" s="17" t="s">
        <v>940</v>
      </c>
      <c r="D242" s="11" t="s">
        <v>941</v>
      </c>
      <c r="E242" s="18" t="s">
        <v>942</v>
      </c>
      <c r="F242" s="32"/>
      <c r="K242" s="14" t="str">
        <f>IFERROR(__xludf.DUMMYFUNCTION("""COMPUTED_VALUE"""),"親")</f>
        <v>親</v>
      </c>
      <c r="L242" s="14" t="str">
        <f>IFERROR(__xludf.DUMMYFUNCTION("""COMPUTED_VALUE"""),"おや")</f>
        <v>おや</v>
      </c>
      <c r="M242" s="14" t="str">
        <f>IFERROR(__xludf.DUMMYFUNCTION("""COMPUTED_VALUE"""),"parents")</f>
        <v>parents</v>
      </c>
    </row>
    <row r="243">
      <c r="A243" s="40">
        <v>242.0</v>
      </c>
      <c r="B243" s="16" t="s">
        <v>943</v>
      </c>
      <c r="C243" s="17" t="s">
        <v>944</v>
      </c>
      <c r="D243" s="11" t="s">
        <v>945</v>
      </c>
      <c r="E243" s="18" t="s">
        <v>946</v>
      </c>
      <c r="F243" s="32"/>
      <c r="K243" s="14" t="str">
        <f>IFERROR(__xludf.DUMMYFUNCTION("""COMPUTED_VALUE"""),"泳ぎ方")</f>
        <v>泳ぎ方</v>
      </c>
      <c r="L243" s="14" t="str">
        <f>IFERROR(__xludf.DUMMYFUNCTION("""COMPUTED_VALUE"""),"およぎかた")</f>
        <v>およぎかた</v>
      </c>
      <c r="M243" s="14" t="str">
        <f>IFERROR(__xludf.DUMMYFUNCTION("""COMPUTED_VALUE"""),"way of swimming")</f>
        <v>way of swimming</v>
      </c>
    </row>
    <row r="244">
      <c r="A244" s="39">
        <v>243.0</v>
      </c>
      <c r="B244" s="16" t="s">
        <v>947</v>
      </c>
      <c r="C244" s="17"/>
      <c r="D244" s="11" t="s">
        <v>948</v>
      </c>
      <c r="E244" s="18" t="s">
        <v>949</v>
      </c>
      <c r="F244" s="32"/>
      <c r="K244" s="14" t="str">
        <f>IFERROR(__xludf.DUMMYFUNCTION("""COMPUTED_VALUE"""),"パート")</f>
        <v>パート</v>
      </c>
      <c r="L244" s="14"/>
      <c r="M244" s="14" t="str">
        <f>IFERROR(__xludf.DUMMYFUNCTION("""COMPUTED_VALUE"""),"part; part time")</f>
        <v>part; part time</v>
      </c>
    </row>
    <row r="245">
      <c r="A245" s="40">
        <v>244.0</v>
      </c>
      <c r="B245" s="16" t="s">
        <v>950</v>
      </c>
      <c r="C245" s="44"/>
      <c r="D245" s="11" t="s">
        <v>951</v>
      </c>
      <c r="E245" s="18" t="s">
        <v>952</v>
      </c>
      <c r="F245" s="32"/>
      <c r="K245" s="14" t="str">
        <f>IFERROR(__xludf.DUMMYFUNCTION("""COMPUTED_VALUE"""),"パソコン")</f>
        <v>パソコン</v>
      </c>
      <c r="L245" s="14"/>
      <c r="M245" s="14" t="str">
        <f>IFERROR(__xludf.DUMMYFUNCTION("""COMPUTED_VALUE"""),"personal computer")</f>
        <v>personal computer</v>
      </c>
    </row>
    <row r="246">
      <c r="A246" s="39">
        <v>245.0</v>
      </c>
      <c r="B246" s="16" t="s">
        <v>953</v>
      </c>
      <c r="C246" s="17"/>
      <c r="D246" s="11" t="s">
        <v>954</v>
      </c>
      <c r="E246" s="18" t="s">
        <v>954</v>
      </c>
      <c r="F246" s="32"/>
      <c r="K246" s="14" t="str">
        <f>IFERROR(__xludf.DUMMYFUNCTION("""COMPUTED_VALUE"""),"ピアノ")</f>
        <v>ピアノ</v>
      </c>
      <c r="L246" s="14"/>
      <c r="M246" s="14" t="str">
        <f>IFERROR(__xludf.DUMMYFUNCTION("""COMPUTED_VALUE"""),"piano")</f>
        <v>piano</v>
      </c>
    </row>
    <row r="247">
      <c r="A247" s="40">
        <v>246.0</v>
      </c>
      <c r="B247" s="16" t="s">
        <v>955</v>
      </c>
      <c r="C247" s="17"/>
      <c r="D247" s="11" t="s">
        <v>956</v>
      </c>
      <c r="E247" s="18" t="s">
        <v>888</v>
      </c>
      <c r="F247" s="32"/>
      <c r="K247" s="14" t="str">
        <f>IFERROR(__xludf.DUMMYFUNCTION("""COMPUTED_VALUE"""),"プレゼント")</f>
        <v>プレゼント</v>
      </c>
      <c r="L247" s="14"/>
      <c r="M247" s="14" t="str">
        <f>IFERROR(__xludf.DUMMYFUNCTION("""COMPUTED_VALUE"""),"present; gift")</f>
        <v>present; gift</v>
      </c>
    </row>
    <row r="248">
      <c r="A248" s="39">
        <v>247.0</v>
      </c>
      <c r="B248" s="16" t="s">
        <v>957</v>
      </c>
      <c r="C248" s="17" t="s">
        <v>958</v>
      </c>
      <c r="D248" s="11" t="s">
        <v>959</v>
      </c>
      <c r="E248" s="18" t="s">
        <v>960</v>
      </c>
      <c r="F248" s="32"/>
      <c r="K248" s="14" t="str">
        <f>IFERROR(__xludf.DUMMYFUNCTION("""COMPUTED_VALUE"""),"冷房")</f>
        <v>冷房</v>
      </c>
      <c r="L248" s="14" t="str">
        <f>IFERROR(__xludf.DUMMYFUNCTION("""COMPUTED_VALUE"""),"れいぼう")</f>
        <v>れいぼう</v>
      </c>
      <c r="M248" s="14" t="str">
        <f>IFERROR(__xludf.DUMMYFUNCTION("""COMPUTED_VALUE"""),"air conditioning")</f>
        <v>air conditioning</v>
      </c>
    </row>
    <row r="249">
      <c r="A249" s="40">
        <v>248.0</v>
      </c>
      <c r="B249" s="16" t="s">
        <v>961</v>
      </c>
      <c r="C249" s="17"/>
      <c r="D249" s="11" t="s">
        <v>962</v>
      </c>
      <c r="E249" s="18" t="s">
        <v>963</v>
      </c>
      <c r="F249" s="32"/>
      <c r="K249" s="14" t="str">
        <f>IFERROR(__xludf.DUMMYFUNCTION("""COMPUTED_VALUE"""),"レジ")</f>
        <v>レジ</v>
      </c>
      <c r="L249" s="14"/>
      <c r="M249" s="14" t="str">
        <f>IFERROR(__xludf.DUMMYFUNCTION("""COMPUTED_VALUE"""),"cashier")</f>
        <v>cashier</v>
      </c>
    </row>
    <row r="250">
      <c r="A250" s="39">
        <v>249.0</v>
      </c>
      <c r="B250" s="16" t="s">
        <v>964</v>
      </c>
      <c r="C250" s="17" t="s">
        <v>965</v>
      </c>
      <c r="D250" s="11" t="s">
        <v>966</v>
      </c>
      <c r="E250" s="18" t="s">
        <v>967</v>
      </c>
      <c r="F250" s="38"/>
      <c r="K250" s="14" t="str">
        <f>IFERROR(__xludf.DUMMYFUNCTION("""COMPUTED_VALUE"""),"歴史")</f>
        <v>歴史</v>
      </c>
      <c r="L250" s="14" t="str">
        <f>IFERROR(__xludf.DUMMYFUNCTION("""COMPUTED_VALUE"""),"れきし")</f>
        <v>れきし</v>
      </c>
      <c r="M250" s="14" t="str">
        <f>IFERROR(__xludf.DUMMYFUNCTION("""COMPUTED_VALUE"""),"history")</f>
        <v>history</v>
      </c>
    </row>
    <row r="251">
      <c r="A251" s="40">
        <v>250.0</v>
      </c>
      <c r="B251" s="16" t="s">
        <v>968</v>
      </c>
      <c r="C251" s="17"/>
      <c r="D251" s="11" t="s">
        <v>969</v>
      </c>
      <c r="E251" s="18" t="s">
        <v>970</v>
      </c>
      <c r="F251" s="32"/>
      <c r="K251" s="14" t="str">
        <f>IFERROR(__xludf.DUMMYFUNCTION("""COMPUTED_VALUE"""),"レポート")</f>
        <v>レポート</v>
      </c>
      <c r="L251" s="14"/>
      <c r="M251" s="14" t="str">
        <f>IFERROR(__xludf.DUMMYFUNCTION("""COMPUTED_VALUE"""),"report")</f>
        <v>report</v>
      </c>
    </row>
    <row r="252">
      <c r="A252" s="39">
        <v>251.0</v>
      </c>
      <c r="B252" s="16" t="s">
        <v>971</v>
      </c>
      <c r="C252" s="17" t="s">
        <v>972</v>
      </c>
      <c r="D252" s="11" t="s">
        <v>973</v>
      </c>
      <c r="E252" s="18" t="s">
        <v>974</v>
      </c>
      <c r="F252" s="38"/>
      <c r="K252" s="14" t="str">
        <f>IFERROR(__xludf.DUMMYFUNCTION("""COMPUTED_VALUE"""),"利用")</f>
        <v>利用</v>
      </c>
      <c r="L252" s="14" t="str">
        <f>IFERROR(__xludf.DUMMYFUNCTION("""COMPUTED_VALUE"""),"りよう")</f>
        <v>りよう</v>
      </c>
      <c r="M252" s="14" t="str">
        <f>IFERROR(__xludf.DUMMYFUNCTION("""COMPUTED_VALUE"""),"use; utilization; application")</f>
        <v>use; utilization; application</v>
      </c>
    </row>
    <row r="253">
      <c r="A253" s="40">
        <v>252.0</v>
      </c>
      <c r="B253" s="16" t="s">
        <v>975</v>
      </c>
      <c r="C253" s="17" t="s">
        <v>976</v>
      </c>
      <c r="D253" s="11" t="s">
        <v>977</v>
      </c>
      <c r="E253" s="18" t="s">
        <v>978</v>
      </c>
      <c r="F253" s="32"/>
      <c r="K253" s="14" t="str">
        <f>IFERROR(__xludf.DUMMYFUNCTION("""COMPUTED_VALUE"""),"理由")</f>
        <v>理由</v>
      </c>
      <c r="L253" s="14" t="str">
        <f>IFERROR(__xludf.DUMMYFUNCTION("""COMPUTED_VALUE"""),"りゆう")</f>
        <v>りゆう</v>
      </c>
      <c r="M253" s="14" t="str">
        <f>IFERROR(__xludf.DUMMYFUNCTION("""COMPUTED_VALUE"""),"reason")</f>
        <v>reason</v>
      </c>
    </row>
    <row r="254">
      <c r="A254" s="39">
        <v>253.0</v>
      </c>
      <c r="B254" s="16" t="s">
        <v>979</v>
      </c>
      <c r="C254" s="35" t="s">
        <v>980</v>
      </c>
      <c r="D254" s="11" t="s">
        <v>981</v>
      </c>
      <c r="E254" s="18" t="s">
        <v>982</v>
      </c>
      <c r="F254" s="32"/>
      <c r="K254" s="14" t="str">
        <f>IFERROR(__xludf.DUMMYFUNCTION("""COMPUTED_VALUE"""),"留守")</f>
        <v>留守</v>
      </c>
      <c r="L254" s="14" t="str">
        <f>IFERROR(__xludf.DUMMYFUNCTION("""COMPUTED_VALUE"""),"るす")</f>
        <v>るす</v>
      </c>
      <c r="M254" s="14" t="str">
        <f>IFERROR(__xludf.DUMMYFUNCTION("""COMPUTED_VALUE"""),"absence")</f>
        <v>absence</v>
      </c>
    </row>
    <row r="255">
      <c r="A255" s="40">
        <v>254.0</v>
      </c>
      <c r="B255" s="16" t="s">
        <v>983</v>
      </c>
      <c r="C255" s="35" t="s">
        <v>984</v>
      </c>
      <c r="D255" s="11" t="s">
        <v>985</v>
      </c>
      <c r="E255" s="18" t="s">
        <v>986</v>
      </c>
      <c r="F255" s="32"/>
      <c r="K255" s="14" t="str">
        <f>IFERROR(__xludf.DUMMYFUNCTION("""COMPUTED_VALUE"""),"旅館")</f>
        <v>旅館</v>
      </c>
      <c r="L255" s="14" t="str">
        <f>IFERROR(__xludf.DUMMYFUNCTION("""COMPUTED_VALUE"""),"りょかん")</f>
        <v>りょかん</v>
      </c>
      <c r="M255" s="14" t="str">
        <f>IFERROR(__xludf.DUMMYFUNCTION("""COMPUTED_VALUE"""),"traditional Japanese inn")</f>
        <v>traditional Japanese inn</v>
      </c>
    </row>
    <row r="256">
      <c r="A256" s="39">
        <v>255.0</v>
      </c>
      <c r="B256" s="16" t="s">
        <v>987</v>
      </c>
      <c r="C256" s="35" t="s">
        <v>988</v>
      </c>
      <c r="D256" s="11" t="s">
        <v>989</v>
      </c>
      <c r="E256" s="18" t="s">
        <v>990</v>
      </c>
      <c r="F256" s="32"/>
      <c r="K256" s="14" t="str">
        <f>IFERROR(__xludf.DUMMYFUNCTION("""COMPUTED_VALUE"""),"両方")</f>
        <v>両方</v>
      </c>
      <c r="L256" s="14" t="str">
        <f>IFERROR(__xludf.DUMMYFUNCTION("""COMPUTED_VALUE"""),"りょうほう")</f>
        <v>りょうほう</v>
      </c>
      <c r="M256" s="14" t="str">
        <f>IFERROR(__xludf.DUMMYFUNCTION("""COMPUTED_VALUE"""),"both sides")</f>
        <v>both sides</v>
      </c>
    </row>
    <row r="257">
      <c r="A257" s="40">
        <v>256.0</v>
      </c>
      <c r="B257" s="16" t="s">
        <v>991</v>
      </c>
      <c r="C257" s="17" t="s">
        <v>992</v>
      </c>
      <c r="D257" s="11" t="s">
        <v>993</v>
      </c>
      <c r="E257" s="18" t="s">
        <v>994</v>
      </c>
      <c r="F257" s="32"/>
      <c r="K257" s="14" t="str">
        <f>IFERROR(__xludf.DUMMYFUNCTION("""COMPUTED_VALUE"""),"最後")</f>
        <v>最後</v>
      </c>
      <c r="L257" s="14" t="str">
        <f>IFERROR(__xludf.DUMMYFUNCTION("""COMPUTED_VALUE"""),"さいご")</f>
        <v>さいご</v>
      </c>
      <c r="M257" s="14" t="str">
        <f>IFERROR(__xludf.DUMMYFUNCTION("""COMPUTED_VALUE"""),"end; last")</f>
        <v>end; last</v>
      </c>
    </row>
    <row r="258">
      <c r="A258" s="41">
        <v>257.0</v>
      </c>
      <c r="B258" s="24" t="s">
        <v>995</v>
      </c>
      <c r="C258" s="25" t="s">
        <v>996</v>
      </c>
      <c r="D258" s="26" t="s">
        <v>997</v>
      </c>
      <c r="E258" s="27" t="s">
        <v>998</v>
      </c>
      <c r="F258" s="31"/>
      <c r="K258" s="14" t="str">
        <f>IFERROR(__xludf.DUMMYFUNCTION("""COMPUTED_VALUE"""),"最近")</f>
        <v>最近</v>
      </c>
      <c r="L258" s="14" t="str">
        <f>IFERROR(__xludf.DUMMYFUNCTION("""COMPUTED_VALUE"""),"さいきん")</f>
        <v>さいきん</v>
      </c>
      <c r="M258" s="14" t="str">
        <f>IFERROR(__xludf.DUMMYFUNCTION("""COMPUTED_VALUE"""),"recently")</f>
        <v>recently</v>
      </c>
    </row>
    <row r="259">
      <c r="A259" s="39">
        <v>258.0</v>
      </c>
      <c r="B259" s="16" t="s">
        <v>999</v>
      </c>
      <c r="C259" s="17" t="s">
        <v>1000</v>
      </c>
      <c r="D259" s="11" t="s">
        <v>1001</v>
      </c>
      <c r="E259" s="18" t="s">
        <v>1002</v>
      </c>
      <c r="F259" s="32"/>
      <c r="K259" s="14" t="str">
        <f>IFERROR(__xludf.DUMMYFUNCTION("""COMPUTED_VALUE"""),"最初")</f>
        <v>最初</v>
      </c>
      <c r="L259" s="14" t="str">
        <f>IFERROR(__xludf.DUMMYFUNCTION("""COMPUTED_VALUE"""),"さいしょ")</f>
        <v>さいしょ</v>
      </c>
      <c r="M259" s="14" t="str">
        <f>IFERROR(__xludf.DUMMYFUNCTION("""COMPUTED_VALUE"""),"beginning; first")</f>
        <v>beginning; first</v>
      </c>
    </row>
    <row r="260">
      <c r="A260" s="40">
        <v>259.0</v>
      </c>
      <c r="B260" s="16" t="s">
        <v>1003</v>
      </c>
      <c r="C260" s="17" t="s">
        <v>1004</v>
      </c>
      <c r="D260" s="11" t="s">
        <v>1005</v>
      </c>
      <c r="E260" s="18" t="s">
        <v>1006</v>
      </c>
      <c r="F260" s="32"/>
      <c r="K260" s="14" t="str">
        <f>IFERROR(__xludf.DUMMYFUNCTION("""COMPUTED_VALUE"""),"坂")</f>
        <v>坂</v>
      </c>
      <c r="L260" s="14" t="str">
        <f>IFERROR(__xludf.DUMMYFUNCTION("""COMPUTED_VALUE"""),"さか")</f>
        <v>さか</v>
      </c>
      <c r="M260" s="14" t="str">
        <f>IFERROR(__xludf.DUMMYFUNCTION("""COMPUTED_VALUE"""),"slope; hill")</f>
        <v>slope; hill</v>
      </c>
    </row>
    <row r="261">
      <c r="A261" s="39">
        <v>260.0</v>
      </c>
      <c r="B261" s="16" t="s">
        <v>1007</v>
      </c>
      <c r="C261" s="17" t="s">
        <v>1008</v>
      </c>
      <c r="D261" s="11" t="s">
        <v>1009</v>
      </c>
      <c r="E261" s="18" t="s">
        <v>1010</v>
      </c>
      <c r="F261" s="32"/>
      <c r="K261" s="14" t="str">
        <f>IFERROR(__xludf.DUMMYFUNCTION("""COMPUTED_VALUE"""),"昨夜")</f>
        <v>昨夜</v>
      </c>
      <c r="L261" s="14" t="str">
        <f>IFERROR(__xludf.DUMMYFUNCTION("""COMPUTED_VALUE"""),"さくや")</f>
        <v>さくや</v>
      </c>
      <c r="M261" s="14" t="str">
        <f>IFERROR(__xludf.DUMMYFUNCTION("""COMPUTED_VALUE"""),"last night")</f>
        <v>last night</v>
      </c>
    </row>
    <row r="262">
      <c r="A262" s="40">
        <v>261.0</v>
      </c>
      <c r="B262" s="16" t="s">
        <v>1011</v>
      </c>
      <c r="C262" s="17"/>
      <c r="D262" s="11" t="s">
        <v>1012</v>
      </c>
      <c r="E262" s="18" t="s">
        <v>1013</v>
      </c>
      <c r="F262" s="32"/>
      <c r="K262" s="14" t="str">
        <f>IFERROR(__xludf.DUMMYFUNCTION("""COMPUTED_VALUE"""),"サンダル")</f>
        <v>サンダル</v>
      </c>
      <c r="L262" s="14"/>
      <c r="M262" s="14" t="str">
        <f>IFERROR(__xludf.DUMMYFUNCTION("""COMPUTED_VALUE"""),"sandal")</f>
        <v>sandal</v>
      </c>
    </row>
    <row r="263">
      <c r="A263" s="39">
        <v>262.0</v>
      </c>
      <c r="B263" s="16" t="s">
        <v>1014</v>
      </c>
      <c r="C263" s="17"/>
      <c r="D263" s="11" t="s">
        <v>1015</v>
      </c>
      <c r="E263" s="18" t="s">
        <v>1016</v>
      </c>
      <c r="F263" s="32"/>
      <c r="K263" s="14" t="str">
        <f>IFERROR(__xludf.DUMMYFUNCTION("""COMPUTED_VALUE"""),"サンドイッチ")</f>
        <v>サンドイッチ</v>
      </c>
      <c r="L263" s="14"/>
      <c r="M263" s="14" t="str">
        <f>IFERROR(__xludf.DUMMYFUNCTION("""COMPUTED_VALUE"""),"sandwich")</f>
        <v>sandwich</v>
      </c>
    </row>
    <row r="264">
      <c r="A264" s="40">
        <v>263.0</v>
      </c>
      <c r="B264" s="16" t="s">
        <v>1017</v>
      </c>
      <c r="C264" s="17" t="s">
        <v>1018</v>
      </c>
      <c r="D264" s="11" t="s">
        <v>1019</v>
      </c>
      <c r="E264" s="18" t="s">
        <v>701</v>
      </c>
      <c r="F264" s="32"/>
      <c r="K264" s="14" t="str">
        <f>IFERROR(__xludf.DUMMYFUNCTION("""COMPUTED_VALUE"""),"産業")</f>
        <v>産業</v>
      </c>
      <c r="L264" s="14" t="str">
        <f>IFERROR(__xludf.DUMMYFUNCTION("""COMPUTED_VALUE"""),"さんぎょう")</f>
        <v>さんぎょう</v>
      </c>
      <c r="M264" s="14" t="str">
        <f>IFERROR(__xludf.DUMMYFUNCTION("""COMPUTED_VALUE"""),"industry")</f>
        <v>industry</v>
      </c>
    </row>
    <row r="265">
      <c r="A265" s="39">
        <v>264.0</v>
      </c>
      <c r="B265" s="16" t="s">
        <v>1020</v>
      </c>
      <c r="C265" s="17"/>
      <c r="D265" s="11" t="s">
        <v>1021</v>
      </c>
      <c r="E265" s="18" t="s">
        <v>1022</v>
      </c>
      <c r="F265" s="32"/>
      <c r="K265" s="14" t="str">
        <f>IFERROR(__xludf.DUMMYFUNCTION("""COMPUTED_VALUE"""),"サラダ")</f>
        <v>サラダ</v>
      </c>
      <c r="L265" s="14"/>
      <c r="M265" s="14" t="str">
        <f>IFERROR(__xludf.DUMMYFUNCTION("""COMPUTED_VALUE"""),"salad")</f>
        <v>salad</v>
      </c>
    </row>
    <row r="266">
      <c r="A266" s="39">
        <v>265.0</v>
      </c>
      <c r="B266" s="16" t="s">
        <v>1023</v>
      </c>
      <c r="C266" s="17" t="s">
        <v>1024</v>
      </c>
      <c r="D266" s="11" t="s">
        <v>1025</v>
      </c>
      <c r="E266" s="18" t="s">
        <v>1026</v>
      </c>
      <c r="F266" s="32"/>
      <c r="K266" s="14" t="str">
        <f>IFERROR(__xludf.DUMMYFUNCTION("""COMPUTED_VALUE"""),"再来月")</f>
        <v>再来月</v>
      </c>
      <c r="L266" s="14" t="str">
        <f>IFERROR(__xludf.DUMMYFUNCTION("""COMPUTED_VALUE"""),"さらいげつ")</f>
        <v>さらいげつ</v>
      </c>
      <c r="M266" s="14" t="str">
        <f>IFERROR(__xludf.DUMMYFUNCTION("""COMPUTED_VALUE"""),"month after next")</f>
        <v>month after next</v>
      </c>
    </row>
    <row r="267">
      <c r="A267" s="40">
        <v>266.0</v>
      </c>
      <c r="B267" s="16" t="s">
        <v>1027</v>
      </c>
      <c r="C267" s="17" t="s">
        <v>1028</v>
      </c>
      <c r="D267" s="11" t="s">
        <v>1029</v>
      </c>
      <c r="E267" s="18" t="s">
        <v>1030</v>
      </c>
      <c r="F267" s="32"/>
      <c r="K267" s="14" t="str">
        <f>IFERROR(__xludf.DUMMYFUNCTION("""COMPUTED_VALUE"""),"再来週")</f>
        <v>再来週</v>
      </c>
      <c r="L267" s="14" t="str">
        <f>IFERROR(__xludf.DUMMYFUNCTION("""COMPUTED_VALUE"""),"さらいしゅう")</f>
        <v>さらいしゅう</v>
      </c>
      <c r="M267" s="14" t="str">
        <f>IFERROR(__xludf.DUMMYFUNCTION("""COMPUTED_VALUE"""),"week after next")</f>
        <v>week after next</v>
      </c>
    </row>
    <row r="268">
      <c r="A268" s="39">
        <v>267.0</v>
      </c>
      <c r="B268" s="16" t="s">
        <v>1031</v>
      </c>
      <c r="C268" s="17" t="s">
        <v>1032</v>
      </c>
      <c r="D268" s="11" t="s">
        <v>1033</v>
      </c>
      <c r="E268" s="18" t="s">
        <v>373</v>
      </c>
      <c r="F268" s="32"/>
      <c r="K268" s="14" t="str">
        <f>IFERROR(__xludf.DUMMYFUNCTION("""COMPUTED_VALUE"""),"生物")</f>
        <v>生物</v>
      </c>
      <c r="L268" s="14" t="str">
        <f>IFERROR(__xludf.DUMMYFUNCTION("""COMPUTED_VALUE"""),"せいぶつ")</f>
        <v>せいぶつ</v>
      </c>
      <c r="M268" s="14" t="str">
        <f>IFERROR(__xludf.DUMMYFUNCTION("""COMPUTED_VALUE"""),"living thing")</f>
        <v>living thing</v>
      </c>
    </row>
    <row r="269">
      <c r="A269" s="40">
        <v>268.0</v>
      </c>
      <c r="B269" s="16" t="s">
        <v>1034</v>
      </c>
      <c r="C269" s="17" t="s">
        <v>1035</v>
      </c>
      <c r="D269" s="11" t="s">
        <v>1036</v>
      </c>
      <c r="E269" s="18" t="s">
        <v>1037</v>
      </c>
      <c r="F269" s="32"/>
      <c r="K269" s="14" t="str">
        <f>IFERROR(__xludf.DUMMYFUNCTION("""COMPUTED_VALUE"""),"政治")</f>
        <v>政治</v>
      </c>
      <c r="L269" s="14" t="str">
        <f>IFERROR(__xludf.DUMMYFUNCTION("""COMPUTED_VALUE"""),"せいじ")</f>
        <v>せいじ</v>
      </c>
      <c r="M269" s="14" t="str">
        <f>IFERROR(__xludf.DUMMYFUNCTION("""COMPUTED_VALUE"""),"politics")</f>
        <v>politics</v>
      </c>
    </row>
    <row r="270">
      <c r="A270" s="39">
        <v>269.0</v>
      </c>
      <c r="B270" s="16" t="s">
        <v>1038</v>
      </c>
      <c r="C270" s="17" t="s">
        <v>1039</v>
      </c>
      <c r="D270" s="11" t="s">
        <v>1040</v>
      </c>
      <c r="E270" s="18" t="s">
        <v>1041</v>
      </c>
      <c r="F270" s="32"/>
      <c r="K270" s="14" t="str">
        <f>IFERROR(__xludf.DUMMYFUNCTION("""COMPUTED_VALUE"""),"生活")</f>
        <v>生活</v>
      </c>
      <c r="L270" s="14" t="str">
        <f>IFERROR(__xludf.DUMMYFUNCTION("""COMPUTED_VALUE"""),"せいかつ")</f>
        <v>せいかつ</v>
      </c>
      <c r="M270" s="14" t="str">
        <f>IFERROR(__xludf.DUMMYFUNCTION("""COMPUTED_VALUE"""),"to live")</f>
        <v>to live</v>
      </c>
    </row>
    <row r="271">
      <c r="A271" s="40">
        <v>270.0</v>
      </c>
      <c r="B271" s="16" t="s">
        <v>1042</v>
      </c>
      <c r="C271" s="17" t="s">
        <v>1043</v>
      </c>
      <c r="D271" s="11" t="s">
        <v>1044</v>
      </c>
      <c r="E271" s="18" t="s">
        <v>1045</v>
      </c>
      <c r="F271" s="32"/>
      <c r="K271" s="14" t="str">
        <f>IFERROR(__xludf.DUMMYFUNCTION("""COMPUTED_VALUE"""),"生命")</f>
        <v>生命</v>
      </c>
      <c r="L271" s="14" t="str">
        <f>IFERROR(__xludf.DUMMYFUNCTION("""COMPUTED_VALUE"""),"せいめい")</f>
        <v>せいめい</v>
      </c>
      <c r="M271" s="14" t="str">
        <f>IFERROR(__xludf.DUMMYFUNCTION("""COMPUTED_VALUE"""),"life")</f>
        <v>life</v>
      </c>
    </row>
    <row r="272">
      <c r="A272" s="39">
        <v>271.0</v>
      </c>
      <c r="B272" s="16" t="s">
        <v>1046</v>
      </c>
      <c r="C272" s="17" t="s">
        <v>1047</v>
      </c>
      <c r="D272" s="11" t="s">
        <v>1048</v>
      </c>
      <c r="E272" s="18" t="s">
        <v>1049</v>
      </c>
      <c r="F272" s="32"/>
      <c r="K272" s="14" t="str">
        <f>IFERROR(__xludf.DUMMYFUNCTION("""COMPUTED_VALUE"""),"生産")</f>
        <v>生産</v>
      </c>
      <c r="L272" s="14" t="str">
        <f>IFERROR(__xludf.DUMMYFUNCTION("""COMPUTED_VALUE"""),"せいさん")</f>
        <v>せいさん</v>
      </c>
      <c r="M272" s="14" t="str">
        <f>IFERROR(__xludf.DUMMYFUNCTION("""COMPUTED_VALUE"""),"production")</f>
        <v>production</v>
      </c>
    </row>
    <row r="273">
      <c r="A273" s="40">
        <v>272.0</v>
      </c>
      <c r="B273" s="16" t="s">
        <v>1050</v>
      </c>
      <c r="C273" s="17" t="s">
        <v>1051</v>
      </c>
      <c r="D273" s="11" t="s">
        <v>1052</v>
      </c>
      <c r="E273" s="18" t="s">
        <v>1053</v>
      </c>
      <c r="F273" s="38"/>
      <c r="K273" s="14" t="str">
        <f>IFERROR(__xludf.DUMMYFUNCTION("""COMPUTED_VALUE"""),"西洋")</f>
        <v>西洋</v>
      </c>
      <c r="L273" s="14" t="str">
        <f>IFERROR(__xludf.DUMMYFUNCTION("""COMPUTED_VALUE"""),"せいよう")</f>
        <v>せいよう</v>
      </c>
      <c r="M273" s="14" t="str">
        <f>IFERROR(__xludf.DUMMYFUNCTION("""COMPUTED_VALUE"""),"the west; Western countries")</f>
        <v>the west; Western countries</v>
      </c>
    </row>
    <row r="274">
      <c r="A274" s="39">
        <v>273.0</v>
      </c>
      <c r="B274" s="16" t="s">
        <v>1054</v>
      </c>
      <c r="C274" s="17" t="s">
        <v>1055</v>
      </c>
      <c r="D274" s="11" t="s">
        <v>1056</v>
      </c>
      <c r="E274" s="18" t="s">
        <v>1057</v>
      </c>
      <c r="F274" s="32"/>
      <c r="K274" s="14" t="str">
        <f>IFERROR(__xludf.DUMMYFUNCTION("""COMPUTED_VALUE"""),"世界")</f>
        <v>世界</v>
      </c>
      <c r="L274" s="14" t="str">
        <f>IFERROR(__xludf.DUMMYFUNCTION("""COMPUTED_VALUE"""),"せかい")</f>
        <v>せかい</v>
      </c>
      <c r="M274" s="14" t="str">
        <f>IFERROR(__xludf.DUMMYFUNCTION("""COMPUTED_VALUE"""),"the world")</f>
        <v>the world</v>
      </c>
    </row>
    <row r="275">
      <c r="A275" s="40">
        <v>274.0</v>
      </c>
      <c r="B275" s="16" t="s">
        <v>1058</v>
      </c>
      <c r="C275" s="17" t="s">
        <v>1059</v>
      </c>
      <c r="D275" s="11" t="s">
        <v>1060</v>
      </c>
      <c r="E275" s="18" t="s">
        <v>1061</v>
      </c>
      <c r="F275" s="32"/>
      <c r="K275" s="14" t="str">
        <f>IFERROR(__xludf.DUMMYFUNCTION("""COMPUTED_VALUE"""),"席")</f>
        <v>席</v>
      </c>
      <c r="L275" s="14" t="str">
        <f>IFERROR(__xludf.DUMMYFUNCTION("""COMPUTED_VALUE"""),"せき")</f>
        <v>せき</v>
      </c>
      <c r="M275" s="14" t="str">
        <f>IFERROR(__xludf.DUMMYFUNCTION("""COMPUTED_VALUE"""),"seat")</f>
        <v>seat</v>
      </c>
    </row>
    <row r="276">
      <c r="A276" s="39">
        <v>275.0</v>
      </c>
      <c r="B276" s="16" t="s">
        <v>1062</v>
      </c>
      <c r="C276" s="17" t="s">
        <v>1063</v>
      </c>
      <c r="D276" s="11" t="s">
        <v>1064</v>
      </c>
      <c r="E276" s="18" t="s">
        <v>1065</v>
      </c>
      <c r="F276" s="32"/>
      <c r="K276" s="14" t="str">
        <f>IFERROR(__xludf.DUMMYFUNCTION("""COMPUTED_VALUE"""),"線")</f>
        <v>線</v>
      </c>
      <c r="L276" s="14" t="str">
        <f>IFERROR(__xludf.DUMMYFUNCTION("""COMPUTED_VALUE"""),"せん")</f>
        <v>せん</v>
      </c>
      <c r="M276" s="14" t="str">
        <f>IFERROR(__xludf.DUMMYFUNCTION("""COMPUTED_VALUE"""),"line")</f>
        <v>line</v>
      </c>
    </row>
    <row r="277">
      <c r="A277" s="40">
        <v>276.0</v>
      </c>
      <c r="B277" s="16" t="s">
        <v>1066</v>
      </c>
      <c r="C277" s="17" t="s">
        <v>1067</v>
      </c>
      <c r="D277" s="11" t="s">
        <v>1068</v>
      </c>
      <c r="E277" s="18" t="s">
        <v>1069</v>
      </c>
      <c r="F277" s="32"/>
      <c r="K277" s="14" t="str">
        <f>IFERROR(__xludf.DUMMYFUNCTION("""COMPUTED_VALUE"""),"背中")</f>
        <v>背中</v>
      </c>
      <c r="L277" s="14" t="str">
        <f>IFERROR(__xludf.DUMMYFUNCTION("""COMPUTED_VALUE"""),"せなか")</f>
        <v>せなか</v>
      </c>
      <c r="M277" s="14" t="str">
        <f>IFERROR(__xludf.DUMMYFUNCTION("""COMPUTED_VALUE"""),"back (of body)")</f>
        <v>back (of body)</v>
      </c>
    </row>
    <row r="278">
      <c r="A278" s="39">
        <v>277.0</v>
      </c>
      <c r="B278" s="16" t="s">
        <v>1070</v>
      </c>
      <c r="C278" s="17" t="s">
        <v>1071</v>
      </c>
      <c r="D278" s="11" t="s">
        <v>1072</v>
      </c>
      <c r="E278" s="18" t="s">
        <v>1073</v>
      </c>
      <c r="F278" s="32"/>
      <c r="K278" s="14" t="str">
        <f>IFERROR(__xludf.DUMMYFUNCTION("""COMPUTED_VALUE"""),"先輩")</f>
        <v>先輩</v>
      </c>
      <c r="L278" s="14" t="str">
        <f>IFERROR(__xludf.DUMMYFUNCTION("""COMPUTED_VALUE"""),"せんぱい")</f>
        <v>せんぱい</v>
      </c>
      <c r="M278" s="14" t="str">
        <f>IFERROR(__xludf.DUMMYFUNCTION("""COMPUTED_VALUE"""),"senior")</f>
        <v>senior</v>
      </c>
    </row>
    <row r="279">
      <c r="A279" s="40">
        <v>278.0</v>
      </c>
      <c r="B279" s="16" t="s">
        <v>1074</v>
      </c>
      <c r="C279" s="17" t="s">
        <v>1075</v>
      </c>
      <c r="D279" s="11" t="s">
        <v>1076</v>
      </c>
      <c r="E279" s="18" t="s">
        <v>1077</v>
      </c>
      <c r="F279" s="32"/>
      <c r="K279" s="14" t="str">
        <f>IFERROR(__xludf.DUMMYFUNCTION("""COMPUTED_VALUE"""),"戦争")</f>
        <v>戦争</v>
      </c>
      <c r="L279" s="14" t="str">
        <f>IFERROR(__xludf.DUMMYFUNCTION("""COMPUTED_VALUE"""),"せんそう")</f>
        <v>せんそう</v>
      </c>
      <c r="M279" s="14" t="str">
        <f>IFERROR(__xludf.DUMMYFUNCTION("""COMPUTED_VALUE"""),"war")</f>
        <v>war</v>
      </c>
    </row>
    <row r="280">
      <c r="A280" s="39">
        <v>279.0</v>
      </c>
      <c r="B280" s="16" t="s">
        <v>1078</v>
      </c>
      <c r="C280" s="17" t="s">
        <v>1079</v>
      </c>
      <c r="D280" s="11" t="s">
        <v>1080</v>
      </c>
      <c r="E280" s="18" t="s">
        <v>1081</v>
      </c>
      <c r="F280" s="38"/>
      <c r="K280" s="14" t="str">
        <f>IFERROR(__xludf.DUMMYFUNCTION("""COMPUTED_VALUE"""),"説明")</f>
        <v>説明</v>
      </c>
      <c r="L280" s="14" t="str">
        <f>IFERROR(__xludf.DUMMYFUNCTION("""COMPUTED_VALUE"""),"せつめい")</f>
        <v>せつめい</v>
      </c>
      <c r="M280" s="14" t="str">
        <f>IFERROR(__xludf.DUMMYFUNCTION("""COMPUTED_VALUE"""),"explanation")</f>
        <v>explanation</v>
      </c>
    </row>
    <row r="281">
      <c r="A281" s="40">
        <v>280.0</v>
      </c>
      <c r="B281" s="16" t="s">
        <v>1082</v>
      </c>
      <c r="C281" s="17" t="s">
        <v>1083</v>
      </c>
      <c r="D281" s="11" t="s">
        <v>1084</v>
      </c>
      <c r="E281" s="18" t="s">
        <v>1085</v>
      </c>
      <c r="F281" s="38"/>
      <c r="K281" s="14" t="str">
        <f>IFERROR(__xludf.DUMMYFUNCTION("""COMPUTED_VALUE"""),"社長")</f>
        <v>社長</v>
      </c>
      <c r="L281" s="14" t="str">
        <f>IFERROR(__xludf.DUMMYFUNCTION("""COMPUTED_VALUE"""),"しゃちょう")</f>
        <v>しゃちょう</v>
      </c>
      <c r="M281" s="14" t="str">
        <f>IFERROR(__xludf.DUMMYFUNCTION("""COMPUTED_VALUE"""),"company president")</f>
        <v>company president</v>
      </c>
    </row>
    <row r="282">
      <c r="A282" s="39">
        <v>281.0</v>
      </c>
      <c r="B282" s="16" t="s">
        <v>1086</v>
      </c>
      <c r="C282" s="17" t="s">
        <v>1087</v>
      </c>
      <c r="D282" s="11" t="s">
        <v>1088</v>
      </c>
      <c r="E282" s="18" t="s">
        <v>1089</v>
      </c>
      <c r="F282" s="32"/>
      <c r="K282" s="14" t="str">
        <f>IFERROR(__xludf.DUMMYFUNCTION("""COMPUTED_VALUE"""),"社会")</f>
        <v>社会</v>
      </c>
      <c r="L282" s="14" t="str">
        <f>IFERROR(__xludf.DUMMYFUNCTION("""COMPUTED_VALUE"""),"しゃかい")</f>
        <v>しゃかい</v>
      </c>
      <c r="M282" s="14" t="str">
        <f>IFERROR(__xludf.DUMMYFUNCTION("""COMPUTED_VALUE"""),"society; public; community")</f>
        <v>society; public; community</v>
      </c>
    </row>
    <row r="283">
      <c r="A283" s="40">
        <v>282.0</v>
      </c>
      <c r="B283" s="16" t="s">
        <v>1090</v>
      </c>
      <c r="C283" s="17" t="s">
        <v>1091</v>
      </c>
      <c r="D283" s="11" t="s">
        <v>1092</v>
      </c>
      <c r="E283" s="18" t="s">
        <v>1093</v>
      </c>
      <c r="F283" s="32"/>
      <c r="K283" s="14" t="str">
        <f>IFERROR(__xludf.DUMMYFUNCTION("""COMPUTED_VALUE"""),"市")</f>
        <v>市</v>
      </c>
      <c r="L283" s="14" t="str">
        <f>IFERROR(__xludf.DUMMYFUNCTION("""COMPUTED_VALUE"""),"し")</f>
        <v>し</v>
      </c>
      <c r="M283" s="14" t="str">
        <f>IFERROR(__xludf.DUMMYFUNCTION("""COMPUTED_VALUE"""),"city")</f>
        <v>city</v>
      </c>
    </row>
    <row r="284">
      <c r="A284" s="41">
        <v>283.0</v>
      </c>
      <c r="B284" s="24" t="s">
        <v>1094</v>
      </c>
      <c r="C284" s="43" t="s">
        <v>1095</v>
      </c>
      <c r="D284" s="26" t="s">
        <v>1096</v>
      </c>
      <c r="E284" s="27" t="s">
        <v>1097</v>
      </c>
      <c r="F284" s="31"/>
      <c r="K284" s="14" t="str">
        <f>IFERROR(__xludf.DUMMYFUNCTION("""COMPUTED_VALUE"""),"試合")</f>
        <v>試合</v>
      </c>
      <c r="L284" s="14" t="str">
        <f>IFERROR(__xludf.DUMMYFUNCTION("""COMPUTED_VALUE"""),"しあい")</f>
        <v>しあい</v>
      </c>
      <c r="M284" s="14" t="str">
        <f>IFERROR(__xludf.DUMMYFUNCTION("""COMPUTED_VALUE"""),"match,game")</f>
        <v>match,game</v>
      </c>
    </row>
    <row r="285">
      <c r="A285" s="39">
        <v>284.0</v>
      </c>
      <c r="B285" s="16" t="s">
        <v>1098</v>
      </c>
      <c r="C285" s="35" t="s">
        <v>1099</v>
      </c>
      <c r="D285" s="11" t="s">
        <v>1100</v>
      </c>
      <c r="E285" s="18" t="s">
        <v>1101</v>
      </c>
      <c r="F285" s="32"/>
      <c r="K285" s="14" t="str">
        <f>IFERROR(__xludf.DUMMYFUNCTION("""COMPUTED_VALUE"""),"仕方")</f>
        <v>仕方</v>
      </c>
      <c r="L285" s="14" t="str">
        <f>IFERROR(__xludf.DUMMYFUNCTION("""COMPUTED_VALUE"""),"しかた")</f>
        <v>しかた</v>
      </c>
      <c r="M285" s="14" t="str">
        <f>IFERROR(__xludf.DUMMYFUNCTION("""COMPUTED_VALUE"""),"way; method")</f>
        <v>way; method</v>
      </c>
    </row>
    <row r="286">
      <c r="A286" s="40">
        <v>285.0</v>
      </c>
      <c r="B286" s="16" t="s">
        <v>1102</v>
      </c>
      <c r="C286" s="35" t="s">
        <v>1103</v>
      </c>
      <c r="D286" s="11" t="s">
        <v>1104</v>
      </c>
      <c r="E286" s="18" t="s">
        <v>1105</v>
      </c>
      <c r="F286" s="32"/>
      <c r="K286" s="14" t="str">
        <f>IFERROR(__xludf.DUMMYFUNCTION("""COMPUTED_VALUE"""),"試験")</f>
        <v>試験</v>
      </c>
      <c r="L286" s="14" t="str">
        <f>IFERROR(__xludf.DUMMYFUNCTION("""COMPUTED_VALUE"""),"しけん")</f>
        <v>しけん</v>
      </c>
      <c r="M286" s="14" t="str">
        <f>IFERROR(__xludf.DUMMYFUNCTION("""COMPUTED_VALUE"""),"examination")</f>
        <v>examination</v>
      </c>
    </row>
    <row r="287">
      <c r="A287" s="39">
        <v>286.0</v>
      </c>
      <c r="B287" s="16" t="s">
        <v>1106</v>
      </c>
      <c r="C287" s="35" t="s">
        <v>1107</v>
      </c>
      <c r="D287" s="11" t="s">
        <v>1108</v>
      </c>
      <c r="E287" s="18" t="s">
        <v>1109</v>
      </c>
      <c r="F287" s="32"/>
      <c r="K287" s="14" t="str">
        <f>IFERROR(__xludf.DUMMYFUNCTION("""COMPUTED_VALUE"""),"島")</f>
        <v>島</v>
      </c>
      <c r="L287" s="14" t="str">
        <f>IFERROR(__xludf.DUMMYFUNCTION("""COMPUTED_VALUE"""),"しま")</f>
        <v>しま</v>
      </c>
      <c r="M287" s="14" t="str">
        <f>IFERROR(__xludf.DUMMYFUNCTION("""COMPUTED_VALUE"""),"island")</f>
        <v>island</v>
      </c>
    </row>
    <row r="288">
      <c r="A288" s="40">
        <v>287.0</v>
      </c>
      <c r="B288" s="16" t="s">
        <v>1110</v>
      </c>
      <c r="C288" s="35" t="s">
        <v>1110</v>
      </c>
      <c r="D288" s="11" t="s">
        <v>1111</v>
      </c>
      <c r="E288" s="18" t="s">
        <v>1112</v>
      </c>
      <c r="F288" s="32"/>
      <c r="K288" s="14" t="str">
        <f>IFERROR(__xludf.DUMMYFUNCTION("""COMPUTED_VALUE"""),"市民")</f>
        <v>市民</v>
      </c>
      <c r="L288" s="14" t="str">
        <f>IFERROR(__xludf.DUMMYFUNCTION("""COMPUTED_VALUE"""),"市民")</f>
        <v>市民</v>
      </c>
      <c r="M288" s="14" t="str">
        <f>IFERROR(__xludf.DUMMYFUNCTION("""COMPUTED_VALUE"""),"citizen")</f>
        <v>citizen</v>
      </c>
    </row>
    <row r="289">
      <c r="A289" s="39">
        <v>288.0</v>
      </c>
      <c r="B289" s="16" t="s">
        <v>1113</v>
      </c>
      <c r="C289" s="35" t="s">
        <v>1114</v>
      </c>
      <c r="D289" s="11" t="s">
        <v>1115</v>
      </c>
      <c r="E289" s="18" t="s">
        <v>1116</v>
      </c>
      <c r="F289" s="32"/>
      <c r="K289" s="14" t="str">
        <f>IFERROR(__xludf.DUMMYFUNCTION("""COMPUTED_VALUE"""),"品物")</f>
        <v>品物</v>
      </c>
      <c r="L289" s="14" t="str">
        <f>IFERROR(__xludf.DUMMYFUNCTION("""COMPUTED_VALUE"""),"しなもの")</f>
        <v>しなもの</v>
      </c>
      <c r="M289" s="14" t="str">
        <f>IFERROR(__xludf.DUMMYFUNCTION("""COMPUTED_VALUE"""),"goods; article; thing")</f>
        <v>goods; article; thing</v>
      </c>
    </row>
    <row r="290">
      <c r="A290" s="39">
        <v>289.0</v>
      </c>
      <c r="B290" s="16" t="s">
        <v>1117</v>
      </c>
      <c r="C290" s="35" t="s">
        <v>1118</v>
      </c>
      <c r="D290" s="11" t="s">
        <v>1119</v>
      </c>
      <c r="E290" s="18" t="s">
        <v>1120</v>
      </c>
      <c r="F290" s="32"/>
      <c r="K290" s="14" t="str">
        <f>IFERROR(__xludf.DUMMYFUNCTION("""COMPUTED_VALUE"""),"新聞社")</f>
        <v>新聞社</v>
      </c>
      <c r="L290" s="14" t="str">
        <f>IFERROR(__xludf.DUMMYFUNCTION("""COMPUTED_VALUE"""),"しんぶんしゃ")</f>
        <v>しんぶんしゃ</v>
      </c>
      <c r="M290" s="14" t="str">
        <f>IFERROR(__xludf.DUMMYFUNCTION("""COMPUTED_VALUE"""),"newspaper company")</f>
        <v>newspaper company</v>
      </c>
    </row>
    <row r="291">
      <c r="A291" s="40">
        <v>290.0</v>
      </c>
      <c r="B291" s="16" t="s">
        <v>1121</v>
      </c>
      <c r="C291" s="17" t="s">
        <v>1122</v>
      </c>
      <c r="D291" s="11" t="s">
        <v>1123</v>
      </c>
      <c r="E291" s="18" t="s">
        <v>1124</v>
      </c>
      <c r="F291" s="32"/>
      <c r="K291" s="14" t="str">
        <f>IFERROR(__xludf.DUMMYFUNCTION("""COMPUTED_VALUE"""),"親切")</f>
        <v>親切</v>
      </c>
      <c r="L291" s="14" t="str">
        <f>IFERROR(__xludf.DUMMYFUNCTION("""COMPUTED_VALUE"""),"しんせつ")</f>
        <v>しんせつ</v>
      </c>
      <c r="M291" s="14" t="str">
        <f>IFERROR(__xludf.DUMMYFUNCTION("""COMPUTED_VALUE"""),"kindness")</f>
        <v>kindness</v>
      </c>
    </row>
    <row r="292">
      <c r="A292" s="39">
        <v>291.0</v>
      </c>
      <c r="B292" s="16" t="s">
        <v>1125</v>
      </c>
      <c r="C292" s="17" t="s">
        <v>1126</v>
      </c>
      <c r="D292" s="11" t="s">
        <v>1127</v>
      </c>
      <c r="E292" s="18" t="s">
        <v>1128</v>
      </c>
      <c r="F292" s="32"/>
      <c r="K292" s="14" t="str">
        <f>IFERROR(__xludf.DUMMYFUNCTION("""COMPUTED_VALUE"""),"失敗")</f>
        <v>失敗</v>
      </c>
      <c r="L292" s="14" t="str">
        <f>IFERROR(__xludf.DUMMYFUNCTION("""COMPUTED_VALUE"""),"しっぱい")</f>
        <v>しっぱい</v>
      </c>
      <c r="M292" s="14" t="str">
        <f>IFERROR(__xludf.DUMMYFUNCTION("""COMPUTED_VALUE"""),"failure")</f>
        <v>failure</v>
      </c>
    </row>
    <row r="293">
      <c r="A293" s="40">
        <v>292.0</v>
      </c>
      <c r="B293" s="16" t="s">
        <v>1129</v>
      </c>
      <c r="C293" s="17" t="s">
        <v>1130</v>
      </c>
      <c r="D293" s="11" t="s">
        <v>1131</v>
      </c>
      <c r="E293" s="18" t="s">
        <v>1132</v>
      </c>
      <c r="F293" s="32"/>
      <c r="K293" s="14" t="str">
        <f>IFERROR(__xludf.DUMMYFUNCTION("""COMPUTED_VALUE"""),"下着")</f>
        <v>下着</v>
      </c>
      <c r="L293" s="14" t="str">
        <f>IFERROR(__xludf.DUMMYFUNCTION("""COMPUTED_VALUE"""),"したぎ")</f>
        <v>したぎ</v>
      </c>
      <c r="M293" s="14" t="str">
        <f>IFERROR(__xludf.DUMMYFUNCTION("""COMPUTED_VALUE"""),"underwear")</f>
        <v>underwear</v>
      </c>
    </row>
    <row r="294">
      <c r="A294" s="39">
        <v>293.0</v>
      </c>
      <c r="B294" s="16" t="s">
        <v>1133</v>
      </c>
      <c r="C294" s="35" t="s">
        <v>1134</v>
      </c>
      <c r="D294" s="11" t="s">
        <v>1135</v>
      </c>
      <c r="E294" s="18" t="s">
        <v>1136</v>
      </c>
      <c r="F294" s="32"/>
      <c r="K294" s="14" t="str">
        <f>IFERROR(__xludf.DUMMYFUNCTION("""COMPUTED_VALUE"""),"食料品")</f>
        <v>食料品</v>
      </c>
      <c r="L294" s="14" t="str">
        <f>IFERROR(__xludf.DUMMYFUNCTION("""COMPUTED_VALUE"""),"しょくりょうひん")</f>
        <v>しょくりょうひん</v>
      </c>
      <c r="M294" s="14" t="str">
        <f>IFERROR(__xludf.DUMMYFUNCTION("""COMPUTED_VALUE"""),"food; groceries")</f>
        <v>food; groceries</v>
      </c>
    </row>
    <row r="295">
      <c r="A295" s="40">
        <v>294.0</v>
      </c>
      <c r="B295" s="16" t="s">
        <v>1137</v>
      </c>
      <c r="C295" s="17" t="s">
        <v>1138</v>
      </c>
      <c r="D295" s="11" t="s">
        <v>1139</v>
      </c>
      <c r="E295" s="18" t="s">
        <v>1140</v>
      </c>
      <c r="F295" s="38"/>
      <c r="K295" s="14" t="str">
        <f>IFERROR(__xludf.DUMMYFUNCTION("""COMPUTED_VALUE"""),"小学校")</f>
        <v>小学校</v>
      </c>
      <c r="L295" s="14" t="str">
        <f>IFERROR(__xludf.DUMMYFUNCTION("""COMPUTED_VALUE"""),"しょうがっこう")</f>
        <v>しょうがっこう</v>
      </c>
      <c r="M295" s="14" t="str">
        <f>IFERROR(__xludf.DUMMYFUNCTION("""COMPUTED_VALUE"""),"elementary school")</f>
        <v>elementary school</v>
      </c>
    </row>
    <row r="296">
      <c r="A296" s="39">
        <v>295.0</v>
      </c>
      <c r="B296" s="16" t="s">
        <v>1141</v>
      </c>
      <c r="C296" s="17" t="s">
        <v>1142</v>
      </c>
      <c r="D296" s="11" t="s">
        <v>1143</v>
      </c>
      <c r="E296" s="18" t="s">
        <v>1144</v>
      </c>
      <c r="F296" s="38"/>
      <c r="K296" s="14" t="str">
        <f>IFERROR(__xludf.DUMMYFUNCTION("""COMPUTED_VALUE"""),"紹介")</f>
        <v>紹介</v>
      </c>
      <c r="L296" s="14" t="str">
        <f>IFERROR(__xludf.DUMMYFUNCTION("""COMPUTED_VALUE"""),"しょうかい")</f>
        <v>しょうかい</v>
      </c>
      <c r="M296" s="14" t="str">
        <f>IFERROR(__xludf.DUMMYFUNCTION("""COMPUTED_VALUE"""),"introduction")</f>
        <v>introduction</v>
      </c>
    </row>
    <row r="297">
      <c r="A297" s="40">
        <v>296.0</v>
      </c>
      <c r="B297" s="16" t="s">
        <v>1145</v>
      </c>
      <c r="C297" s="35" t="s">
        <v>1146</v>
      </c>
      <c r="D297" s="11" t="s">
        <v>1147</v>
      </c>
      <c r="E297" s="18" t="s">
        <v>1148</v>
      </c>
      <c r="F297" s="32"/>
      <c r="K297" s="14" t="str">
        <f>IFERROR(__xludf.DUMMYFUNCTION("""COMPUTED_VALUE"""),"将来")</f>
        <v>将来</v>
      </c>
      <c r="L297" s="14" t="str">
        <f>IFERROR(__xludf.DUMMYFUNCTION("""COMPUTED_VALUE"""),"しょうらい")</f>
        <v>しょうらい</v>
      </c>
      <c r="M297" s="14" t="str">
        <f>IFERROR(__xludf.DUMMYFUNCTION("""COMPUTED_VALUE"""),"future")</f>
        <v>future</v>
      </c>
    </row>
    <row r="298">
      <c r="A298" s="39">
        <v>297.0</v>
      </c>
      <c r="B298" s="16" t="s">
        <v>1149</v>
      </c>
      <c r="C298" s="17" t="s">
        <v>1150</v>
      </c>
      <c r="D298" s="11" t="s">
        <v>1151</v>
      </c>
      <c r="E298" s="18" t="s">
        <v>1152</v>
      </c>
      <c r="F298" s="32"/>
      <c r="K298" s="14" t="str">
        <f>IFERROR(__xludf.DUMMYFUNCTION("""COMPUTED_VALUE"""),"小説")</f>
        <v>小説</v>
      </c>
      <c r="L298" s="14" t="str">
        <f>IFERROR(__xludf.DUMMYFUNCTION("""COMPUTED_VALUE"""),"しょうせつ")</f>
        <v>しょうせつ</v>
      </c>
      <c r="M298" s="14" t="str">
        <f>IFERROR(__xludf.DUMMYFUNCTION("""COMPUTED_VALUE"""),"novel")</f>
        <v>novel</v>
      </c>
    </row>
    <row r="299">
      <c r="A299" s="40">
        <v>298.0</v>
      </c>
      <c r="B299" s="16" t="s">
        <v>1153</v>
      </c>
      <c r="C299" s="35" t="s">
        <v>1154</v>
      </c>
      <c r="D299" s="11" t="s">
        <v>1155</v>
      </c>
      <c r="E299" s="18" t="s">
        <v>1156</v>
      </c>
      <c r="F299" s="32"/>
      <c r="K299" s="14" t="str">
        <f>IFERROR(__xludf.DUMMYFUNCTION("""COMPUTED_VALUE"""),"趣味")</f>
        <v>趣味</v>
      </c>
      <c r="L299" s="14" t="str">
        <f>IFERROR(__xludf.DUMMYFUNCTION("""COMPUTED_VALUE"""),"しゅみ")</f>
        <v>しゅみ</v>
      </c>
      <c r="M299" s="14" t="str">
        <f>IFERROR(__xludf.DUMMYFUNCTION("""COMPUTED_VALUE"""),"hobby; pastime; preference")</f>
        <v>hobby; pastime; preference</v>
      </c>
    </row>
    <row r="300">
      <c r="A300" s="39">
        <v>299.0</v>
      </c>
      <c r="B300" s="16" t="s">
        <v>1157</v>
      </c>
      <c r="C300" s="17" t="s">
        <v>1158</v>
      </c>
      <c r="D300" s="11" t="s">
        <v>1159</v>
      </c>
      <c r="E300" s="18" t="s">
        <v>1160</v>
      </c>
      <c r="F300" s="32"/>
      <c r="K300" s="14" t="str">
        <f>IFERROR(__xludf.DUMMYFUNCTION("""COMPUTED_VALUE"""),"習慣")</f>
        <v>習慣</v>
      </c>
      <c r="L300" s="14" t="str">
        <f>IFERROR(__xludf.DUMMYFUNCTION("""COMPUTED_VALUE"""),"しゅうかん")</f>
        <v>しゅうかん</v>
      </c>
      <c r="M300" s="14" t="str">
        <f>IFERROR(__xludf.DUMMYFUNCTION("""COMPUTED_VALUE"""),"habit; custom")</f>
        <v>habit; custom</v>
      </c>
    </row>
    <row r="301">
      <c r="A301" s="40">
        <v>300.0</v>
      </c>
      <c r="B301" s="16" t="s">
        <v>1161</v>
      </c>
      <c r="C301" s="17" t="s">
        <v>1162</v>
      </c>
      <c r="D301" s="11" t="s">
        <v>1163</v>
      </c>
      <c r="E301" s="18" t="s">
        <v>1164</v>
      </c>
      <c r="F301" s="38"/>
      <c r="K301" s="14" t="str">
        <f>IFERROR(__xludf.DUMMYFUNCTION("""COMPUTED_VALUE"""),"祖母")</f>
        <v>祖母</v>
      </c>
      <c r="L301" s="14" t="str">
        <f>IFERROR(__xludf.DUMMYFUNCTION("""COMPUTED_VALUE"""),"そぼ")</f>
        <v>そぼ</v>
      </c>
      <c r="M301" s="14" t="str">
        <f>IFERROR(__xludf.DUMMYFUNCTION("""COMPUTED_VALUE"""),"grandmother")</f>
        <v>grandmother</v>
      </c>
    </row>
    <row r="302">
      <c r="A302" s="39">
        <v>301.0</v>
      </c>
      <c r="B302" s="16" t="s">
        <v>1165</v>
      </c>
      <c r="C302" s="17" t="s">
        <v>1166</v>
      </c>
      <c r="D302" s="11" t="s">
        <v>1167</v>
      </c>
      <c r="E302" s="18" t="s">
        <v>1168</v>
      </c>
      <c r="F302" s="32"/>
      <c r="K302" s="14" t="str">
        <f>IFERROR(__xludf.DUMMYFUNCTION("""COMPUTED_VALUE"""),"祖父")</f>
        <v>祖父</v>
      </c>
      <c r="L302" s="14" t="str">
        <f>IFERROR(__xludf.DUMMYFUNCTION("""COMPUTED_VALUE"""),"そふ")</f>
        <v>そふ</v>
      </c>
      <c r="M302" s="14" t="str">
        <f>IFERROR(__xludf.DUMMYFUNCTION("""COMPUTED_VALUE"""),"grandfather")</f>
        <v>grandfather</v>
      </c>
    </row>
    <row r="303">
      <c r="A303" s="40">
        <v>302.0</v>
      </c>
      <c r="B303" s="16" t="s">
        <v>1169</v>
      </c>
      <c r="C303" s="17"/>
      <c r="D303" s="11" t="s">
        <v>1170</v>
      </c>
      <c r="E303" s="18" t="s">
        <v>1171</v>
      </c>
      <c r="F303" s="32"/>
      <c r="K303" s="14" t="str">
        <f>IFERROR(__xludf.DUMMYFUNCTION("""COMPUTED_VALUE"""),"ソフト")</f>
        <v>ソフト</v>
      </c>
      <c r="L303" s="14"/>
      <c r="M303" s="14" t="str">
        <f>IFERROR(__xludf.DUMMYFUNCTION("""COMPUTED_VALUE"""),"soft")</f>
        <v>soft</v>
      </c>
    </row>
    <row r="304">
      <c r="A304" s="39">
        <v>303.0</v>
      </c>
      <c r="B304" s="16" t="s">
        <v>1172</v>
      </c>
      <c r="C304" s="17" t="s">
        <v>1173</v>
      </c>
      <c r="D304" s="11" t="s">
        <v>1174</v>
      </c>
      <c r="E304" s="18" t="s">
        <v>1175</v>
      </c>
      <c r="F304" s="38"/>
      <c r="K304" s="14" t="str">
        <f>IFERROR(__xludf.DUMMYFUNCTION("""COMPUTED_VALUE"""),"卒業")</f>
        <v>卒業</v>
      </c>
      <c r="L304" s="14" t="str">
        <f>IFERROR(__xludf.DUMMYFUNCTION("""COMPUTED_VALUE"""),"そつぎょう")</f>
        <v>そつぎょう</v>
      </c>
      <c r="M304" s="14" t="str">
        <f>IFERROR(__xludf.DUMMYFUNCTION("""COMPUTED_VALUE"""),"graduation")</f>
        <v>graduation</v>
      </c>
    </row>
    <row r="305">
      <c r="A305" s="40">
        <v>304.0</v>
      </c>
      <c r="B305" s="16" t="s">
        <v>1176</v>
      </c>
      <c r="C305" s="17" t="s">
        <v>1177</v>
      </c>
      <c r="D305" s="11" t="s">
        <v>1178</v>
      </c>
      <c r="E305" s="18" t="s">
        <v>1179</v>
      </c>
      <c r="F305" s="32"/>
      <c r="K305" s="14" t="str">
        <f>IFERROR(__xludf.DUMMYFUNCTION("""COMPUTED_VALUE"""),"相談")</f>
        <v>相談</v>
      </c>
      <c r="L305" s="14" t="str">
        <f>IFERROR(__xludf.DUMMYFUNCTION("""COMPUTED_VALUE"""),"そうだん")</f>
        <v>そうだん</v>
      </c>
      <c r="M305" s="14" t="str">
        <f>IFERROR(__xludf.DUMMYFUNCTION("""COMPUTED_VALUE"""),"to discuss")</f>
        <v>to discuss</v>
      </c>
    </row>
    <row r="306">
      <c r="A306" s="39">
        <v>305.0</v>
      </c>
      <c r="B306" s="16" t="s">
        <v>1180</v>
      </c>
      <c r="C306" s="17" t="s">
        <v>1181</v>
      </c>
      <c r="D306" s="11" t="s">
        <v>1182</v>
      </c>
      <c r="E306" s="18" t="s">
        <v>1183</v>
      </c>
      <c r="F306" s="38"/>
      <c r="K306" s="14" t="str">
        <f>IFERROR(__xludf.DUMMYFUNCTION("""COMPUTED_VALUE"""),"水道")</f>
        <v>水道</v>
      </c>
      <c r="L306" s="14" t="str">
        <f>IFERROR(__xludf.DUMMYFUNCTION("""COMPUTED_VALUE"""),"すいどう")</f>
        <v>すいどう</v>
      </c>
      <c r="M306" s="14" t="str">
        <f>IFERROR(__xludf.DUMMYFUNCTION("""COMPUTED_VALUE"""),"water supply")</f>
        <v>water supply</v>
      </c>
    </row>
    <row r="307">
      <c r="A307" s="40">
        <v>306.0</v>
      </c>
      <c r="B307" s="16" t="s">
        <v>1184</v>
      </c>
      <c r="C307" s="17" t="s">
        <v>1185</v>
      </c>
      <c r="D307" s="11" t="s">
        <v>1186</v>
      </c>
      <c r="E307" s="18" t="s">
        <v>1187</v>
      </c>
      <c r="F307" s="32"/>
      <c r="K307" s="14" t="str">
        <f>IFERROR(__xludf.DUMMYFUNCTION("""COMPUTED_VALUE"""),"水泳")</f>
        <v>水泳</v>
      </c>
      <c r="L307" s="14" t="str">
        <f>IFERROR(__xludf.DUMMYFUNCTION("""COMPUTED_VALUE"""),"すいえい")</f>
        <v>すいえい</v>
      </c>
      <c r="M307" s="14" t="str">
        <f>IFERROR(__xludf.DUMMYFUNCTION("""COMPUTED_VALUE"""),"swimming")</f>
        <v>swimming</v>
      </c>
    </row>
    <row r="308">
      <c r="A308" s="39">
        <v>307.0</v>
      </c>
      <c r="B308" s="16" t="s">
        <v>1188</v>
      </c>
      <c r="C308" s="17"/>
      <c r="D308" s="11" t="s">
        <v>1189</v>
      </c>
      <c r="E308" s="18" t="s">
        <v>1190</v>
      </c>
      <c r="F308" s="32"/>
      <c r="K308" s="14" t="str">
        <f>IFERROR(__xludf.DUMMYFUNCTION("""COMPUTED_VALUE"""),"スクリーン")</f>
        <v>スクリーン</v>
      </c>
      <c r="L308" s="14"/>
      <c r="M308" s="14" t="str">
        <f>IFERROR(__xludf.DUMMYFUNCTION("""COMPUTED_VALUE"""),"screen")</f>
        <v>screen</v>
      </c>
    </row>
    <row r="309">
      <c r="A309" s="40">
        <v>308.0</v>
      </c>
      <c r="B309" s="16" t="s">
        <v>1191</v>
      </c>
      <c r="C309" s="17" t="s">
        <v>1192</v>
      </c>
      <c r="D309" s="11" t="s">
        <v>1193</v>
      </c>
      <c r="E309" s="18" t="s">
        <v>1194</v>
      </c>
      <c r="F309" s="32"/>
      <c r="K309" s="14" t="str">
        <f>IFERROR(__xludf.DUMMYFUNCTION("""COMPUTED_VALUE"""),"隅")</f>
        <v>隅</v>
      </c>
      <c r="L309" s="14" t="str">
        <f>IFERROR(__xludf.DUMMYFUNCTION("""COMPUTED_VALUE"""),"すみ")</f>
        <v>すみ</v>
      </c>
      <c r="M309" s="14" t="str">
        <f>IFERROR(__xludf.DUMMYFUNCTION("""COMPUTED_VALUE"""),"corner; nook")</f>
        <v>corner; nook</v>
      </c>
    </row>
    <row r="310">
      <c r="A310" s="41">
        <v>309.0</v>
      </c>
      <c r="B310" s="24" t="s">
        <v>1195</v>
      </c>
      <c r="C310" s="25" t="s">
        <v>1196</v>
      </c>
      <c r="D310" s="26" t="s">
        <v>1197</v>
      </c>
      <c r="E310" s="27" t="s">
        <v>1198</v>
      </c>
      <c r="F310" s="31"/>
      <c r="K310" s="14" t="str">
        <f>IFERROR(__xludf.DUMMYFUNCTION("""COMPUTED_VALUE"""),"砂")</f>
        <v>砂</v>
      </c>
      <c r="L310" s="14" t="str">
        <f>IFERROR(__xludf.DUMMYFUNCTION("""COMPUTED_VALUE"""),"すな")</f>
        <v>すな</v>
      </c>
      <c r="M310" s="14" t="str">
        <f>IFERROR(__xludf.DUMMYFUNCTION("""COMPUTED_VALUE"""),"sand")</f>
        <v>sand</v>
      </c>
    </row>
    <row r="311">
      <c r="A311" s="39">
        <v>310.0</v>
      </c>
      <c r="B311" s="16" t="s">
        <v>1199</v>
      </c>
      <c r="C311" s="17"/>
      <c r="D311" s="11" t="s">
        <v>1200</v>
      </c>
      <c r="E311" s="18" t="s">
        <v>1201</v>
      </c>
      <c r="F311" s="32"/>
      <c r="K311" s="14" t="str">
        <f>IFERROR(__xludf.DUMMYFUNCTION("""COMPUTED_VALUE"""),"すり")</f>
        <v>すり</v>
      </c>
      <c r="L311" s="14"/>
      <c r="M311" s="14" t="str">
        <f>IFERROR(__xludf.DUMMYFUNCTION("""COMPUTED_VALUE"""),"pickpocket")</f>
        <v>pickpocket</v>
      </c>
    </row>
    <row r="312">
      <c r="A312" s="40">
        <v>311.0</v>
      </c>
      <c r="B312" s="16" t="s">
        <v>1202</v>
      </c>
      <c r="C312" s="17"/>
      <c r="D312" s="11" t="s">
        <v>1203</v>
      </c>
      <c r="E312" s="18" t="s">
        <v>1204</v>
      </c>
      <c r="F312" s="32"/>
      <c r="K312" s="14" t="str">
        <f>IFERROR(__xludf.DUMMYFUNCTION("""COMPUTED_VALUE"""),"スーツケース")</f>
        <v>スーツケース</v>
      </c>
      <c r="L312" s="14"/>
      <c r="M312" s="14" t="str">
        <f>IFERROR(__xludf.DUMMYFUNCTION("""COMPUTED_VALUE"""),"suitcase")</f>
        <v>suitcase</v>
      </c>
    </row>
    <row r="313">
      <c r="A313" s="39">
        <v>312.0</v>
      </c>
      <c r="B313" s="16" t="s">
        <v>1205</v>
      </c>
      <c r="C313" s="17"/>
      <c r="D313" s="11" t="s">
        <v>1206</v>
      </c>
      <c r="E313" s="18" t="s">
        <v>1207</v>
      </c>
      <c r="F313" s="38"/>
      <c r="K313" s="14" t="str">
        <f>IFERROR(__xludf.DUMMYFUNCTION("""COMPUTED_VALUE"""),"ステーキ")</f>
        <v>ステーキ</v>
      </c>
      <c r="L313" s="14"/>
      <c r="M313" s="14" t="str">
        <f>IFERROR(__xludf.DUMMYFUNCTION("""COMPUTED_VALUE"""),"steak")</f>
        <v>steak</v>
      </c>
    </row>
    <row r="314">
      <c r="A314" s="39">
        <v>313.0</v>
      </c>
      <c r="B314" s="16" t="s">
        <v>1208</v>
      </c>
      <c r="C314" s="17"/>
      <c r="D314" s="11" t="s">
        <v>1209</v>
      </c>
      <c r="E314" s="18" t="s">
        <v>1210</v>
      </c>
      <c r="F314" s="38"/>
      <c r="K314" s="14" t="str">
        <f>IFERROR(__xludf.DUMMYFUNCTION("""COMPUTED_VALUE"""),"ステレオ")</f>
        <v>ステレオ</v>
      </c>
      <c r="L314" s="14"/>
      <c r="M314" s="14" t="str">
        <f>IFERROR(__xludf.DUMMYFUNCTION("""COMPUTED_VALUE"""),"stereo")</f>
        <v>stereo</v>
      </c>
    </row>
    <row r="315">
      <c r="A315" s="40">
        <v>314.0</v>
      </c>
      <c r="B315" s="16" t="s">
        <v>1211</v>
      </c>
      <c r="C315" s="35" t="s">
        <v>1212</v>
      </c>
      <c r="D315" s="11" t="s">
        <v>1213</v>
      </c>
      <c r="E315" s="18" t="s">
        <v>1214</v>
      </c>
      <c r="F315" s="32"/>
      <c r="K315" s="14" t="str">
        <f>IFERROR(__xludf.DUMMYFUNCTION("""COMPUTED_VALUE"""),"数学")</f>
        <v>数学</v>
      </c>
      <c r="L315" s="14" t="str">
        <f>IFERROR(__xludf.DUMMYFUNCTION("""COMPUTED_VALUE"""),"すうがく")</f>
        <v>すうがく</v>
      </c>
      <c r="M315" s="14" t="str">
        <f>IFERROR(__xludf.DUMMYFUNCTION("""COMPUTED_VALUE"""),"mathematics; arithmetic")</f>
        <v>mathematics; arithmetic</v>
      </c>
    </row>
    <row r="316">
      <c r="A316" s="39">
        <v>315.0</v>
      </c>
      <c r="B316" s="16" t="s">
        <v>1215</v>
      </c>
      <c r="C316" s="17"/>
      <c r="D316" s="11" t="s">
        <v>1216</v>
      </c>
      <c r="E316" s="18" t="s">
        <v>1217</v>
      </c>
      <c r="F316" s="32"/>
      <c r="K316" s="14" t="str">
        <f>IFERROR(__xludf.DUMMYFUNCTION("""COMPUTED_VALUE"""),"スーツ")</f>
        <v>スーツ</v>
      </c>
      <c r="L316" s="14"/>
      <c r="M316" s="14" t="str">
        <f>IFERROR(__xludf.DUMMYFUNCTION("""COMPUTED_VALUE"""),"suit")</f>
        <v>suit</v>
      </c>
    </row>
    <row r="317">
      <c r="A317" s="40">
        <v>316.0</v>
      </c>
      <c r="B317" s="16" t="s">
        <v>1218</v>
      </c>
      <c r="C317" s="17" t="s">
        <v>1219</v>
      </c>
      <c r="D317" s="11" t="s">
        <v>1220</v>
      </c>
      <c r="E317" s="18" t="s">
        <v>1221</v>
      </c>
      <c r="F317" s="38"/>
      <c r="K317" s="14" t="str">
        <f>IFERROR(__xludf.DUMMYFUNCTION("""COMPUTED_VALUE"""),"退院")</f>
        <v>退院</v>
      </c>
      <c r="L317" s="14" t="str">
        <f>IFERROR(__xludf.DUMMYFUNCTION("""COMPUTED_VALUE"""),"たいいん")</f>
        <v>たいいん</v>
      </c>
      <c r="M317" s="14" t="str">
        <f>IFERROR(__xludf.DUMMYFUNCTION("""COMPUTED_VALUE"""),"leaving hospital; discharge")</f>
        <v>leaving hospital; discharge</v>
      </c>
    </row>
    <row r="318">
      <c r="A318" s="39">
        <v>317.0</v>
      </c>
      <c r="B318" s="16" t="s">
        <v>1222</v>
      </c>
      <c r="C318" s="17" t="s">
        <v>1223</v>
      </c>
      <c r="D318" s="11" t="s">
        <v>1224</v>
      </c>
      <c r="E318" s="18" t="s">
        <v>1225</v>
      </c>
      <c r="F318" s="32"/>
      <c r="K318" s="14" t="str">
        <f>IFERROR(__xludf.DUMMYFUNCTION("""COMPUTED_VALUE"""),"台風")</f>
        <v>台風</v>
      </c>
      <c r="L318" s="14" t="str">
        <f>IFERROR(__xludf.DUMMYFUNCTION("""COMPUTED_VALUE"""),"たいふう")</f>
        <v>たいふう</v>
      </c>
      <c r="M318" s="14" t="str">
        <f>IFERROR(__xludf.DUMMYFUNCTION("""COMPUTED_VALUE"""),"typhoon")</f>
        <v>typhoon</v>
      </c>
    </row>
    <row r="319">
      <c r="A319" s="40">
        <v>318.0</v>
      </c>
      <c r="B319" s="16" t="s">
        <v>1226</v>
      </c>
      <c r="C319" s="17"/>
      <c r="D319" s="11" t="s">
        <v>1227</v>
      </c>
      <c r="E319" s="18" t="s">
        <v>1228</v>
      </c>
      <c r="F319" s="32"/>
      <c r="K319" s="14" t="str">
        <f>IFERROR(__xludf.DUMMYFUNCTION("""COMPUTED_VALUE"""),"タイプ")</f>
        <v>タイプ</v>
      </c>
      <c r="L319" s="14"/>
      <c r="M319" s="14" t="str">
        <f>IFERROR(__xludf.DUMMYFUNCTION("""COMPUTED_VALUE"""),"type,style")</f>
        <v>type,style</v>
      </c>
    </row>
    <row r="320">
      <c r="A320" s="39">
        <v>319.0</v>
      </c>
      <c r="B320" s="16" t="s">
        <v>1229</v>
      </c>
      <c r="C320" s="17"/>
      <c r="D320" s="11" t="s">
        <v>1230</v>
      </c>
      <c r="E320" s="18" t="s">
        <v>213</v>
      </c>
      <c r="F320" s="32"/>
      <c r="K320" s="14" t="str">
        <f>IFERROR(__xludf.DUMMYFUNCTION("""COMPUTED_VALUE"""),"たいてい")</f>
        <v>たいてい</v>
      </c>
      <c r="L320" s="14"/>
      <c r="M320" s="14" t="str">
        <f>IFERROR(__xludf.DUMMYFUNCTION("""COMPUTED_VALUE"""),"usually")</f>
        <v>usually</v>
      </c>
    </row>
    <row r="321">
      <c r="A321" s="40">
        <v>320.0</v>
      </c>
      <c r="B321" s="16" t="s">
        <v>1231</v>
      </c>
      <c r="C321" s="17" t="s">
        <v>1232</v>
      </c>
      <c r="D321" s="11" t="s">
        <v>1233</v>
      </c>
      <c r="E321" s="18" t="s">
        <v>1234</v>
      </c>
      <c r="F321" s="32"/>
      <c r="K321" s="14" t="str">
        <f>IFERROR(__xludf.DUMMYFUNCTION("""COMPUTED_VALUE"""),"棚")</f>
        <v>棚</v>
      </c>
      <c r="L321" s="14" t="str">
        <f>IFERROR(__xludf.DUMMYFUNCTION("""COMPUTED_VALUE"""),"たな")</f>
        <v>たな</v>
      </c>
      <c r="M321" s="14" t="str">
        <f>IFERROR(__xludf.DUMMYFUNCTION("""COMPUTED_VALUE"""),"shelves")</f>
        <v>shelves</v>
      </c>
    </row>
    <row r="322">
      <c r="A322" s="39">
        <v>321.0</v>
      </c>
      <c r="B322" s="16" t="s">
        <v>1235</v>
      </c>
      <c r="C322" s="17" t="s">
        <v>1236</v>
      </c>
      <c r="D322" s="11" t="s">
        <v>1237</v>
      </c>
      <c r="E322" s="18" t="s">
        <v>1238</v>
      </c>
      <c r="F322" s="38"/>
      <c r="K322" s="14" t="str">
        <f>IFERROR(__xludf.DUMMYFUNCTION("""COMPUTED_VALUE"""),"誕生")</f>
        <v>誕生</v>
      </c>
      <c r="L322" s="14" t="str">
        <f>IFERROR(__xludf.DUMMYFUNCTION("""COMPUTED_VALUE"""),"たんじょう")</f>
        <v>たんじょう</v>
      </c>
      <c r="M322" s="14" t="str">
        <f>IFERROR(__xludf.DUMMYFUNCTION("""COMPUTED_VALUE"""),"birth")</f>
        <v>birth</v>
      </c>
    </row>
    <row r="323">
      <c r="A323" s="40">
        <v>322.0</v>
      </c>
      <c r="B323" s="16" t="s">
        <v>1239</v>
      </c>
      <c r="C323" s="17" t="s">
        <v>1240</v>
      </c>
      <c r="D323" s="11" t="s">
        <v>1241</v>
      </c>
      <c r="E323" s="18" t="s">
        <v>1242</v>
      </c>
      <c r="F323" s="32"/>
      <c r="K323" s="14" t="str">
        <f>IFERROR(__xludf.DUMMYFUNCTION("""COMPUTED_VALUE"""),"楽しみ")</f>
        <v>楽しみ</v>
      </c>
      <c r="L323" s="14" t="str">
        <f>IFERROR(__xludf.DUMMYFUNCTION("""COMPUTED_VALUE"""),"たのしみ")</f>
        <v>たのしみ</v>
      </c>
      <c r="M323" s="14" t="str">
        <f>IFERROR(__xludf.DUMMYFUNCTION("""COMPUTED_VALUE"""),"looking forward to")</f>
        <v>looking forward to</v>
      </c>
    </row>
    <row r="324">
      <c r="A324" s="39">
        <v>323.0</v>
      </c>
      <c r="B324" s="16" t="s">
        <v>1243</v>
      </c>
      <c r="C324" s="35" t="s">
        <v>1244</v>
      </c>
      <c r="D324" s="11" t="s">
        <v>1245</v>
      </c>
      <c r="E324" s="18" t="s">
        <v>1246</v>
      </c>
      <c r="F324" s="32"/>
      <c r="K324" s="14" t="str">
        <f>IFERROR(__xludf.DUMMYFUNCTION("""COMPUTED_VALUE"""),"畳")</f>
        <v>畳</v>
      </c>
      <c r="L324" s="14" t="str">
        <f>IFERROR(__xludf.DUMMYFUNCTION("""COMPUTED_VALUE"""),"たたみ")</f>
        <v>たたみ</v>
      </c>
      <c r="M324" s="14" t="str">
        <f>IFERROR(__xludf.DUMMYFUNCTION("""COMPUTED_VALUE"""),"Japanese straw mat")</f>
        <v>Japanese straw mat</v>
      </c>
    </row>
    <row r="325">
      <c r="A325" s="40">
        <v>324.0</v>
      </c>
      <c r="B325" s="16" t="s">
        <v>1247</v>
      </c>
      <c r="C325" s="35" t="s">
        <v>1248</v>
      </c>
      <c r="D325" s="11" t="s">
        <v>1249</v>
      </c>
      <c r="E325" s="18" t="s">
        <v>1250</v>
      </c>
      <c r="F325" s="32"/>
      <c r="K325" s="14" t="str">
        <f>IFERROR(__xludf.DUMMYFUNCTION("""COMPUTED_VALUE"""),"手袋")</f>
        <v>手袋</v>
      </c>
      <c r="L325" s="14" t="str">
        <f>IFERROR(__xludf.DUMMYFUNCTION("""COMPUTED_VALUE"""),"てぶくろ")</f>
        <v>てぶくろ</v>
      </c>
      <c r="M325" s="14" t="str">
        <f>IFERROR(__xludf.DUMMYFUNCTION("""COMPUTED_VALUE"""),"glove")</f>
        <v>glove</v>
      </c>
    </row>
    <row r="326">
      <c r="A326" s="39">
        <v>325.0</v>
      </c>
      <c r="B326" s="16" t="s">
        <v>1251</v>
      </c>
      <c r="C326" s="17" t="s">
        <v>1252</v>
      </c>
      <c r="D326" s="11" t="s">
        <v>1253</v>
      </c>
      <c r="E326" s="18" t="s">
        <v>1254</v>
      </c>
      <c r="F326" s="32"/>
      <c r="K326" s="14" t="str">
        <f>IFERROR(__xludf.DUMMYFUNCTION("""COMPUTED_VALUE"""),"丁寧")</f>
        <v>丁寧</v>
      </c>
      <c r="L326" s="14" t="str">
        <f>IFERROR(__xludf.DUMMYFUNCTION("""COMPUTED_VALUE"""),"ていねい")</f>
        <v>ていねい</v>
      </c>
      <c r="M326" s="14" t="str">
        <f>IFERROR(__xludf.DUMMYFUNCTION("""COMPUTED_VALUE"""),"polite")</f>
        <v>polite</v>
      </c>
    </row>
    <row r="327">
      <c r="A327" s="40">
        <v>326.0</v>
      </c>
      <c r="B327" s="16" t="s">
        <v>1255</v>
      </c>
      <c r="C327" s="17"/>
      <c r="D327" s="11" t="s">
        <v>1256</v>
      </c>
      <c r="E327" s="18" t="s">
        <v>1257</v>
      </c>
      <c r="F327" s="32"/>
      <c r="K327" s="14" t="str">
        <f>IFERROR(__xludf.DUMMYFUNCTION("""COMPUTED_VALUE"""),"テキスト")</f>
        <v>テキスト</v>
      </c>
      <c r="L327" s="14"/>
      <c r="M327" s="14" t="str">
        <f>IFERROR(__xludf.DUMMYFUNCTION("""COMPUTED_VALUE"""),"text; textbook")</f>
        <v>text; textbook</v>
      </c>
    </row>
    <row r="328">
      <c r="A328" s="39">
        <v>327.0</v>
      </c>
      <c r="B328" s="16" t="s">
        <v>1258</v>
      </c>
      <c r="C328" s="17" t="s">
        <v>1259</v>
      </c>
      <c r="D328" s="11" t="s">
        <v>1260</v>
      </c>
      <c r="E328" s="18" t="s">
        <v>1261</v>
      </c>
      <c r="F328" s="32"/>
      <c r="K328" s="14" t="str">
        <f>IFERROR(__xludf.DUMMYFUNCTION("""COMPUTED_VALUE"""),"適当")</f>
        <v>適当</v>
      </c>
      <c r="L328" s="14" t="str">
        <f>IFERROR(__xludf.DUMMYFUNCTION("""COMPUTED_VALUE"""),"てきとう")</f>
        <v>てきとう</v>
      </c>
      <c r="M328" s="14" t="str">
        <f>IFERROR(__xludf.DUMMYFUNCTION("""COMPUTED_VALUE"""),"suitable")</f>
        <v>suitable</v>
      </c>
    </row>
    <row r="329">
      <c r="A329" s="40">
        <v>328.0</v>
      </c>
      <c r="B329" s="16" t="s">
        <v>1262</v>
      </c>
      <c r="C329" s="17" t="s">
        <v>1263</v>
      </c>
      <c r="D329" s="11" t="s">
        <v>1264</v>
      </c>
      <c r="E329" s="18" t="s">
        <v>1265</v>
      </c>
      <c r="F329" s="32"/>
      <c r="K329" s="14" t="str">
        <f>IFERROR(__xludf.DUMMYFUNCTION("""COMPUTED_VALUE"""),"点")</f>
        <v>点</v>
      </c>
      <c r="L329" s="14" t="str">
        <f>IFERROR(__xludf.DUMMYFUNCTION("""COMPUTED_VALUE"""),"てん")</f>
        <v>てん</v>
      </c>
      <c r="M329" s="14" t="str">
        <f>IFERROR(__xludf.DUMMYFUNCTION("""COMPUTED_VALUE"""),"point; dot")</f>
        <v>point; dot</v>
      </c>
    </row>
    <row r="330">
      <c r="A330" s="39">
        <v>329.0</v>
      </c>
      <c r="B330" s="16" t="s">
        <v>1266</v>
      </c>
      <c r="C330" s="17" t="s">
        <v>1267</v>
      </c>
      <c r="D330" s="11" t="s">
        <v>1268</v>
      </c>
      <c r="E330" s="18" t="s">
        <v>1269</v>
      </c>
      <c r="F330" s="38"/>
      <c r="K330" s="14" t="str">
        <f>IFERROR(__xludf.DUMMYFUNCTION("""COMPUTED_VALUE"""),"店員")</f>
        <v>店員</v>
      </c>
      <c r="L330" s="14" t="str">
        <f>IFERROR(__xludf.DUMMYFUNCTION("""COMPUTED_VALUE"""),"てんいん")</f>
        <v>てんいん</v>
      </c>
      <c r="M330" s="14" t="str">
        <f>IFERROR(__xludf.DUMMYFUNCTION("""COMPUTED_VALUE"""),"shop assistant; clerk")</f>
        <v>shop assistant; clerk</v>
      </c>
    </row>
    <row r="331">
      <c r="A331" s="40">
        <v>330.0</v>
      </c>
      <c r="B331" s="16" t="s">
        <v>1270</v>
      </c>
      <c r="C331" s="17"/>
      <c r="D331" s="11" t="s">
        <v>1271</v>
      </c>
      <c r="E331" s="18" t="s">
        <v>1272</v>
      </c>
      <c r="F331" s="32"/>
      <c r="K331" s="14" t="str">
        <f>IFERROR(__xludf.DUMMYFUNCTION("""COMPUTED_VALUE"""),"テニス")</f>
        <v>テニス</v>
      </c>
      <c r="L331" s="14"/>
      <c r="M331" s="14" t="str">
        <f>IFERROR(__xludf.DUMMYFUNCTION("""COMPUTED_VALUE"""),"tennis")</f>
        <v>tennis</v>
      </c>
    </row>
    <row r="332">
      <c r="A332" s="39">
        <v>331.0</v>
      </c>
      <c r="B332" s="16" t="s">
        <v>1273</v>
      </c>
      <c r="C332" s="17" t="s">
        <v>1274</v>
      </c>
      <c r="D332" s="11" t="s">
        <v>1275</v>
      </c>
      <c r="E332" s="18" t="s">
        <v>1276</v>
      </c>
      <c r="F332" s="32"/>
      <c r="K332" s="14" t="str">
        <f>IFERROR(__xludf.DUMMYFUNCTION("""COMPUTED_VALUE"""),"天気予報")</f>
        <v>天気予報</v>
      </c>
      <c r="L332" s="14" t="str">
        <f>IFERROR(__xludf.DUMMYFUNCTION("""COMPUTED_VALUE"""),"てんきよほう")</f>
        <v>てんきよほう</v>
      </c>
      <c r="M332" s="14" t="str">
        <f>IFERROR(__xludf.DUMMYFUNCTION("""COMPUTED_VALUE"""),"weather forecast")</f>
        <v>weather forecast</v>
      </c>
    </row>
    <row r="333">
      <c r="A333" s="40">
        <v>332.0</v>
      </c>
      <c r="B333" s="16" t="s">
        <v>1277</v>
      </c>
      <c r="C333" s="17" t="s">
        <v>1278</v>
      </c>
      <c r="D333" s="11" t="s">
        <v>1279</v>
      </c>
      <c r="E333" s="18" t="s">
        <v>1280</v>
      </c>
      <c r="F333" s="38"/>
      <c r="K333" s="14" t="str">
        <f>IFERROR(__xludf.DUMMYFUNCTION("""COMPUTED_VALUE"""),"展覧会")</f>
        <v>展覧会</v>
      </c>
      <c r="L333" s="14" t="str">
        <f>IFERROR(__xludf.DUMMYFUNCTION("""COMPUTED_VALUE"""),"てんらんかい")</f>
        <v>てんらんかい</v>
      </c>
      <c r="M333" s="14" t="str">
        <f>IFERROR(__xludf.DUMMYFUNCTION("""COMPUTED_VALUE"""),"exhibition")</f>
        <v>exhibition</v>
      </c>
    </row>
    <row r="334">
      <c r="A334" s="39">
        <v>333.0</v>
      </c>
      <c r="B334" s="16" t="s">
        <v>1281</v>
      </c>
      <c r="C334" s="17" t="s">
        <v>1282</v>
      </c>
      <c r="D334" s="11" t="s">
        <v>1283</v>
      </c>
      <c r="E334" s="18" t="s">
        <v>1284</v>
      </c>
      <c r="F334" s="32"/>
      <c r="K334" s="14" t="str">
        <f>IFERROR(__xludf.DUMMYFUNCTION("""COMPUTED_VALUE"""),"寺")</f>
        <v>寺</v>
      </c>
      <c r="L334" s="14" t="str">
        <f>IFERROR(__xludf.DUMMYFUNCTION("""COMPUTED_VALUE"""),"てら")</f>
        <v>てら</v>
      </c>
      <c r="M334" s="14" t="str">
        <f>IFERROR(__xludf.DUMMYFUNCTION("""COMPUTED_VALUE"""),"temple")</f>
        <v>temple</v>
      </c>
    </row>
    <row r="335">
      <c r="A335" s="40">
        <v>334.0</v>
      </c>
      <c r="B335" s="16" t="s">
        <v>1285</v>
      </c>
      <c r="C335" s="17" t="s">
        <v>1286</v>
      </c>
      <c r="D335" s="11" t="s">
        <v>1287</v>
      </c>
      <c r="E335" s="18" t="s">
        <v>1288</v>
      </c>
      <c r="F335" s="38"/>
      <c r="K335" s="14" t="str">
        <f>IFERROR(__xludf.DUMMYFUNCTION("""COMPUTED_VALUE"""),"途中")</f>
        <v>途中</v>
      </c>
      <c r="L335" s="14" t="str">
        <f>IFERROR(__xludf.DUMMYFUNCTION("""COMPUTED_VALUE"""),"とちゅう")</f>
        <v>とちゅう</v>
      </c>
      <c r="M335" s="14" t="str">
        <f>IFERROR(__xludf.DUMMYFUNCTION("""COMPUTED_VALUE"""),"on the way")</f>
        <v>on the way</v>
      </c>
    </row>
    <row r="336">
      <c r="A336" s="41">
        <v>335.0</v>
      </c>
      <c r="B336" s="24" t="s">
        <v>1289</v>
      </c>
      <c r="C336" s="25" t="s">
        <v>1290</v>
      </c>
      <c r="D336" s="26" t="s">
        <v>1291</v>
      </c>
      <c r="E336" s="27" t="s">
        <v>1292</v>
      </c>
      <c r="F336" s="34"/>
      <c r="K336" s="14" t="str">
        <f>IFERROR(__xludf.DUMMYFUNCTION("""COMPUTED_VALUE"""),"特急")</f>
        <v>特急</v>
      </c>
      <c r="L336" s="14" t="str">
        <f>IFERROR(__xludf.DUMMYFUNCTION("""COMPUTED_VALUE"""),"とっきゅう")</f>
        <v>とっきゅう</v>
      </c>
      <c r="M336" s="14" t="str">
        <f>IFERROR(__xludf.DUMMYFUNCTION("""COMPUTED_VALUE"""),"limited express (train)")</f>
        <v>limited express (train)</v>
      </c>
    </row>
    <row r="337">
      <c r="A337" s="39">
        <v>336.0</v>
      </c>
      <c r="B337" s="16" t="s">
        <v>1293</v>
      </c>
      <c r="C337" s="35" t="s">
        <v>1294</v>
      </c>
      <c r="D337" s="11" t="s">
        <v>1295</v>
      </c>
      <c r="E337" s="18" t="s">
        <v>1296</v>
      </c>
      <c r="F337" s="32"/>
      <c r="K337" s="14" t="str">
        <f>IFERROR(__xludf.DUMMYFUNCTION("""COMPUTED_VALUE"""),"床屋")</f>
        <v>床屋</v>
      </c>
      <c r="L337" s="14" t="str">
        <f>IFERROR(__xludf.DUMMYFUNCTION("""COMPUTED_VALUE"""),"とこや")</f>
        <v>とこや</v>
      </c>
      <c r="M337" s="14" t="str">
        <f>IFERROR(__xludf.DUMMYFUNCTION("""COMPUTED_VALUE"""),"barber")</f>
        <v>barber</v>
      </c>
    </row>
    <row r="338">
      <c r="A338" s="39">
        <v>337.0</v>
      </c>
      <c r="B338" s="16" t="s">
        <v>1297</v>
      </c>
      <c r="C338" s="17" t="s">
        <v>1298</v>
      </c>
      <c r="D338" s="11" t="s">
        <v>1299</v>
      </c>
      <c r="E338" s="18" t="s">
        <v>1300</v>
      </c>
      <c r="F338" s="32"/>
      <c r="K338" s="14" t="str">
        <f>IFERROR(__xludf.DUMMYFUNCTION("""COMPUTED_VALUE"""),"特別")</f>
        <v>特別</v>
      </c>
      <c r="L338" s="14" t="str">
        <f>IFERROR(__xludf.DUMMYFUNCTION("""COMPUTED_VALUE"""),"とくべつ")</f>
        <v>とくべつ</v>
      </c>
      <c r="M338" s="14" t="str">
        <f>IFERROR(__xludf.DUMMYFUNCTION("""COMPUTED_VALUE"""),"special; particular")</f>
        <v>special; particular</v>
      </c>
    </row>
    <row r="339">
      <c r="A339" s="40">
        <v>338.0</v>
      </c>
      <c r="B339" s="16" t="s">
        <v>1301</v>
      </c>
      <c r="C339" s="17" t="s">
        <v>1302</v>
      </c>
      <c r="D339" s="11" t="s">
        <v>1303</v>
      </c>
      <c r="E339" s="18" t="s">
        <v>1304</v>
      </c>
      <c r="F339" s="38"/>
      <c r="K339" s="14" t="str">
        <f>IFERROR(__xludf.DUMMYFUNCTION("""COMPUTED_VALUE"""),"遠く")</f>
        <v>遠く</v>
      </c>
      <c r="L339" s="14" t="str">
        <f>IFERROR(__xludf.DUMMYFUNCTION("""COMPUTED_VALUE"""),"とおく")</f>
        <v>とおく</v>
      </c>
      <c r="M339" s="14" t="str">
        <f>IFERROR(__xludf.DUMMYFUNCTION("""COMPUTED_VALUE"""),"distant")</f>
        <v>distant</v>
      </c>
    </row>
    <row r="340">
      <c r="A340" s="39">
        <v>339.0</v>
      </c>
      <c r="B340" s="16" t="s">
        <v>1305</v>
      </c>
      <c r="C340" s="17" t="s">
        <v>1306</v>
      </c>
      <c r="D340" s="11" t="s">
        <v>1307</v>
      </c>
      <c r="E340" s="18" t="s">
        <v>1308</v>
      </c>
      <c r="F340" s="32"/>
      <c r="K340" s="14" t="str">
        <f>IFERROR(__xludf.DUMMYFUNCTION("""COMPUTED_VALUE"""),"都合")</f>
        <v>都合</v>
      </c>
      <c r="L340" s="14" t="str">
        <f>IFERROR(__xludf.DUMMYFUNCTION("""COMPUTED_VALUE"""),"つごう")</f>
        <v>つごう</v>
      </c>
      <c r="M340" s="14" t="str">
        <f>IFERROR(__xludf.DUMMYFUNCTION("""COMPUTED_VALUE"""),"convenience")</f>
        <v>convenience</v>
      </c>
    </row>
    <row r="341">
      <c r="A341" s="40">
        <v>340.0</v>
      </c>
      <c r="B341" s="16" t="s">
        <v>1309</v>
      </c>
      <c r="C341" s="35" t="s">
        <v>1310</v>
      </c>
      <c r="D341" s="11" t="s">
        <v>1311</v>
      </c>
      <c r="E341" s="18" t="s">
        <v>1312</v>
      </c>
      <c r="F341" s="32"/>
      <c r="K341" s="14" t="str">
        <f>IFERROR(__xludf.DUMMYFUNCTION("""COMPUTED_VALUE"""),"月")</f>
        <v>月</v>
      </c>
      <c r="L341" s="14" t="str">
        <f>IFERROR(__xludf.DUMMYFUNCTION("""COMPUTED_VALUE"""),"つき")</f>
        <v>つき</v>
      </c>
      <c r="M341" s="14" t="str">
        <f>IFERROR(__xludf.DUMMYFUNCTION("""COMPUTED_VALUE"""),"moon")</f>
        <v>moon</v>
      </c>
    </row>
    <row r="342">
      <c r="A342" s="39">
        <v>341.0</v>
      </c>
      <c r="B342" s="16" t="s">
        <v>1313</v>
      </c>
      <c r="C342" s="17" t="s">
        <v>1314</v>
      </c>
      <c r="D342" s="11" t="s">
        <v>1315</v>
      </c>
      <c r="E342" s="18" t="s">
        <v>1316</v>
      </c>
      <c r="F342" s="32"/>
      <c r="K342" s="14" t="str">
        <f>IFERROR(__xludf.DUMMYFUNCTION("""COMPUTED_VALUE"""),"妻")</f>
        <v>妻</v>
      </c>
      <c r="L342" s="14" t="str">
        <f>IFERROR(__xludf.DUMMYFUNCTION("""COMPUTED_VALUE"""),"つま")</f>
        <v>つま</v>
      </c>
      <c r="M342" s="14" t="str">
        <f>IFERROR(__xludf.DUMMYFUNCTION("""COMPUTED_VALUE"""),"(humble) wife")</f>
        <v>(humble) wife</v>
      </c>
    </row>
    <row r="343">
      <c r="A343" s="40">
        <v>342.0</v>
      </c>
      <c r="B343" s="16" t="s">
        <v>1317</v>
      </c>
      <c r="C343" s="17" t="s">
        <v>1318</v>
      </c>
      <c r="D343" s="11" t="s">
        <v>1319</v>
      </c>
      <c r="E343" s="18" t="s">
        <v>1320</v>
      </c>
      <c r="F343" s="32"/>
      <c r="K343" s="14" t="str">
        <f>IFERROR(__xludf.DUMMYFUNCTION("""COMPUTED_VALUE"""),"腕")</f>
        <v>腕</v>
      </c>
      <c r="L343" s="14" t="str">
        <f>IFERROR(__xludf.DUMMYFUNCTION("""COMPUTED_VALUE"""),"うで")</f>
        <v>うで</v>
      </c>
      <c r="M343" s="14" t="str">
        <f>IFERROR(__xludf.DUMMYFUNCTION("""COMPUTED_VALUE"""),"arm")</f>
        <v>arm</v>
      </c>
    </row>
    <row r="344">
      <c r="A344" s="39">
        <v>343.0</v>
      </c>
      <c r="B344" s="16" t="s">
        <v>1321</v>
      </c>
      <c r="C344" s="35" t="s">
        <v>1322</v>
      </c>
      <c r="D344" s="11" t="s">
        <v>1323</v>
      </c>
      <c r="E344" s="18" t="s">
        <v>1324</v>
      </c>
      <c r="F344" s="32"/>
      <c r="K344" s="14" t="str">
        <f>IFERROR(__xludf.DUMMYFUNCTION("""COMPUTED_VALUE"""),"受付")</f>
        <v>受付</v>
      </c>
      <c r="L344" s="14" t="str">
        <f>IFERROR(__xludf.DUMMYFUNCTION("""COMPUTED_VALUE"""),"うけつけ")</f>
        <v>うけつけ</v>
      </c>
      <c r="M344" s="14" t="str">
        <f>IFERROR(__xludf.DUMMYFUNCTION("""COMPUTED_VALUE"""),"reception (desk)")</f>
        <v>reception (desk)</v>
      </c>
    </row>
    <row r="345">
      <c r="A345" s="40">
        <v>344.0</v>
      </c>
      <c r="B345" s="16" t="s">
        <v>1325</v>
      </c>
      <c r="C345" s="35" t="s">
        <v>1326</v>
      </c>
      <c r="D345" s="11" t="s">
        <v>1327</v>
      </c>
      <c r="E345" s="18" t="s">
        <v>1238</v>
      </c>
      <c r="F345" s="32"/>
      <c r="K345" s="14" t="str">
        <f>IFERROR(__xludf.DUMMYFUNCTION("""COMPUTED_VALUE"""),"生まれ")</f>
        <v>生まれ</v>
      </c>
      <c r="L345" s="14" t="str">
        <f>IFERROR(__xludf.DUMMYFUNCTION("""COMPUTED_VALUE"""),"うまれ")</f>
        <v>うまれ</v>
      </c>
      <c r="M345" s="14" t="str">
        <f>IFERROR(__xludf.DUMMYFUNCTION("""COMPUTED_VALUE"""),"birth")</f>
        <v>birth</v>
      </c>
    </row>
    <row r="346">
      <c r="A346" s="39">
        <v>345.0</v>
      </c>
      <c r="B346" s="16" t="s">
        <v>1328</v>
      </c>
      <c r="C346" s="35" t="s">
        <v>1329</v>
      </c>
      <c r="D346" s="11" t="s">
        <v>1330</v>
      </c>
      <c r="E346" s="18" t="s">
        <v>1331</v>
      </c>
      <c r="F346" s="32"/>
      <c r="K346" s="14" t="str">
        <f>IFERROR(__xludf.DUMMYFUNCTION("""COMPUTED_VALUE"""),"運転手")</f>
        <v>運転手</v>
      </c>
      <c r="L346" s="14" t="str">
        <f>IFERROR(__xludf.DUMMYFUNCTION("""COMPUTED_VALUE"""),"うんてんしゅ")</f>
        <v>うんてんしゅ</v>
      </c>
      <c r="M346" s="14" t="str">
        <f>IFERROR(__xludf.DUMMYFUNCTION("""COMPUTED_VALUE"""),"driver; chauffeur")</f>
        <v>driver; chauffeur</v>
      </c>
    </row>
    <row r="347">
      <c r="A347" s="40">
        <v>346.0</v>
      </c>
      <c r="B347" s="16" t="s">
        <v>1332</v>
      </c>
      <c r="C347" s="35" t="s">
        <v>1333</v>
      </c>
      <c r="D347" s="11" t="s">
        <v>1334</v>
      </c>
      <c r="E347" s="18" t="s">
        <v>1335</v>
      </c>
      <c r="F347" s="32"/>
      <c r="K347" s="14" t="str">
        <f>IFERROR(__xludf.DUMMYFUNCTION("""COMPUTED_VALUE"""),"裏")</f>
        <v>裏</v>
      </c>
      <c r="L347" s="14" t="str">
        <f>IFERROR(__xludf.DUMMYFUNCTION("""COMPUTED_VALUE"""),"うら")</f>
        <v>うら</v>
      </c>
      <c r="M347" s="14" t="str">
        <f>IFERROR(__xludf.DUMMYFUNCTION("""COMPUTED_VALUE"""),"reverse side")</f>
        <v>reverse side</v>
      </c>
    </row>
    <row r="348">
      <c r="A348" s="39">
        <v>347.0</v>
      </c>
      <c r="B348" s="16" t="s">
        <v>1336</v>
      </c>
      <c r="C348" s="35" t="s">
        <v>1337</v>
      </c>
      <c r="D348" s="11" t="s">
        <v>1338</v>
      </c>
      <c r="E348" s="18" t="s">
        <v>1339</v>
      </c>
      <c r="F348" s="32"/>
      <c r="K348" s="14" t="str">
        <f>IFERROR(__xludf.DUMMYFUNCTION("""COMPUTED_VALUE"""),"売り場")</f>
        <v>売り場</v>
      </c>
      <c r="L348" s="14" t="str">
        <f>IFERROR(__xludf.DUMMYFUNCTION("""COMPUTED_VALUE"""),"うりば")</f>
        <v>うりば</v>
      </c>
      <c r="M348" s="14" t="str">
        <f>IFERROR(__xludf.DUMMYFUNCTION("""COMPUTED_VALUE"""),"selling area")</f>
        <v>selling area</v>
      </c>
    </row>
    <row r="349">
      <c r="A349" s="40">
        <v>348.0</v>
      </c>
      <c r="B349" s="16" t="s">
        <v>1340</v>
      </c>
      <c r="C349" s="17" t="s">
        <v>1341</v>
      </c>
      <c r="D349" s="11" t="s">
        <v>1342</v>
      </c>
      <c r="E349" s="18" t="s">
        <v>1343</v>
      </c>
      <c r="F349" s="38"/>
      <c r="K349" s="14" t="str">
        <f>IFERROR(__xludf.DUMMYFUNCTION("""COMPUTED_VALUE"""),"嘘")</f>
        <v>嘘</v>
      </c>
      <c r="L349" s="14" t="str">
        <f>IFERROR(__xludf.DUMMYFUNCTION("""COMPUTED_VALUE"""),"うそ")</f>
        <v>うそ</v>
      </c>
      <c r="M349" s="14" t="str">
        <f>IFERROR(__xludf.DUMMYFUNCTION("""COMPUTED_VALUE"""),"a lie")</f>
        <v>a lie</v>
      </c>
    </row>
    <row r="350">
      <c r="A350" s="39">
        <v>349.0</v>
      </c>
      <c r="B350" s="16" t="s">
        <v>1344</v>
      </c>
      <c r="C350" s="17"/>
      <c r="D350" s="11" t="s">
        <v>1345</v>
      </c>
      <c r="E350" s="18" t="s">
        <v>1346</v>
      </c>
      <c r="F350" s="32"/>
      <c r="K350" s="14" t="str">
        <f>IFERROR(__xludf.DUMMYFUNCTION("""COMPUTED_VALUE"""),"ワープロ")</f>
        <v>ワープロ</v>
      </c>
      <c r="L350" s="14"/>
      <c r="M350" s="14" t="str">
        <f>IFERROR(__xludf.DUMMYFUNCTION("""COMPUTED_VALUE"""),"word processor")</f>
        <v>word processor</v>
      </c>
    </row>
    <row r="351">
      <c r="A351" s="40">
        <v>350.0</v>
      </c>
      <c r="B351" s="16" t="s">
        <v>1347</v>
      </c>
      <c r="C351" s="17" t="s">
        <v>1348</v>
      </c>
      <c r="D351" s="11" t="s">
        <v>1349</v>
      </c>
      <c r="E351" s="18" t="s">
        <v>1350</v>
      </c>
      <c r="F351" s="32"/>
      <c r="K351" s="14" t="str">
        <f>IFERROR(__xludf.DUMMYFUNCTION("""COMPUTED_VALUE"""),"割合")</f>
        <v>割合</v>
      </c>
      <c r="L351" s="14" t="str">
        <f>IFERROR(__xludf.DUMMYFUNCTION("""COMPUTED_VALUE"""),"わりあい")</f>
        <v>わりあい</v>
      </c>
      <c r="M351" s="14" t="str">
        <f>IFERROR(__xludf.DUMMYFUNCTION("""COMPUTED_VALUE"""),"rate; ratio")</f>
        <v>rate; ratio</v>
      </c>
    </row>
    <row r="352">
      <c r="A352" s="39">
        <v>351.0</v>
      </c>
      <c r="B352" s="16" t="s">
        <v>1351</v>
      </c>
      <c r="C352" s="17" t="s">
        <v>1352</v>
      </c>
      <c r="D352" s="11" t="s">
        <v>1353</v>
      </c>
      <c r="E352" s="18" t="s">
        <v>1354</v>
      </c>
      <c r="F352" s="32"/>
      <c r="K352" s="14" t="str">
        <f>IFERROR(__xludf.DUMMYFUNCTION("""COMPUTED_VALUE"""),"忘れ物")</f>
        <v>忘れ物</v>
      </c>
      <c r="L352" s="14" t="str">
        <f>IFERROR(__xludf.DUMMYFUNCTION("""COMPUTED_VALUE"""),"わすれもの")</f>
        <v>わすれもの</v>
      </c>
      <c r="M352" s="14" t="str">
        <f>IFERROR(__xludf.DUMMYFUNCTION("""COMPUTED_VALUE"""),"lost article")</f>
        <v>lost article</v>
      </c>
    </row>
    <row r="353">
      <c r="A353" s="40">
        <v>352.0</v>
      </c>
      <c r="B353" s="16" t="s">
        <v>1355</v>
      </c>
      <c r="C353" s="35" t="s">
        <v>1356</v>
      </c>
      <c r="D353" s="11" t="s">
        <v>1357</v>
      </c>
      <c r="E353" s="18" t="s">
        <v>1358</v>
      </c>
      <c r="F353" s="32"/>
      <c r="K353" s="14" t="str">
        <f>IFERROR(__xludf.DUMMYFUNCTION("""COMPUTED_VALUE"""),"約束")</f>
        <v>約束</v>
      </c>
      <c r="L353" s="14" t="str">
        <f>IFERROR(__xludf.DUMMYFUNCTION("""COMPUTED_VALUE"""),"やくそく")</f>
        <v>やくそく</v>
      </c>
      <c r="M353" s="14" t="str">
        <f>IFERROR(__xludf.DUMMYFUNCTION("""COMPUTED_VALUE"""),"promise")</f>
        <v>promise</v>
      </c>
    </row>
    <row r="354">
      <c r="A354" s="39">
        <v>353.0</v>
      </c>
      <c r="B354" s="16" t="s">
        <v>1359</v>
      </c>
      <c r="C354" s="17" t="s">
        <v>1360</v>
      </c>
      <c r="D354" s="11" t="s">
        <v>1361</v>
      </c>
      <c r="E354" s="18" t="s">
        <v>1362</v>
      </c>
      <c r="F354" s="32"/>
      <c r="K354" s="14" t="str">
        <f>IFERROR(__xludf.DUMMYFUNCTION("""COMPUTED_VALUE"""),"予習")</f>
        <v>予習</v>
      </c>
      <c r="L354" s="14" t="str">
        <f>IFERROR(__xludf.DUMMYFUNCTION("""COMPUTED_VALUE"""),"よしゅう")</f>
        <v>よしゅう</v>
      </c>
      <c r="M354" s="14" t="str">
        <f>IFERROR(__xludf.DUMMYFUNCTION("""COMPUTED_VALUE"""),"preparation for a lesson")</f>
        <v>preparation for a lesson</v>
      </c>
    </row>
    <row r="355">
      <c r="A355" s="40">
        <v>354.0</v>
      </c>
      <c r="B355" s="16" t="s">
        <v>1363</v>
      </c>
      <c r="C355" s="17" t="s">
        <v>1364</v>
      </c>
      <c r="D355" s="11" t="s">
        <v>1365</v>
      </c>
      <c r="E355" s="18" t="s">
        <v>1366</v>
      </c>
      <c r="F355" s="32"/>
      <c r="K355" s="14" t="str">
        <f>IFERROR(__xludf.DUMMYFUNCTION("""COMPUTED_VALUE"""),"予定")</f>
        <v>予定</v>
      </c>
      <c r="L355" s="14" t="str">
        <f>IFERROR(__xludf.DUMMYFUNCTION("""COMPUTED_VALUE"""),"よてい")</f>
        <v>よてい</v>
      </c>
      <c r="M355" s="14" t="str">
        <f>IFERROR(__xludf.DUMMYFUNCTION("""COMPUTED_VALUE"""),"plan")</f>
        <v>plan</v>
      </c>
    </row>
    <row r="356">
      <c r="A356" s="39">
        <v>355.0</v>
      </c>
      <c r="B356" s="16" t="s">
        <v>1367</v>
      </c>
      <c r="C356" s="17" t="s">
        <v>1368</v>
      </c>
      <c r="D356" s="11" t="s">
        <v>1369</v>
      </c>
      <c r="E356" s="18" t="s">
        <v>1370</v>
      </c>
      <c r="F356" s="38"/>
      <c r="K356" s="14" t="str">
        <f>IFERROR(__xludf.DUMMYFUNCTION("""COMPUTED_VALUE"""),"用")</f>
        <v>用</v>
      </c>
      <c r="L356" s="14" t="str">
        <f>IFERROR(__xludf.DUMMYFUNCTION("""COMPUTED_VALUE"""),"よう")</f>
        <v>よう</v>
      </c>
      <c r="M356" s="14" t="str">
        <f>IFERROR(__xludf.DUMMYFUNCTION("""COMPUTED_VALUE"""),"business; task; errand")</f>
        <v>business; task; errand</v>
      </c>
    </row>
    <row r="357">
      <c r="A357" s="40">
        <v>356.0</v>
      </c>
      <c r="B357" s="16" t="s">
        <v>1371</v>
      </c>
      <c r="C357" s="17" t="s">
        <v>1372</v>
      </c>
      <c r="D357" s="11" t="s">
        <v>1373</v>
      </c>
      <c r="E357" s="18" t="s">
        <v>1374</v>
      </c>
      <c r="F357" s="38"/>
      <c r="K357" s="14" t="str">
        <f>IFERROR(__xludf.DUMMYFUNCTION("""COMPUTED_VALUE"""),"用意")</f>
        <v>用意</v>
      </c>
      <c r="L357" s="14" t="str">
        <f>IFERROR(__xludf.DUMMYFUNCTION("""COMPUTED_VALUE"""),"ようい")</f>
        <v>ようい</v>
      </c>
      <c r="M357" s="14" t="str">
        <f>IFERROR(__xludf.DUMMYFUNCTION("""COMPUTED_VALUE"""),"preparation; arrangements")</f>
        <v>preparation; arrangements</v>
      </c>
    </row>
    <row r="358">
      <c r="A358" s="39">
        <v>357.0</v>
      </c>
      <c r="B358" s="16" t="s">
        <v>1375</v>
      </c>
      <c r="C358" s="17" t="s">
        <v>1376</v>
      </c>
      <c r="D358" s="11" t="s">
        <v>1377</v>
      </c>
      <c r="E358" s="18" t="s">
        <v>1378</v>
      </c>
      <c r="F358" s="32"/>
      <c r="K358" s="14" t="str">
        <f>IFERROR(__xludf.DUMMYFUNCTION("""COMPUTED_VALUE"""),"用事")</f>
        <v>用事</v>
      </c>
      <c r="L358" s="14" t="str">
        <f>IFERROR(__xludf.DUMMYFUNCTION("""COMPUTED_VALUE"""),"ようじ")</f>
        <v>ようじ</v>
      </c>
      <c r="M358" s="14" t="str">
        <f>IFERROR(__xludf.DUMMYFUNCTION("""COMPUTED_VALUE"""),"tasks; things to do; errand")</f>
        <v>tasks; things to do; errand</v>
      </c>
    </row>
    <row r="359">
      <c r="A359" s="40">
        <v>358.0</v>
      </c>
      <c r="B359" s="16" t="s">
        <v>1379</v>
      </c>
      <c r="C359" s="35" t="s">
        <v>1380</v>
      </c>
      <c r="D359" s="11" t="s">
        <v>1381</v>
      </c>
      <c r="E359" s="18" t="s">
        <v>1382</v>
      </c>
      <c r="F359" s="32"/>
      <c r="K359" s="14" t="str">
        <f>IFERROR(__xludf.DUMMYFUNCTION("""COMPUTED_VALUE"""),"予約")</f>
        <v>予約</v>
      </c>
      <c r="L359" s="14" t="str">
        <f>IFERROR(__xludf.DUMMYFUNCTION("""COMPUTED_VALUE"""),"よやく")</f>
        <v>よやく</v>
      </c>
      <c r="M359" s="14" t="str">
        <f>IFERROR(__xludf.DUMMYFUNCTION("""COMPUTED_VALUE"""),"reservation")</f>
        <v>reservation</v>
      </c>
    </row>
    <row r="360">
      <c r="A360" s="39">
        <v>359.0</v>
      </c>
      <c r="B360" s="16" t="s">
        <v>1383</v>
      </c>
      <c r="C360" s="35" t="s">
        <v>1384</v>
      </c>
      <c r="D360" s="11" t="s">
        <v>1385</v>
      </c>
      <c r="E360" s="18" t="s">
        <v>1386</v>
      </c>
      <c r="F360" s="32"/>
      <c r="K360" s="14" t="str">
        <f>IFERROR(__xludf.DUMMYFUNCTION("""COMPUTED_VALUE"""),"湯")</f>
        <v>湯</v>
      </c>
      <c r="L360" s="14" t="str">
        <f>IFERROR(__xludf.DUMMYFUNCTION("""COMPUTED_VALUE"""),"ゆ")</f>
        <v>ゆ</v>
      </c>
      <c r="M360" s="14" t="str">
        <f>IFERROR(__xludf.DUMMYFUNCTION("""COMPUTED_VALUE"""),"hot water")</f>
        <v>hot water</v>
      </c>
    </row>
    <row r="361">
      <c r="A361" s="40">
        <v>360.0</v>
      </c>
      <c r="B361" s="45" t="s">
        <v>1387</v>
      </c>
      <c r="C361" s="35" t="s">
        <v>1388</v>
      </c>
      <c r="D361" s="11" t="s">
        <v>1389</v>
      </c>
      <c r="E361" s="18" t="s">
        <v>1390</v>
      </c>
      <c r="F361" s="32"/>
      <c r="K361" s="14" t="str">
        <f>IFERROR(__xludf.DUMMYFUNCTION("""COMPUTED_VALUE"""),"指")</f>
        <v>指</v>
      </c>
      <c r="L361" s="14" t="str">
        <f>IFERROR(__xludf.DUMMYFUNCTION("""COMPUTED_VALUE"""),"ゆび")</f>
        <v>ゆび</v>
      </c>
      <c r="M361" s="14" t="str">
        <f>IFERROR(__xludf.DUMMYFUNCTION("""COMPUTED_VALUE"""),"finger")</f>
        <v>finger</v>
      </c>
    </row>
    <row r="362">
      <c r="A362" s="41">
        <v>375.0</v>
      </c>
      <c r="B362" s="24" t="s">
        <v>1391</v>
      </c>
      <c r="C362" s="25" t="s">
        <v>1392</v>
      </c>
      <c r="D362" s="26" t="s">
        <v>1393</v>
      </c>
      <c r="E362" s="27" t="s">
        <v>1394</v>
      </c>
      <c r="F362" s="31"/>
      <c r="K362" s="14" t="str">
        <f>IFERROR(__xludf.DUMMYFUNCTION("""COMPUTED_VALUE"""),"手紙")</f>
        <v>手紙</v>
      </c>
      <c r="L362" s="14" t="str">
        <f>IFERROR(__xludf.DUMMYFUNCTION("""COMPUTED_VALUE"""),"てがみ")</f>
        <v>てがみ</v>
      </c>
      <c r="M362" s="14" t="str">
        <f>IFERROR(__xludf.DUMMYFUNCTION("""COMPUTED_VALUE"""),"Letter (message)")</f>
        <v>Letter (message)</v>
      </c>
    </row>
    <row r="363">
      <c r="A363" s="39">
        <v>376.0</v>
      </c>
      <c r="B363" s="16" t="s">
        <v>1395</v>
      </c>
      <c r="C363" s="17" t="s">
        <v>1396</v>
      </c>
      <c r="D363" s="11" t="s">
        <v>1397</v>
      </c>
      <c r="E363" s="18" t="s">
        <v>1398</v>
      </c>
      <c r="F363" s="32"/>
      <c r="K363" s="14" t="str">
        <f>IFERROR(__xludf.DUMMYFUNCTION("""COMPUTED_VALUE"""),"天気")</f>
        <v>天気</v>
      </c>
      <c r="L363" s="14" t="str">
        <f>IFERROR(__xludf.DUMMYFUNCTION("""COMPUTED_VALUE"""),"てんき")</f>
        <v>てんき</v>
      </c>
      <c r="M363" s="14" t="str">
        <f>IFERROR(__xludf.DUMMYFUNCTION("""COMPUTED_VALUE"""),"weather; the elements")</f>
        <v>weather; the elements</v>
      </c>
    </row>
    <row r="364">
      <c r="A364" s="40">
        <v>377.0</v>
      </c>
      <c r="B364" s="16" t="s">
        <v>1399</v>
      </c>
      <c r="C364" s="44"/>
      <c r="D364" s="11" t="s">
        <v>1400</v>
      </c>
      <c r="E364" s="18" t="s">
        <v>1401</v>
      </c>
      <c r="F364" s="32"/>
      <c r="K364" s="14" t="str">
        <f>IFERROR(__xludf.DUMMYFUNCTION("""COMPUTED_VALUE"""),"テレビ")</f>
        <v>テレビ</v>
      </c>
      <c r="L364" s="14"/>
      <c r="M364" s="14" t="str">
        <f>IFERROR(__xludf.DUMMYFUNCTION("""COMPUTED_VALUE"""),"television; TV")</f>
        <v>television; TV</v>
      </c>
    </row>
    <row r="365">
      <c r="A365" s="39">
        <v>378.0</v>
      </c>
      <c r="B365" s="16" t="s">
        <v>1402</v>
      </c>
      <c r="C365" s="44"/>
      <c r="D365" s="11" t="s">
        <v>1403</v>
      </c>
      <c r="E365" s="18" t="s">
        <v>1404</v>
      </c>
      <c r="F365" s="32"/>
      <c r="K365" s="14" t="str">
        <f>IFERROR(__xludf.DUMMYFUNCTION("""COMPUTED_VALUE"""),"テスト")</f>
        <v>テスト</v>
      </c>
      <c r="L365" s="14"/>
      <c r="M365" s="14" t="str">
        <f>IFERROR(__xludf.DUMMYFUNCTION("""COMPUTED_VALUE"""),"examination; quiz; test")</f>
        <v>examination; quiz; test</v>
      </c>
    </row>
    <row r="366">
      <c r="A366" s="40">
        <v>379.0</v>
      </c>
      <c r="B366" s="16" t="s">
        <v>1405</v>
      </c>
      <c r="C366" s="17" t="s">
        <v>1406</v>
      </c>
      <c r="D366" s="11" t="s">
        <v>1407</v>
      </c>
      <c r="E366" s="18" t="s">
        <v>1408</v>
      </c>
      <c r="F366" s="38"/>
      <c r="K366" s="14" t="str">
        <f>IFERROR(__xludf.DUMMYFUNCTION("""COMPUTED_VALUE"""),"戸")</f>
        <v>戸</v>
      </c>
      <c r="L366" s="14" t="str">
        <f>IFERROR(__xludf.DUMMYFUNCTION("""COMPUTED_VALUE"""),"と")</f>
        <v>と</v>
      </c>
      <c r="M366" s="14" t="str">
        <f>IFERROR(__xludf.DUMMYFUNCTION("""COMPUTED_VALUE"""),"Japanese style door")</f>
        <v>Japanese style door</v>
      </c>
    </row>
    <row r="367">
      <c r="A367" s="39">
        <v>380.0</v>
      </c>
      <c r="B367" s="16" t="s">
        <v>1409</v>
      </c>
      <c r="C367" s="44"/>
      <c r="D367" s="11" t="s">
        <v>1410</v>
      </c>
      <c r="E367" s="18" t="s">
        <v>1411</v>
      </c>
      <c r="F367" s="32"/>
      <c r="K367" s="14" t="str">
        <f>IFERROR(__xludf.DUMMYFUNCTION("""COMPUTED_VALUE"""),"トイレ")</f>
        <v>トイレ</v>
      </c>
      <c r="L367" s="14"/>
      <c r="M367" s="14" t="str">
        <f>IFERROR(__xludf.DUMMYFUNCTION("""COMPUTED_VALUE"""),"toilet")</f>
        <v>toilet</v>
      </c>
    </row>
    <row r="368">
      <c r="A368" s="40">
        <v>381.0</v>
      </c>
      <c r="B368" s="16" t="s">
        <v>1412</v>
      </c>
      <c r="C368" s="17" t="s">
        <v>1413</v>
      </c>
      <c r="D368" s="11" t="s">
        <v>1414</v>
      </c>
      <c r="E368" s="18" t="s">
        <v>1415</v>
      </c>
      <c r="F368" s="32"/>
      <c r="K368" s="14" t="str">
        <f>IFERROR(__xludf.DUMMYFUNCTION("""COMPUTED_VALUE"""),"時計")</f>
        <v>時計</v>
      </c>
      <c r="L368" s="14" t="str">
        <f>IFERROR(__xludf.DUMMYFUNCTION("""COMPUTED_VALUE"""),"とけい")</f>
        <v>とけい</v>
      </c>
      <c r="M368" s="14" t="str">
        <f>IFERROR(__xludf.DUMMYFUNCTION("""COMPUTED_VALUE"""),"watch; clock; timepiece")</f>
        <v>watch; clock; timepiece</v>
      </c>
    </row>
    <row r="369">
      <c r="A369" s="39">
        <v>382.0</v>
      </c>
      <c r="B369" s="16" t="s">
        <v>1416</v>
      </c>
      <c r="C369" s="17" t="s">
        <v>1417</v>
      </c>
      <c r="D369" s="11" t="s">
        <v>1418</v>
      </c>
      <c r="E369" s="18" t="s">
        <v>1419</v>
      </c>
      <c r="F369" s="32"/>
      <c r="K369" s="14" t="str">
        <f>IFERROR(__xludf.DUMMYFUNCTION("""COMPUTED_VALUE"""),"時")</f>
        <v>時</v>
      </c>
      <c r="L369" s="14" t="str">
        <f>IFERROR(__xludf.DUMMYFUNCTION("""COMPUTED_VALUE"""),"とき")</f>
        <v>とき</v>
      </c>
      <c r="M369" s="14" t="str">
        <f>IFERROR(__xludf.DUMMYFUNCTION("""COMPUTED_VALUE"""),"time; moment")</f>
        <v>time; moment</v>
      </c>
    </row>
    <row r="370">
      <c r="A370" s="40">
        <v>383.0</v>
      </c>
      <c r="B370" s="16" t="s">
        <v>1420</v>
      </c>
      <c r="C370" s="17" t="s">
        <v>1421</v>
      </c>
      <c r="D370" s="11" t="s">
        <v>1422</v>
      </c>
      <c r="E370" s="18" t="s">
        <v>1423</v>
      </c>
      <c r="F370" s="32"/>
      <c r="K370" s="14" t="str">
        <f>IFERROR(__xludf.DUMMYFUNCTION("""COMPUTED_VALUE"""),"時々")</f>
        <v>時々</v>
      </c>
      <c r="L370" s="14" t="str">
        <f>IFERROR(__xludf.DUMMYFUNCTION("""COMPUTED_VALUE"""),"ときどき")</f>
        <v>ときどき</v>
      </c>
      <c r="M370" s="14" t="str">
        <f>IFERROR(__xludf.DUMMYFUNCTION("""COMPUTED_VALUE"""),"sometimes; at times")</f>
        <v>sometimes; at times</v>
      </c>
    </row>
    <row r="371">
      <c r="A371" s="39">
        <v>384.0</v>
      </c>
      <c r="B371" s="16" t="s">
        <v>1424</v>
      </c>
      <c r="C371" s="17" t="s">
        <v>1425</v>
      </c>
      <c r="D371" s="11" t="s">
        <v>1426</v>
      </c>
      <c r="E371" s="18" t="s">
        <v>75</v>
      </c>
      <c r="F371" s="32"/>
      <c r="K371" s="14" t="str">
        <f>IFERROR(__xludf.DUMMYFUNCTION("""COMPUTED_VALUE"""),"所")</f>
        <v>所</v>
      </c>
      <c r="L371" s="14" t="str">
        <f>IFERROR(__xludf.DUMMYFUNCTION("""COMPUTED_VALUE"""),"ところ")</f>
        <v>ところ</v>
      </c>
      <c r="M371" s="14" t="str">
        <f>IFERROR(__xludf.DUMMYFUNCTION("""COMPUTED_VALUE"""),"place")</f>
        <v>place</v>
      </c>
    </row>
    <row r="372">
      <c r="A372" s="40">
        <v>385.0</v>
      </c>
      <c r="B372" s="16" t="s">
        <v>1427</v>
      </c>
      <c r="C372" s="17" t="s">
        <v>1428</v>
      </c>
      <c r="D372" s="11" t="s">
        <v>1429</v>
      </c>
      <c r="E372" s="18" t="s">
        <v>1430</v>
      </c>
      <c r="F372" s="32"/>
      <c r="K372" s="14" t="str">
        <f>IFERROR(__xludf.DUMMYFUNCTION("""COMPUTED_VALUE"""),"友達")</f>
        <v>友達</v>
      </c>
      <c r="L372" s="14" t="str">
        <f>IFERROR(__xludf.DUMMYFUNCTION("""COMPUTED_VALUE"""),"ともだち")</f>
        <v>ともだち</v>
      </c>
      <c r="M372" s="14" t="str">
        <f>IFERROR(__xludf.DUMMYFUNCTION("""COMPUTED_VALUE"""),"friend; companion")</f>
        <v>friend; companion</v>
      </c>
    </row>
    <row r="373">
      <c r="A373" s="39">
        <v>386.0</v>
      </c>
      <c r="B373" s="16" t="s">
        <v>1431</v>
      </c>
      <c r="C373" s="17" t="s">
        <v>1432</v>
      </c>
      <c r="D373" s="11" t="s">
        <v>1433</v>
      </c>
      <c r="E373" s="18" t="s">
        <v>1434</v>
      </c>
      <c r="F373" s="38"/>
      <c r="K373" s="14" t="str">
        <f>IFERROR(__xludf.DUMMYFUNCTION("""COMPUTED_VALUE"""),"隣")</f>
        <v>隣</v>
      </c>
      <c r="L373" s="14" t="str">
        <f>IFERROR(__xludf.DUMMYFUNCTION("""COMPUTED_VALUE"""),"となり")</f>
        <v>となり</v>
      </c>
      <c r="M373" s="14" t="str">
        <f>IFERROR(__xludf.DUMMYFUNCTION("""COMPUTED_VALUE"""),"next door to")</f>
        <v>next door to</v>
      </c>
    </row>
    <row r="374">
      <c r="A374" s="40">
        <v>387.0</v>
      </c>
      <c r="B374" s="16" t="s">
        <v>1435</v>
      </c>
      <c r="C374" s="17" t="s">
        <v>1436</v>
      </c>
      <c r="D374" s="11" t="s">
        <v>1437</v>
      </c>
      <c r="E374" s="18" t="s">
        <v>1438</v>
      </c>
      <c r="F374" s="32"/>
      <c r="K374" s="14" t="str">
        <f>IFERROR(__xludf.DUMMYFUNCTION("""COMPUTED_VALUE"""),"十日")</f>
        <v>十日</v>
      </c>
      <c r="L374" s="14" t="str">
        <f>IFERROR(__xludf.DUMMYFUNCTION("""COMPUTED_VALUE"""),"とおか")</f>
        <v>とおか</v>
      </c>
      <c r="M374" s="14" t="str">
        <f>IFERROR(__xludf.DUMMYFUNCTION("""COMPUTED_VALUE"""),"tenth day of the month")</f>
        <v>tenth day of the month</v>
      </c>
    </row>
    <row r="375">
      <c r="A375" s="39">
        <v>388.0</v>
      </c>
      <c r="B375" s="16" t="s">
        <v>1439</v>
      </c>
      <c r="C375" s="17" t="s">
        <v>1440</v>
      </c>
      <c r="D375" s="11" t="s">
        <v>1441</v>
      </c>
      <c r="E375" s="18" t="s">
        <v>1442</v>
      </c>
      <c r="F375" s="32"/>
      <c r="K375" s="14" t="str">
        <f>IFERROR(__xludf.DUMMYFUNCTION("""COMPUTED_VALUE"""),"鳥")</f>
        <v>鳥</v>
      </c>
      <c r="L375" s="14" t="str">
        <f>IFERROR(__xludf.DUMMYFUNCTION("""COMPUTED_VALUE"""),"とり")</f>
        <v>とり</v>
      </c>
      <c r="M375" s="14" t="str">
        <f>IFERROR(__xludf.DUMMYFUNCTION("""COMPUTED_VALUE"""),"bird")</f>
        <v>bird</v>
      </c>
    </row>
    <row r="376">
      <c r="A376" s="40">
        <v>389.0</v>
      </c>
      <c r="B376" s="16" t="s">
        <v>1443</v>
      </c>
      <c r="C376" s="17" t="s">
        <v>1444</v>
      </c>
      <c r="D376" s="11" t="s">
        <v>1445</v>
      </c>
      <c r="E376" s="18" t="s">
        <v>1446</v>
      </c>
      <c r="F376" s="38"/>
      <c r="K376" s="14" t="str">
        <f>IFERROR(__xludf.DUMMYFUNCTION("""COMPUTED_VALUE"""),"鶏肉")</f>
        <v>鶏肉</v>
      </c>
      <c r="L376" s="14" t="str">
        <f>IFERROR(__xludf.DUMMYFUNCTION("""COMPUTED_VALUE"""),"とりにく")</f>
        <v>とりにく</v>
      </c>
      <c r="M376" s="14" t="str">
        <f>IFERROR(__xludf.DUMMYFUNCTION("""COMPUTED_VALUE"""),"chicken meat")</f>
        <v>chicken meat</v>
      </c>
    </row>
    <row r="377">
      <c r="A377" s="39">
        <v>390.0</v>
      </c>
      <c r="B377" s="16" t="s">
        <v>1447</v>
      </c>
      <c r="C377" s="17" t="s">
        <v>1448</v>
      </c>
      <c r="D377" s="11" t="s">
        <v>1449</v>
      </c>
      <c r="E377" s="18" t="s">
        <v>1450</v>
      </c>
      <c r="F377" s="32"/>
      <c r="K377" s="14" t="str">
        <f>IFERROR(__xludf.DUMMYFUNCTION("""COMPUTED_VALUE"""),"年")</f>
        <v>年</v>
      </c>
      <c r="L377" s="14" t="str">
        <f>IFERROR(__xludf.DUMMYFUNCTION("""COMPUTED_VALUE"""),"とし")</f>
        <v>とし</v>
      </c>
      <c r="M377" s="14" t="str">
        <f>IFERROR(__xludf.DUMMYFUNCTION("""COMPUTED_VALUE"""),"year; age")</f>
        <v>year; age</v>
      </c>
    </row>
    <row r="378">
      <c r="A378" s="40">
        <v>391.0</v>
      </c>
      <c r="B378" s="16" t="s">
        <v>1451</v>
      </c>
      <c r="C378" s="17" t="s">
        <v>1452</v>
      </c>
      <c r="D378" s="11" t="s">
        <v>1453</v>
      </c>
      <c r="E378" s="18" t="s">
        <v>1454</v>
      </c>
      <c r="F378" s="32"/>
      <c r="K378" s="14" t="str">
        <f>IFERROR(__xludf.DUMMYFUNCTION("""COMPUTED_VALUE"""),"図書館")</f>
        <v>図書館</v>
      </c>
      <c r="L378" s="14" t="str">
        <f>IFERROR(__xludf.DUMMYFUNCTION("""COMPUTED_VALUE"""),"としょかん")</f>
        <v>としょかん</v>
      </c>
      <c r="M378" s="14" t="str">
        <f>IFERROR(__xludf.DUMMYFUNCTION("""COMPUTED_VALUE"""),"library")</f>
        <v>library</v>
      </c>
    </row>
    <row r="379">
      <c r="A379" s="39">
        <v>392.0</v>
      </c>
      <c r="B379" s="16" t="s">
        <v>1455</v>
      </c>
      <c r="C379" s="17" t="s">
        <v>1456</v>
      </c>
      <c r="D379" s="11" t="s">
        <v>1457</v>
      </c>
      <c r="E379" s="18" t="s">
        <v>1458</v>
      </c>
      <c r="F379" s="32"/>
      <c r="K379" s="14" t="str">
        <f>IFERROR(__xludf.DUMMYFUNCTION("""COMPUTED_VALUE"""),"次")</f>
        <v>次</v>
      </c>
      <c r="L379" s="14" t="str">
        <f>IFERROR(__xludf.DUMMYFUNCTION("""COMPUTED_VALUE"""),"つぎ")</f>
        <v>つぎ</v>
      </c>
      <c r="M379" s="14" t="str">
        <f>IFERROR(__xludf.DUMMYFUNCTION("""COMPUTED_VALUE"""),"next")</f>
        <v>next</v>
      </c>
    </row>
    <row r="380">
      <c r="A380" s="40">
        <v>393.0</v>
      </c>
      <c r="B380" s="16" t="s">
        <v>1459</v>
      </c>
      <c r="C380" s="17" t="s">
        <v>1460</v>
      </c>
      <c r="D380" s="11" t="s">
        <v>1461</v>
      </c>
      <c r="E380" s="18" t="s">
        <v>1462</v>
      </c>
      <c r="F380" s="38"/>
      <c r="K380" s="14" t="str">
        <f>IFERROR(__xludf.DUMMYFUNCTION("""COMPUTED_VALUE"""),"一日")</f>
        <v>一日</v>
      </c>
      <c r="L380" s="14" t="str">
        <f>IFERROR(__xludf.DUMMYFUNCTION("""COMPUTED_VALUE"""),"ついたち")</f>
        <v>ついたち</v>
      </c>
      <c r="M380" s="14" t="str">
        <f>IFERROR(__xludf.DUMMYFUNCTION("""COMPUTED_VALUE"""),"first day of the month")</f>
        <v>first day of the month</v>
      </c>
    </row>
    <row r="381">
      <c r="A381" s="39">
        <v>394.0</v>
      </c>
      <c r="B381" s="16" t="s">
        <v>1463</v>
      </c>
      <c r="C381" s="17" t="s">
        <v>1464</v>
      </c>
      <c r="D381" s="11" t="s">
        <v>1465</v>
      </c>
      <c r="E381" s="18" t="s">
        <v>1466</v>
      </c>
      <c r="F381" s="32"/>
      <c r="K381" s="14" t="str">
        <f>IFERROR(__xludf.DUMMYFUNCTION("""COMPUTED_VALUE"""),"机")</f>
        <v>机</v>
      </c>
      <c r="L381" s="14" t="str">
        <f>IFERROR(__xludf.DUMMYFUNCTION("""COMPUTED_VALUE"""),"つくえ")</f>
        <v>つくえ</v>
      </c>
      <c r="M381" s="14" t="str">
        <f>IFERROR(__xludf.DUMMYFUNCTION("""COMPUTED_VALUE"""),"desk")</f>
        <v>desk</v>
      </c>
    </row>
    <row r="382">
      <c r="A382" s="40">
        <v>395.0</v>
      </c>
      <c r="B382" s="16" t="s">
        <v>1467</v>
      </c>
      <c r="C382" s="17" t="s">
        <v>1468</v>
      </c>
      <c r="D382" s="11" t="s">
        <v>1469</v>
      </c>
      <c r="E382" s="18" t="s">
        <v>1470</v>
      </c>
      <c r="F382" s="32"/>
      <c r="K382" s="14" t="str">
        <f>IFERROR(__xludf.DUMMYFUNCTION("""COMPUTED_VALUE"""),"上")</f>
        <v>上</v>
      </c>
      <c r="L382" s="14" t="str">
        <f>IFERROR(__xludf.DUMMYFUNCTION("""COMPUTED_VALUE"""),"うえ")</f>
        <v>うえ</v>
      </c>
      <c r="M382" s="14" t="str">
        <f>IFERROR(__xludf.DUMMYFUNCTION("""COMPUTED_VALUE"""),"above; up; over; top")</f>
        <v>above; up; over; top</v>
      </c>
    </row>
    <row r="383">
      <c r="A383" s="39">
        <v>396.0</v>
      </c>
      <c r="B383" s="16" t="s">
        <v>1471</v>
      </c>
      <c r="C383" s="17" t="s">
        <v>1472</v>
      </c>
      <c r="D383" s="11" t="s">
        <v>1473</v>
      </c>
      <c r="E383" s="18" t="s">
        <v>1474</v>
      </c>
      <c r="F383" s="32"/>
      <c r="K383" s="14" t="str">
        <f>IFERROR(__xludf.DUMMYFUNCTION("""COMPUTED_VALUE"""),"海")</f>
        <v>海</v>
      </c>
      <c r="L383" s="14" t="str">
        <f>IFERROR(__xludf.DUMMYFUNCTION("""COMPUTED_VALUE"""),"うみ")</f>
        <v>うみ</v>
      </c>
      <c r="M383" s="14" t="str">
        <f>IFERROR(__xludf.DUMMYFUNCTION("""COMPUTED_VALUE"""),"sea")</f>
        <v>sea</v>
      </c>
    </row>
    <row r="384">
      <c r="A384" s="40">
        <v>397.0</v>
      </c>
      <c r="B384" s="16" t="s">
        <v>1475</v>
      </c>
      <c r="C384" s="17" t="s">
        <v>1476</v>
      </c>
      <c r="D384" s="11" t="s">
        <v>1477</v>
      </c>
      <c r="E384" s="18" t="s">
        <v>1478</v>
      </c>
      <c r="F384" s="32"/>
      <c r="K384" s="14" t="str">
        <f>IFERROR(__xludf.DUMMYFUNCTION("""COMPUTED_VALUE"""),"後ろ")</f>
        <v>後ろ</v>
      </c>
      <c r="L384" s="14" t="str">
        <f>IFERROR(__xludf.DUMMYFUNCTION("""COMPUTED_VALUE"""),"うしろ")</f>
        <v>うしろ</v>
      </c>
      <c r="M384" s="14" t="str">
        <f>IFERROR(__xludf.DUMMYFUNCTION("""COMPUTED_VALUE"""),"back; behind; rear")</f>
        <v>back; behind; rear</v>
      </c>
    </row>
    <row r="385">
      <c r="A385" s="39">
        <v>398.0</v>
      </c>
      <c r="B385" s="16" t="s">
        <v>1479</v>
      </c>
      <c r="C385" s="17" t="s">
        <v>1480</v>
      </c>
      <c r="D385" s="11" t="s">
        <v>1481</v>
      </c>
      <c r="E385" s="18" t="s">
        <v>1482</v>
      </c>
      <c r="F385" s="32"/>
      <c r="K385" s="14" t="str">
        <f>IFERROR(__xludf.DUMMYFUNCTION("""COMPUTED_VALUE"""),"歌")</f>
        <v>歌</v>
      </c>
      <c r="L385" s="14" t="str">
        <f>IFERROR(__xludf.DUMMYFUNCTION("""COMPUTED_VALUE"""),"うた")</f>
        <v>うた</v>
      </c>
      <c r="M385" s="14" t="str">
        <f>IFERROR(__xludf.DUMMYFUNCTION("""COMPUTED_VALUE"""),"song")</f>
        <v>song</v>
      </c>
    </row>
    <row r="386">
      <c r="A386" s="40">
        <v>399.0</v>
      </c>
      <c r="B386" s="16" t="s">
        <v>1483</v>
      </c>
      <c r="C386" s="17" t="s">
        <v>1484</v>
      </c>
      <c r="D386" s="11" t="s">
        <v>1485</v>
      </c>
      <c r="E386" s="18" t="s">
        <v>1486</v>
      </c>
      <c r="F386" s="32"/>
      <c r="K386" s="14" t="str">
        <f>IFERROR(__xludf.DUMMYFUNCTION("""COMPUTED_VALUE"""),"上着")</f>
        <v>上着</v>
      </c>
      <c r="L386" s="14" t="str">
        <f>IFERROR(__xludf.DUMMYFUNCTION("""COMPUTED_VALUE"""),"うわぎ")</f>
        <v>うわぎ</v>
      </c>
      <c r="M386" s="14" t="str">
        <f>IFERROR(__xludf.DUMMYFUNCTION("""COMPUTED_VALUE"""),"coat; jacket")</f>
        <v>coat; jacket</v>
      </c>
    </row>
    <row r="387">
      <c r="A387" s="39">
        <v>400.0</v>
      </c>
      <c r="B387" s="16" t="s">
        <v>1487</v>
      </c>
      <c r="C387" s="44"/>
      <c r="D387" s="11" t="s">
        <v>1488</v>
      </c>
      <c r="E387" s="18" t="s">
        <v>1489</v>
      </c>
      <c r="F387" s="32"/>
      <c r="K387" s="14" t="str">
        <f>IFERROR(__xludf.DUMMYFUNCTION("""COMPUTED_VALUE"""),"ワイシャツ")</f>
        <v>ワイシャツ</v>
      </c>
      <c r="L387" s="14"/>
      <c r="M387" s="14" t="str">
        <f>IFERROR(__xludf.DUMMYFUNCTION("""COMPUTED_VALUE"""),"shirt")</f>
        <v>shirt</v>
      </c>
    </row>
    <row r="388">
      <c r="A388" s="40">
        <v>401.0</v>
      </c>
      <c r="B388" s="16" t="s">
        <v>1490</v>
      </c>
      <c r="C388" s="17" t="s">
        <v>1491</v>
      </c>
      <c r="D388" s="11" t="s">
        <v>1492</v>
      </c>
      <c r="E388" s="18" t="s">
        <v>1493</v>
      </c>
      <c r="F388" s="32"/>
      <c r="K388" s="14" t="str">
        <f>IFERROR(__xludf.DUMMYFUNCTION("""COMPUTED_VALUE"""),"山")</f>
        <v>山</v>
      </c>
      <c r="L388" s="14" t="str">
        <f>IFERROR(__xludf.DUMMYFUNCTION("""COMPUTED_VALUE"""),"やま")</f>
        <v>やま</v>
      </c>
      <c r="M388" s="14" t="str">
        <f>IFERROR(__xludf.DUMMYFUNCTION("""COMPUTED_VALUE"""),"mountain; hill")</f>
        <v>mountain; hill</v>
      </c>
    </row>
    <row r="389">
      <c r="A389" s="41">
        <v>402.0</v>
      </c>
      <c r="B389" s="24" t="s">
        <v>1494</v>
      </c>
      <c r="C389" s="25" t="s">
        <v>1495</v>
      </c>
      <c r="D389" s="26" t="s">
        <v>1496</v>
      </c>
      <c r="E389" s="27" t="s">
        <v>1497</v>
      </c>
      <c r="F389" s="34"/>
      <c r="K389" s="14" t="str">
        <f>IFERROR(__xludf.DUMMYFUNCTION("""COMPUTED_VALUE"""),"八百屋")</f>
        <v>八百屋</v>
      </c>
      <c r="L389" s="14" t="str">
        <f>IFERROR(__xludf.DUMMYFUNCTION("""COMPUTED_VALUE"""),"やおや")</f>
        <v>やおや</v>
      </c>
      <c r="M389" s="14" t="str">
        <f>IFERROR(__xludf.DUMMYFUNCTION("""COMPUTED_VALUE"""),"greengrocer")</f>
        <v>greengrocer</v>
      </c>
    </row>
    <row r="390">
      <c r="A390" s="39">
        <v>403.0</v>
      </c>
      <c r="B390" s="16" t="s">
        <v>1498</v>
      </c>
      <c r="C390" s="17" t="s">
        <v>1499</v>
      </c>
      <c r="D390" s="11" t="s">
        <v>1500</v>
      </c>
      <c r="E390" s="18" t="s">
        <v>1501</v>
      </c>
      <c r="F390" s="38"/>
      <c r="K390" s="14" t="str">
        <f>IFERROR(__xludf.DUMMYFUNCTION("""COMPUTED_VALUE"""),"野菜")</f>
        <v>野菜</v>
      </c>
      <c r="L390" s="14" t="str">
        <f>IFERROR(__xludf.DUMMYFUNCTION("""COMPUTED_VALUE"""),"やさい")</f>
        <v>やさい</v>
      </c>
      <c r="M390" s="14" t="str">
        <f>IFERROR(__xludf.DUMMYFUNCTION("""COMPUTED_VALUE"""),"vegetable")</f>
        <v>vegetable</v>
      </c>
    </row>
    <row r="391">
      <c r="A391" s="40">
        <v>404.0</v>
      </c>
      <c r="B391" s="16" t="s">
        <v>1502</v>
      </c>
      <c r="C391" s="17" t="s">
        <v>1503</v>
      </c>
      <c r="D391" s="11" t="s">
        <v>1504</v>
      </c>
      <c r="E391" s="18" t="s">
        <v>1505</v>
      </c>
      <c r="F391" s="32"/>
      <c r="K391" s="14" t="str">
        <f>IFERROR(__xludf.DUMMYFUNCTION("""COMPUTED_VALUE"""),"休み")</f>
        <v>休み</v>
      </c>
      <c r="L391" s="14" t="str">
        <f>IFERROR(__xludf.DUMMYFUNCTION("""COMPUTED_VALUE"""),"やすみ")</f>
        <v>やすみ</v>
      </c>
      <c r="M391" s="14" t="str">
        <f>IFERROR(__xludf.DUMMYFUNCTION("""COMPUTED_VALUE"""),"rest; vacation; holiday")</f>
        <v>rest; vacation; holiday</v>
      </c>
    </row>
    <row r="392">
      <c r="A392" s="39">
        <v>405.0</v>
      </c>
      <c r="B392" s="16" t="s">
        <v>1506</v>
      </c>
      <c r="C392" s="17" t="s">
        <v>1507</v>
      </c>
      <c r="D392" s="11" t="s">
        <v>1508</v>
      </c>
      <c r="E392" s="18" t="s">
        <v>1509</v>
      </c>
      <c r="F392" s="38"/>
      <c r="K392" s="14" t="str">
        <f>IFERROR(__xludf.DUMMYFUNCTION("""COMPUTED_VALUE"""),"八つ")</f>
        <v>八つ</v>
      </c>
      <c r="L392" s="14" t="str">
        <f>IFERROR(__xludf.DUMMYFUNCTION("""COMPUTED_VALUE"""),"やっつ")</f>
        <v>やっつ</v>
      </c>
      <c r="M392" s="14" t="str">
        <f>IFERROR(__xludf.DUMMYFUNCTION("""COMPUTED_VALUE"""),"eight: 8")</f>
        <v>eight: 8</v>
      </c>
    </row>
    <row r="393">
      <c r="A393" s="40">
        <v>406.0</v>
      </c>
      <c r="B393" s="16" t="s">
        <v>1510</v>
      </c>
      <c r="C393" s="17" t="s">
        <v>1511</v>
      </c>
      <c r="D393" s="11" t="s">
        <v>1512</v>
      </c>
      <c r="E393" s="18" t="s">
        <v>1513</v>
      </c>
      <c r="F393" s="38"/>
      <c r="K393" s="14" t="str">
        <f>IFERROR(__xludf.DUMMYFUNCTION("""COMPUTED_VALUE"""),"四日")</f>
        <v>四日</v>
      </c>
      <c r="L393" s="14" t="str">
        <f>IFERROR(__xludf.DUMMYFUNCTION("""COMPUTED_VALUE"""),"よっか")</f>
        <v>よっか</v>
      </c>
      <c r="M393" s="14" t="str">
        <f>IFERROR(__xludf.DUMMYFUNCTION("""COMPUTED_VALUE"""),"fourth day of the month")</f>
        <v>fourth day of the month</v>
      </c>
    </row>
    <row r="394">
      <c r="A394" s="39">
        <v>407.0</v>
      </c>
      <c r="B394" s="16" t="s">
        <v>1514</v>
      </c>
      <c r="C394" s="17" t="s">
        <v>1515</v>
      </c>
      <c r="D394" s="11" t="s">
        <v>1516</v>
      </c>
      <c r="E394" s="18" t="s">
        <v>1517</v>
      </c>
      <c r="F394" s="38"/>
      <c r="K394" s="14" t="str">
        <f>IFERROR(__xludf.DUMMYFUNCTION("""COMPUTED_VALUE"""),"横")</f>
        <v>横</v>
      </c>
      <c r="L394" s="14" t="str">
        <f>IFERROR(__xludf.DUMMYFUNCTION("""COMPUTED_VALUE"""),"よこ")</f>
        <v>よこ</v>
      </c>
      <c r="M394" s="14" t="str">
        <f>IFERROR(__xludf.DUMMYFUNCTION("""COMPUTED_VALUE"""),"beside,side,width")</f>
        <v>beside,side,width</v>
      </c>
    </row>
    <row r="395">
      <c r="A395" s="40">
        <v>408.0</v>
      </c>
      <c r="B395" s="16" t="s">
        <v>1518</v>
      </c>
      <c r="C395" s="17" t="s">
        <v>1519</v>
      </c>
      <c r="D395" s="11" t="s">
        <v>1520</v>
      </c>
      <c r="E395" s="18" t="s">
        <v>1521</v>
      </c>
      <c r="F395" s="32"/>
      <c r="K395" s="14" t="str">
        <f>IFERROR(__xludf.DUMMYFUNCTION("""COMPUTED_VALUE"""),"夜")</f>
        <v>夜</v>
      </c>
      <c r="L395" s="14" t="str">
        <f>IFERROR(__xludf.DUMMYFUNCTION("""COMPUTED_VALUE"""),"よる")</f>
        <v>よる</v>
      </c>
      <c r="M395" s="14" t="str">
        <f>IFERROR(__xludf.DUMMYFUNCTION("""COMPUTED_VALUE"""),"evening; night")</f>
        <v>evening; night</v>
      </c>
    </row>
    <row r="396">
      <c r="A396" s="39">
        <v>409.0</v>
      </c>
      <c r="B396" s="16" t="s">
        <v>1522</v>
      </c>
      <c r="C396" s="17" t="s">
        <v>1523</v>
      </c>
      <c r="D396" s="11" t="s">
        <v>1524</v>
      </c>
      <c r="E396" s="18" t="s">
        <v>1525</v>
      </c>
      <c r="F396" s="38"/>
      <c r="K396" s="14" t="str">
        <f>IFERROR(__xludf.DUMMYFUNCTION("""COMPUTED_VALUE"""),"四つ")</f>
        <v>四つ</v>
      </c>
      <c r="L396" s="14" t="str">
        <f>IFERROR(__xludf.DUMMYFUNCTION("""COMPUTED_VALUE"""),"よつ")</f>
        <v>よつ</v>
      </c>
      <c r="M396" s="14" t="str">
        <f>IFERROR(__xludf.DUMMYFUNCTION("""COMPUTED_VALUE"""),"four; 4")</f>
        <v>four; 4</v>
      </c>
    </row>
    <row r="397">
      <c r="A397" s="40">
        <v>410.0</v>
      </c>
      <c r="B397" s="16" t="s">
        <v>1526</v>
      </c>
      <c r="C397" s="17" t="s">
        <v>1527</v>
      </c>
      <c r="D397" s="11" t="s">
        <v>1528</v>
      </c>
      <c r="E397" s="18" t="s">
        <v>1529</v>
      </c>
      <c r="F397" s="38"/>
      <c r="K397" s="14" t="str">
        <f>IFERROR(__xludf.DUMMYFUNCTION("""COMPUTED_VALUE"""),"洋服")</f>
        <v>洋服</v>
      </c>
      <c r="L397" s="14" t="str">
        <f>IFERROR(__xludf.DUMMYFUNCTION("""COMPUTED_VALUE"""),"ようふく")</f>
        <v>ようふく</v>
      </c>
      <c r="M397" s="14" t="str">
        <f>IFERROR(__xludf.DUMMYFUNCTION("""COMPUTED_VALUE"""),"western clothes")</f>
        <v>western clothes</v>
      </c>
    </row>
    <row r="398">
      <c r="A398" s="39">
        <v>411.0</v>
      </c>
      <c r="B398" s="16" t="s">
        <v>1530</v>
      </c>
      <c r="C398" s="17" t="s">
        <v>1531</v>
      </c>
      <c r="D398" s="11" t="s">
        <v>1532</v>
      </c>
      <c r="E398" s="18" t="s">
        <v>1533</v>
      </c>
      <c r="F398" s="38"/>
      <c r="K398" s="14" t="str">
        <f>IFERROR(__xludf.DUMMYFUNCTION("""COMPUTED_VALUE"""),"八日")</f>
        <v>八日</v>
      </c>
      <c r="L398" s="14" t="str">
        <f>IFERROR(__xludf.DUMMYFUNCTION("""COMPUTED_VALUE"""),"ようか")</f>
        <v>ようか</v>
      </c>
      <c r="M398" s="14" t="str">
        <f>IFERROR(__xludf.DUMMYFUNCTION("""COMPUTED_VALUE"""),"eighth day of the month")</f>
        <v>eighth day of the month</v>
      </c>
    </row>
    <row r="399">
      <c r="A399" s="40">
        <v>412.0</v>
      </c>
      <c r="B399" s="16" t="s">
        <v>1534</v>
      </c>
      <c r="C399" s="17" t="s">
        <v>1535</v>
      </c>
      <c r="D399" s="11" t="s">
        <v>1536</v>
      </c>
      <c r="E399" s="18" t="s">
        <v>1537</v>
      </c>
      <c r="F399" s="38"/>
      <c r="K399" s="14" t="str">
        <f>IFERROR(__xludf.DUMMYFUNCTION("""COMPUTED_VALUE"""),"雪")</f>
        <v>雪</v>
      </c>
      <c r="L399" s="14" t="str">
        <f>IFERROR(__xludf.DUMMYFUNCTION("""COMPUTED_VALUE"""),"ゆき")</f>
        <v>ゆき</v>
      </c>
      <c r="M399" s="14" t="str">
        <f>IFERROR(__xludf.DUMMYFUNCTION("""COMPUTED_VALUE"""),"snow")</f>
        <v>snow</v>
      </c>
    </row>
    <row r="400">
      <c r="A400" s="42">
        <v>413.0</v>
      </c>
      <c r="B400" s="24" t="s">
        <v>1007</v>
      </c>
      <c r="C400" s="25" t="s">
        <v>1538</v>
      </c>
      <c r="D400" s="26" t="s">
        <v>1539</v>
      </c>
      <c r="E400" s="27" t="s">
        <v>1010</v>
      </c>
      <c r="F400" s="37"/>
      <c r="K400" s="14" t="str">
        <f>IFERROR(__xludf.DUMMYFUNCTION("""COMPUTED_VALUE"""),"昨夜")</f>
        <v>昨夜</v>
      </c>
      <c r="L400" s="14" t="str">
        <f>IFERROR(__xludf.DUMMYFUNCTION("""COMPUTED_VALUE"""),"ゆうべ")</f>
        <v>ゆうべ</v>
      </c>
      <c r="M400" s="14" t="str">
        <f>IFERROR(__xludf.DUMMYFUNCTION("""COMPUTED_VALUE"""),"last night")</f>
        <v>last night</v>
      </c>
    </row>
    <row r="401">
      <c r="A401" s="40">
        <v>414.0</v>
      </c>
      <c r="B401" s="16" t="s">
        <v>1540</v>
      </c>
      <c r="C401" s="17" t="s">
        <v>1541</v>
      </c>
      <c r="D401" s="11" t="s">
        <v>1542</v>
      </c>
      <c r="E401" s="18" t="s">
        <v>1543</v>
      </c>
      <c r="F401" s="33"/>
      <c r="K401" s="14" t="str">
        <f>IFERROR(__xludf.DUMMYFUNCTION("""COMPUTED_VALUE"""),"郵便局")</f>
        <v>郵便局</v>
      </c>
      <c r="L401" s="14" t="str">
        <f>IFERROR(__xludf.DUMMYFUNCTION("""COMPUTED_VALUE"""),"ゆうびんきょく")</f>
        <v>ゆうびんきょく</v>
      </c>
      <c r="M401" s="14" t="str">
        <f>IFERROR(__xludf.DUMMYFUNCTION("""COMPUTED_VALUE"""),"post office")</f>
        <v>post office</v>
      </c>
    </row>
    <row r="402">
      <c r="A402" s="39">
        <v>415.0</v>
      </c>
      <c r="B402" s="16" t="s">
        <v>1544</v>
      </c>
      <c r="C402" s="17" t="s">
        <v>1545</v>
      </c>
      <c r="D402" s="11" t="s">
        <v>1546</v>
      </c>
      <c r="E402" s="18" t="s">
        <v>1547</v>
      </c>
      <c r="F402" s="19"/>
      <c r="K402" s="14" t="str">
        <f>IFERROR(__xludf.DUMMYFUNCTION("""COMPUTED_VALUE"""),"夕方")</f>
        <v>夕方</v>
      </c>
      <c r="L402" s="14" t="str">
        <f>IFERROR(__xludf.DUMMYFUNCTION("""COMPUTED_VALUE"""),"ゆうがた")</f>
        <v>ゆうがた</v>
      </c>
      <c r="M402" s="14" t="str">
        <f>IFERROR(__xludf.DUMMYFUNCTION("""COMPUTED_VALUE"""),"evening; dusk")</f>
        <v>evening; dusk</v>
      </c>
    </row>
    <row r="403">
      <c r="A403" s="40">
        <v>416.0</v>
      </c>
      <c r="B403" s="16" t="s">
        <v>1548</v>
      </c>
      <c r="C403" s="17" t="s">
        <v>1549</v>
      </c>
      <c r="D403" s="11" t="s">
        <v>1550</v>
      </c>
      <c r="E403" s="18" t="s">
        <v>1551</v>
      </c>
      <c r="F403" s="19"/>
      <c r="K403" s="14" t="str">
        <f>IFERROR(__xludf.DUMMYFUNCTION("""COMPUTED_VALUE"""),"夕飯")</f>
        <v>夕飯</v>
      </c>
      <c r="L403" s="14" t="str">
        <f>IFERROR(__xludf.DUMMYFUNCTION("""COMPUTED_VALUE"""),"ゆうはん")</f>
        <v>ゆうはん</v>
      </c>
      <c r="M403" s="14" t="str">
        <f>IFERROR(__xludf.DUMMYFUNCTION("""COMPUTED_VALUE"""),"evening meal")</f>
        <v>evening meal</v>
      </c>
    </row>
    <row r="404">
      <c r="A404" s="39">
        <v>417.0</v>
      </c>
      <c r="B404" s="16" t="s">
        <v>1552</v>
      </c>
      <c r="C404" s="17" t="s">
        <v>1553</v>
      </c>
      <c r="D404" s="11" t="s">
        <v>1554</v>
      </c>
      <c r="E404" s="18" t="s">
        <v>1555</v>
      </c>
      <c r="F404" s="19"/>
      <c r="K404" s="14" t="str">
        <f>IFERROR(__xludf.DUMMYFUNCTION("""COMPUTED_VALUE"""),"有名")</f>
        <v>有名</v>
      </c>
      <c r="L404" s="14" t="str">
        <f>IFERROR(__xludf.DUMMYFUNCTION("""COMPUTED_VALUE"""),"ゆうめい")</f>
        <v>ゆうめい</v>
      </c>
      <c r="M404" s="14" t="str">
        <f>IFERROR(__xludf.DUMMYFUNCTION("""COMPUTED_VALUE"""),"famous")</f>
        <v>famous</v>
      </c>
    </row>
    <row r="405">
      <c r="A405" s="40">
        <v>418.0</v>
      </c>
      <c r="B405" s="16" t="s">
        <v>1556</v>
      </c>
      <c r="C405" s="17" t="s">
        <v>1557</v>
      </c>
      <c r="D405" s="11" t="s">
        <v>1558</v>
      </c>
      <c r="E405" s="18" t="s">
        <v>1559</v>
      </c>
      <c r="F405" s="33"/>
      <c r="K405" s="14" t="str">
        <f>IFERROR(__xludf.DUMMYFUNCTION("""COMPUTED_VALUE"""),"雑誌")</f>
        <v>雑誌</v>
      </c>
      <c r="L405" s="14" t="str">
        <f>IFERROR(__xludf.DUMMYFUNCTION("""COMPUTED_VALUE"""),"ざっし")</f>
        <v>ざっし</v>
      </c>
      <c r="M405" s="14" t="str">
        <f>IFERROR(__xludf.DUMMYFUNCTION("""COMPUTED_VALUE"""),"magazine")</f>
        <v>magazine</v>
      </c>
    </row>
    <row r="406">
      <c r="A406" s="39">
        <v>419.0</v>
      </c>
      <c r="B406" s="16" t="s">
        <v>1560</v>
      </c>
      <c r="C406" s="17" t="s">
        <v>1561</v>
      </c>
      <c r="D406" s="11" t="s">
        <v>1562</v>
      </c>
      <c r="E406" s="18" t="s">
        <v>1563</v>
      </c>
      <c r="F406" s="19"/>
      <c r="K406" s="14" t="str">
        <f>IFERROR(__xludf.DUMMYFUNCTION("""COMPUTED_VALUE"""),"全部")</f>
        <v>全部</v>
      </c>
      <c r="L406" s="14" t="str">
        <f>IFERROR(__xludf.DUMMYFUNCTION("""COMPUTED_VALUE"""),"ぜんぶ")</f>
        <v>ぜんぶ</v>
      </c>
      <c r="M406" s="14" t="str">
        <f>IFERROR(__xludf.DUMMYFUNCTION("""COMPUTED_VALUE"""),"all")</f>
        <v>all</v>
      </c>
    </row>
    <row r="407">
      <c r="A407" s="40">
        <v>420.0</v>
      </c>
      <c r="B407" s="16" t="s">
        <v>1564</v>
      </c>
      <c r="C407" s="22"/>
      <c r="D407" s="11" t="s">
        <v>1565</v>
      </c>
      <c r="E407" s="18" t="s">
        <v>1565</v>
      </c>
      <c r="F407" s="19"/>
      <c r="K407" s="14" t="str">
        <f>IFERROR(__xludf.DUMMYFUNCTION("""COMPUTED_VALUE"""),"ゼロ")</f>
        <v>ゼロ</v>
      </c>
      <c r="L407" s="14"/>
      <c r="M407" s="14" t="str">
        <f>IFERROR(__xludf.DUMMYFUNCTION("""COMPUTED_VALUE"""),"zero")</f>
        <v>zero</v>
      </c>
    </row>
    <row r="408">
      <c r="A408" s="39">
        <v>421.0</v>
      </c>
      <c r="B408" s="16" t="s">
        <v>1566</v>
      </c>
      <c r="C408" s="22"/>
      <c r="D408" s="11" t="s">
        <v>1567</v>
      </c>
      <c r="E408" s="18" t="s">
        <v>1568</v>
      </c>
      <c r="F408" s="19"/>
      <c r="K408" s="14" t="str">
        <f>IFERROR(__xludf.DUMMYFUNCTION("""COMPUTED_VALUE"""),"ズボン")</f>
        <v>ズボン</v>
      </c>
      <c r="L408" s="14"/>
      <c r="M408" s="14" t="str">
        <f>IFERROR(__xludf.DUMMYFUNCTION("""COMPUTED_VALUE"""),"trousers; pants")</f>
        <v>trousers; pants</v>
      </c>
    </row>
    <row r="409">
      <c r="A409" s="46"/>
      <c r="B409" s="47"/>
      <c r="C409" s="48"/>
      <c r="D409" s="49"/>
      <c r="E409" s="48"/>
      <c r="F409" s="47"/>
      <c r="K409" s="14"/>
      <c r="L409" s="14"/>
      <c r="M409" s="14"/>
    </row>
    <row r="410">
      <c r="A410" s="46"/>
      <c r="B410" s="47"/>
      <c r="C410" s="48"/>
      <c r="D410" s="49"/>
      <c r="E410" s="48"/>
      <c r="F410" s="47"/>
      <c r="K410" s="14"/>
      <c r="L410" s="14"/>
      <c r="M410" s="14"/>
    </row>
    <row r="411">
      <c r="A411" s="46"/>
      <c r="B411" s="47"/>
      <c r="C411" s="48"/>
      <c r="D411" s="49"/>
      <c r="E411" s="48"/>
      <c r="F411" s="47"/>
      <c r="K411" s="14"/>
      <c r="L411" s="14"/>
      <c r="M411" s="14"/>
    </row>
    <row r="412">
      <c r="A412" s="46"/>
      <c r="B412" s="47"/>
      <c r="C412" s="48"/>
      <c r="D412" s="49"/>
      <c r="E412" s="48"/>
      <c r="F412" s="47"/>
      <c r="K412" s="14"/>
      <c r="L412" s="14"/>
      <c r="M412" s="14"/>
    </row>
    <row r="413">
      <c r="A413" s="46"/>
      <c r="B413" s="47"/>
      <c r="C413" s="48"/>
      <c r="D413" s="49"/>
      <c r="E413" s="48"/>
      <c r="F413" s="47"/>
      <c r="K413" s="14"/>
      <c r="L413" s="14"/>
      <c r="M413" s="14"/>
    </row>
    <row r="414">
      <c r="A414" s="46"/>
      <c r="B414" s="47"/>
      <c r="C414" s="48"/>
      <c r="D414" s="49"/>
      <c r="E414" s="48"/>
      <c r="F414" s="47"/>
      <c r="K414" s="14"/>
      <c r="L414" s="14"/>
      <c r="M414" s="14"/>
    </row>
    <row r="415">
      <c r="A415" s="46"/>
      <c r="B415" s="47"/>
      <c r="C415" s="48"/>
      <c r="D415" s="49"/>
      <c r="E415" s="48"/>
      <c r="F415" s="47"/>
      <c r="K415" s="14"/>
      <c r="L415" s="14"/>
      <c r="M415" s="14"/>
    </row>
    <row r="416">
      <c r="A416" s="46"/>
      <c r="B416" s="47"/>
      <c r="C416" s="48"/>
      <c r="D416" s="49"/>
      <c r="E416" s="48"/>
      <c r="F416" s="47"/>
      <c r="K416" s="14"/>
      <c r="L416" s="14"/>
      <c r="M416" s="14"/>
    </row>
    <row r="417">
      <c r="A417" s="46"/>
      <c r="B417" s="47"/>
      <c r="C417" s="48"/>
      <c r="D417" s="49"/>
      <c r="E417" s="48"/>
      <c r="F417" s="47"/>
      <c r="K417" s="14"/>
      <c r="L417" s="14"/>
      <c r="M417" s="14"/>
    </row>
    <row r="418">
      <c r="A418" s="46"/>
      <c r="B418" s="47"/>
      <c r="C418" s="48"/>
      <c r="D418" s="49"/>
      <c r="E418" s="48"/>
      <c r="F418" s="47"/>
      <c r="K418" s="14"/>
      <c r="L418" s="14"/>
      <c r="M418" s="14"/>
    </row>
    <row r="419">
      <c r="A419" s="46"/>
      <c r="B419" s="47"/>
      <c r="C419" s="48"/>
      <c r="D419" s="49"/>
      <c r="E419" s="48"/>
      <c r="F419" s="47"/>
      <c r="K419" s="14"/>
      <c r="L419" s="14"/>
      <c r="M419" s="14"/>
    </row>
    <row r="420">
      <c r="A420" s="46"/>
      <c r="B420" s="47"/>
      <c r="C420" s="48"/>
      <c r="D420" s="49"/>
      <c r="E420" s="48"/>
      <c r="F420" s="47"/>
      <c r="K420" s="14"/>
      <c r="L420" s="14"/>
      <c r="M420" s="14"/>
    </row>
    <row r="421">
      <c r="A421" s="46"/>
      <c r="B421" s="47"/>
      <c r="C421" s="48"/>
      <c r="D421" s="49"/>
      <c r="E421" s="48"/>
      <c r="F421" s="47"/>
      <c r="K421" s="14"/>
      <c r="L421" s="14"/>
      <c r="M421" s="14"/>
    </row>
    <row r="422">
      <c r="A422" s="46"/>
      <c r="B422" s="47"/>
      <c r="C422" s="48"/>
      <c r="D422" s="49"/>
      <c r="E422" s="48"/>
      <c r="F422" s="47"/>
      <c r="K422" s="14"/>
      <c r="L422" s="14"/>
      <c r="M422" s="14"/>
    </row>
    <row r="423">
      <c r="A423" s="46"/>
      <c r="B423" s="47"/>
      <c r="C423" s="48"/>
      <c r="D423" s="49"/>
      <c r="E423" s="48"/>
      <c r="F423" s="47"/>
      <c r="K423" s="14"/>
      <c r="L423" s="14"/>
      <c r="M423" s="14"/>
    </row>
    <row r="424">
      <c r="A424" s="46"/>
      <c r="B424" s="47"/>
      <c r="C424" s="48"/>
      <c r="D424" s="49"/>
      <c r="E424" s="48"/>
      <c r="F424" s="47"/>
      <c r="K424" s="14"/>
      <c r="L424" s="14"/>
      <c r="M424" s="14"/>
    </row>
    <row r="425">
      <c r="A425" s="46"/>
      <c r="B425" s="47"/>
      <c r="C425" s="48"/>
      <c r="D425" s="49"/>
      <c r="E425" s="48"/>
      <c r="F425" s="47"/>
      <c r="K425" s="14"/>
      <c r="L425" s="14"/>
      <c r="M425" s="14"/>
    </row>
    <row r="426">
      <c r="A426" s="46"/>
      <c r="B426" s="47"/>
      <c r="C426" s="48"/>
      <c r="D426" s="49"/>
      <c r="E426" s="48"/>
      <c r="F426" s="47"/>
      <c r="K426" s="14"/>
      <c r="L426" s="14"/>
      <c r="M426" s="14"/>
    </row>
    <row r="427">
      <c r="A427" s="46"/>
      <c r="B427" s="47"/>
      <c r="C427" s="48"/>
      <c r="D427" s="49"/>
      <c r="E427" s="48"/>
      <c r="F427" s="47"/>
      <c r="K427" s="14"/>
      <c r="L427" s="14"/>
      <c r="M427" s="14"/>
    </row>
    <row r="428">
      <c r="A428" s="46"/>
      <c r="B428" s="47"/>
      <c r="C428" s="48"/>
      <c r="D428" s="49"/>
      <c r="E428" s="48"/>
      <c r="F428" s="47"/>
      <c r="K428" s="14"/>
      <c r="L428" s="14"/>
      <c r="M428" s="14"/>
    </row>
    <row r="429">
      <c r="A429" s="46"/>
      <c r="B429" s="47"/>
      <c r="C429" s="48"/>
      <c r="D429" s="49"/>
      <c r="E429" s="48"/>
      <c r="F429" s="47"/>
      <c r="K429" s="14"/>
      <c r="L429" s="14"/>
      <c r="M429" s="14"/>
    </row>
    <row r="430">
      <c r="A430" s="46"/>
      <c r="B430" s="47"/>
      <c r="C430" s="48"/>
      <c r="D430" s="49"/>
      <c r="E430" s="48"/>
      <c r="F430" s="47"/>
      <c r="K430" s="14"/>
      <c r="L430" s="14"/>
      <c r="M430" s="14"/>
    </row>
    <row r="431">
      <c r="A431" s="46"/>
      <c r="B431" s="47"/>
      <c r="C431" s="48"/>
      <c r="D431" s="49"/>
      <c r="E431" s="48"/>
      <c r="F431" s="47"/>
      <c r="K431" s="14"/>
      <c r="L431" s="14"/>
      <c r="M431" s="14"/>
    </row>
    <row r="432">
      <c r="A432" s="46"/>
      <c r="B432" s="47"/>
      <c r="C432" s="48"/>
      <c r="D432" s="49"/>
      <c r="E432" s="48"/>
      <c r="F432" s="47"/>
      <c r="K432" s="14"/>
      <c r="L432" s="14"/>
      <c r="M432" s="14"/>
    </row>
    <row r="433">
      <c r="A433" s="46"/>
      <c r="B433" s="47"/>
      <c r="C433" s="48"/>
      <c r="D433" s="49"/>
      <c r="E433" s="48"/>
      <c r="F433" s="47"/>
      <c r="K433" s="14"/>
      <c r="L433" s="14"/>
      <c r="M433" s="14"/>
    </row>
    <row r="434">
      <c r="A434" s="46"/>
      <c r="B434" s="47"/>
      <c r="C434" s="48"/>
      <c r="D434" s="49"/>
      <c r="E434" s="48"/>
      <c r="F434" s="47"/>
      <c r="K434" s="14"/>
      <c r="L434" s="14"/>
      <c r="M434" s="14"/>
    </row>
    <row r="435">
      <c r="A435" s="46"/>
      <c r="B435" s="47"/>
      <c r="C435" s="48"/>
      <c r="D435" s="49"/>
      <c r="E435" s="48"/>
      <c r="F435" s="47"/>
      <c r="K435" s="14"/>
      <c r="L435" s="14"/>
      <c r="M435" s="14"/>
    </row>
    <row r="436">
      <c r="A436" s="46"/>
      <c r="B436" s="47"/>
      <c r="C436" s="48"/>
      <c r="D436" s="49"/>
      <c r="E436" s="48"/>
      <c r="F436" s="47"/>
      <c r="K436" s="14"/>
      <c r="L436" s="14"/>
      <c r="M436" s="14"/>
    </row>
    <row r="437">
      <c r="A437" s="46"/>
      <c r="B437" s="47"/>
      <c r="C437" s="48"/>
      <c r="D437" s="49"/>
      <c r="E437" s="48"/>
      <c r="F437" s="47"/>
      <c r="K437" s="14"/>
      <c r="L437" s="14"/>
      <c r="M437" s="14"/>
    </row>
    <row r="438">
      <c r="A438" s="46"/>
      <c r="B438" s="47"/>
      <c r="C438" s="48"/>
      <c r="D438" s="49"/>
      <c r="E438" s="48"/>
      <c r="F438" s="47"/>
      <c r="K438" s="14"/>
      <c r="L438" s="14"/>
      <c r="M438" s="14"/>
    </row>
    <row r="439">
      <c r="A439" s="46"/>
      <c r="B439" s="47"/>
      <c r="C439" s="48"/>
      <c r="D439" s="49"/>
      <c r="E439" s="48"/>
      <c r="F439" s="47"/>
      <c r="K439" s="14"/>
      <c r="L439" s="14"/>
      <c r="M439" s="14"/>
    </row>
    <row r="440">
      <c r="A440" s="46"/>
      <c r="B440" s="47"/>
      <c r="C440" s="48"/>
      <c r="D440" s="49"/>
      <c r="E440" s="48"/>
      <c r="F440" s="47"/>
      <c r="K440" s="14"/>
      <c r="L440" s="14"/>
      <c r="M440" s="14"/>
    </row>
    <row r="441">
      <c r="A441" s="46"/>
      <c r="B441" s="47"/>
      <c r="C441" s="48"/>
      <c r="D441" s="49"/>
      <c r="E441" s="48"/>
      <c r="F441" s="47"/>
      <c r="K441" s="14"/>
      <c r="L441" s="14"/>
      <c r="M441" s="14"/>
    </row>
    <row r="442">
      <c r="A442" s="46"/>
      <c r="B442" s="47"/>
      <c r="C442" s="48"/>
      <c r="D442" s="49"/>
      <c r="E442" s="48"/>
      <c r="F442" s="47"/>
      <c r="K442" s="14"/>
      <c r="L442" s="14"/>
      <c r="M442" s="14"/>
    </row>
    <row r="443">
      <c r="A443" s="46"/>
      <c r="B443" s="47"/>
      <c r="C443" s="48"/>
      <c r="D443" s="49"/>
      <c r="E443" s="48"/>
      <c r="F443" s="47"/>
      <c r="K443" s="14"/>
      <c r="L443" s="14"/>
      <c r="M443" s="14"/>
    </row>
    <row r="444">
      <c r="A444" s="46"/>
      <c r="B444" s="47"/>
      <c r="C444" s="48"/>
      <c r="D444" s="49"/>
      <c r="E444" s="48"/>
      <c r="F444" s="47"/>
      <c r="K444" s="14"/>
      <c r="L444" s="14"/>
      <c r="M444" s="14"/>
    </row>
    <row r="445">
      <c r="A445" s="46"/>
      <c r="B445" s="47"/>
      <c r="C445" s="48"/>
      <c r="D445" s="49"/>
      <c r="E445" s="48"/>
      <c r="F445" s="47"/>
      <c r="K445" s="14"/>
      <c r="L445" s="14"/>
      <c r="M445" s="14"/>
    </row>
    <row r="446">
      <c r="A446" s="46"/>
      <c r="B446" s="47"/>
      <c r="C446" s="48"/>
      <c r="D446" s="49"/>
      <c r="E446" s="48"/>
      <c r="F446" s="47"/>
      <c r="K446" s="14"/>
      <c r="L446" s="14"/>
      <c r="M446" s="14"/>
    </row>
    <row r="447">
      <c r="A447" s="46"/>
      <c r="B447" s="47"/>
      <c r="C447" s="48"/>
      <c r="D447" s="49"/>
      <c r="E447" s="48"/>
      <c r="F447" s="47"/>
      <c r="K447" s="14"/>
      <c r="L447" s="14"/>
      <c r="M447" s="14"/>
    </row>
    <row r="448">
      <c r="A448" s="46"/>
      <c r="B448" s="47"/>
      <c r="C448" s="48"/>
      <c r="D448" s="49"/>
      <c r="E448" s="48"/>
      <c r="F448" s="47"/>
      <c r="K448" s="14"/>
      <c r="L448" s="14"/>
      <c r="M448" s="14"/>
    </row>
    <row r="449">
      <c r="A449" s="46"/>
      <c r="B449" s="47"/>
      <c r="C449" s="48"/>
      <c r="D449" s="49"/>
      <c r="E449" s="48"/>
      <c r="F449" s="47"/>
      <c r="K449" s="14"/>
      <c r="L449" s="14"/>
      <c r="M449" s="14"/>
    </row>
    <row r="450">
      <c r="A450" s="46"/>
      <c r="B450" s="47"/>
      <c r="C450" s="48"/>
      <c r="D450" s="49"/>
      <c r="E450" s="48"/>
      <c r="F450" s="47"/>
      <c r="K450" s="14"/>
      <c r="L450" s="14"/>
      <c r="M450" s="14"/>
    </row>
    <row r="451">
      <c r="A451" s="46"/>
      <c r="B451" s="47"/>
      <c r="C451" s="48"/>
      <c r="D451" s="49"/>
      <c r="E451" s="48"/>
      <c r="F451" s="47"/>
      <c r="K451" s="14"/>
      <c r="L451" s="14"/>
      <c r="M451" s="14"/>
    </row>
    <row r="452">
      <c r="A452" s="46"/>
      <c r="B452" s="47"/>
      <c r="C452" s="48"/>
      <c r="D452" s="49"/>
      <c r="E452" s="48"/>
      <c r="F452" s="47"/>
      <c r="K452" s="14"/>
      <c r="L452" s="14"/>
      <c r="M452" s="14"/>
    </row>
    <row r="453">
      <c r="A453" s="46"/>
      <c r="B453" s="47"/>
      <c r="C453" s="48"/>
      <c r="D453" s="49"/>
      <c r="E453" s="48"/>
      <c r="F453" s="47"/>
      <c r="K453" s="14"/>
      <c r="L453" s="14"/>
      <c r="M453" s="14"/>
    </row>
    <row r="454">
      <c r="A454" s="46"/>
      <c r="B454" s="47"/>
      <c r="C454" s="48"/>
      <c r="D454" s="49"/>
      <c r="E454" s="48"/>
      <c r="F454" s="47"/>
      <c r="K454" s="14"/>
      <c r="L454" s="14"/>
      <c r="M454" s="14"/>
    </row>
    <row r="455">
      <c r="A455" s="46"/>
      <c r="B455" s="47"/>
      <c r="C455" s="48"/>
      <c r="D455" s="49"/>
      <c r="E455" s="48"/>
      <c r="F455" s="47"/>
      <c r="K455" s="14"/>
      <c r="L455" s="14"/>
      <c r="M455" s="14"/>
    </row>
    <row r="456">
      <c r="A456" s="46"/>
      <c r="B456" s="47"/>
      <c r="C456" s="48"/>
      <c r="D456" s="49"/>
      <c r="E456" s="48"/>
      <c r="F456" s="47"/>
      <c r="K456" s="14"/>
      <c r="L456" s="14"/>
      <c r="M456" s="14"/>
    </row>
    <row r="457">
      <c r="A457" s="46"/>
      <c r="B457" s="47"/>
      <c r="C457" s="48"/>
      <c r="D457" s="49"/>
      <c r="E457" s="48"/>
      <c r="F457" s="47"/>
      <c r="K457" s="14"/>
      <c r="L457" s="14"/>
      <c r="M457" s="14"/>
    </row>
    <row r="458">
      <c r="A458" s="46"/>
      <c r="B458" s="47"/>
      <c r="C458" s="48"/>
      <c r="D458" s="49"/>
      <c r="E458" s="48"/>
      <c r="F458" s="47"/>
      <c r="K458" s="14"/>
      <c r="L458" s="14"/>
      <c r="M458" s="14"/>
    </row>
    <row r="459">
      <c r="A459" s="46"/>
      <c r="B459" s="47"/>
      <c r="C459" s="48"/>
      <c r="D459" s="49"/>
      <c r="E459" s="48"/>
      <c r="F459" s="47"/>
      <c r="K459" s="14"/>
      <c r="L459" s="14"/>
      <c r="M459" s="14"/>
    </row>
    <row r="460">
      <c r="A460" s="46"/>
      <c r="B460" s="47"/>
      <c r="C460" s="48"/>
      <c r="D460" s="49"/>
      <c r="E460" s="48"/>
      <c r="F460" s="47"/>
      <c r="K460" s="14"/>
      <c r="L460" s="14"/>
      <c r="M460" s="14"/>
    </row>
    <row r="461">
      <c r="A461" s="46"/>
      <c r="B461" s="47"/>
      <c r="C461" s="48"/>
      <c r="D461" s="49"/>
      <c r="E461" s="48"/>
      <c r="F461" s="47"/>
      <c r="K461" s="14"/>
      <c r="L461" s="14"/>
      <c r="M461" s="14"/>
    </row>
    <row r="462">
      <c r="A462" s="46"/>
      <c r="B462" s="47"/>
      <c r="C462" s="48"/>
      <c r="D462" s="49"/>
      <c r="E462" s="48"/>
      <c r="F462" s="47"/>
      <c r="K462" s="14"/>
      <c r="L462" s="14"/>
      <c r="M462" s="14"/>
    </row>
    <row r="463">
      <c r="A463" s="46"/>
      <c r="B463" s="47"/>
      <c r="C463" s="48"/>
      <c r="D463" s="49"/>
      <c r="E463" s="48"/>
      <c r="F463" s="47"/>
      <c r="K463" s="14"/>
      <c r="L463" s="14"/>
      <c r="M463" s="14"/>
    </row>
    <row r="464">
      <c r="A464" s="46"/>
      <c r="B464" s="47"/>
      <c r="C464" s="48"/>
      <c r="D464" s="49"/>
      <c r="E464" s="48"/>
      <c r="F464" s="47"/>
      <c r="K464" s="14"/>
      <c r="L464" s="14"/>
      <c r="M464" s="14"/>
    </row>
    <row r="465">
      <c r="A465" s="46"/>
      <c r="B465" s="47"/>
      <c r="C465" s="48"/>
      <c r="D465" s="49"/>
      <c r="E465" s="48"/>
      <c r="F465" s="47"/>
      <c r="K465" s="14"/>
      <c r="L465" s="14"/>
      <c r="M465" s="14"/>
    </row>
    <row r="466">
      <c r="A466" s="46"/>
      <c r="B466" s="47"/>
      <c r="C466" s="48"/>
      <c r="D466" s="49"/>
      <c r="E466" s="48"/>
      <c r="F466" s="47"/>
      <c r="K466" s="14"/>
      <c r="L466" s="14"/>
      <c r="M466" s="14"/>
    </row>
    <row r="467">
      <c r="A467" s="46"/>
      <c r="B467" s="47"/>
      <c r="C467" s="48"/>
      <c r="D467" s="49"/>
      <c r="E467" s="48"/>
      <c r="F467" s="47"/>
      <c r="K467" s="14"/>
      <c r="L467" s="14"/>
      <c r="M467" s="14"/>
    </row>
    <row r="468">
      <c r="A468" s="46"/>
      <c r="B468" s="47"/>
      <c r="C468" s="48"/>
      <c r="D468" s="49"/>
      <c r="E468" s="48"/>
      <c r="F468" s="47"/>
      <c r="K468" s="14"/>
      <c r="L468" s="14"/>
      <c r="M468" s="14"/>
    </row>
    <row r="469">
      <c r="A469" s="46"/>
      <c r="B469" s="47"/>
      <c r="C469" s="48"/>
      <c r="D469" s="49"/>
      <c r="E469" s="48"/>
      <c r="F469" s="47"/>
      <c r="K469" s="14"/>
      <c r="L469" s="14"/>
      <c r="M469" s="14"/>
    </row>
    <row r="470">
      <c r="A470" s="46"/>
      <c r="B470" s="47"/>
      <c r="C470" s="48"/>
      <c r="D470" s="49"/>
      <c r="E470" s="48"/>
      <c r="F470" s="47"/>
      <c r="K470" s="14"/>
      <c r="L470" s="14"/>
      <c r="M470" s="14"/>
    </row>
    <row r="471">
      <c r="A471" s="46"/>
      <c r="B471" s="47"/>
      <c r="C471" s="48"/>
      <c r="D471" s="49"/>
      <c r="E471" s="48"/>
      <c r="F471" s="47"/>
      <c r="K471" s="14"/>
      <c r="L471" s="14"/>
      <c r="M471" s="14"/>
    </row>
    <row r="472">
      <c r="A472" s="46"/>
      <c r="B472" s="47"/>
      <c r="C472" s="48"/>
      <c r="D472" s="49"/>
      <c r="E472" s="48"/>
      <c r="F472" s="47"/>
      <c r="K472" s="14"/>
      <c r="L472" s="14"/>
      <c r="M472" s="14"/>
    </row>
    <row r="473">
      <c r="A473" s="46"/>
      <c r="B473" s="47"/>
      <c r="C473" s="48"/>
      <c r="D473" s="49"/>
      <c r="E473" s="48"/>
      <c r="F473" s="47"/>
      <c r="K473" s="14"/>
      <c r="L473" s="14"/>
      <c r="M473" s="14"/>
    </row>
    <row r="474">
      <c r="A474" s="46"/>
      <c r="B474" s="47"/>
      <c r="C474" s="48"/>
      <c r="D474" s="49"/>
      <c r="E474" s="48"/>
      <c r="F474" s="47"/>
      <c r="K474" s="14"/>
      <c r="L474" s="14"/>
      <c r="M474" s="14"/>
    </row>
    <row r="475">
      <c r="A475" s="46"/>
      <c r="B475" s="47"/>
      <c r="C475" s="48"/>
      <c r="D475" s="49"/>
      <c r="E475" s="48"/>
      <c r="F475" s="47"/>
      <c r="K475" s="14"/>
      <c r="L475" s="14"/>
      <c r="M475" s="14"/>
    </row>
    <row r="476">
      <c r="A476" s="46"/>
      <c r="B476" s="47"/>
      <c r="C476" s="48"/>
      <c r="D476" s="49"/>
      <c r="E476" s="48"/>
      <c r="F476" s="47"/>
      <c r="K476" s="14"/>
      <c r="L476" s="14"/>
      <c r="M476" s="14"/>
    </row>
    <row r="477">
      <c r="A477" s="46"/>
      <c r="B477" s="47"/>
      <c r="C477" s="48"/>
      <c r="D477" s="49"/>
      <c r="E477" s="48"/>
      <c r="F477" s="47"/>
      <c r="K477" s="14"/>
      <c r="L477" s="14"/>
      <c r="M477" s="14"/>
    </row>
    <row r="478">
      <c r="A478" s="46"/>
      <c r="B478" s="47"/>
      <c r="C478" s="48"/>
      <c r="D478" s="49"/>
      <c r="E478" s="48"/>
      <c r="F478" s="47"/>
      <c r="K478" s="14"/>
      <c r="L478" s="14"/>
      <c r="M478" s="14"/>
    </row>
    <row r="479">
      <c r="A479" s="46"/>
      <c r="B479" s="47"/>
      <c r="C479" s="48"/>
      <c r="D479" s="49"/>
      <c r="E479" s="48"/>
      <c r="F479" s="47"/>
      <c r="K479" s="14"/>
      <c r="L479" s="14"/>
      <c r="M479" s="14"/>
    </row>
    <row r="480">
      <c r="A480" s="46"/>
      <c r="B480" s="47"/>
      <c r="C480" s="48"/>
      <c r="D480" s="49"/>
      <c r="E480" s="48"/>
      <c r="F480" s="47"/>
      <c r="K480" s="14"/>
      <c r="L480" s="14"/>
      <c r="M480" s="14"/>
    </row>
    <row r="481">
      <c r="A481" s="46"/>
      <c r="B481" s="47"/>
      <c r="C481" s="48"/>
      <c r="D481" s="49"/>
      <c r="E481" s="48"/>
      <c r="F481" s="47"/>
      <c r="K481" s="14"/>
      <c r="L481" s="14"/>
      <c r="M481" s="14"/>
    </row>
    <row r="482">
      <c r="A482" s="46"/>
      <c r="B482" s="47"/>
      <c r="C482" s="48"/>
      <c r="D482" s="49"/>
      <c r="E482" s="48"/>
      <c r="F482" s="47"/>
      <c r="K482" s="14"/>
      <c r="L482" s="14"/>
      <c r="M482" s="14"/>
    </row>
    <row r="483">
      <c r="A483" s="46"/>
      <c r="B483" s="47"/>
      <c r="C483" s="48"/>
      <c r="D483" s="49"/>
      <c r="E483" s="48"/>
      <c r="F483" s="47"/>
      <c r="K483" s="14"/>
      <c r="L483" s="14"/>
      <c r="M483" s="14"/>
    </row>
    <row r="484">
      <c r="A484" s="46"/>
      <c r="B484" s="47"/>
      <c r="C484" s="48"/>
      <c r="D484" s="49"/>
      <c r="E484" s="48"/>
      <c r="F484" s="47"/>
      <c r="K484" s="14"/>
      <c r="L484" s="14"/>
      <c r="M484" s="14"/>
    </row>
    <row r="485">
      <c r="A485" s="46"/>
      <c r="B485" s="47"/>
      <c r="C485" s="48"/>
      <c r="D485" s="49"/>
      <c r="E485" s="48"/>
      <c r="F485" s="47"/>
      <c r="K485" s="14"/>
      <c r="L485" s="14"/>
      <c r="M485" s="14"/>
    </row>
    <row r="486">
      <c r="A486" s="46"/>
      <c r="B486" s="47"/>
      <c r="C486" s="48"/>
      <c r="D486" s="49"/>
      <c r="E486" s="48"/>
      <c r="F486" s="47"/>
      <c r="K486" s="14"/>
      <c r="L486" s="14"/>
      <c r="M486" s="14"/>
    </row>
    <row r="487">
      <c r="A487" s="46"/>
      <c r="B487" s="47"/>
      <c r="C487" s="48"/>
      <c r="D487" s="49"/>
      <c r="E487" s="48"/>
      <c r="F487" s="47"/>
      <c r="K487" s="14"/>
      <c r="L487" s="14"/>
      <c r="M487" s="14"/>
    </row>
    <row r="488">
      <c r="A488" s="46"/>
      <c r="B488" s="47"/>
      <c r="C488" s="48"/>
      <c r="D488" s="49"/>
      <c r="E488" s="48"/>
      <c r="F488" s="47"/>
      <c r="K488" s="14"/>
      <c r="L488" s="14"/>
      <c r="M488" s="14"/>
    </row>
    <row r="489">
      <c r="A489" s="46"/>
      <c r="B489" s="47"/>
      <c r="C489" s="48"/>
      <c r="D489" s="49"/>
      <c r="E489" s="48"/>
      <c r="F489" s="47"/>
      <c r="K489" s="14"/>
      <c r="L489" s="14"/>
      <c r="M489" s="14"/>
    </row>
    <row r="490">
      <c r="A490" s="46"/>
      <c r="B490" s="47"/>
      <c r="C490" s="48"/>
      <c r="D490" s="49"/>
      <c r="E490" s="48"/>
      <c r="F490" s="47"/>
      <c r="K490" s="14"/>
      <c r="L490" s="14"/>
      <c r="M490" s="14"/>
    </row>
    <row r="491">
      <c r="A491" s="46"/>
      <c r="B491" s="47"/>
      <c r="C491" s="48"/>
      <c r="D491" s="49"/>
      <c r="E491" s="48"/>
      <c r="F491" s="47"/>
      <c r="K491" s="14"/>
      <c r="L491" s="14"/>
      <c r="M491" s="14"/>
    </row>
    <row r="492">
      <c r="A492" s="46"/>
      <c r="B492" s="47"/>
      <c r="C492" s="48"/>
      <c r="D492" s="49"/>
      <c r="E492" s="48"/>
      <c r="F492" s="47"/>
      <c r="K492" s="14"/>
      <c r="L492" s="14"/>
      <c r="M492" s="14"/>
    </row>
    <row r="493">
      <c r="A493" s="46"/>
      <c r="B493" s="47"/>
      <c r="C493" s="48"/>
      <c r="D493" s="49"/>
      <c r="E493" s="48"/>
      <c r="F493" s="47"/>
      <c r="K493" s="14"/>
      <c r="L493" s="14"/>
      <c r="M493" s="14"/>
    </row>
    <row r="494">
      <c r="A494" s="46"/>
      <c r="B494" s="47"/>
      <c r="C494" s="48"/>
      <c r="D494" s="49"/>
      <c r="E494" s="48"/>
      <c r="F494" s="47"/>
      <c r="K494" s="14"/>
      <c r="L494" s="14"/>
      <c r="M494" s="14"/>
    </row>
    <row r="495">
      <c r="A495" s="46"/>
      <c r="B495" s="47"/>
      <c r="C495" s="48"/>
      <c r="D495" s="49"/>
      <c r="E495" s="48"/>
      <c r="F495" s="47"/>
      <c r="K495" s="14"/>
      <c r="L495" s="14"/>
      <c r="M495" s="14"/>
    </row>
    <row r="496">
      <c r="A496" s="46"/>
      <c r="B496" s="47"/>
      <c r="C496" s="48"/>
      <c r="D496" s="49"/>
      <c r="E496" s="48"/>
      <c r="F496" s="47"/>
      <c r="K496" s="14"/>
      <c r="L496" s="14"/>
      <c r="M496" s="14"/>
    </row>
    <row r="497">
      <c r="A497" s="46"/>
      <c r="B497" s="47"/>
      <c r="C497" s="48"/>
      <c r="D497" s="49"/>
      <c r="E497" s="48"/>
      <c r="F497" s="47"/>
      <c r="K497" s="14"/>
      <c r="L497" s="14"/>
      <c r="M497" s="14"/>
    </row>
    <row r="498">
      <c r="A498" s="46"/>
      <c r="B498" s="47"/>
      <c r="C498" s="48"/>
      <c r="D498" s="49"/>
      <c r="E498" s="48"/>
      <c r="F498" s="47"/>
      <c r="K498" s="14"/>
      <c r="L498" s="14"/>
      <c r="M498" s="14"/>
    </row>
    <row r="499">
      <c r="A499" s="46"/>
      <c r="B499" s="47"/>
      <c r="C499" s="48"/>
      <c r="D499" s="49"/>
      <c r="E499" s="48"/>
      <c r="F499" s="47"/>
      <c r="K499" s="14"/>
      <c r="L499" s="14"/>
      <c r="M499" s="14"/>
    </row>
    <row r="500">
      <c r="A500" s="46"/>
      <c r="B500" s="47"/>
      <c r="C500" s="48"/>
      <c r="D500" s="49"/>
      <c r="E500" s="48"/>
      <c r="F500" s="47"/>
      <c r="K500" s="14"/>
      <c r="L500" s="14"/>
      <c r="M500" s="14"/>
    </row>
    <row r="501">
      <c r="A501" s="46"/>
      <c r="B501" s="47"/>
      <c r="C501" s="48"/>
      <c r="D501" s="49"/>
      <c r="E501" s="48"/>
      <c r="F501" s="47"/>
      <c r="K501" s="14"/>
      <c r="L501" s="14"/>
      <c r="M501" s="14"/>
    </row>
    <row r="502">
      <c r="A502" s="46"/>
      <c r="B502" s="47"/>
      <c r="C502" s="48"/>
      <c r="D502" s="49"/>
      <c r="E502" s="48"/>
      <c r="F502" s="47"/>
      <c r="K502" s="14"/>
      <c r="L502" s="14"/>
      <c r="M502" s="14"/>
    </row>
    <row r="503">
      <c r="A503" s="46"/>
      <c r="B503" s="47"/>
      <c r="C503" s="48"/>
      <c r="D503" s="49"/>
      <c r="E503" s="48"/>
      <c r="F503" s="47"/>
      <c r="K503" s="14"/>
      <c r="L503" s="14"/>
      <c r="M503" s="14"/>
    </row>
    <row r="504">
      <c r="A504" s="46"/>
      <c r="B504" s="47"/>
      <c r="C504" s="48"/>
      <c r="D504" s="49"/>
      <c r="E504" s="48"/>
      <c r="F504" s="47"/>
      <c r="K504" s="14"/>
      <c r="L504" s="14"/>
      <c r="M504" s="14"/>
    </row>
    <row r="505">
      <c r="A505" s="46"/>
      <c r="B505" s="47"/>
      <c r="C505" s="48"/>
      <c r="D505" s="49"/>
      <c r="E505" s="48"/>
      <c r="F505" s="47"/>
      <c r="K505" s="14"/>
      <c r="L505" s="14"/>
      <c r="M505" s="14"/>
    </row>
    <row r="506">
      <c r="A506" s="46"/>
      <c r="B506" s="47"/>
      <c r="C506" s="48"/>
      <c r="D506" s="49"/>
      <c r="E506" s="48"/>
      <c r="F506" s="47"/>
      <c r="K506" s="14"/>
      <c r="L506" s="14"/>
      <c r="M506" s="14"/>
    </row>
    <row r="507">
      <c r="A507" s="46"/>
      <c r="B507" s="47"/>
      <c r="C507" s="48"/>
      <c r="D507" s="49"/>
      <c r="E507" s="48"/>
      <c r="F507" s="47"/>
      <c r="K507" s="14"/>
      <c r="L507" s="14"/>
      <c r="M507" s="14"/>
    </row>
    <row r="508">
      <c r="A508" s="46"/>
      <c r="B508" s="47"/>
      <c r="C508" s="48"/>
      <c r="D508" s="49"/>
      <c r="E508" s="48"/>
      <c r="F508" s="47"/>
      <c r="K508" s="14"/>
      <c r="L508" s="14"/>
      <c r="M508" s="14"/>
    </row>
    <row r="509">
      <c r="A509" s="46"/>
      <c r="B509" s="47"/>
      <c r="C509" s="48"/>
      <c r="D509" s="49"/>
      <c r="E509" s="48"/>
      <c r="F509" s="47"/>
      <c r="K509" s="14"/>
      <c r="L509" s="14"/>
      <c r="M509" s="14"/>
    </row>
    <row r="510">
      <c r="A510" s="46"/>
      <c r="B510" s="47"/>
      <c r="C510" s="48"/>
      <c r="D510" s="49"/>
      <c r="E510" s="48"/>
      <c r="F510" s="47"/>
      <c r="K510" s="14"/>
      <c r="L510" s="14"/>
      <c r="M510" s="14"/>
    </row>
    <row r="511">
      <c r="A511" s="46"/>
      <c r="B511" s="47"/>
      <c r="C511" s="48"/>
      <c r="D511" s="49"/>
      <c r="E511" s="48"/>
      <c r="F511" s="47"/>
      <c r="K511" s="14"/>
      <c r="L511" s="14"/>
      <c r="M511" s="14"/>
    </row>
    <row r="512">
      <c r="A512" s="46"/>
      <c r="B512" s="47"/>
      <c r="C512" s="48"/>
      <c r="D512" s="49"/>
      <c r="E512" s="48"/>
      <c r="F512" s="47"/>
      <c r="K512" s="14"/>
      <c r="L512" s="14"/>
      <c r="M512" s="14"/>
    </row>
    <row r="513">
      <c r="A513" s="46"/>
      <c r="B513" s="47"/>
      <c r="C513" s="48"/>
      <c r="D513" s="49"/>
      <c r="E513" s="48"/>
      <c r="F513" s="47"/>
      <c r="K513" s="14"/>
      <c r="L513" s="14"/>
      <c r="M513" s="14"/>
    </row>
    <row r="514">
      <c r="A514" s="46"/>
      <c r="B514" s="47"/>
      <c r="C514" s="48"/>
      <c r="D514" s="49"/>
      <c r="E514" s="48"/>
      <c r="F514" s="47"/>
      <c r="K514" s="14"/>
      <c r="L514" s="14"/>
      <c r="M514" s="14"/>
    </row>
    <row r="515">
      <c r="A515" s="46"/>
      <c r="B515" s="47"/>
      <c r="C515" s="48"/>
      <c r="D515" s="49"/>
      <c r="E515" s="48"/>
      <c r="F515" s="47"/>
      <c r="K515" s="14"/>
      <c r="L515" s="14"/>
      <c r="M515" s="14"/>
    </row>
    <row r="516">
      <c r="A516" s="46"/>
      <c r="B516" s="47"/>
      <c r="C516" s="48"/>
      <c r="D516" s="49"/>
      <c r="E516" s="48"/>
      <c r="F516" s="47"/>
      <c r="K516" s="14"/>
      <c r="L516" s="14"/>
      <c r="M516" s="14"/>
    </row>
    <row r="517">
      <c r="A517" s="46"/>
      <c r="B517" s="47"/>
      <c r="C517" s="48"/>
      <c r="D517" s="49"/>
      <c r="E517" s="48"/>
      <c r="F517" s="47"/>
      <c r="K517" s="14"/>
      <c r="L517" s="14"/>
      <c r="M517" s="14"/>
    </row>
    <row r="518">
      <c r="A518" s="46"/>
      <c r="B518" s="47"/>
      <c r="C518" s="48"/>
      <c r="D518" s="49"/>
      <c r="E518" s="48"/>
      <c r="F518" s="47"/>
      <c r="K518" s="14"/>
      <c r="L518" s="14"/>
      <c r="M518" s="14"/>
    </row>
    <row r="519">
      <c r="A519" s="46"/>
      <c r="B519" s="47"/>
      <c r="C519" s="48"/>
      <c r="D519" s="49"/>
      <c r="E519" s="48"/>
      <c r="F519" s="47"/>
      <c r="K519" s="14"/>
      <c r="L519" s="14"/>
      <c r="M519" s="14"/>
    </row>
    <row r="520">
      <c r="A520" s="46"/>
      <c r="B520" s="47"/>
      <c r="C520" s="48"/>
      <c r="D520" s="49"/>
      <c r="E520" s="48"/>
      <c r="F520" s="47"/>
      <c r="K520" s="14"/>
      <c r="L520" s="14"/>
      <c r="M520" s="14"/>
    </row>
    <row r="521">
      <c r="A521" s="46"/>
      <c r="B521" s="47"/>
      <c r="C521" s="48"/>
      <c r="D521" s="49"/>
      <c r="E521" s="48"/>
      <c r="F521" s="47"/>
      <c r="K521" s="14"/>
      <c r="L521" s="14"/>
      <c r="M521" s="14"/>
    </row>
    <row r="522">
      <c r="A522" s="46"/>
      <c r="B522" s="47"/>
      <c r="C522" s="48"/>
      <c r="D522" s="49"/>
      <c r="E522" s="48"/>
      <c r="F522" s="47"/>
      <c r="K522" s="14"/>
      <c r="L522" s="14"/>
      <c r="M522" s="14"/>
    </row>
    <row r="523">
      <c r="A523" s="46"/>
      <c r="B523" s="47"/>
      <c r="C523" s="48"/>
      <c r="D523" s="49"/>
      <c r="E523" s="48"/>
      <c r="F523" s="47"/>
      <c r="K523" s="14"/>
      <c r="L523" s="14"/>
      <c r="M523" s="14"/>
    </row>
    <row r="524">
      <c r="A524" s="46"/>
      <c r="B524" s="47"/>
      <c r="C524" s="48"/>
      <c r="D524" s="49"/>
      <c r="E524" s="48"/>
      <c r="F524" s="47"/>
      <c r="K524" s="14"/>
      <c r="L524" s="14"/>
      <c r="M524" s="14"/>
    </row>
    <row r="525">
      <c r="A525" s="46"/>
      <c r="B525" s="47"/>
      <c r="C525" s="48"/>
      <c r="D525" s="49"/>
      <c r="E525" s="48"/>
      <c r="F525" s="47"/>
      <c r="K525" s="14"/>
      <c r="L525" s="14"/>
      <c r="M525" s="14"/>
    </row>
    <row r="526">
      <c r="A526" s="46"/>
      <c r="B526" s="47"/>
      <c r="C526" s="48"/>
      <c r="D526" s="49"/>
      <c r="E526" s="48"/>
      <c r="F526" s="47"/>
      <c r="K526" s="14"/>
      <c r="L526" s="14"/>
      <c r="M526" s="14"/>
    </row>
    <row r="527">
      <c r="A527" s="46"/>
      <c r="B527" s="47"/>
      <c r="C527" s="48"/>
      <c r="D527" s="49"/>
      <c r="E527" s="48"/>
      <c r="F527" s="47"/>
      <c r="K527" s="14"/>
      <c r="L527" s="14"/>
      <c r="M527" s="14"/>
    </row>
    <row r="528">
      <c r="A528" s="46"/>
      <c r="B528" s="47"/>
      <c r="C528" s="48"/>
      <c r="D528" s="49"/>
      <c r="E528" s="48"/>
      <c r="F528" s="47"/>
      <c r="K528" s="14"/>
      <c r="L528" s="14"/>
      <c r="M528" s="14"/>
    </row>
    <row r="529">
      <c r="A529" s="46"/>
      <c r="B529" s="47"/>
      <c r="C529" s="48"/>
      <c r="D529" s="49"/>
      <c r="E529" s="48"/>
      <c r="F529" s="47"/>
      <c r="K529" s="14"/>
      <c r="L529" s="14"/>
      <c r="M529" s="14"/>
    </row>
    <row r="530">
      <c r="A530" s="46"/>
      <c r="B530" s="47"/>
      <c r="C530" s="48"/>
      <c r="D530" s="49"/>
      <c r="E530" s="48"/>
      <c r="F530" s="47"/>
      <c r="K530" s="14"/>
      <c r="L530" s="14"/>
      <c r="M530" s="14"/>
    </row>
    <row r="531">
      <c r="A531" s="46"/>
      <c r="B531" s="47"/>
      <c r="C531" s="48"/>
      <c r="D531" s="49"/>
      <c r="E531" s="48"/>
      <c r="F531" s="47"/>
      <c r="K531" s="14"/>
      <c r="L531" s="14"/>
      <c r="M531" s="14"/>
    </row>
    <row r="532">
      <c r="A532" s="46"/>
      <c r="B532" s="47"/>
      <c r="C532" s="48"/>
      <c r="D532" s="49"/>
      <c r="E532" s="48"/>
      <c r="F532" s="47"/>
      <c r="K532" s="14"/>
      <c r="L532" s="14"/>
      <c r="M532" s="14"/>
    </row>
    <row r="533">
      <c r="A533" s="46"/>
      <c r="B533" s="47"/>
      <c r="C533" s="48"/>
      <c r="D533" s="49"/>
      <c r="E533" s="48"/>
      <c r="F533" s="47"/>
      <c r="K533" s="14"/>
      <c r="L533" s="14"/>
      <c r="M533" s="14"/>
    </row>
    <row r="534">
      <c r="A534" s="46"/>
      <c r="B534" s="47"/>
      <c r="C534" s="48"/>
      <c r="D534" s="49"/>
      <c r="E534" s="48"/>
      <c r="F534" s="47"/>
      <c r="K534" s="14"/>
      <c r="L534" s="14"/>
      <c r="M534" s="14"/>
    </row>
    <row r="535">
      <c r="A535" s="46"/>
      <c r="B535" s="47"/>
      <c r="C535" s="48"/>
      <c r="D535" s="49"/>
      <c r="E535" s="48"/>
      <c r="F535" s="47"/>
      <c r="K535" s="14"/>
      <c r="L535" s="14"/>
      <c r="M535" s="14"/>
    </row>
    <row r="536">
      <c r="A536" s="46"/>
      <c r="B536" s="47"/>
      <c r="C536" s="48"/>
      <c r="D536" s="49"/>
      <c r="E536" s="48"/>
      <c r="F536" s="47"/>
      <c r="K536" s="14"/>
      <c r="L536" s="14"/>
      <c r="M536" s="14"/>
    </row>
    <row r="537">
      <c r="A537" s="46"/>
      <c r="B537" s="47"/>
      <c r="C537" s="48"/>
      <c r="D537" s="49"/>
      <c r="E537" s="48"/>
      <c r="F537" s="47"/>
      <c r="K537" s="14"/>
      <c r="L537" s="14"/>
      <c r="M537" s="14"/>
    </row>
    <row r="538">
      <c r="A538" s="46"/>
      <c r="B538" s="47"/>
      <c r="C538" s="48"/>
      <c r="D538" s="49"/>
      <c r="E538" s="48"/>
      <c r="F538" s="47"/>
      <c r="K538" s="14"/>
      <c r="L538" s="14"/>
      <c r="M538" s="14"/>
    </row>
    <row r="539">
      <c r="A539" s="46"/>
      <c r="B539" s="47"/>
      <c r="C539" s="48"/>
      <c r="D539" s="49"/>
      <c r="E539" s="48"/>
      <c r="F539" s="47"/>
      <c r="K539" s="14"/>
      <c r="L539" s="14"/>
      <c r="M539" s="14"/>
    </row>
    <row r="540">
      <c r="A540" s="46"/>
      <c r="B540" s="47"/>
      <c r="C540" s="48"/>
      <c r="D540" s="49"/>
      <c r="E540" s="48"/>
      <c r="F540" s="47"/>
      <c r="K540" s="14"/>
      <c r="L540" s="14"/>
      <c r="M540" s="14"/>
    </row>
    <row r="541">
      <c r="A541" s="46"/>
      <c r="B541" s="47"/>
      <c r="C541" s="48"/>
      <c r="D541" s="49"/>
      <c r="E541" s="48"/>
      <c r="F541" s="47"/>
      <c r="K541" s="14"/>
      <c r="L541" s="14"/>
      <c r="M541" s="14"/>
    </row>
    <row r="542">
      <c r="A542" s="46"/>
      <c r="B542" s="47"/>
      <c r="C542" s="48"/>
      <c r="D542" s="49"/>
      <c r="E542" s="48"/>
      <c r="F542" s="47"/>
      <c r="K542" s="14"/>
      <c r="L542" s="14"/>
      <c r="M542" s="14"/>
    </row>
    <row r="543">
      <c r="A543" s="46"/>
      <c r="B543" s="47"/>
      <c r="C543" s="48"/>
      <c r="D543" s="49"/>
      <c r="E543" s="48"/>
      <c r="F543" s="47"/>
      <c r="K543" s="14"/>
      <c r="L543" s="14"/>
      <c r="M543" s="14"/>
    </row>
    <row r="544">
      <c r="A544" s="46"/>
      <c r="B544" s="47"/>
      <c r="C544" s="48"/>
      <c r="D544" s="49"/>
      <c r="E544" s="48"/>
      <c r="F544" s="47"/>
      <c r="K544" s="14"/>
      <c r="L544" s="14"/>
      <c r="M544" s="14"/>
    </row>
    <row r="545">
      <c r="A545" s="46"/>
      <c r="B545" s="47"/>
      <c r="C545" s="48"/>
      <c r="D545" s="49"/>
      <c r="E545" s="48"/>
      <c r="F545" s="47"/>
      <c r="K545" s="14"/>
      <c r="L545" s="14"/>
      <c r="M545" s="14"/>
    </row>
    <row r="546">
      <c r="A546" s="46"/>
      <c r="B546" s="47"/>
      <c r="C546" s="48"/>
      <c r="D546" s="49"/>
      <c r="E546" s="48"/>
      <c r="F546" s="47"/>
      <c r="K546" s="14"/>
      <c r="L546" s="14"/>
      <c r="M546" s="14"/>
    </row>
    <row r="547">
      <c r="A547" s="46"/>
      <c r="B547" s="47"/>
      <c r="C547" s="48"/>
      <c r="D547" s="49"/>
      <c r="E547" s="48"/>
      <c r="F547" s="47"/>
      <c r="K547" s="14"/>
      <c r="L547" s="14"/>
      <c r="M547" s="14"/>
    </row>
    <row r="548">
      <c r="A548" s="46"/>
      <c r="B548" s="47"/>
      <c r="C548" s="48"/>
      <c r="D548" s="49"/>
      <c r="E548" s="48"/>
      <c r="F548" s="47"/>
      <c r="K548" s="14"/>
      <c r="L548" s="14"/>
      <c r="M548" s="14"/>
    </row>
    <row r="549">
      <c r="A549" s="46"/>
      <c r="B549" s="47"/>
      <c r="C549" s="48"/>
      <c r="D549" s="49"/>
      <c r="E549" s="48"/>
      <c r="F549" s="47"/>
      <c r="K549" s="14"/>
      <c r="L549" s="14"/>
      <c r="M549" s="14"/>
    </row>
    <row r="550">
      <c r="A550" s="46"/>
      <c r="B550" s="47"/>
      <c r="C550" s="48"/>
      <c r="D550" s="49"/>
      <c r="E550" s="48"/>
      <c r="F550" s="47"/>
      <c r="K550" s="14"/>
      <c r="L550" s="14"/>
      <c r="M550" s="14"/>
    </row>
    <row r="551">
      <c r="A551" s="46"/>
      <c r="B551" s="47"/>
      <c r="C551" s="48"/>
      <c r="D551" s="49"/>
      <c r="E551" s="48"/>
      <c r="F551" s="47"/>
      <c r="K551" s="14"/>
      <c r="L551" s="14"/>
      <c r="M551" s="14"/>
    </row>
    <row r="552">
      <c r="A552" s="46"/>
      <c r="B552" s="47"/>
      <c r="C552" s="48"/>
      <c r="D552" s="49"/>
      <c r="E552" s="48"/>
      <c r="F552" s="47"/>
      <c r="K552" s="14"/>
      <c r="L552" s="14"/>
      <c r="M552" s="14"/>
    </row>
    <row r="553">
      <c r="A553" s="46"/>
      <c r="B553" s="47"/>
      <c r="C553" s="48"/>
      <c r="D553" s="49"/>
      <c r="E553" s="48"/>
      <c r="F553" s="47"/>
      <c r="K553" s="14"/>
      <c r="L553" s="14"/>
      <c r="M553" s="14"/>
    </row>
    <row r="554">
      <c r="A554" s="46"/>
      <c r="B554" s="47"/>
      <c r="C554" s="48"/>
      <c r="D554" s="49"/>
      <c r="E554" s="48"/>
      <c r="F554" s="47"/>
      <c r="K554" s="14"/>
      <c r="L554" s="14"/>
      <c r="M554" s="14"/>
    </row>
    <row r="555">
      <c r="A555" s="46"/>
      <c r="B555" s="47"/>
      <c r="C555" s="48"/>
      <c r="D555" s="49"/>
      <c r="E555" s="48"/>
      <c r="F555" s="47"/>
      <c r="K555" s="14"/>
      <c r="L555" s="14"/>
      <c r="M555" s="14"/>
    </row>
    <row r="556">
      <c r="A556" s="46"/>
      <c r="B556" s="47"/>
      <c r="C556" s="48"/>
      <c r="D556" s="49"/>
      <c r="E556" s="48"/>
      <c r="F556" s="47"/>
      <c r="K556" s="14"/>
      <c r="L556" s="14"/>
      <c r="M556" s="14"/>
    </row>
    <row r="557">
      <c r="A557" s="46"/>
      <c r="B557" s="47"/>
      <c r="C557" s="48"/>
      <c r="D557" s="49"/>
      <c r="E557" s="48"/>
      <c r="F557" s="47"/>
      <c r="K557" s="14"/>
      <c r="L557" s="14"/>
      <c r="M557" s="14"/>
    </row>
    <row r="558">
      <c r="A558" s="46"/>
      <c r="B558" s="47"/>
      <c r="C558" s="48"/>
      <c r="D558" s="49"/>
      <c r="E558" s="48"/>
      <c r="F558" s="47"/>
      <c r="K558" s="14"/>
      <c r="L558" s="14"/>
      <c r="M558" s="14"/>
    </row>
    <row r="559">
      <c r="A559" s="46"/>
      <c r="B559" s="47"/>
      <c r="C559" s="48"/>
      <c r="D559" s="49"/>
      <c r="E559" s="48"/>
      <c r="F559" s="47"/>
      <c r="K559" s="14"/>
      <c r="L559" s="14"/>
      <c r="M559" s="14"/>
    </row>
    <row r="560">
      <c r="A560" s="46"/>
      <c r="B560" s="47"/>
      <c r="C560" s="48"/>
      <c r="D560" s="49"/>
      <c r="E560" s="48"/>
      <c r="F560" s="47"/>
      <c r="K560" s="14"/>
      <c r="L560" s="14"/>
      <c r="M560" s="14"/>
    </row>
    <row r="561">
      <c r="A561" s="46"/>
      <c r="B561" s="47"/>
      <c r="C561" s="48"/>
      <c r="D561" s="49"/>
      <c r="E561" s="48"/>
      <c r="F561" s="47"/>
      <c r="K561" s="14"/>
      <c r="L561" s="14"/>
      <c r="M561" s="14"/>
    </row>
    <row r="562">
      <c r="A562" s="46"/>
      <c r="B562" s="47"/>
      <c r="C562" s="48"/>
      <c r="D562" s="49"/>
      <c r="E562" s="48"/>
      <c r="F562" s="47"/>
      <c r="K562" s="14"/>
      <c r="L562" s="14"/>
      <c r="M562" s="14"/>
    </row>
    <row r="563">
      <c r="A563" s="46"/>
      <c r="B563" s="47"/>
      <c r="C563" s="48"/>
      <c r="D563" s="49"/>
      <c r="E563" s="48"/>
      <c r="F563" s="47"/>
      <c r="K563" s="14"/>
      <c r="L563" s="14"/>
      <c r="M563" s="14"/>
    </row>
    <row r="564">
      <c r="A564" s="46"/>
      <c r="B564" s="47"/>
      <c r="C564" s="48"/>
      <c r="D564" s="49"/>
      <c r="E564" s="48"/>
      <c r="F564" s="47"/>
      <c r="K564" s="14"/>
      <c r="L564" s="14"/>
      <c r="M564" s="14"/>
    </row>
    <row r="565">
      <c r="A565" s="46"/>
      <c r="B565" s="47"/>
      <c r="C565" s="48"/>
      <c r="D565" s="49"/>
      <c r="E565" s="48"/>
      <c r="F565" s="47"/>
      <c r="K565" s="14"/>
      <c r="L565" s="14"/>
      <c r="M565" s="14"/>
    </row>
    <row r="566">
      <c r="A566" s="46"/>
      <c r="B566" s="47"/>
      <c r="C566" s="48"/>
      <c r="D566" s="49"/>
      <c r="E566" s="48"/>
      <c r="F566" s="47"/>
      <c r="K566" s="14"/>
      <c r="L566" s="14"/>
      <c r="M566" s="14"/>
    </row>
    <row r="567">
      <c r="A567" s="46"/>
      <c r="B567" s="47"/>
      <c r="C567" s="48"/>
      <c r="D567" s="49"/>
      <c r="E567" s="48"/>
      <c r="F567" s="47"/>
      <c r="K567" s="14"/>
      <c r="L567" s="14"/>
      <c r="M567" s="14"/>
    </row>
    <row r="568">
      <c r="A568" s="46"/>
      <c r="B568" s="47"/>
      <c r="C568" s="48"/>
      <c r="D568" s="49"/>
      <c r="E568" s="48"/>
      <c r="F568" s="47"/>
      <c r="K568" s="14"/>
      <c r="L568" s="14"/>
      <c r="M568" s="14"/>
    </row>
    <row r="569">
      <c r="A569" s="46"/>
      <c r="B569" s="47"/>
      <c r="C569" s="48"/>
      <c r="D569" s="49"/>
      <c r="E569" s="48"/>
      <c r="F569" s="47"/>
      <c r="K569" s="14"/>
      <c r="L569" s="14"/>
      <c r="M569" s="14"/>
    </row>
    <row r="570">
      <c r="A570" s="46"/>
      <c r="B570" s="47"/>
      <c r="C570" s="48"/>
      <c r="D570" s="49"/>
      <c r="E570" s="48"/>
      <c r="F570" s="47"/>
      <c r="K570" s="14"/>
      <c r="L570" s="14"/>
      <c r="M570" s="14"/>
    </row>
    <row r="571">
      <c r="A571" s="46"/>
      <c r="B571" s="47"/>
      <c r="C571" s="48"/>
      <c r="D571" s="49"/>
      <c r="E571" s="48"/>
      <c r="F571" s="47"/>
      <c r="K571" s="14"/>
      <c r="L571" s="14"/>
      <c r="M571" s="14"/>
    </row>
    <row r="572">
      <c r="A572" s="46"/>
      <c r="B572" s="47"/>
      <c r="C572" s="48"/>
      <c r="D572" s="49"/>
      <c r="E572" s="48"/>
      <c r="F572" s="47"/>
      <c r="K572" s="14"/>
      <c r="L572" s="14"/>
      <c r="M572" s="14"/>
    </row>
    <row r="573">
      <c r="A573" s="46"/>
      <c r="B573" s="47"/>
      <c r="C573" s="48"/>
      <c r="D573" s="49"/>
      <c r="E573" s="48"/>
      <c r="F573" s="47"/>
      <c r="K573" s="14"/>
      <c r="L573" s="14"/>
      <c r="M573" s="14"/>
    </row>
    <row r="574">
      <c r="A574" s="46"/>
      <c r="B574" s="47"/>
      <c r="C574" s="48"/>
      <c r="D574" s="49"/>
      <c r="E574" s="48"/>
      <c r="F574" s="47"/>
      <c r="K574" s="14"/>
      <c r="L574" s="14"/>
      <c r="M574" s="14"/>
    </row>
    <row r="575">
      <c r="A575" s="46"/>
      <c r="B575" s="47"/>
      <c r="C575" s="48"/>
      <c r="D575" s="49"/>
      <c r="E575" s="48"/>
      <c r="F575" s="47"/>
      <c r="K575" s="14"/>
      <c r="L575" s="14"/>
      <c r="M575" s="14"/>
    </row>
    <row r="576">
      <c r="A576" s="46"/>
      <c r="B576" s="47"/>
      <c r="C576" s="48"/>
      <c r="D576" s="49"/>
      <c r="E576" s="48"/>
      <c r="F576" s="47"/>
      <c r="K576" s="14"/>
      <c r="L576" s="14"/>
      <c r="M576" s="14"/>
    </row>
    <row r="577">
      <c r="A577" s="46"/>
      <c r="B577" s="47"/>
      <c r="C577" s="48"/>
      <c r="D577" s="49"/>
      <c r="E577" s="48"/>
      <c r="F577" s="47"/>
      <c r="K577" s="14"/>
      <c r="L577" s="14"/>
      <c r="M577" s="14"/>
    </row>
    <row r="578">
      <c r="A578" s="46"/>
      <c r="B578" s="47"/>
      <c r="C578" s="48"/>
      <c r="D578" s="49"/>
      <c r="E578" s="48"/>
      <c r="F578" s="47"/>
      <c r="K578" s="14"/>
      <c r="L578" s="14"/>
      <c r="M578" s="14"/>
    </row>
    <row r="579">
      <c r="A579" s="46"/>
      <c r="B579" s="47"/>
      <c r="C579" s="48"/>
      <c r="D579" s="49"/>
      <c r="E579" s="48"/>
      <c r="F579" s="47"/>
      <c r="K579" s="14"/>
      <c r="L579" s="14"/>
      <c r="M579" s="14"/>
    </row>
    <row r="580">
      <c r="A580" s="46"/>
      <c r="B580" s="47"/>
      <c r="C580" s="48"/>
      <c r="D580" s="49"/>
      <c r="E580" s="48"/>
      <c r="F580" s="47"/>
      <c r="K580" s="14"/>
      <c r="L580" s="14"/>
      <c r="M580" s="14"/>
    </row>
    <row r="581">
      <c r="A581" s="46"/>
      <c r="B581" s="47"/>
      <c r="C581" s="48"/>
      <c r="D581" s="49"/>
      <c r="E581" s="48"/>
      <c r="F581" s="47"/>
      <c r="K581" s="14"/>
      <c r="L581" s="14"/>
      <c r="M581" s="14"/>
    </row>
    <row r="582">
      <c r="A582" s="46"/>
      <c r="B582" s="47"/>
      <c r="C582" s="48"/>
      <c r="D582" s="49"/>
      <c r="E582" s="48"/>
      <c r="F582" s="47"/>
      <c r="K582" s="14"/>
      <c r="L582" s="14"/>
      <c r="M582" s="14"/>
    </row>
    <row r="583">
      <c r="A583" s="46"/>
      <c r="B583" s="47"/>
      <c r="C583" s="48"/>
      <c r="D583" s="49"/>
      <c r="E583" s="48"/>
      <c r="F583" s="47"/>
      <c r="K583" s="14"/>
      <c r="L583" s="14"/>
      <c r="M583" s="14"/>
    </row>
    <row r="584">
      <c r="A584" s="46"/>
      <c r="B584" s="47"/>
      <c r="C584" s="48"/>
      <c r="D584" s="49"/>
      <c r="E584" s="48"/>
      <c r="F584" s="47"/>
      <c r="K584" s="14"/>
      <c r="L584" s="14"/>
      <c r="M584" s="14"/>
    </row>
    <row r="585">
      <c r="A585" s="46"/>
      <c r="B585" s="47"/>
      <c r="C585" s="48"/>
      <c r="D585" s="49"/>
      <c r="E585" s="48"/>
      <c r="F585" s="47"/>
      <c r="K585" s="14"/>
      <c r="L585" s="14"/>
      <c r="M585" s="14"/>
    </row>
    <row r="586">
      <c r="A586" s="46"/>
      <c r="B586" s="47"/>
      <c r="C586" s="48"/>
      <c r="D586" s="49"/>
      <c r="E586" s="48"/>
      <c r="F586" s="47"/>
      <c r="K586" s="14"/>
      <c r="L586" s="14"/>
      <c r="M586" s="14"/>
    </row>
    <row r="587">
      <c r="A587" s="46"/>
      <c r="B587" s="47"/>
      <c r="C587" s="48"/>
      <c r="D587" s="49"/>
      <c r="E587" s="48"/>
      <c r="F587" s="47"/>
      <c r="K587" s="14"/>
      <c r="L587" s="14"/>
      <c r="M587" s="14"/>
    </row>
    <row r="588">
      <c r="A588" s="46"/>
      <c r="B588" s="47"/>
      <c r="C588" s="48"/>
      <c r="D588" s="49"/>
      <c r="E588" s="48"/>
      <c r="F588" s="47"/>
      <c r="K588" s="14"/>
      <c r="L588" s="14"/>
      <c r="M588" s="14"/>
    </row>
    <row r="589">
      <c r="A589" s="46"/>
      <c r="B589" s="47"/>
      <c r="C589" s="48"/>
      <c r="D589" s="49"/>
      <c r="E589" s="48"/>
      <c r="F589" s="47"/>
      <c r="K589" s="14"/>
      <c r="L589" s="14"/>
      <c r="M589" s="14"/>
    </row>
    <row r="590">
      <c r="A590" s="46"/>
      <c r="B590" s="47"/>
      <c r="C590" s="48"/>
      <c r="D590" s="49"/>
      <c r="E590" s="48"/>
      <c r="F590" s="47"/>
      <c r="K590" s="14"/>
      <c r="L590" s="14"/>
      <c r="M590" s="14"/>
    </row>
    <row r="591">
      <c r="A591" s="46"/>
      <c r="B591" s="47"/>
      <c r="C591" s="48"/>
      <c r="D591" s="49"/>
      <c r="E591" s="48"/>
      <c r="F591" s="47"/>
      <c r="K591" s="14"/>
      <c r="L591" s="14"/>
      <c r="M591" s="14"/>
    </row>
    <row r="592">
      <c r="A592" s="46"/>
      <c r="B592" s="47"/>
      <c r="C592" s="48"/>
      <c r="D592" s="49"/>
      <c r="E592" s="48"/>
      <c r="F592" s="47"/>
      <c r="K592" s="14"/>
      <c r="L592" s="14"/>
      <c r="M592" s="14"/>
    </row>
    <row r="593">
      <c r="A593" s="46"/>
      <c r="B593" s="47"/>
      <c r="C593" s="48"/>
      <c r="D593" s="49"/>
      <c r="E593" s="48"/>
      <c r="F593" s="47"/>
      <c r="K593" s="14"/>
      <c r="L593" s="14"/>
      <c r="M593" s="14"/>
    </row>
    <row r="594">
      <c r="A594" s="46"/>
      <c r="B594" s="47"/>
      <c r="C594" s="48"/>
      <c r="D594" s="49"/>
      <c r="E594" s="48"/>
      <c r="F594" s="47"/>
      <c r="K594" s="14"/>
      <c r="L594" s="14"/>
      <c r="M594" s="14"/>
    </row>
    <row r="595">
      <c r="A595" s="46"/>
      <c r="B595" s="47"/>
      <c r="C595" s="48"/>
      <c r="D595" s="49"/>
      <c r="E595" s="48"/>
      <c r="F595" s="47"/>
      <c r="K595" s="14"/>
      <c r="L595" s="14"/>
      <c r="M595" s="14"/>
    </row>
    <row r="596">
      <c r="A596" s="46"/>
      <c r="B596" s="47"/>
      <c r="C596" s="48"/>
      <c r="D596" s="49"/>
      <c r="E596" s="48"/>
      <c r="F596" s="47"/>
      <c r="K596" s="14"/>
      <c r="L596" s="14"/>
      <c r="M596" s="14"/>
    </row>
    <row r="597">
      <c r="A597" s="46"/>
      <c r="B597" s="47"/>
      <c r="C597" s="48"/>
      <c r="D597" s="49"/>
      <c r="E597" s="48"/>
      <c r="F597" s="47"/>
      <c r="K597" s="14"/>
      <c r="L597" s="14"/>
      <c r="M597" s="14"/>
    </row>
    <row r="598">
      <c r="A598" s="46"/>
      <c r="B598" s="47"/>
      <c r="C598" s="48"/>
      <c r="D598" s="49"/>
      <c r="E598" s="48"/>
      <c r="F598" s="47"/>
      <c r="K598" s="14"/>
      <c r="L598" s="14"/>
      <c r="M598" s="14"/>
    </row>
    <row r="599">
      <c r="A599" s="46"/>
      <c r="B599" s="47"/>
      <c r="C599" s="48"/>
      <c r="D599" s="49"/>
      <c r="E599" s="48"/>
      <c r="F599" s="47"/>
      <c r="K599" s="14"/>
      <c r="L599" s="14"/>
      <c r="M599" s="14"/>
    </row>
    <row r="600">
      <c r="A600" s="46"/>
      <c r="B600" s="47"/>
      <c r="C600" s="48"/>
      <c r="D600" s="49"/>
      <c r="E600" s="48"/>
      <c r="F600" s="47"/>
      <c r="K600" s="14"/>
      <c r="L600" s="14"/>
      <c r="M600" s="14"/>
    </row>
    <row r="601">
      <c r="A601" s="46"/>
      <c r="B601" s="47"/>
      <c r="C601" s="48"/>
      <c r="D601" s="49"/>
      <c r="E601" s="48"/>
      <c r="F601" s="47"/>
      <c r="K601" s="14"/>
      <c r="L601" s="14"/>
      <c r="M601" s="14"/>
    </row>
    <row r="602">
      <c r="A602" s="46"/>
      <c r="B602" s="47"/>
      <c r="C602" s="48"/>
      <c r="D602" s="49"/>
      <c r="E602" s="48"/>
      <c r="F602" s="47"/>
      <c r="K602" s="14"/>
      <c r="L602" s="14"/>
      <c r="M602" s="14"/>
    </row>
    <row r="603">
      <c r="A603" s="46"/>
      <c r="B603" s="47"/>
      <c r="C603" s="48"/>
      <c r="D603" s="49"/>
      <c r="E603" s="48"/>
      <c r="F603" s="47"/>
      <c r="K603" s="14"/>
      <c r="L603" s="14"/>
      <c r="M603" s="14"/>
    </row>
    <row r="604">
      <c r="A604" s="46"/>
      <c r="B604" s="47"/>
      <c r="C604" s="48"/>
      <c r="D604" s="49"/>
      <c r="E604" s="48"/>
      <c r="F604" s="47"/>
      <c r="K604" s="14"/>
      <c r="L604" s="14"/>
      <c r="M604" s="14"/>
    </row>
    <row r="605">
      <c r="A605" s="46"/>
      <c r="B605" s="47"/>
      <c r="C605" s="48"/>
      <c r="D605" s="49"/>
      <c r="E605" s="48"/>
      <c r="F605" s="47"/>
      <c r="K605" s="14"/>
      <c r="L605" s="14"/>
      <c r="M605" s="14"/>
    </row>
    <row r="606">
      <c r="A606" s="46"/>
      <c r="B606" s="47"/>
      <c r="C606" s="48"/>
      <c r="D606" s="49"/>
      <c r="E606" s="48"/>
      <c r="F606" s="47"/>
      <c r="K606" s="14"/>
      <c r="L606" s="14"/>
      <c r="M606" s="14"/>
    </row>
    <row r="607">
      <c r="A607" s="46"/>
      <c r="B607" s="47"/>
      <c r="C607" s="48"/>
      <c r="D607" s="49"/>
      <c r="E607" s="48"/>
      <c r="F607" s="47"/>
      <c r="K607" s="14"/>
      <c r="L607" s="14"/>
      <c r="M607" s="14"/>
    </row>
    <row r="608">
      <c r="A608" s="46"/>
      <c r="B608" s="47"/>
      <c r="C608" s="48"/>
      <c r="D608" s="49"/>
      <c r="E608" s="48"/>
      <c r="F608" s="47"/>
      <c r="K608" s="14"/>
      <c r="L608" s="14"/>
      <c r="M608" s="14"/>
    </row>
    <row r="609">
      <c r="A609" s="46"/>
      <c r="B609" s="47"/>
      <c r="C609" s="48"/>
      <c r="D609" s="49"/>
      <c r="E609" s="48"/>
      <c r="F609" s="47"/>
      <c r="K609" s="14"/>
      <c r="L609" s="14"/>
      <c r="M609" s="14"/>
    </row>
    <row r="610">
      <c r="A610" s="46"/>
      <c r="B610" s="47"/>
      <c r="C610" s="48"/>
      <c r="D610" s="49"/>
      <c r="E610" s="48"/>
      <c r="F610" s="47"/>
      <c r="K610" s="14"/>
      <c r="L610" s="14"/>
      <c r="M610" s="14"/>
    </row>
    <row r="611">
      <c r="A611" s="46"/>
      <c r="B611" s="47"/>
      <c r="C611" s="48"/>
      <c r="D611" s="49"/>
      <c r="E611" s="48"/>
      <c r="F611" s="47"/>
      <c r="K611" s="14"/>
      <c r="L611" s="14"/>
      <c r="M611" s="14"/>
    </row>
    <row r="612">
      <c r="A612" s="46"/>
      <c r="B612" s="47"/>
      <c r="C612" s="48"/>
      <c r="D612" s="49"/>
      <c r="E612" s="48"/>
      <c r="F612" s="47"/>
      <c r="K612" s="14"/>
      <c r="L612" s="14"/>
      <c r="M612" s="14"/>
    </row>
    <row r="613">
      <c r="A613" s="46"/>
      <c r="B613" s="47"/>
      <c r="C613" s="48"/>
      <c r="D613" s="49"/>
      <c r="E613" s="48"/>
      <c r="F613" s="47"/>
      <c r="K613" s="14"/>
      <c r="L613" s="14"/>
      <c r="M613" s="14"/>
    </row>
    <row r="614">
      <c r="A614" s="46"/>
      <c r="B614" s="47"/>
      <c r="C614" s="48"/>
      <c r="D614" s="49"/>
      <c r="E614" s="48"/>
      <c r="F614" s="47"/>
      <c r="K614" s="14"/>
      <c r="L614" s="14"/>
      <c r="M614" s="14"/>
    </row>
    <row r="615">
      <c r="A615" s="46"/>
      <c r="B615" s="47"/>
      <c r="C615" s="48"/>
      <c r="D615" s="49"/>
      <c r="E615" s="48"/>
      <c r="F615" s="47"/>
      <c r="K615" s="14"/>
      <c r="L615" s="14"/>
      <c r="M615" s="14"/>
    </row>
    <row r="616">
      <c r="A616" s="46"/>
      <c r="B616" s="47"/>
      <c r="C616" s="48"/>
      <c r="D616" s="49"/>
      <c r="E616" s="48"/>
      <c r="F616" s="47"/>
      <c r="K616" s="14"/>
      <c r="L616" s="14"/>
      <c r="M616" s="14"/>
    </row>
    <row r="617">
      <c r="A617" s="46"/>
      <c r="B617" s="47"/>
      <c r="C617" s="48"/>
      <c r="D617" s="49"/>
      <c r="E617" s="48"/>
      <c r="F617" s="47"/>
      <c r="K617" s="14"/>
      <c r="L617" s="14"/>
      <c r="M617" s="14"/>
    </row>
    <row r="618">
      <c r="A618" s="46"/>
      <c r="B618" s="47"/>
      <c r="C618" s="48"/>
      <c r="D618" s="49"/>
      <c r="E618" s="48"/>
      <c r="F618" s="47"/>
      <c r="K618" s="14"/>
      <c r="L618" s="14"/>
      <c r="M618" s="14"/>
    </row>
    <row r="619">
      <c r="A619" s="46"/>
      <c r="B619" s="47"/>
      <c r="C619" s="48"/>
      <c r="D619" s="49"/>
      <c r="E619" s="48"/>
      <c r="F619" s="47"/>
      <c r="K619" s="14"/>
      <c r="L619" s="14"/>
      <c r="M619" s="14"/>
    </row>
    <row r="620">
      <c r="A620" s="46"/>
      <c r="B620" s="47"/>
      <c r="C620" s="48"/>
      <c r="D620" s="49"/>
      <c r="E620" s="48"/>
      <c r="F620" s="47"/>
      <c r="K620" s="14"/>
      <c r="L620" s="14"/>
      <c r="M620" s="14"/>
    </row>
    <row r="621">
      <c r="A621" s="46"/>
      <c r="B621" s="47"/>
      <c r="C621" s="48"/>
      <c r="D621" s="49"/>
      <c r="E621" s="48"/>
      <c r="F621" s="47"/>
      <c r="K621" s="14"/>
      <c r="L621" s="14"/>
      <c r="M621" s="14"/>
    </row>
    <row r="622">
      <c r="A622" s="46"/>
      <c r="B622" s="47"/>
      <c r="C622" s="48"/>
      <c r="D622" s="49"/>
      <c r="E622" s="48"/>
      <c r="F622" s="47"/>
      <c r="K622" s="14"/>
      <c r="L622" s="14"/>
      <c r="M622" s="14"/>
    </row>
    <row r="623">
      <c r="A623" s="46"/>
      <c r="B623" s="47"/>
      <c r="C623" s="48"/>
      <c r="D623" s="49"/>
      <c r="E623" s="48"/>
      <c r="F623" s="47"/>
      <c r="K623" s="14"/>
      <c r="L623" s="14"/>
      <c r="M623" s="14"/>
    </row>
    <row r="624">
      <c r="A624" s="46"/>
      <c r="B624" s="47"/>
      <c r="C624" s="48"/>
      <c r="D624" s="49"/>
      <c r="E624" s="48"/>
      <c r="F624" s="47"/>
      <c r="K624" s="14"/>
      <c r="L624" s="14"/>
      <c r="M624" s="14"/>
    </row>
    <row r="625">
      <c r="A625" s="46"/>
      <c r="B625" s="47"/>
      <c r="C625" s="48"/>
      <c r="D625" s="49"/>
      <c r="E625" s="48"/>
      <c r="F625" s="47"/>
      <c r="K625" s="14"/>
      <c r="L625" s="14"/>
      <c r="M625" s="14"/>
    </row>
    <row r="626">
      <c r="A626" s="46"/>
      <c r="B626" s="47"/>
      <c r="C626" s="48"/>
      <c r="D626" s="49"/>
      <c r="E626" s="48"/>
      <c r="F626" s="47"/>
      <c r="K626" s="14"/>
      <c r="L626" s="14"/>
      <c r="M626" s="14"/>
    </row>
    <row r="627">
      <c r="A627" s="46"/>
      <c r="B627" s="47"/>
      <c r="C627" s="48"/>
      <c r="D627" s="49"/>
      <c r="E627" s="48"/>
      <c r="F627" s="47"/>
      <c r="K627" s="14"/>
      <c r="L627" s="14"/>
      <c r="M627" s="14"/>
    </row>
    <row r="628">
      <c r="A628" s="46"/>
      <c r="B628" s="47"/>
      <c r="C628" s="48"/>
      <c r="D628" s="49"/>
      <c r="E628" s="48"/>
      <c r="F628" s="47"/>
      <c r="K628" s="14"/>
      <c r="L628" s="14"/>
      <c r="M628" s="14"/>
    </row>
    <row r="629">
      <c r="A629" s="46"/>
      <c r="B629" s="47"/>
      <c r="C629" s="48"/>
      <c r="D629" s="49"/>
      <c r="E629" s="48"/>
      <c r="F629" s="47"/>
      <c r="K629" s="14"/>
      <c r="L629" s="14"/>
      <c r="M629" s="14"/>
    </row>
    <row r="630">
      <c r="A630" s="46"/>
      <c r="B630" s="47"/>
      <c r="C630" s="48"/>
      <c r="D630" s="49"/>
      <c r="E630" s="48"/>
      <c r="F630" s="47"/>
      <c r="K630" s="14"/>
      <c r="L630" s="14"/>
      <c r="M630" s="14"/>
    </row>
    <row r="631">
      <c r="A631" s="46"/>
      <c r="B631" s="47"/>
      <c r="C631" s="48"/>
      <c r="D631" s="49"/>
      <c r="E631" s="48"/>
      <c r="F631" s="47"/>
      <c r="K631" s="14"/>
      <c r="L631" s="14"/>
      <c r="M631" s="14"/>
    </row>
    <row r="632">
      <c r="A632" s="46"/>
      <c r="B632" s="47"/>
      <c r="C632" s="48"/>
      <c r="D632" s="49"/>
      <c r="E632" s="48"/>
      <c r="F632" s="47"/>
      <c r="K632" s="14"/>
      <c r="L632" s="14"/>
      <c r="M632" s="14"/>
    </row>
    <row r="633">
      <c r="A633" s="46"/>
      <c r="B633" s="47"/>
      <c r="C633" s="48"/>
      <c r="D633" s="49"/>
      <c r="E633" s="48"/>
      <c r="F633" s="47"/>
      <c r="K633" s="14"/>
      <c r="L633" s="14"/>
      <c r="M633" s="14"/>
    </row>
    <row r="634">
      <c r="A634" s="46"/>
      <c r="B634" s="47"/>
      <c r="C634" s="48"/>
      <c r="D634" s="49"/>
      <c r="E634" s="48"/>
      <c r="F634" s="47"/>
      <c r="K634" s="14"/>
      <c r="L634" s="14"/>
      <c r="M634" s="14"/>
    </row>
    <row r="635">
      <c r="A635" s="46"/>
      <c r="B635" s="47"/>
      <c r="C635" s="48"/>
      <c r="D635" s="49"/>
      <c r="E635" s="48"/>
      <c r="F635" s="47"/>
      <c r="K635" s="14"/>
      <c r="L635" s="14"/>
      <c r="M635" s="14"/>
    </row>
    <row r="636">
      <c r="A636" s="46"/>
      <c r="B636" s="47"/>
      <c r="C636" s="48"/>
      <c r="D636" s="49"/>
      <c r="E636" s="48"/>
      <c r="F636" s="47"/>
      <c r="K636" s="14"/>
      <c r="L636" s="14"/>
      <c r="M636" s="14"/>
    </row>
    <row r="637">
      <c r="A637" s="46"/>
      <c r="B637" s="47"/>
      <c r="C637" s="48"/>
      <c r="D637" s="49"/>
      <c r="E637" s="48"/>
      <c r="F637" s="47"/>
      <c r="K637" s="14"/>
      <c r="L637" s="14"/>
      <c r="M637" s="14"/>
    </row>
    <row r="638">
      <c r="A638" s="46"/>
      <c r="B638" s="47"/>
      <c r="C638" s="48"/>
      <c r="D638" s="49"/>
      <c r="E638" s="48"/>
      <c r="F638" s="47"/>
      <c r="K638" s="14"/>
      <c r="L638" s="14"/>
      <c r="M638" s="14"/>
    </row>
    <row r="639">
      <c r="A639" s="46"/>
      <c r="B639" s="47"/>
      <c r="C639" s="48"/>
      <c r="D639" s="49"/>
      <c r="E639" s="48"/>
      <c r="F639" s="47"/>
      <c r="K639" s="14"/>
      <c r="L639" s="14"/>
      <c r="M639" s="14"/>
    </row>
    <row r="640">
      <c r="A640" s="46"/>
      <c r="B640" s="47"/>
      <c r="C640" s="48"/>
      <c r="D640" s="49"/>
      <c r="E640" s="48"/>
      <c r="F640" s="47"/>
      <c r="K640" s="14"/>
      <c r="L640" s="14"/>
      <c r="M640" s="14"/>
    </row>
    <row r="641">
      <c r="A641" s="46"/>
      <c r="B641" s="47"/>
      <c r="C641" s="48"/>
      <c r="D641" s="49"/>
      <c r="E641" s="48"/>
      <c r="F641" s="47"/>
      <c r="K641" s="14"/>
      <c r="L641" s="14"/>
      <c r="M641" s="14"/>
    </row>
    <row r="642">
      <c r="A642" s="46"/>
      <c r="B642" s="47"/>
      <c r="C642" s="48"/>
      <c r="D642" s="49"/>
      <c r="E642" s="48"/>
      <c r="F642" s="47"/>
      <c r="K642" s="14"/>
      <c r="L642" s="14"/>
      <c r="M642" s="14"/>
    </row>
    <row r="643">
      <c r="A643" s="46"/>
      <c r="B643" s="47"/>
      <c r="C643" s="48"/>
      <c r="D643" s="49"/>
      <c r="E643" s="48"/>
      <c r="F643" s="47"/>
      <c r="K643" s="14"/>
      <c r="L643" s="14"/>
      <c r="M643" s="14"/>
    </row>
    <row r="644">
      <c r="A644" s="46"/>
      <c r="B644" s="47"/>
      <c r="C644" s="48"/>
      <c r="D644" s="49"/>
      <c r="E644" s="48"/>
      <c r="F644" s="47"/>
      <c r="K644" s="14"/>
      <c r="L644" s="14"/>
      <c r="M644" s="14"/>
    </row>
    <row r="645">
      <c r="A645" s="46"/>
      <c r="B645" s="47"/>
      <c r="C645" s="48"/>
      <c r="D645" s="49"/>
      <c r="E645" s="48"/>
      <c r="F645" s="47"/>
      <c r="K645" s="14"/>
      <c r="L645" s="14"/>
      <c r="M645" s="14"/>
    </row>
    <row r="646">
      <c r="A646" s="46"/>
      <c r="B646" s="47"/>
      <c r="C646" s="48"/>
      <c r="D646" s="49"/>
      <c r="E646" s="48"/>
      <c r="F646" s="47"/>
      <c r="K646" s="14"/>
      <c r="L646" s="14"/>
      <c r="M646" s="14"/>
    </row>
    <row r="647">
      <c r="A647" s="46"/>
      <c r="B647" s="47"/>
      <c r="C647" s="48"/>
      <c r="D647" s="49"/>
      <c r="E647" s="48"/>
      <c r="F647" s="47"/>
      <c r="K647" s="14"/>
      <c r="L647" s="14"/>
      <c r="M647" s="14"/>
    </row>
    <row r="648">
      <c r="A648" s="46"/>
      <c r="B648" s="47"/>
      <c r="C648" s="48"/>
      <c r="D648" s="49"/>
      <c r="E648" s="48"/>
      <c r="F648" s="47"/>
      <c r="K648" s="14"/>
      <c r="L648" s="14"/>
      <c r="M648" s="14"/>
    </row>
    <row r="649">
      <c r="A649" s="46"/>
      <c r="B649" s="47"/>
      <c r="C649" s="48"/>
      <c r="D649" s="49"/>
      <c r="E649" s="48"/>
      <c r="F649" s="47"/>
      <c r="K649" s="14"/>
      <c r="L649" s="14"/>
      <c r="M649" s="14"/>
    </row>
    <row r="650">
      <c r="A650" s="46"/>
      <c r="B650" s="47"/>
      <c r="C650" s="48"/>
      <c r="D650" s="49"/>
      <c r="E650" s="48"/>
      <c r="F650" s="47"/>
      <c r="K650" s="14"/>
      <c r="L650" s="14"/>
      <c r="M650" s="14"/>
    </row>
    <row r="651">
      <c r="A651" s="46"/>
      <c r="B651" s="47"/>
      <c r="C651" s="48"/>
      <c r="D651" s="49"/>
      <c r="E651" s="48"/>
      <c r="F651" s="47"/>
      <c r="K651" s="14"/>
      <c r="L651" s="14"/>
      <c r="M651" s="14"/>
    </row>
    <row r="652">
      <c r="A652" s="46"/>
      <c r="B652" s="47"/>
      <c r="C652" s="48"/>
      <c r="D652" s="49"/>
      <c r="E652" s="48"/>
      <c r="F652" s="47"/>
      <c r="K652" s="14"/>
      <c r="L652" s="14"/>
      <c r="M652" s="14"/>
    </row>
    <row r="653">
      <c r="A653" s="46"/>
      <c r="B653" s="47"/>
      <c r="C653" s="48"/>
      <c r="D653" s="49"/>
      <c r="E653" s="48"/>
      <c r="F653" s="47"/>
      <c r="K653" s="14"/>
      <c r="L653" s="14"/>
      <c r="M653" s="14"/>
    </row>
    <row r="654">
      <c r="A654" s="46"/>
      <c r="B654" s="47"/>
      <c r="C654" s="48"/>
      <c r="D654" s="49"/>
      <c r="E654" s="48"/>
      <c r="F654" s="47"/>
      <c r="K654" s="14"/>
      <c r="L654" s="14"/>
      <c r="M654" s="14"/>
    </row>
    <row r="655">
      <c r="A655" s="46"/>
      <c r="B655" s="47"/>
      <c r="C655" s="48"/>
      <c r="D655" s="49"/>
      <c r="E655" s="48"/>
      <c r="F655" s="47"/>
      <c r="K655" s="14"/>
      <c r="L655" s="14"/>
      <c r="M655" s="14"/>
    </row>
    <row r="656">
      <c r="A656" s="46"/>
      <c r="B656" s="47"/>
      <c r="C656" s="48"/>
      <c r="D656" s="49"/>
      <c r="E656" s="48"/>
      <c r="F656" s="47"/>
      <c r="K656" s="14"/>
      <c r="L656" s="14"/>
      <c r="M656" s="14"/>
    </row>
    <row r="657">
      <c r="A657" s="46"/>
      <c r="B657" s="47"/>
      <c r="C657" s="48"/>
      <c r="D657" s="49"/>
      <c r="E657" s="48"/>
      <c r="F657" s="47"/>
      <c r="K657" s="14"/>
      <c r="L657" s="14"/>
      <c r="M657" s="14"/>
    </row>
    <row r="658">
      <c r="A658" s="46"/>
      <c r="B658" s="47"/>
      <c r="C658" s="48"/>
      <c r="D658" s="49"/>
      <c r="E658" s="48"/>
      <c r="F658" s="47"/>
      <c r="K658" s="14"/>
      <c r="L658" s="14"/>
      <c r="M658" s="14"/>
    </row>
    <row r="659">
      <c r="A659" s="46"/>
      <c r="B659" s="47"/>
      <c r="C659" s="48"/>
      <c r="D659" s="49"/>
      <c r="E659" s="48"/>
      <c r="F659" s="47"/>
      <c r="K659" s="14"/>
      <c r="L659" s="14"/>
      <c r="M659" s="14"/>
    </row>
    <row r="660">
      <c r="A660" s="46"/>
      <c r="B660" s="47"/>
      <c r="C660" s="48"/>
      <c r="D660" s="49"/>
      <c r="E660" s="48"/>
      <c r="F660" s="47"/>
      <c r="K660" s="14"/>
      <c r="L660" s="14"/>
      <c r="M660" s="14"/>
    </row>
    <row r="661">
      <c r="A661" s="46"/>
      <c r="B661" s="47"/>
      <c r="C661" s="48"/>
      <c r="D661" s="49"/>
      <c r="E661" s="48"/>
      <c r="F661" s="47"/>
      <c r="K661" s="14"/>
      <c r="L661" s="14"/>
      <c r="M661" s="14"/>
    </row>
    <row r="662">
      <c r="A662" s="46"/>
      <c r="B662" s="47"/>
      <c r="C662" s="48"/>
      <c r="D662" s="49"/>
      <c r="E662" s="48"/>
      <c r="F662" s="47"/>
      <c r="K662" s="14"/>
      <c r="L662" s="14"/>
      <c r="M662" s="14"/>
    </row>
    <row r="663">
      <c r="A663" s="46"/>
      <c r="B663" s="47"/>
      <c r="C663" s="48"/>
      <c r="D663" s="49"/>
      <c r="E663" s="48"/>
      <c r="F663" s="47"/>
      <c r="K663" s="14"/>
      <c r="L663" s="14"/>
      <c r="M663" s="14"/>
    </row>
    <row r="664">
      <c r="A664" s="46"/>
      <c r="B664" s="47"/>
      <c r="C664" s="48"/>
      <c r="D664" s="49"/>
      <c r="E664" s="48"/>
      <c r="F664" s="47"/>
      <c r="K664" s="14"/>
      <c r="L664" s="14"/>
      <c r="M664" s="14"/>
    </row>
    <row r="665">
      <c r="A665" s="46"/>
      <c r="B665" s="47"/>
      <c r="C665" s="48"/>
      <c r="D665" s="49"/>
      <c r="E665" s="48"/>
      <c r="F665" s="47"/>
      <c r="K665" s="14"/>
      <c r="L665" s="14"/>
      <c r="M665" s="14"/>
    </row>
    <row r="666">
      <c r="A666" s="46"/>
      <c r="B666" s="47"/>
      <c r="C666" s="48"/>
      <c r="D666" s="49"/>
      <c r="E666" s="48"/>
      <c r="F666" s="47"/>
      <c r="K666" s="14"/>
      <c r="L666" s="14"/>
      <c r="M666" s="14"/>
    </row>
    <row r="667">
      <c r="A667" s="46"/>
      <c r="B667" s="47"/>
      <c r="C667" s="48"/>
      <c r="D667" s="49"/>
      <c r="E667" s="48"/>
      <c r="F667" s="47"/>
      <c r="K667" s="14"/>
      <c r="L667" s="14"/>
      <c r="M667" s="14"/>
    </row>
    <row r="668">
      <c r="A668" s="46"/>
      <c r="B668" s="47"/>
      <c r="C668" s="48"/>
      <c r="D668" s="49"/>
      <c r="E668" s="48"/>
      <c r="F668" s="47"/>
      <c r="K668" s="14"/>
      <c r="L668" s="14"/>
      <c r="M668" s="14"/>
    </row>
    <row r="669">
      <c r="A669" s="46"/>
      <c r="B669" s="47"/>
      <c r="C669" s="48"/>
      <c r="D669" s="49"/>
      <c r="E669" s="48"/>
      <c r="F669" s="47"/>
      <c r="K669" s="14"/>
      <c r="L669" s="14"/>
      <c r="M669" s="14"/>
    </row>
    <row r="670">
      <c r="A670" s="46"/>
      <c r="B670" s="47"/>
      <c r="C670" s="48"/>
      <c r="D670" s="49"/>
      <c r="E670" s="48"/>
      <c r="F670" s="47"/>
      <c r="K670" s="14"/>
      <c r="L670" s="14"/>
      <c r="M670" s="14"/>
    </row>
    <row r="671">
      <c r="A671" s="46"/>
      <c r="B671" s="47"/>
      <c r="C671" s="48"/>
      <c r="D671" s="49"/>
      <c r="E671" s="48"/>
      <c r="F671" s="47"/>
      <c r="K671" s="14"/>
      <c r="L671" s="14"/>
      <c r="M671" s="14"/>
    </row>
    <row r="672">
      <c r="A672" s="46"/>
      <c r="B672" s="47"/>
      <c r="C672" s="48"/>
      <c r="D672" s="49"/>
      <c r="E672" s="48"/>
      <c r="F672" s="47"/>
      <c r="K672" s="14"/>
      <c r="L672" s="14"/>
      <c r="M672" s="14"/>
    </row>
    <row r="673">
      <c r="A673" s="46"/>
      <c r="B673" s="47"/>
      <c r="C673" s="48"/>
      <c r="D673" s="49"/>
      <c r="E673" s="48"/>
      <c r="F673" s="47"/>
      <c r="K673" s="14"/>
      <c r="L673" s="14"/>
      <c r="M673" s="14"/>
    </row>
    <row r="674">
      <c r="A674" s="46"/>
      <c r="B674" s="47"/>
      <c r="C674" s="48"/>
      <c r="D674" s="49"/>
      <c r="E674" s="48"/>
      <c r="F674" s="47"/>
      <c r="K674" s="14"/>
      <c r="L674" s="14"/>
      <c r="M674" s="14"/>
    </row>
    <row r="675">
      <c r="A675" s="46"/>
      <c r="B675" s="47"/>
      <c r="C675" s="48"/>
      <c r="D675" s="49"/>
      <c r="E675" s="48"/>
      <c r="F675" s="47"/>
      <c r="K675" s="14"/>
      <c r="L675" s="14"/>
      <c r="M675" s="14"/>
    </row>
    <row r="676">
      <c r="A676" s="46"/>
      <c r="B676" s="47"/>
      <c r="C676" s="48"/>
      <c r="D676" s="49"/>
      <c r="E676" s="48"/>
      <c r="F676" s="47"/>
      <c r="K676" s="14"/>
      <c r="L676" s="14"/>
      <c r="M676" s="14"/>
    </row>
    <row r="677">
      <c r="A677" s="46"/>
      <c r="B677" s="47"/>
      <c r="C677" s="48"/>
      <c r="D677" s="49"/>
      <c r="E677" s="48"/>
      <c r="F677" s="47"/>
      <c r="K677" s="14"/>
      <c r="L677" s="14"/>
      <c r="M677" s="14"/>
    </row>
    <row r="678">
      <c r="A678" s="46"/>
      <c r="B678" s="47"/>
      <c r="C678" s="48"/>
      <c r="D678" s="49"/>
      <c r="E678" s="48"/>
      <c r="F678" s="47"/>
      <c r="K678" s="14"/>
      <c r="L678" s="14"/>
      <c r="M678" s="14"/>
    </row>
    <row r="679">
      <c r="A679" s="46"/>
      <c r="B679" s="47"/>
      <c r="C679" s="48"/>
      <c r="D679" s="49"/>
      <c r="E679" s="48"/>
      <c r="F679" s="47"/>
      <c r="K679" s="14"/>
      <c r="L679" s="14"/>
      <c r="M679" s="14"/>
    </row>
    <row r="680">
      <c r="A680" s="46"/>
      <c r="B680" s="47"/>
      <c r="C680" s="48"/>
      <c r="D680" s="49"/>
      <c r="E680" s="48"/>
      <c r="F680" s="47"/>
      <c r="K680" s="14"/>
      <c r="L680" s="14"/>
      <c r="M680" s="14"/>
    </row>
    <row r="681">
      <c r="A681" s="46"/>
      <c r="B681" s="47"/>
      <c r="C681" s="48"/>
      <c r="D681" s="49"/>
      <c r="E681" s="48"/>
      <c r="F681" s="47"/>
      <c r="K681" s="14"/>
      <c r="L681" s="14"/>
      <c r="M681" s="14"/>
    </row>
    <row r="682">
      <c r="A682" s="46"/>
      <c r="B682" s="47"/>
      <c r="C682" s="48"/>
      <c r="D682" s="49"/>
      <c r="E682" s="48"/>
      <c r="F682" s="47"/>
      <c r="K682" s="14"/>
      <c r="L682" s="14"/>
      <c r="M682" s="14"/>
    </row>
    <row r="683">
      <c r="A683" s="46"/>
      <c r="B683" s="47"/>
      <c r="C683" s="48"/>
      <c r="D683" s="49"/>
      <c r="E683" s="48"/>
      <c r="F683" s="47"/>
      <c r="K683" s="14"/>
      <c r="L683" s="14"/>
      <c r="M683" s="14"/>
    </row>
    <row r="684">
      <c r="A684" s="46"/>
      <c r="B684" s="47"/>
      <c r="C684" s="48"/>
      <c r="D684" s="49"/>
      <c r="E684" s="48"/>
      <c r="F684" s="47"/>
      <c r="K684" s="14"/>
      <c r="L684" s="14"/>
      <c r="M684" s="14"/>
    </row>
    <row r="685">
      <c r="A685" s="46"/>
      <c r="B685" s="47"/>
      <c r="C685" s="48"/>
      <c r="D685" s="49"/>
      <c r="E685" s="48"/>
      <c r="F685" s="47"/>
      <c r="K685" s="14"/>
      <c r="L685" s="14"/>
      <c r="M685" s="14"/>
    </row>
    <row r="686">
      <c r="A686" s="46"/>
      <c r="B686" s="47"/>
      <c r="C686" s="48"/>
      <c r="D686" s="49"/>
      <c r="E686" s="48"/>
      <c r="F686" s="47"/>
      <c r="K686" s="14"/>
      <c r="L686" s="14"/>
      <c r="M686" s="14"/>
    </row>
    <row r="687">
      <c r="A687" s="46"/>
      <c r="B687" s="47"/>
      <c r="C687" s="48"/>
      <c r="D687" s="49"/>
      <c r="E687" s="48"/>
      <c r="F687" s="47"/>
      <c r="K687" s="14"/>
      <c r="L687" s="14"/>
      <c r="M687" s="14"/>
    </row>
    <row r="688">
      <c r="A688" s="46"/>
      <c r="B688" s="47"/>
      <c r="C688" s="48"/>
      <c r="D688" s="49"/>
      <c r="E688" s="48"/>
      <c r="F688" s="47"/>
      <c r="K688" s="14"/>
      <c r="L688" s="14"/>
      <c r="M688" s="14"/>
    </row>
    <row r="689">
      <c r="A689" s="46"/>
      <c r="B689" s="47"/>
      <c r="C689" s="48"/>
      <c r="D689" s="49"/>
      <c r="E689" s="48"/>
      <c r="F689" s="47"/>
      <c r="K689" s="14"/>
      <c r="L689" s="14"/>
      <c r="M689" s="14"/>
    </row>
    <row r="690">
      <c r="A690" s="46"/>
      <c r="B690" s="47"/>
      <c r="C690" s="48"/>
      <c r="D690" s="49"/>
      <c r="E690" s="48"/>
      <c r="F690" s="47"/>
      <c r="K690" s="14"/>
      <c r="L690" s="14"/>
      <c r="M690" s="14"/>
    </row>
    <row r="691">
      <c r="A691" s="46"/>
      <c r="B691" s="47"/>
      <c r="C691" s="48"/>
      <c r="D691" s="49"/>
      <c r="E691" s="48"/>
      <c r="F691" s="47"/>
      <c r="K691" s="14"/>
      <c r="L691" s="14"/>
      <c r="M691" s="14"/>
    </row>
    <row r="692">
      <c r="A692" s="46"/>
      <c r="B692" s="47"/>
      <c r="C692" s="48"/>
      <c r="D692" s="49"/>
      <c r="E692" s="48"/>
      <c r="F692" s="47"/>
      <c r="K692" s="14"/>
      <c r="L692" s="14"/>
      <c r="M692" s="14"/>
    </row>
    <row r="693">
      <c r="A693" s="46"/>
      <c r="B693" s="47"/>
      <c r="C693" s="48"/>
      <c r="D693" s="49"/>
      <c r="E693" s="48"/>
      <c r="F693" s="47"/>
      <c r="K693" s="14"/>
      <c r="L693" s="14"/>
      <c r="M693" s="14"/>
    </row>
    <row r="694">
      <c r="A694" s="46"/>
      <c r="B694" s="47"/>
      <c r="C694" s="48"/>
      <c r="D694" s="49"/>
      <c r="E694" s="48"/>
      <c r="F694" s="47"/>
      <c r="K694" s="14"/>
      <c r="L694" s="14"/>
      <c r="M694" s="14"/>
    </row>
    <row r="695">
      <c r="A695" s="46"/>
      <c r="B695" s="47"/>
      <c r="C695" s="48"/>
      <c r="D695" s="49"/>
      <c r="E695" s="48"/>
      <c r="F695" s="47"/>
      <c r="K695" s="14"/>
      <c r="L695" s="14"/>
      <c r="M695" s="14"/>
    </row>
    <row r="696">
      <c r="A696" s="46"/>
      <c r="B696" s="47"/>
      <c r="C696" s="48"/>
      <c r="D696" s="49"/>
      <c r="E696" s="48"/>
      <c r="F696" s="47"/>
      <c r="K696" s="14"/>
      <c r="L696" s="14"/>
      <c r="M696" s="14"/>
    </row>
    <row r="697">
      <c r="A697" s="46"/>
      <c r="B697" s="47"/>
      <c r="C697" s="48"/>
      <c r="D697" s="49"/>
      <c r="E697" s="48"/>
      <c r="F697" s="47"/>
      <c r="K697" s="14"/>
      <c r="L697" s="14"/>
      <c r="M697" s="14"/>
    </row>
    <row r="698">
      <c r="A698" s="46"/>
      <c r="B698" s="47"/>
      <c r="C698" s="48"/>
      <c r="D698" s="49"/>
      <c r="E698" s="48"/>
      <c r="F698" s="47"/>
      <c r="K698" s="14"/>
      <c r="L698" s="14"/>
      <c r="M698" s="14"/>
    </row>
    <row r="699">
      <c r="A699" s="46"/>
      <c r="B699" s="47"/>
      <c r="C699" s="48"/>
      <c r="D699" s="49"/>
      <c r="E699" s="48"/>
      <c r="F699" s="47"/>
      <c r="K699" s="14"/>
      <c r="L699" s="14"/>
      <c r="M699" s="14"/>
    </row>
    <row r="700">
      <c r="A700" s="46"/>
      <c r="B700" s="47"/>
      <c r="C700" s="48"/>
      <c r="D700" s="49"/>
      <c r="E700" s="48"/>
      <c r="F700" s="47"/>
      <c r="K700" s="14"/>
      <c r="L700" s="14"/>
      <c r="M700" s="14"/>
    </row>
    <row r="701">
      <c r="A701" s="46"/>
      <c r="B701" s="47"/>
      <c r="C701" s="48"/>
      <c r="D701" s="49"/>
      <c r="E701" s="48"/>
      <c r="F701" s="47"/>
      <c r="K701" s="14"/>
      <c r="L701" s="14"/>
      <c r="M701" s="14"/>
    </row>
    <row r="702">
      <c r="A702" s="46"/>
      <c r="B702" s="47"/>
      <c r="C702" s="48"/>
      <c r="D702" s="49"/>
      <c r="E702" s="48"/>
      <c r="F702" s="47"/>
      <c r="K702" s="14"/>
      <c r="L702" s="14"/>
      <c r="M702" s="14"/>
    </row>
    <row r="703">
      <c r="A703" s="46"/>
      <c r="B703" s="47"/>
      <c r="C703" s="48"/>
      <c r="D703" s="49"/>
      <c r="E703" s="48"/>
      <c r="F703" s="47"/>
      <c r="K703" s="14"/>
      <c r="L703" s="14"/>
      <c r="M703" s="14"/>
    </row>
    <row r="704">
      <c r="A704" s="46"/>
      <c r="B704" s="47"/>
      <c r="C704" s="48"/>
      <c r="D704" s="49"/>
      <c r="E704" s="48"/>
      <c r="F704" s="47"/>
      <c r="K704" s="14"/>
      <c r="L704" s="14"/>
      <c r="M704" s="14"/>
    </row>
    <row r="705">
      <c r="A705" s="46"/>
      <c r="B705" s="47"/>
      <c r="C705" s="48"/>
      <c r="D705" s="49"/>
      <c r="E705" s="48"/>
      <c r="F705" s="47"/>
      <c r="K705" s="14"/>
      <c r="L705" s="14"/>
      <c r="M705" s="14"/>
    </row>
    <row r="706">
      <c r="A706" s="46"/>
      <c r="B706" s="47"/>
      <c r="C706" s="48"/>
      <c r="D706" s="49"/>
      <c r="E706" s="48"/>
      <c r="F706" s="47"/>
      <c r="K706" s="14"/>
      <c r="L706" s="14"/>
      <c r="M706" s="14"/>
    </row>
    <row r="707">
      <c r="A707" s="46"/>
      <c r="B707" s="47"/>
      <c r="C707" s="48"/>
      <c r="D707" s="49"/>
      <c r="E707" s="48"/>
      <c r="F707" s="47"/>
      <c r="K707" s="14"/>
      <c r="L707" s="14"/>
      <c r="M707" s="14"/>
    </row>
    <row r="708">
      <c r="A708" s="46"/>
      <c r="B708" s="47"/>
      <c r="C708" s="48"/>
      <c r="D708" s="49"/>
      <c r="E708" s="48"/>
      <c r="F708" s="47"/>
      <c r="K708" s="14"/>
      <c r="L708" s="14"/>
      <c r="M708" s="14"/>
    </row>
    <row r="709">
      <c r="A709" s="46"/>
      <c r="B709" s="47"/>
      <c r="C709" s="48"/>
      <c r="D709" s="49"/>
      <c r="E709" s="48"/>
      <c r="F709" s="47"/>
      <c r="K709" s="14"/>
      <c r="L709" s="14"/>
      <c r="M709" s="14"/>
    </row>
    <row r="710">
      <c r="A710" s="46"/>
      <c r="B710" s="47"/>
      <c r="C710" s="48"/>
      <c r="D710" s="49"/>
      <c r="E710" s="48"/>
      <c r="F710" s="47"/>
      <c r="K710" s="14"/>
      <c r="L710" s="14"/>
      <c r="M710" s="14"/>
    </row>
    <row r="711">
      <c r="A711" s="46"/>
      <c r="B711" s="47"/>
      <c r="C711" s="48"/>
      <c r="D711" s="49"/>
      <c r="E711" s="48"/>
      <c r="F711" s="47"/>
      <c r="K711" s="14"/>
      <c r="L711" s="14"/>
      <c r="M711" s="14"/>
    </row>
    <row r="712">
      <c r="A712" s="46"/>
      <c r="B712" s="47"/>
      <c r="C712" s="48"/>
      <c r="D712" s="49"/>
      <c r="E712" s="48"/>
      <c r="F712" s="47"/>
      <c r="K712" s="14"/>
      <c r="L712" s="14"/>
      <c r="M712" s="14"/>
    </row>
    <row r="713">
      <c r="A713" s="46"/>
      <c r="B713" s="47"/>
      <c r="C713" s="48"/>
      <c r="D713" s="49"/>
      <c r="E713" s="48"/>
      <c r="F713" s="47"/>
      <c r="K713" s="14"/>
      <c r="L713" s="14"/>
      <c r="M713" s="14"/>
    </row>
    <row r="714">
      <c r="A714" s="46"/>
      <c r="B714" s="47"/>
      <c r="C714" s="48"/>
      <c r="D714" s="49"/>
      <c r="E714" s="48"/>
      <c r="F714" s="47"/>
      <c r="K714" s="14"/>
      <c r="L714" s="14"/>
      <c r="M714" s="14"/>
    </row>
    <row r="715">
      <c r="A715" s="46"/>
      <c r="B715" s="47"/>
      <c r="C715" s="48"/>
      <c r="D715" s="49"/>
      <c r="E715" s="48"/>
      <c r="F715" s="47"/>
      <c r="K715" s="14"/>
      <c r="L715" s="14"/>
      <c r="M715" s="14"/>
    </row>
    <row r="716">
      <c r="A716" s="46"/>
      <c r="B716" s="47"/>
      <c r="C716" s="48"/>
      <c r="D716" s="49"/>
      <c r="E716" s="48"/>
      <c r="F716" s="47"/>
      <c r="K716" s="14"/>
      <c r="L716" s="14"/>
      <c r="M716" s="14"/>
    </row>
    <row r="717">
      <c r="A717" s="46"/>
      <c r="B717" s="47"/>
      <c r="C717" s="48"/>
      <c r="D717" s="49"/>
      <c r="E717" s="48"/>
      <c r="F717" s="47"/>
      <c r="K717" s="14"/>
      <c r="L717" s="14"/>
      <c r="M717" s="14"/>
    </row>
    <row r="718">
      <c r="A718" s="46"/>
      <c r="B718" s="47"/>
      <c r="C718" s="48"/>
      <c r="D718" s="49"/>
      <c r="E718" s="48"/>
      <c r="F718" s="47"/>
      <c r="K718" s="14"/>
      <c r="L718" s="14"/>
      <c r="M718" s="14"/>
    </row>
    <row r="719">
      <c r="A719" s="46"/>
      <c r="B719" s="47"/>
      <c r="C719" s="48"/>
      <c r="D719" s="49"/>
      <c r="E719" s="48"/>
      <c r="F719" s="47"/>
      <c r="K719" s="14"/>
      <c r="L719" s="14"/>
      <c r="M719" s="14"/>
    </row>
    <row r="720">
      <c r="A720" s="46"/>
      <c r="B720" s="47"/>
      <c r="C720" s="48"/>
      <c r="D720" s="49"/>
      <c r="E720" s="48"/>
      <c r="F720" s="47"/>
      <c r="K720" s="14"/>
      <c r="L720" s="14"/>
      <c r="M720" s="14"/>
    </row>
    <row r="721">
      <c r="A721" s="46"/>
      <c r="B721" s="47"/>
      <c r="C721" s="48"/>
      <c r="D721" s="49"/>
      <c r="E721" s="48"/>
      <c r="F721" s="47"/>
      <c r="K721" s="14"/>
      <c r="L721" s="14"/>
      <c r="M721" s="14"/>
    </row>
    <row r="722">
      <c r="A722" s="46"/>
      <c r="B722" s="47"/>
      <c r="C722" s="48"/>
      <c r="D722" s="49"/>
      <c r="E722" s="48"/>
      <c r="F722" s="47"/>
      <c r="K722" s="14"/>
      <c r="L722" s="14"/>
      <c r="M722" s="14"/>
    </row>
    <row r="723">
      <c r="A723" s="46"/>
      <c r="B723" s="47"/>
      <c r="C723" s="48"/>
      <c r="D723" s="49"/>
      <c r="E723" s="48"/>
      <c r="F723" s="47"/>
      <c r="K723" s="14"/>
      <c r="L723" s="14"/>
      <c r="M723" s="14"/>
    </row>
    <row r="724">
      <c r="A724" s="46"/>
      <c r="B724" s="47"/>
      <c r="C724" s="48"/>
      <c r="D724" s="49"/>
      <c r="E724" s="48"/>
      <c r="F724" s="47"/>
      <c r="K724" s="14"/>
      <c r="L724" s="14"/>
      <c r="M724" s="14"/>
    </row>
    <row r="725">
      <c r="A725" s="46"/>
      <c r="B725" s="47"/>
      <c r="C725" s="48"/>
      <c r="D725" s="49"/>
      <c r="E725" s="48"/>
      <c r="F725" s="47"/>
      <c r="K725" s="14"/>
      <c r="L725" s="14"/>
      <c r="M725" s="14"/>
    </row>
    <row r="726">
      <c r="A726" s="46"/>
      <c r="B726" s="47"/>
      <c r="C726" s="48"/>
      <c r="D726" s="49"/>
      <c r="E726" s="48"/>
      <c r="F726" s="47"/>
      <c r="K726" s="14"/>
      <c r="L726" s="14"/>
      <c r="M726" s="14"/>
    </row>
    <row r="727">
      <c r="A727" s="46"/>
      <c r="B727" s="47"/>
      <c r="C727" s="48"/>
      <c r="D727" s="49"/>
      <c r="E727" s="48"/>
      <c r="F727" s="47"/>
      <c r="K727" s="14"/>
      <c r="L727" s="14"/>
      <c r="M727" s="14"/>
    </row>
    <row r="728">
      <c r="A728" s="46"/>
      <c r="B728" s="47"/>
      <c r="C728" s="48"/>
      <c r="D728" s="49"/>
      <c r="E728" s="48"/>
      <c r="F728" s="47"/>
      <c r="K728" s="14"/>
      <c r="L728" s="14"/>
      <c r="M728" s="14"/>
    </row>
    <row r="729">
      <c r="A729" s="46"/>
      <c r="B729" s="47"/>
      <c r="C729" s="48"/>
      <c r="D729" s="49"/>
      <c r="E729" s="48"/>
      <c r="F729" s="47"/>
      <c r="K729" s="14"/>
      <c r="L729" s="14"/>
      <c r="M729" s="14"/>
    </row>
    <row r="730">
      <c r="A730" s="46"/>
      <c r="B730" s="47"/>
      <c r="C730" s="48"/>
      <c r="D730" s="49"/>
      <c r="E730" s="48"/>
      <c r="F730" s="47"/>
      <c r="K730" s="14"/>
      <c r="L730" s="14"/>
      <c r="M730" s="14"/>
    </row>
    <row r="731">
      <c r="A731" s="46"/>
      <c r="B731" s="47"/>
      <c r="C731" s="48"/>
      <c r="D731" s="49"/>
      <c r="E731" s="48"/>
      <c r="F731" s="47"/>
      <c r="K731" s="14"/>
      <c r="L731" s="14"/>
      <c r="M731" s="14"/>
    </row>
    <row r="732">
      <c r="A732" s="46"/>
      <c r="B732" s="47"/>
      <c r="C732" s="48"/>
      <c r="D732" s="49"/>
      <c r="E732" s="48"/>
      <c r="F732" s="47"/>
      <c r="K732" s="14"/>
      <c r="L732" s="14"/>
      <c r="M732" s="14"/>
    </row>
    <row r="733">
      <c r="A733" s="46"/>
      <c r="B733" s="47"/>
      <c r="C733" s="48"/>
      <c r="D733" s="49"/>
      <c r="E733" s="48"/>
      <c r="F733" s="47"/>
      <c r="K733" s="14"/>
      <c r="L733" s="14"/>
      <c r="M733" s="14"/>
    </row>
    <row r="734">
      <c r="A734" s="46"/>
      <c r="B734" s="47"/>
      <c r="C734" s="48"/>
      <c r="D734" s="49"/>
      <c r="E734" s="48"/>
      <c r="F734" s="47"/>
      <c r="K734" s="14"/>
      <c r="L734" s="14"/>
      <c r="M734" s="14"/>
    </row>
    <row r="735">
      <c r="A735" s="46"/>
      <c r="B735" s="47"/>
      <c r="C735" s="48"/>
      <c r="D735" s="49"/>
      <c r="E735" s="48"/>
      <c r="F735" s="47"/>
      <c r="K735" s="14"/>
      <c r="L735" s="14"/>
      <c r="M735" s="14"/>
    </row>
    <row r="736">
      <c r="A736" s="46"/>
      <c r="B736" s="47"/>
      <c r="C736" s="48"/>
      <c r="D736" s="49"/>
      <c r="E736" s="48"/>
      <c r="F736" s="47"/>
      <c r="K736" s="14"/>
      <c r="L736" s="14"/>
      <c r="M736" s="14"/>
    </row>
    <row r="737">
      <c r="A737" s="46"/>
      <c r="B737" s="47"/>
      <c r="C737" s="48"/>
      <c r="D737" s="49"/>
      <c r="E737" s="48"/>
      <c r="F737" s="47"/>
      <c r="K737" s="14"/>
      <c r="L737" s="14"/>
      <c r="M737" s="14"/>
    </row>
    <row r="738">
      <c r="A738" s="46"/>
      <c r="B738" s="47"/>
      <c r="C738" s="48"/>
      <c r="D738" s="49"/>
      <c r="E738" s="48"/>
      <c r="F738" s="47"/>
      <c r="K738" s="14"/>
      <c r="L738" s="14"/>
      <c r="M738" s="14"/>
    </row>
    <row r="739">
      <c r="A739" s="46"/>
      <c r="B739" s="47"/>
      <c r="C739" s="48"/>
      <c r="D739" s="49"/>
      <c r="E739" s="48"/>
      <c r="F739" s="47"/>
      <c r="K739" s="14"/>
      <c r="L739" s="14"/>
      <c r="M739" s="14"/>
    </row>
    <row r="740">
      <c r="A740" s="46"/>
      <c r="B740" s="47"/>
      <c r="C740" s="48"/>
      <c r="D740" s="49"/>
      <c r="E740" s="48"/>
      <c r="F740" s="47"/>
      <c r="K740" s="14"/>
      <c r="L740" s="14"/>
      <c r="M740" s="14"/>
    </row>
    <row r="741">
      <c r="A741" s="46"/>
      <c r="B741" s="47"/>
      <c r="C741" s="48"/>
      <c r="D741" s="49"/>
      <c r="E741" s="48"/>
      <c r="F741" s="47"/>
      <c r="K741" s="14"/>
      <c r="L741" s="14"/>
      <c r="M741" s="14"/>
    </row>
    <row r="742">
      <c r="A742" s="46"/>
      <c r="B742" s="47"/>
      <c r="C742" s="48"/>
      <c r="D742" s="49"/>
      <c r="E742" s="48"/>
      <c r="F742" s="47"/>
      <c r="K742" s="14"/>
      <c r="L742" s="14"/>
      <c r="M742" s="14"/>
    </row>
    <row r="743">
      <c r="A743" s="46"/>
      <c r="B743" s="47"/>
      <c r="C743" s="48"/>
      <c r="D743" s="49"/>
      <c r="E743" s="48"/>
      <c r="F743" s="47"/>
      <c r="K743" s="14"/>
      <c r="L743" s="14"/>
      <c r="M743" s="14"/>
    </row>
    <row r="744">
      <c r="A744" s="46"/>
      <c r="B744" s="47"/>
      <c r="C744" s="48"/>
      <c r="D744" s="49"/>
      <c r="E744" s="48"/>
      <c r="F744" s="47"/>
      <c r="K744" s="14"/>
      <c r="L744" s="14"/>
      <c r="M744" s="14"/>
    </row>
    <row r="745">
      <c r="A745" s="46"/>
      <c r="B745" s="47"/>
      <c r="C745" s="48"/>
      <c r="D745" s="49"/>
      <c r="E745" s="48"/>
      <c r="F745" s="47"/>
      <c r="K745" s="14"/>
      <c r="L745" s="14"/>
      <c r="M745" s="14"/>
    </row>
    <row r="746">
      <c r="A746" s="46"/>
      <c r="B746" s="47"/>
      <c r="C746" s="48"/>
      <c r="D746" s="49"/>
      <c r="E746" s="48"/>
      <c r="F746" s="47"/>
      <c r="K746" s="14"/>
      <c r="L746" s="14"/>
      <c r="M746" s="14"/>
    </row>
    <row r="747">
      <c r="A747" s="46"/>
      <c r="B747" s="47"/>
      <c r="C747" s="48"/>
      <c r="D747" s="49"/>
      <c r="E747" s="48"/>
      <c r="F747" s="47"/>
      <c r="K747" s="14"/>
      <c r="L747" s="14"/>
      <c r="M747" s="14"/>
    </row>
    <row r="748">
      <c r="A748" s="46"/>
      <c r="B748" s="47"/>
      <c r="C748" s="48"/>
      <c r="D748" s="49"/>
      <c r="E748" s="48"/>
      <c r="F748" s="47"/>
      <c r="K748" s="14"/>
      <c r="L748" s="14"/>
      <c r="M748" s="14"/>
    </row>
    <row r="749">
      <c r="A749" s="46"/>
      <c r="B749" s="47"/>
      <c r="C749" s="48"/>
      <c r="D749" s="49"/>
      <c r="E749" s="48"/>
      <c r="F749" s="47"/>
      <c r="K749" s="14"/>
      <c r="L749" s="14"/>
      <c r="M749" s="14"/>
    </row>
    <row r="750">
      <c r="A750" s="46"/>
      <c r="B750" s="47"/>
      <c r="C750" s="48"/>
      <c r="D750" s="49"/>
      <c r="E750" s="48"/>
      <c r="F750" s="47"/>
      <c r="K750" s="14"/>
      <c r="L750" s="14"/>
      <c r="M750" s="14"/>
    </row>
    <row r="751">
      <c r="A751" s="46"/>
      <c r="B751" s="47"/>
      <c r="C751" s="48"/>
      <c r="D751" s="49"/>
      <c r="E751" s="48"/>
      <c r="F751" s="47"/>
      <c r="K751" s="14"/>
      <c r="L751" s="14"/>
      <c r="M751" s="14"/>
    </row>
    <row r="752">
      <c r="A752" s="46"/>
      <c r="B752" s="47"/>
      <c r="C752" s="48"/>
      <c r="D752" s="49"/>
      <c r="E752" s="48"/>
      <c r="F752" s="47"/>
      <c r="K752" s="14"/>
      <c r="L752" s="14"/>
      <c r="M752" s="14"/>
    </row>
    <row r="753">
      <c r="A753" s="46"/>
      <c r="B753" s="47"/>
      <c r="C753" s="48"/>
      <c r="D753" s="49"/>
      <c r="E753" s="48"/>
      <c r="F753" s="47"/>
      <c r="K753" s="14"/>
      <c r="L753" s="14"/>
      <c r="M753" s="14"/>
    </row>
    <row r="754">
      <c r="A754" s="46"/>
      <c r="B754" s="47"/>
      <c r="C754" s="48"/>
      <c r="D754" s="49"/>
      <c r="E754" s="48"/>
      <c r="F754" s="47"/>
      <c r="K754" s="14"/>
      <c r="L754" s="14"/>
      <c r="M754" s="14"/>
    </row>
    <row r="755">
      <c r="A755" s="46"/>
      <c r="B755" s="47"/>
      <c r="C755" s="48"/>
      <c r="D755" s="49"/>
      <c r="E755" s="48"/>
      <c r="F755" s="47"/>
      <c r="K755" s="14"/>
      <c r="L755" s="14"/>
      <c r="M755" s="14"/>
    </row>
    <row r="756">
      <c r="A756" s="46"/>
      <c r="B756" s="47"/>
      <c r="C756" s="48"/>
      <c r="D756" s="49"/>
      <c r="E756" s="48"/>
      <c r="F756" s="47"/>
      <c r="K756" s="14"/>
      <c r="L756" s="14"/>
      <c r="M756" s="14"/>
    </row>
    <row r="757">
      <c r="A757" s="46"/>
      <c r="B757" s="47"/>
      <c r="C757" s="48"/>
      <c r="D757" s="49"/>
      <c r="E757" s="48"/>
      <c r="F757" s="47"/>
      <c r="K757" s="14"/>
      <c r="L757" s="14"/>
      <c r="M757" s="14"/>
    </row>
    <row r="758">
      <c r="A758" s="46"/>
      <c r="B758" s="47"/>
      <c r="C758" s="48"/>
      <c r="D758" s="49"/>
      <c r="E758" s="48"/>
      <c r="F758" s="47"/>
      <c r="K758" s="14"/>
      <c r="L758" s="14"/>
      <c r="M758" s="14"/>
    </row>
    <row r="759">
      <c r="A759" s="46"/>
      <c r="B759" s="47"/>
      <c r="C759" s="48"/>
      <c r="D759" s="49"/>
      <c r="E759" s="48"/>
      <c r="F759" s="47"/>
      <c r="K759" s="14"/>
      <c r="L759" s="14"/>
      <c r="M759" s="14"/>
    </row>
    <row r="760">
      <c r="A760" s="46"/>
      <c r="B760" s="47"/>
      <c r="C760" s="48"/>
      <c r="D760" s="49"/>
      <c r="E760" s="48"/>
      <c r="F760" s="47"/>
      <c r="K760" s="14"/>
      <c r="L760" s="14"/>
      <c r="M760" s="14"/>
    </row>
    <row r="761">
      <c r="A761" s="46"/>
      <c r="B761" s="47"/>
      <c r="C761" s="48"/>
      <c r="D761" s="49"/>
      <c r="E761" s="48"/>
      <c r="F761" s="47"/>
      <c r="K761" s="14"/>
      <c r="L761" s="14"/>
      <c r="M761" s="14"/>
    </row>
    <row r="762">
      <c r="A762" s="46"/>
      <c r="B762" s="47"/>
      <c r="C762" s="48"/>
      <c r="D762" s="49"/>
      <c r="E762" s="48"/>
      <c r="F762" s="47"/>
      <c r="K762" s="14"/>
      <c r="L762" s="14"/>
      <c r="M762" s="14"/>
    </row>
    <row r="763">
      <c r="A763" s="46"/>
      <c r="B763" s="47"/>
      <c r="C763" s="48"/>
      <c r="D763" s="49"/>
      <c r="E763" s="48"/>
      <c r="F763" s="47"/>
      <c r="K763" s="14"/>
      <c r="L763" s="14"/>
      <c r="M763" s="14"/>
    </row>
    <row r="764">
      <c r="A764" s="46"/>
      <c r="B764" s="47"/>
      <c r="C764" s="48"/>
      <c r="D764" s="49"/>
      <c r="E764" s="48"/>
      <c r="F764" s="47"/>
      <c r="K764" s="14"/>
      <c r="L764" s="14"/>
      <c r="M764" s="14"/>
    </row>
    <row r="765">
      <c r="A765" s="46"/>
      <c r="B765" s="47"/>
      <c r="C765" s="48"/>
      <c r="D765" s="49"/>
      <c r="E765" s="48"/>
      <c r="F765" s="47"/>
      <c r="K765" s="14"/>
      <c r="L765" s="14"/>
      <c r="M765" s="14"/>
    </row>
    <row r="766">
      <c r="A766" s="46"/>
      <c r="B766" s="47"/>
      <c r="C766" s="48"/>
      <c r="D766" s="49"/>
      <c r="E766" s="48"/>
      <c r="F766" s="47"/>
      <c r="K766" s="14"/>
      <c r="L766" s="14"/>
      <c r="M766" s="14"/>
    </row>
    <row r="767">
      <c r="A767" s="46"/>
      <c r="B767" s="47"/>
      <c r="C767" s="48"/>
      <c r="D767" s="49"/>
      <c r="E767" s="48"/>
      <c r="F767" s="47"/>
      <c r="K767" s="14"/>
      <c r="L767" s="14"/>
      <c r="M767" s="14"/>
    </row>
    <row r="768">
      <c r="A768" s="46"/>
      <c r="B768" s="47"/>
      <c r="C768" s="48"/>
      <c r="D768" s="49"/>
      <c r="E768" s="48"/>
      <c r="F768" s="47"/>
      <c r="K768" s="14"/>
      <c r="L768" s="14"/>
      <c r="M768" s="14"/>
    </row>
    <row r="769">
      <c r="A769" s="46"/>
      <c r="B769" s="47"/>
      <c r="C769" s="48"/>
      <c r="D769" s="49"/>
      <c r="E769" s="48"/>
      <c r="F769" s="47"/>
      <c r="K769" s="14"/>
      <c r="L769" s="14"/>
      <c r="M769" s="14"/>
    </row>
    <row r="770">
      <c r="A770" s="46"/>
      <c r="B770" s="47"/>
      <c r="C770" s="48"/>
      <c r="D770" s="49"/>
      <c r="E770" s="48"/>
      <c r="F770" s="47"/>
      <c r="K770" s="14"/>
      <c r="L770" s="14"/>
      <c r="M770" s="14"/>
    </row>
    <row r="771">
      <c r="A771" s="46"/>
      <c r="B771" s="47"/>
      <c r="C771" s="48"/>
      <c r="D771" s="49"/>
      <c r="E771" s="48"/>
      <c r="F771" s="47"/>
      <c r="K771" s="14"/>
      <c r="L771" s="14"/>
      <c r="M771" s="14"/>
    </row>
    <row r="772">
      <c r="A772" s="46"/>
      <c r="B772" s="47"/>
      <c r="C772" s="48"/>
      <c r="D772" s="49"/>
      <c r="E772" s="48"/>
      <c r="F772" s="47"/>
      <c r="K772" s="14"/>
      <c r="L772" s="14"/>
      <c r="M772" s="14"/>
    </row>
    <row r="773">
      <c r="A773" s="46"/>
      <c r="B773" s="47"/>
      <c r="C773" s="48"/>
      <c r="D773" s="49"/>
      <c r="E773" s="48"/>
      <c r="F773" s="47"/>
      <c r="K773" s="14"/>
      <c r="L773" s="14"/>
      <c r="M773" s="14"/>
    </row>
    <row r="774">
      <c r="A774" s="46"/>
      <c r="B774" s="47"/>
      <c r="C774" s="48"/>
      <c r="D774" s="49"/>
      <c r="E774" s="48"/>
      <c r="F774" s="47"/>
      <c r="K774" s="14"/>
      <c r="L774" s="14"/>
      <c r="M774" s="14"/>
    </row>
    <row r="775">
      <c r="A775" s="46"/>
      <c r="B775" s="47"/>
      <c r="C775" s="48"/>
      <c r="D775" s="49"/>
      <c r="E775" s="48"/>
      <c r="F775" s="47"/>
      <c r="K775" s="14"/>
      <c r="L775" s="14"/>
      <c r="M775" s="14"/>
    </row>
    <row r="776">
      <c r="A776" s="46"/>
      <c r="B776" s="47"/>
      <c r="C776" s="48"/>
      <c r="D776" s="49"/>
      <c r="E776" s="48"/>
      <c r="F776" s="47"/>
      <c r="K776" s="14"/>
      <c r="L776" s="14"/>
      <c r="M776" s="14"/>
    </row>
    <row r="777">
      <c r="A777" s="46"/>
      <c r="B777" s="47"/>
      <c r="C777" s="48"/>
      <c r="D777" s="49"/>
      <c r="E777" s="48"/>
      <c r="F777" s="47"/>
      <c r="K777" s="14"/>
      <c r="L777" s="14"/>
      <c r="M777" s="14"/>
    </row>
    <row r="778">
      <c r="A778" s="46"/>
      <c r="B778" s="47"/>
      <c r="C778" s="48"/>
      <c r="D778" s="49"/>
      <c r="E778" s="48"/>
      <c r="F778" s="47"/>
      <c r="K778" s="14"/>
      <c r="L778" s="14"/>
      <c r="M778" s="14"/>
    </row>
    <row r="779">
      <c r="A779" s="46"/>
      <c r="B779" s="47"/>
      <c r="C779" s="48"/>
      <c r="D779" s="49"/>
      <c r="E779" s="48"/>
      <c r="F779" s="47"/>
      <c r="K779" s="14"/>
      <c r="L779" s="14"/>
      <c r="M779" s="14"/>
    </row>
    <row r="780">
      <c r="A780" s="46"/>
      <c r="B780" s="47"/>
      <c r="C780" s="48"/>
      <c r="D780" s="49"/>
      <c r="E780" s="48"/>
      <c r="F780" s="47"/>
      <c r="K780" s="14"/>
      <c r="L780" s="14"/>
      <c r="M780" s="14"/>
    </row>
    <row r="781">
      <c r="A781" s="46"/>
      <c r="B781" s="47"/>
      <c r="C781" s="48"/>
      <c r="D781" s="49"/>
      <c r="E781" s="48"/>
      <c r="F781" s="47"/>
      <c r="K781" s="14"/>
      <c r="L781" s="14"/>
      <c r="M781" s="14"/>
    </row>
    <row r="782">
      <c r="A782" s="46"/>
      <c r="B782" s="47"/>
      <c r="C782" s="48"/>
      <c r="D782" s="49"/>
      <c r="E782" s="48"/>
      <c r="F782" s="47"/>
      <c r="K782" s="14"/>
      <c r="L782" s="14"/>
      <c r="M782" s="14"/>
    </row>
    <row r="783">
      <c r="A783" s="46"/>
      <c r="B783" s="47"/>
      <c r="C783" s="48"/>
      <c r="D783" s="49"/>
      <c r="E783" s="48"/>
      <c r="F783" s="47"/>
      <c r="K783" s="14"/>
      <c r="L783" s="14"/>
      <c r="M783" s="14"/>
    </row>
    <row r="784">
      <c r="A784" s="46"/>
      <c r="B784" s="47"/>
      <c r="C784" s="48"/>
      <c r="D784" s="49"/>
      <c r="E784" s="48"/>
      <c r="F784" s="47"/>
      <c r="K784" s="14"/>
      <c r="L784" s="14"/>
      <c r="M784" s="14"/>
    </row>
    <row r="785">
      <c r="A785" s="46"/>
      <c r="B785" s="47"/>
      <c r="C785" s="48"/>
      <c r="D785" s="49"/>
      <c r="E785" s="48"/>
      <c r="F785" s="47"/>
      <c r="K785" s="14"/>
      <c r="L785" s="14"/>
      <c r="M785" s="14"/>
    </row>
    <row r="786">
      <c r="A786" s="46"/>
      <c r="B786" s="47"/>
      <c r="C786" s="48"/>
      <c r="D786" s="49"/>
      <c r="E786" s="48"/>
      <c r="F786" s="47"/>
      <c r="K786" s="14"/>
      <c r="L786" s="14"/>
      <c r="M786" s="14"/>
    </row>
    <row r="787">
      <c r="A787" s="46"/>
      <c r="B787" s="47"/>
      <c r="C787" s="48"/>
      <c r="D787" s="49"/>
      <c r="E787" s="48"/>
      <c r="F787" s="47"/>
      <c r="K787" s="14"/>
      <c r="L787" s="14"/>
      <c r="M787" s="14"/>
    </row>
    <row r="788">
      <c r="A788" s="46"/>
      <c r="B788" s="47"/>
      <c r="C788" s="48"/>
      <c r="D788" s="49"/>
      <c r="E788" s="48"/>
      <c r="F788" s="47"/>
      <c r="K788" s="14"/>
      <c r="L788" s="14"/>
      <c r="M788" s="14"/>
    </row>
    <row r="789">
      <c r="A789" s="46"/>
      <c r="B789" s="47"/>
      <c r="C789" s="48"/>
      <c r="D789" s="49"/>
      <c r="E789" s="48"/>
      <c r="F789" s="47"/>
      <c r="K789" s="14"/>
      <c r="L789" s="14"/>
      <c r="M789" s="14"/>
    </row>
    <row r="790">
      <c r="A790" s="46"/>
      <c r="B790" s="47"/>
      <c r="C790" s="48"/>
      <c r="D790" s="49"/>
      <c r="E790" s="48"/>
      <c r="F790" s="47"/>
      <c r="K790" s="14"/>
      <c r="L790" s="14"/>
      <c r="M790" s="14"/>
    </row>
    <row r="791">
      <c r="A791" s="46"/>
      <c r="B791" s="47"/>
      <c r="C791" s="48"/>
      <c r="D791" s="49"/>
      <c r="E791" s="48"/>
      <c r="F791" s="47"/>
      <c r="K791" s="14"/>
      <c r="L791" s="14"/>
      <c r="M791" s="14"/>
    </row>
    <row r="792">
      <c r="A792" s="46"/>
      <c r="B792" s="47"/>
      <c r="C792" s="48"/>
      <c r="D792" s="49"/>
      <c r="E792" s="48"/>
      <c r="F792" s="47"/>
      <c r="K792" s="14"/>
      <c r="L792" s="14"/>
      <c r="M792" s="14"/>
    </row>
    <row r="793">
      <c r="A793" s="46"/>
      <c r="B793" s="47"/>
      <c r="C793" s="48"/>
      <c r="D793" s="49"/>
      <c r="E793" s="48"/>
      <c r="F793" s="47"/>
      <c r="K793" s="14"/>
      <c r="L793" s="14"/>
      <c r="M793" s="14"/>
    </row>
    <row r="794">
      <c r="A794" s="46"/>
      <c r="B794" s="47"/>
      <c r="C794" s="48"/>
      <c r="D794" s="49"/>
      <c r="E794" s="48"/>
      <c r="F794" s="47"/>
      <c r="K794" s="14"/>
      <c r="L794" s="14"/>
      <c r="M794" s="14"/>
    </row>
    <row r="795">
      <c r="A795" s="46"/>
      <c r="B795" s="47"/>
      <c r="C795" s="48"/>
      <c r="D795" s="49"/>
      <c r="E795" s="48"/>
      <c r="F795" s="47"/>
      <c r="K795" s="14"/>
      <c r="L795" s="14"/>
      <c r="M795" s="14"/>
    </row>
    <row r="796">
      <c r="A796" s="46"/>
      <c r="B796" s="47"/>
      <c r="C796" s="48"/>
      <c r="D796" s="49"/>
      <c r="E796" s="48"/>
      <c r="F796" s="47"/>
      <c r="K796" s="14"/>
      <c r="L796" s="14"/>
      <c r="M796" s="14"/>
    </row>
    <row r="797">
      <c r="A797" s="46"/>
      <c r="B797" s="47"/>
      <c r="C797" s="48"/>
      <c r="D797" s="49"/>
      <c r="E797" s="48"/>
      <c r="F797" s="47"/>
      <c r="K797" s="14"/>
      <c r="L797" s="14"/>
      <c r="M797" s="14"/>
    </row>
    <row r="798">
      <c r="A798" s="46"/>
      <c r="B798" s="47"/>
      <c r="C798" s="48"/>
      <c r="D798" s="49"/>
      <c r="E798" s="48"/>
      <c r="F798" s="47"/>
      <c r="K798" s="14"/>
      <c r="L798" s="14"/>
      <c r="M798" s="14"/>
    </row>
    <row r="799">
      <c r="A799" s="46"/>
      <c r="B799" s="47"/>
      <c r="C799" s="48"/>
      <c r="D799" s="49"/>
      <c r="E799" s="48"/>
      <c r="F799" s="47"/>
      <c r="K799" s="14"/>
      <c r="L799" s="14"/>
      <c r="M799" s="14"/>
    </row>
    <row r="800">
      <c r="A800" s="46"/>
      <c r="B800" s="47"/>
      <c r="C800" s="48"/>
      <c r="D800" s="49"/>
      <c r="E800" s="48"/>
      <c r="F800" s="47"/>
      <c r="K800" s="14"/>
      <c r="L800" s="14"/>
      <c r="M800" s="14"/>
    </row>
    <row r="801">
      <c r="A801" s="46"/>
      <c r="B801" s="47"/>
      <c r="C801" s="48"/>
      <c r="D801" s="49"/>
      <c r="E801" s="48"/>
      <c r="F801" s="47"/>
      <c r="K801" s="14"/>
      <c r="L801" s="14"/>
      <c r="M801" s="14"/>
    </row>
    <row r="802">
      <c r="A802" s="46"/>
      <c r="B802" s="47"/>
      <c r="C802" s="48"/>
      <c r="D802" s="49"/>
      <c r="E802" s="48"/>
      <c r="F802" s="47"/>
      <c r="K802" s="14"/>
      <c r="L802" s="14"/>
      <c r="M802" s="14"/>
    </row>
    <row r="803">
      <c r="A803" s="46"/>
      <c r="B803" s="47"/>
      <c r="C803" s="48"/>
      <c r="D803" s="49"/>
      <c r="E803" s="48"/>
      <c r="F803" s="47"/>
      <c r="K803" s="14"/>
      <c r="L803" s="14"/>
      <c r="M803" s="14"/>
    </row>
    <row r="804">
      <c r="A804" s="46"/>
      <c r="B804" s="47"/>
      <c r="C804" s="48"/>
      <c r="D804" s="49"/>
      <c r="E804" s="48"/>
      <c r="F804" s="47"/>
      <c r="K804" s="14"/>
      <c r="L804" s="14"/>
      <c r="M804" s="14"/>
    </row>
    <row r="805">
      <c r="A805" s="46"/>
      <c r="B805" s="47"/>
      <c r="C805" s="48"/>
      <c r="D805" s="49"/>
      <c r="E805" s="48"/>
      <c r="F805" s="47"/>
      <c r="K805" s="14"/>
      <c r="L805" s="14"/>
      <c r="M805" s="14"/>
    </row>
    <row r="806">
      <c r="A806" s="46"/>
      <c r="B806" s="47"/>
      <c r="C806" s="48"/>
      <c r="D806" s="49"/>
      <c r="E806" s="48"/>
      <c r="F806" s="47"/>
      <c r="K806" s="14"/>
      <c r="L806" s="14"/>
      <c r="M806" s="14"/>
    </row>
    <row r="807">
      <c r="A807" s="46"/>
      <c r="B807" s="47"/>
      <c r="C807" s="48"/>
      <c r="D807" s="49"/>
      <c r="E807" s="48"/>
      <c r="F807" s="47"/>
      <c r="K807" s="14"/>
      <c r="L807" s="14"/>
      <c r="M807" s="14"/>
    </row>
    <row r="808">
      <c r="A808" s="46"/>
      <c r="B808" s="47"/>
      <c r="C808" s="48"/>
      <c r="D808" s="49"/>
      <c r="E808" s="48"/>
      <c r="F808" s="47"/>
      <c r="K808" s="14"/>
      <c r="L808" s="14"/>
      <c r="M808" s="14"/>
    </row>
    <row r="809">
      <c r="A809" s="46"/>
      <c r="B809" s="47"/>
      <c r="C809" s="48"/>
      <c r="D809" s="49"/>
      <c r="E809" s="48"/>
      <c r="F809" s="47"/>
      <c r="K809" s="14"/>
      <c r="L809" s="14"/>
      <c r="M809" s="14"/>
    </row>
    <row r="810">
      <c r="A810" s="46"/>
      <c r="B810" s="47"/>
      <c r="C810" s="48"/>
      <c r="D810" s="49"/>
      <c r="E810" s="48"/>
      <c r="F810" s="47"/>
      <c r="K810" s="14"/>
      <c r="L810" s="14"/>
      <c r="M810" s="14"/>
    </row>
    <row r="811">
      <c r="A811" s="46"/>
      <c r="B811" s="47"/>
      <c r="C811" s="48"/>
      <c r="D811" s="49"/>
      <c r="E811" s="48"/>
      <c r="F811" s="47"/>
      <c r="K811" s="14"/>
      <c r="L811" s="14"/>
      <c r="M811" s="14"/>
    </row>
    <row r="812">
      <c r="A812" s="46"/>
      <c r="B812" s="47"/>
      <c r="C812" s="48"/>
      <c r="D812" s="49"/>
      <c r="E812" s="48"/>
      <c r="F812" s="47"/>
      <c r="K812" s="14"/>
      <c r="L812" s="14"/>
      <c r="M812" s="14"/>
    </row>
    <row r="813">
      <c r="A813" s="46"/>
      <c r="B813" s="47"/>
      <c r="C813" s="48"/>
      <c r="D813" s="49"/>
      <c r="E813" s="48"/>
      <c r="F813" s="47"/>
      <c r="K813" s="14"/>
      <c r="L813" s="14"/>
      <c r="M813" s="14"/>
    </row>
    <row r="814">
      <c r="A814" s="46"/>
      <c r="B814" s="47"/>
      <c r="C814" s="48"/>
      <c r="D814" s="49"/>
      <c r="E814" s="48"/>
      <c r="F814" s="47"/>
      <c r="K814" s="14"/>
      <c r="L814" s="14"/>
      <c r="M814" s="14"/>
    </row>
    <row r="815">
      <c r="A815" s="46"/>
      <c r="B815" s="47"/>
      <c r="C815" s="48"/>
      <c r="D815" s="49"/>
      <c r="E815" s="48"/>
      <c r="F815" s="47"/>
      <c r="K815" s="14"/>
      <c r="L815" s="14"/>
      <c r="M815" s="14"/>
    </row>
    <row r="816">
      <c r="A816" s="46"/>
      <c r="B816" s="47"/>
      <c r="C816" s="48"/>
      <c r="D816" s="49"/>
      <c r="E816" s="48"/>
      <c r="F816" s="47"/>
      <c r="K816" s="14"/>
      <c r="L816" s="14"/>
      <c r="M816" s="14"/>
    </row>
    <row r="817">
      <c r="A817" s="46"/>
      <c r="B817" s="47"/>
      <c r="C817" s="48"/>
      <c r="D817" s="49"/>
      <c r="E817" s="48"/>
      <c r="F817" s="47"/>
      <c r="K817" s="14"/>
      <c r="L817" s="14"/>
      <c r="M817" s="14"/>
    </row>
    <row r="818">
      <c r="A818" s="46"/>
      <c r="B818" s="47"/>
      <c r="C818" s="48"/>
      <c r="D818" s="49"/>
      <c r="E818" s="48"/>
      <c r="F818" s="47"/>
      <c r="K818" s="14"/>
      <c r="L818" s="14"/>
      <c r="M818" s="14"/>
    </row>
    <row r="819">
      <c r="A819" s="46"/>
      <c r="B819" s="47"/>
      <c r="C819" s="48"/>
      <c r="D819" s="49"/>
      <c r="E819" s="48"/>
      <c r="F819" s="47"/>
      <c r="K819" s="14"/>
      <c r="L819" s="14"/>
      <c r="M819" s="14"/>
    </row>
    <row r="820">
      <c r="A820" s="46"/>
      <c r="B820" s="47"/>
      <c r="C820" s="48"/>
      <c r="D820" s="49"/>
      <c r="E820" s="48"/>
      <c r="F820" s="47"/>
      <c r="K820" s="14"/>
      <c r="L820" s="14"/>
      <c r="M820" s="14"/>
    </row>
    <row r="821">
      <c r="A821" s="46"/>
      <c r="B821" s="47"/>
      <c r="C821" s="48"/>
      <c r="D821" s="49"/>
      <c r="E821" s="48"/>
      <c r="F821" s="47"/>
      <c r="K821" s="14"/>
      <c r="L821" s="14"/>
      <c r="M821" s="14"/>
    </row>
    <row r="822">
      <c r="A822" s="46"/>
      <c r="B822" s="47"/>
      <c r="C822" s="48"/>
      <c r="D822" s="49"/>
      <c r="E822" s="48"/>
      <c r="F822" s="47"/>
      <c r="K822" s="14"/>
      <c r="L822" s="14"/>
      <c r="M822" s="14"/>
    </row>
    <row r="823">
      <c r="A823" s="46"/>
      <c r="B823" s="47"/>
      <c r="C823" s="48"/>
      <c r="D823" s="49"/>
      <c r="E823" s="48"/>
      <c r="F823" s="47"/>
      <c r="K823" s="14"/>
      <c r="L823" s="14"/>
      <c r="M823" s="14"/>
    </row>
    <row r="824">
      <c r="A824" s="46"/>
      <c r="B824" s="47"/>
      <c r="C824" s="48"/>
      <c r="D824" s="49"/>
      <c r="E824" s="48"/>
      <c r="F824" s="47"/>
      <c r="K824" s="14"/>
      <c r="L824" s="14"/>
      <c r="M824" s="14"/>
    </row>
    <row r="825">
      <c r="A825" s="46"/>
      <c r="B825" s="47"/>
      <c r="C825" s="48"/>
      <c r="D825" s="49"/>
      <c r="E825" s="48"/>
      <c r="F825" s="47"/>
      <c r="K825" s="14"/>
      <c r="L825" s="14"/>
      <c r="M825" s="14"/>
    </row>
    <row r="826">
      <c r="A826" s="46"/>
      <c r="B826" s="47"/>
      <c r="C826" s="48"/>
      <c r="D826" s="49"/>
      <c r="E826" s="48"/>
      <c r="F826" s="47"/>
      <c r="K826" s="14"/>
      <c r="L826" s="14"/>
      <c r="M826" s="14"/>
    </row>
    <row r="827">
      <c r="A827" s="46"/>
      <c r="B827" s="47"/>
      <c r="C827" s="48"/>
      <c r="D827" s="49"/>
      <c r="E827" s="48"/>
      <c r="F827" s="47"/>
      <c r="K827" s="14"/>
      <c r="L827" s="14"/>
      <c r="M827" s="14"/>
    </row>
    <row r="828">
      <c r="A828" s="46"/>
      <c r="B828" s="47"/>
      <c r="C828" s="48"/>
      <c r="D828" s="49"/>
      <c r="E828" s="48"/>
      <c r="F828" s="47"/>
      <c r="K828" s="14"/>
      <c r="L828" s="14"/>
      <c r="M828" s="14"/>
    </row>
    <row r="829">
      <c r="A829" s="46"/>
      <c r="B829" s="47"/>
      <c r="C829" s="48"/>
      <c r="D829" s="49"/>
      <c r="E829" s="48"/>
      <c r="F829" s="47"/>
      <c r="K829" s="14"/>
      <c r="L829" s="14"/>
      <c r="M829" s="14"/>
    </row>
    <row r="830">
      <c r="A830" s="46"/>
      <c r="B830" s="47"/>
      <c r="C830" s="48"/>
      <c r="D830" s="49"/>
      <c r="E830" s="48"/>
      <c r="F830" s="47"/>
      <c r="K830" s="14"/>
      <c r="L830" s="14"/>
      <c r="M830" s="14"/>
    </row>
    <row r="831">
      <c r="A831" s="46"/>
      <c r="B831" s="47"/>
      <c r="C831" s="48"/>
      <c r="D831" s="49"/>
      <c r="E831" s="48"/>
      <c r="F831" s="47"/>
      <c r="K831" s="14"/>
      <c r="L831" s="14"/>
      <c r="M831" s="14"/>
    </row>
    <row r="832">
      <c r="A832" s="46"/>
      <c r="B832" s="47"/>
      <c r="C832" s="48"/>
      <c r="D832" s="49"/>
      <c r="E832" s="48"/>
      <c r="F832" s="47"/>
      <c r="K832" s="14"/>
      <c r="L832" s="14"/>
      <c r="M832" s="14"/>
    </row>
    <row r="833">
      <c r="A833" s="46"/>
      <c r="B833" s="47"/>
      <c r="C833" s="48"/>
      <c r="D833" s="49"/>
      <c r="E833" s="48"/>
      <c r="F833" s="47"/>
      <c r="K833" s="14"/>
      <c r="L833" s="14"/>
      <c r="M833" s="14"/>
    </row>
    <row r="834">
      <c r="A834" s="46"/>
      <c r="B834" s="47"/>
      <c r="C834" s="48"/>
      <c r="D834" s="49"/>
      <c r="E834" s="48"/>
      <c r="F834" s="47"/>
      <c r="K834" s="14"/>
      <c r="L834" s="14"/>
      <c r="M834" s="14"/>
    </row>
    <row r="835">
      <c r="A835" s="46"/>
      <c r="B835" s="47"/>
      <c r="C835" s="48"/>
      <c r="D835" s="49"/>
      <c r="E835" s="48"/>
      <c r="F835" s="47"/>
      <c r="K835" s="14"/>
      <c r="L835" s="14"/>
      <c r="M835" s="14"/>
    </row>
    <row r="836">
      <c r="A836" s="46"/>
      <c r="B836" s="47"/>
      <c r="C836" s="48"/>
      <c r="D836" s="49"/>
      <c r="E836" s="48"/>
      <c r="F836" s="47"/>
      <c r="K836" s="14"/>
      <c r="L836" s="14"/>
      <c r="M836" s="14"/>
    </row>
    <row r="837">
      <c r="A837" s="46"/>
      <c r="B837" s="47"/>
      <c r="C837" s="48"/>
      <c r="D837" s="49"/>
      <c r="E837" s="48"/>
      <c r="F837" s="47"/>
      <c r="K837" s="14"/>
      <c r="L837" s="14"/>
      <c r="M837" s="14"/>
    </row>
    <row r="838">
      <c r="A838" s="46"/>
      <c r="B838" s="47"/>
      <c r="C838" s="48"/>
      <c r="D838" s="49"/>
      <c r="E838" s="48"/>
      <c r="F838" s="47"/>
      <c r="K838" s="14"/>
      <c r="L838" s="14"/>
      <c r="M838" s="14"/>
    </row>
    <row r="839">
      <c r="A839" s="46"/>
      <c r="B839" s="47"/>
      <c r="C839" s="48"/>
      <c r="D839" s="49"/>
      <c r="E839" s="48"/>
      <c r="F839" s="47"/>
      <c r="K839" s="14"/>
      <c r="L839" s="14"/>
      <c r="M839" s="14"/>
    </row>
    <row r="840">
      <c r="A840" s="46"/>
      <c r="B840" s="47"/>
      <c r="C840" s="48"/>
      <c r="D840" s="49"/>
      <c r="E840" s="48"/>
      <c r="F840" s="47"/>
      <c r="K840" s="14"/>
      <c r="L840" s="14"/>
      <c r="M840" s="14"/>
    </row>
    <row r="841">
      <c r="A841" s="46"/>
      <c r="B841" s="47"/>
      <c r="C841" s="48"/>
      <c r="D841" s="49"/>
      <c r="E841" s="48"/>
      <c r="F841" s="47"/>
      <c r="K841" s="14"/>
      <c r="L841" s="14"/>
      <c r="M841" s="14"/>
    </row>
    <row r="842">
      <c r="A842" s="46"/>
      <c r="B842" s="47"/>
      <c r="C842" s="48"/>
      <c r="D842" s="49"/>
      <c r="E842" s="48"/>
      <c r="F842" s="47"/>
      <c r="K842" s="14"/>
      <c r="L842" s="14"/>
      <c r="M842" s="14"/>
    </row>
    <row r="843">
      <c r="A843" s="46"/>
      <c r="B843" s="47"/>
      <c r="C843" s="48"/>
      <c r="D843" s="49"/>
      <c r="E843" s="48"/>
      <c r="F843" s="47"/>
      <c r="K843" s="14"/>
      <c r="L843" s="14"/>
      <c r="M843" s="14"/>
    </row>
    <row r="844">
      <c r="A844" s="46"/>
      <c r="B844" s="47"/>
      <c r="C844" s="48"/>
      <c r="D844" s="49"/>
      <c r="E844" s="48"/>
      <c r="F844" s="47"/>
      <c r="K844" s="14"/>
      <c r="L844" s="14"/>
      <c r="M844" s="14"/>
    </row>
    <row r="845">
      <c r="A845" s="46"/>
      <c r="B845" s="47"/>
      <c r="C845" s="48"/>
      <c r="D845" s="49"/>
      <c r="E845" s="48"/>
      <c r="F845" s="47"/>
      <c r="K845" s="14"/>
      <c r="L845" s="14"/>
      <c r="M845" s="14"/>
    </row>
    <row r="846">
      <c r="A846" s="46"/>
      <c r="B846" s="47"/>
      <c r="C846" s="48"/>
      <c r="D846" s="49"/>
      <c r="E846" s="48"/>
      <c r="F846" s="47"/>
      <c r="K846" s="14"/>
      <c r="L846" s="14"/>
      <c r="M846" s="14"/>
    </row>
    <row r="847">
      <c r="A847" s="46"/>
      <c r="B847" s="47"/>
      <c r="C847" s="48"/>
      <c r="D847" s="49"/>
      <c r="E847" s="48"/>
      <c r="F847" s="47"/>
      <c r="K847" s="14"/>
      <c r="L847" s="14"/>
      <c r="M847" s="14"/>
    </row>
    <row r="848">
      <c r="A848" s="46"/>
      <c r="B848" s="47"/>
      <c r="C848" s="48"/>
      <c r="D848" s="49"/>
      <c r="E848" s="48"/>
      <c r="F848" s="47"/>
      <c r="K848" s="14"/>
      <c r="L848" s="14"/>
      <c r="M848" s="14"/>
    </row>
    <row r="849">
      <c r="A849" s="46"/>
      <c r="B849" s="47"/>
      <c r="C849" s="48"/>
      <c r="D849" s="49"/>
      <c r="E849" s="48"/>
      <c r="F849" s="47"/>
      <c r="K849" s="14"/>
      <c r="L849" s="14"/>
      <c r="M849" s="14"/>
    </row>
    <row r="850">
      <c r="A850" s="46"/>
      <c r="B850" s="47"/>
      <c r="C850" s="48"/>
      <c r="D850" s="49"/>
      <c r="E850" s="48"/>
      <c r="F850" s="47"/>
      <c r="K850" s="14"/>
      <c r="L850" s="14"/>
      <c r="M850" s="14"/>
    </row>
    <row r="851">
      <c r="A851" s="46"/>
      <c r="B851" s="47"/>
      <c r="C851" s="48"/>
      <c r="D851" s="49"/>
      <c r="E851" s="48"/>
      <c r="F851" s="47"/>
      <c r="K851" s="14"/>
      <c r="L851" s="14"/>
      <c r="M851" s="14"/>
    </row>
    <row r="852">
      <c r="A852" s="46"/>
      <c r="B852" s="47"/>
      <c r="C852" s="48"/>
      <c r="D852" s="49"/>
      <c r="E852" s="48"/>
      <c r="F852" s="47"/>
      <c r="K852" s="14"/>
      <c r="L852" s="14"/>
      <c r="M852" s="14"/>
    </row>
    <row r="853">
      <c r="A853" s="46"/>
      <c r="B853" s="47"/>
      <c r="C853" s="48"/>
      <c r="D853" s="49"/>
      <c r="E853" s="48"/>
      <c r="F853" s="47"/>
      <c r="K853" s="14"/>
      <c r="L853" s="14"/>
      <c r="M853" s="14"/>
    </row>
    <row r="854">
      <c r="A854" s="46"/>
      <c r="B854" s="47"/>
      <c r="C854" s="48"/>
      <c r="D854" s="49"/>
      <c r="E854" s="48"/>
      <c r="F854" s="47"/>
      <c r="K854" s="14"/>
      <c r="L854" s="14"/>
      <c r="M854" s="14"/>
    </row>
    <row r="855">
      <c r="A855" s="46"/>
      <c r="B855" s="47"/>
      <c r="C855" s="48"/>
      <c r="D855" s="49"/>
      <c r="E855" s="48"/>
      <c r="F855" s="47"/>
      <c r="K855" s="14"/>
      <c r="L855" s="14"/>
      <c r="M855" s="14"/>
    </row>
    <row r="856">
      <c r="A856" s="46"/>
      <c r="B856" s="47"/>
      <c r="C856" s="48"/>
      <c r="D856" s="49"/>
      <c r="E856" s="48"/>
      <c r="F856" s="47"/>
      <c r="K856" s="14"/>
      <c r="L856" s="14"/>
      <c r="M856" s="14"/>
    </row>
    <row r="857">
      <c r="A857" s="46"/>
      <c r="B857" s="47"/>
      <c r="C857" s="48"/>
      <c r="D857" s="49"/>
      <c r="E857" s="48"/>
      <c r="F857" s="47"/>
      <c r="K857" s="14"/>
      <c r="L857" s="14"/>
      <c r="M857" s="14"/>
    </row>
    <row r="858">
      <c r="A858" s="46"/>
      <c r="B858" s="47"/>
      <c r="C858" s="48"/>
      <c r="D858" s="49"/>
      <c r="E858" s="48"/>
      <c r="F858" s="47"/>
      <c r="K858" s="14"/>
      <c r="L858" s="14"/>
      <c r="M858" s="14"/>
    </row>
    <row r="859">
      <c r="A859" s="46"/>
      <c r="B859" s="47"/>
      <c r="C859" s="48"/>
      <c r="D859" s="49"/>
      <c r="E859" s="48"/>
      <c r="F859" s="47"/>
      <c r="K859" s="14"/>
      <c r="L859" s="14"/>
      <c r="M859" s="14"/>
    </row>
    <row r="860">
      <c r="A860" s="46"/>
      <c r="B860" s="47"/>
      <c r="C860" s="48"/>
      <c r="D860" s="49"/>
      <c r="E860" s="48"/>
      <c r="F860" s="47"/>
      <c r="K860" s="14"/>
      <c r="L860" s="14"/>
      <c r="M860" s="14"/>
    </row>
    <row r="861">
      <c r="A861" s="46"/>
      <c r="B861" s="47"/>
      <c r="C861" s="48"/>
      <c r="D861" s="49"/>
      <c r="E861" s="48"/>
      <c r="F861" s="47"/>
      <c r="K861" s="14"/>
      <c r="L861" s="14"/>
      <c r="M861" s="14"/>
    </row>
    <row r="862">
      <c r="A862" s="46"/>
      <c r="B862" s="47"/>
      <c r="C862" s="48"/>
      <c r="D862" s="49"/>
      <c r="E862" s="48"/>
      <c r="F862" s="47"/>
      <c r="K862" s="14"/>
      <c r="L862" s="14"/>
      <c r="M862" s="14"/>
    </row>
    <row r="863">
      <c r="A863" s="46"/>
      <c r="B863" s="47"/>
      <c r="C863" s="48"/>
      <c r="D863" s="49"/>
      <c r="E863" s="48"/>
      <c r="F863" s="47"/>
      <c r="K863" s="14"/>
      <c r="L863" s="14"/>
      <c r="M863" s="14"/>
    </row>
    <row r="864">
      <c r="A864" s="46"/>
      <c r="B864" s="47"/>
      <c r="C864" s="48"/>
      <c r="D864" s="49"/>
      <c r="E864" s="48"/>
      <c r="F864" s="47"/>
      <c r="K864" s="14"/>
      <c r="L864" s="14"/>
      <c r="M864" s="14"/>
    </row>
    <row r="865">
      <c r="A865" s="46"/>
      <c r="B865" s="47"/>
      <c r="C865" s="48"/>
      <c r="D865" s="49"/>
      <c r="E865" s="48"/>
      <c r="F865" s="47"/>
      <c r="K865" s="14"/>
      <c r="L865" s="14"/>
      <c r="M865" s="14"/>
    </row>
    <row r="866">
      <c r="A866" s="46"/>
      <c r="B866" s="47"/>
      <c r="C866" s="48"/>
      <c r="D866" s="49"/>
      <c r="E866" s="48"/>
      <c r="F866" s="47"/>
      <c r="K866" s="14"/>
      <c r="L866" s="14"/>
      <c r="M866" s="14"/>
    </row>
    <row r="867">
      <c r="A867" s="46"/>
      <c r="B867" s="47"/>
      <c r="C867" s="48"/>
      <c r="D867" s="49"/>
      <c r="E867" s="48"/>
      <c r="F867" s="47"/>
      <c r="K867" s="14"/>
      <c r="L867" s="14"/>
      <c r="M867" s="14"/>
    </row>
    <row r="868">
      <c r="A868" s="46"/>
      <c r="B868" s="47"/>
      <c r="C868" s="48"/>
      <c r="D868" s="49"/>
      <c r="E868" s="48"/>
      <c r="F868" s="47"/>
      <c r="K868" s="14"/>
      <c r="L868" s="14"/>
      <c r="M868" s="14"/>
    </row>
    <row r="869">
      <c r="A869" s="46"/>
      <c r="B869" s="47"/>
      <c r="C869" s="48"/>
      <c r="D869" s="49"/>
      <c r="E869" s="48"/>
      <c r="F869" s="47"/>
      <c r="K869" s="14"/>
      <c r="L869" s="14"/>
      <c r="M869" s="14"/>
    </row>
    <row r="870">
      <c r="A870" s="46"/>
      <c r="B870" s="47"/>
      <c r="C870" s="48"/>
      <c r="D870" s="49"/>
      <c r="E870" s="48"/>
      <c r="F870" s="47"/>
      <c r="K870" s="14"/>
      <c r="L870" s="14"/>
      <c r="M870" s="14"/>
    </row>
    <row r="871">
      <c r="A871" s="46"/>
      <c r="B871" s="47"/>
      <c r="C871" s="48"/>
      <c r="D871" s="49"/>
      <c r="E871" s="48"/>
      <c r="F871" s="47"/>
      <c r="K871" s="14"/>
      <c r="L871" s="14"/>
      <c r="M871" s="14"/>
    </row>
    <row r="872">
      <c r="A872" s="46"/>
      <c r="B872" s="47"/>
      <c r="C872" s="48"/>
      <c r="D872" s="49"/>
      <c r="E872" s="48"/>
      <c r="F872" s="47"/>
      <c r="K872" s="14"/>
      <c r="L872" s="14"/>
      <c r="M872" s="14"/>
    </row>
    <row r="873">
      <c r="A873" s="46"/>
      <c r="B873" s="47"/>
      <c r="C873" s="48"/>
      <c r="D873" s="49"/>
      <c r="E873" s="48"/>
      <c r="F873" s="47"/>
      <c r="K873" s="14"/>
      <c r="L873" s="14"/>
      <c r="M873" s="14"/>
    </row>
    <row r="874">
      <c r="A874" s="46"/>
      <c r="B874" s="47"/>
      <c r="C874" s="48"/>
      <c r="D874" s="49"/>
      <c r="E874" s="48"/>
      <c r="F874" s="47"/>
      <c r="K874" s="14"/>
      <c r="L874" s="14"/>
      <c r="M874" s="14"/>
    </row>
    <row r="875">
      <c r="A875" s="46"/>
      <c r="B875" s="47"/>
      <c r="C875" s="48"/>
      <c r="D875" s="49"/>
      <c r="E875" s="48"/>
      <c r="F875" s="47"/>
      <c r="K875" s="14"/>
      <c r="L875" s="14"/>
      <c r="M875" s="14"/>
    </row>
    <row r="876">
      <c r="A876" s="46"/>
      <c r="B876" s="47"/>
      <c r="C876" s="48"/>
      <c r="D876" s="49"/>
      <c r="E876" s="48"/>
      <c r="F876" s="47"/>
      <c r="K876" s="14"/>
      <c r="L876" s="14"/>
      <c r="M876" s="14"/>
    </row>
    <row r="877">
      <c r="A877" s="46"/>
      <c r="B877" s="47"/>
      <c r="C877" s="48"/>
      <c r="D877" s="49"/>
      <c r="E877" s="48"/>
      <c r="F877" s="47"/>
      <c r="K877" s="14"/>
      <c r="L877" s="14"/>
      <c r="M877" s="14"/>
    </row>
    <row r="878">
      <c r="A878" s="46"/>
      <c r="B878" s="47"/>
      <c r="C878" s="48"/>
      <c r="D878" s="49"/>
      <c r="E878" s="48"/>
      <c r="F878" s="47"/>
      <c r="K878" s="14"/>
      <c r="L878" s="14"/>
      <c r="M878" s="14"/>
    </row>
    <row r="879">
      <c r="A879" s="46"/>
      <c r="B879" s="47"/>
      <c r="C879" s="48"/>
      <c r="D879" s="49"/>
      <c r="E879" s="48"/>
      <c r="F879" s="47"/>
      <c r="K879" s="14"/>
      <c r="L879" s="14"/>
      <c r="M879" s="14"/>
    </row>
    <row r="880">
      <c r="A880" s="46"/>
      <c r="B880" s="47"/>
      <c r="C880" s="48"/>
      <c r="D880" s="49"/>
      <c r="E880" s="48"/>
      <c r="F880" s="47"/>
      <c r="K880" s="14"/>
      <c r="L880" s="14"/>
      <c r="M880" s="14"/>
    </row>
    <row r="881">
      <c r="A881" s="46"/>
      <c r="B881" s="47"/>
      <c r="C881" s="48"/>
      <c r="D881" s="49"/>
      <c r="E881" s="48"/>
      <c r="F881" s="47"/>
      <c r="K881" s="14"/>
      <c r="L881" s="14"/>
      <c r="M881" s="14"/>
    </row>
    <row r="882">
      <c r="A882" s="46"/>
      <c r="B882" s="47"/>
      <c r="C882" s="48"/>
      <c r="D882" s="49"/>
      <c r="E882" s="48"/>
      <c r="F882" s="47"/>
      <c r="K882" s="14"/>
      <c r="L882" s="14"/>
      <c r="M882" s="14"/>
    </row>
    <row r="883">
      <c r="A883" s="46"/>
      <c r="B883" s="47"/>
      <c r="C883" s="48"/>
      <c r="D883" s="49"/>
      <c r="E883" s="48"/>
      <c r="F883" s="47"/>
      <c r="K883" s="14"/>
      <c r="L883" s="14"/>
      <c r="M883" s="14"/>
    </row>
    <row r="884">
      <c r="A884" s="46"/>
      <c r="B884" s="47"/>
      <c r="C884" s="48"/>
      <c r="D884" s="49"/>
      <c r="E884" s="48"/>
      <c r="F884" s="47"/>
      <c r="K884" s="14"/>
      <c r="L884" s="14"/>
      <c r="M884" s="14"/>
    </row>
    <row r="885">
      <c r="A885" s="46"/>
      <c r="B885" s="47"/>
      <c r="C885" s="48"/>
      <c r="D885" s="49"/>
      <c r="E885" s="48"/>
      <c r="F885" s="47"/>
      <c r="K885" s="14"/>
      <c r="L885" s="14"/>
      <c r="M885" s="14"/>
    </row>
    <row r="886">
      <c r="A886" s="46"/>
      <c r="B886" s="47"/>
      <c r="C886" s="48"/>
      <c r="D886" s="49"/>
      <c r="E886" s="48"/>
      <c r="F886" s="47"/>
      <c r="K886" s="14"/>
      <c r="L886" s="14"/>
      <c r="M886" s="14"/>
    </row>
    <row r="887">
      <c r="A887" s="46"/>
      <c r="B887" s="47"/>
      <c r="C887" s="48"/>
      <c r="D887" s="49"/>
      <c r="E887" s="48"/>
      <c r="F887" s="47"/>
      <c r="K887" s="14"/>
      <c r="L887" s="14"/>
      <c r="M887" s="14"/>
    </row>
    <row r="888">
      <c r="A888" s="46"/>
      <c r="B888" s="47"/>
      <c r="C888" s="48"/>
      <c r="D888" s="49"/>
      <c r="E888" s="48"/>
      <c r="F888" s="47"/>
      <c r="K888" s="14"/>
      <c r="L888" s="14"/>
      <c r="M888" s="14"/>
    </row>
    <row r="889">
      <c r="A889" s="46"/>
      <c r="B889" s="47"/>
      <c r="C889" s="48"/>
      <c r="D889" s="49"/>
      <c r="E889" s="48"/>
      <c r="F889" s="47"/>
      <c r="K889" s="14"/>
      <c r="L889" s="14"/>
      <c r="M889" s="14"/>
    </row>
    <row r="890">
      <c r="A890" s="46"/>
      <c r="B890" s="47"/>
      <c r="C890" s="48"/>
      <c r="D890" s="49"/>
      <c r="E890" s="48"/>
      <c r="F890" s="47"/>
      <c r="K890" s="14"/>
      <c r="L890" s="14"/>
      <c r="M890" s="14"/>
    </row>
    <row r="891">
      <c r="A891" s="46"/>
      <c r="B891" s="47"/>
      <c r="C891" s="48"/>
      <c r="D891" s="49"/>
      <c r="E891" s="48"/>
      <c r="F891" s="47"/>
      <c r="K891" s="14"/>
      <c r="L891" s="14"/>
      <c r="M891" s="14"/>
    </row>
    <row r="892">
      <c r="A892" s="46"/>
      <c r="B892" s="47"/>
      <c r="C892" s="48"/>
      <c r="D892" s="49"/>
      <c r="E892" s="48"/>
      <c r="F892" s="47"/>
      <c r="K892" s="14"/>
      <c r="L892" s="14"/>
      <c r="M892" s="14"/>
    </row>
    <row r="893">
      <c r="A893" s="46"/>
      <c r="B893" s="47"/>
      <c r="C893" s="48"/>
      <c r="D893" s="49"/>
      <c r="E893" s="48"/>
      <c r="F893" s="47"/>
      <c r="K893" s="14"/>
      <c r="L893" s="14"/>
      <c r="M893" s="14"/>
    </row>
    <row r="894">
      <c r="A894" s="46"/>
      <c r="B894" s="47"/>
      <c r="C894" s="48"/>
      <c r="D894" s="49"/>
      <c r="E894" s="48"/>
      <c r="F894" s="47"/>
      <c r="K894" s="14"/>
      <c r="L894" s="14"/>
      <c r="M894" s="14"/>
    </row>
    <row r="895">
      <c r="A895" s="46"/>
      <c r="B895" s="47"/>
      <c r="C895" s="48"/>
      <c r="D895" s="49"/>
      <c r="E895" s="48"/>
      <c r="F895" s="47"/>
      <c r="K895" s="14"/>
      <c r="L895" s="14"/>
      <c r="M895" s="14"/>
    </row>
    <row r="896">
      <c r="A896" s="46"/>
      <c r="B896" s="47"/>
      <c r="C896" s="48"/>
      <c r="D896" s="49"/>
      <c r="E896" s="48"/>
      <c r="F896" s="47"/>
      <c r="K896" s="14"/>
      <c r="L896" s="14"/>
      <c r="M896" s="14"/>
    </row>
    <row r="897">
      <c r="A897" s="46"/>
      <c r="B897" s="47"/>
      <c r="C897" s="48"/>
      <c r="D897" s="49"/>
      <c r="E897" s="48"/>
      <c r="F897" s="47"/>
      <c r="K897" s="14"/>
      <c r="L897" s="14"/>
      <c r="M897" s="14"/>
    </row>
    <row r="898">
      <c r="A898" s="46"/>
      <c r="B898" s="47"/>
      <c r="C898" s="48"/>
      <c r="D898" s="49"/>
      <c r="E898" s="48"/>
      <c r="F898" s="47"/>
      <c r="K898" s="14"/>
      <c r="L898" s="14"/>
      <c r="M898" s="14"/>
    </row>
    <row r="899">
      <c r="A899" s="46"/>
      <c r="B899" s="47"/>
      <c r="C899" s="48"/>
      <c r="D899" s="49"/>
      <c r="E899" s="48"/>
      <c r="F899" s="47"/>
      <c r="K899" s="14"/>
      <c r="L899" s="14"/>
      <c r="M899" s="14"/>
    </row>
    <row r="900">
      <c r="A900" s="46"/>
      <c r="B900" s="47"/>
      <c r="C900" s="48"/>
      <c r="D900" s="49"/>
      <c r="E900" s="48"/>
      <c r="F900" s="47"/>
      <c r="K900" s="14"/>
      <c r="L900" s="14"/>
      <c r="M900" s="14"/>
    </row>
    <row r="901">
      <c r="A901" s="46"/>
      <c r="B901" s="47"/>
      <c r="C901" s="48"/>
      <c r="D901" s="49"/>
      <c r="E901" s="48"/>
      <c r="F901" s="47"/>
      <c r="K901" s="14"/>
      <c r="L901" s="14"/>
      <c r="M901" s="14"/>
    </row>
    <row r="902">
      <c r="A902" s="46"/>
      <c r="B902" s="47"/>
      <c r="C902" s="48"/>
      <c r="D902" s="49"/>
      <c r="E902" s="48"/>
      <c r="F902" s="47"/>
      <c r="K902" s="14"/>
      <c r="L902" s="14"/>
      <c r="M902" s="14"/>
    </row>
    <row r="903">
      <c r="A903" s="46"/>
      <c r="B903" s="47"/>
      <c r="C903" s="48"/>
      <c r="D903" s="49"/>
      <c r="E903" s="48"/>
      <c r="F903" s="47"/>
      <c r="K903" s="14"/>
      <c r="L903" s="14"/>
      <c r="M903" s="14"/>
    </row>
    <row r="904">
      <c r="A904" s="46"/>
      <c r="B904" s="47"/>
      <c r="C904" s="48"/>
      <c r="D904" s="49"/>
      <c r="E904" s="48"/>
      <c r="F904" s="47"/>
      <c r="K904" s="14"/>
      <c r="L904" s="14"/>
      <c r="M904" s="14"/>
    </row>
    <row r="905">
      <c r="A905" s="46"/>
      <c r="B905" s="47"/>
      <c r="C905" s="48"/>
      <c r="D905" s="49"/>
      <c r="E905" s="48"/>
      <c r="F905" s="47"/>
      <c r="K905" s="14"/>
      <c r="L905" s="14"/>
      <c r="M905" s="14"/>
    </row>
    <row r="906">
      <c r="A906" s="46"/>
      <c r="B906" s="47"/>
      <c r="C906" s="48"/>
      <c r="D906" s="49"/>
      <c r="E906" s="48"/>
      <c r="F906" s="47"/>
      <c r="K906" s="14"/>
      <c r="L906" s="14"/>
      <c r="M906" s="14"/>
    </row>
    <row r="907">
      <c r="A907" s="46"/>
      <c r="B907" s="47"/>
      <c r="C907" s="48"/>
      <c r="D907" s="49"/>
      <c r="E907" s="48"/>
      <c r="F907" s="47"/>
      <c r="K907" s="14"/>
      <c r="L907" s="14"/>
      <c r="M907" s="14"/>
    </row>
    <row r="908">
      <c r="A908" s="46"/>
      <c r="B908" s="47"/>
      <c r="C908" s="48"/>
      <c r="D908" s="49"/>
      <c r="E908" s="48"/>
      <c r="F908" s="47"/>
      <c r="K908" s="14"/>
      <c r="L908" s="14"/>
      <c r="M908" s="14"/>
    </row>
    <row r="909">
      <c r="A909" s="46"/>
      <c r="B909" s="47"/>
      <c r="C909" s="48"/>
      <c r="D909" s="49"/>
      <c r="E909" s="48"/>
      <c r="F909" s="47"/>
      <c r="K909" s="14"/>
      <c r="L909" s="14"/>
      <c r="M909" s="14"/>
    </row>
    <row r="910">
      <c r="A910" s="46"/>
      <c r="B910" s="47"/>
      <c r="C910" s="48"/>
      <c r="D910" s="49"/>
      <c r="E910" s="48"/>
      <c r="F910" s="47"/>
      <c r="K910" s="14"/>
      <c r="L910" s="14"/>
      <c r="M910" s="14"/>
    </row>
    <row r="911">
      <c r="A911" s="46"/>
      <c r="B911" s="47"/>
      <c r="C911" s="48"/>
      <c r="D911" s="49"/>
      <c r="E911" s="48"/>
      <c r="F911" s="47"/>
      <c r="K911" s="14"/>
      <c r="L911" s="14"/>
      <c r="M911" s="14"/>
    </row>
    <row r="912">
      <c r="A912" s="46"/>
      <c r="B912" s="47"/>
      <c r="C912" s="48"/>
      <c r="D912" s="49"/>
      <c r="E912" s="48"/>
      <c r="F912" s="47"/>
      <c r="K912" s="14"/>
      <c r="L912" s="14"/>
      <c r="M912" s="14"/>
    </row>
    <row r="913">
      <c r="A913" s="46"/>
      <c r="B913" s="47"/>
      <c r="C913" s="48"/>
      <c r="D913" s="49"/>
      <c r="E913" s="48"/>
      <c r="F913" s="47"/>
      <c r="K913" s="14"/>
      <c r="L913" s="14"/>
      <c r="M913" s="14"/>
    </row>
    <row r="914">
      <c r="A914" s="46"/>
      <c r="B914" s="47"/>
      <c r="C914" s="48"/>
      <c r="D914" s="49"/>
      <c r="E914" s="48"/>
      <c r="F914" s="47"/>
      <c r="K914" s="14"/>
      <c r="L914" s="14"/>
      <c r="M914" s="14"/>
    </row>
    <row r="915">
      <c r="A915" s="46"/>
      <c r="B915" s="47"/>
      <c r="C915" s="48"/>
      <c r="D915" s="49"/>
      <c r="E915" s="48"/>
      <c r="F915" s="47"/>
      <c r="K915" s="14"/>
      <c r="L915" s="14"/>
      <c r="M915" s="14"/>
    </row>
    <row r="916">
      <c r="A916" s="46"/>
      <c r="B916" s="47"/>
      <c r="C916" s="48"/>
      <c r="D916" s="49"/>
      <c r="E916" s="48"/>
      <c r="F916" s="47"/>
      <c r="K916" s="14"/>
      <c r="L916" s="14"/>
      <c r="M916" s="14"/>
    </row>
    <row r="917">
      <c r="A917" s="46"/>
      <c r="B917" s="47"/>
      <c r="C917" s="48"/>
      <c r="D917" s="49"/>
      <c r="E917" s="48"/>
      <c r="F917" s="47"/>
      <c r="K917" s="14"/>
      <c r="L917" s="14"/>
      <c r="M917" s="14"/>
    </row>
    <row r="918">
      <c r="A918" s="46"/>
      <c r="B918" s="47"/>
      <c r="C918" s="48"/>
      <c r="D918" s="49"/>
      <c r="E918" s="48"/>
      <c r="F918" s="47"/>
      <c r="K918" s="14"/>
      <c r="L918" s="14"/>
      <c r="M918" s="14"/>
    </row>
    <row r="919">
      <c r="A919" s="46"/>
      <c r="B919" s="47"/>
      <c r="C919" s="48"/>
      <c r="D919" s="49"/>
      <c r="E919" s="48"/>
      <c r="F919" s="47"/>
      <c r="K919" s="14"/>
      <c r="L919" s="14"/>
      <c r="M919" s="14"/>
    </row>
    <row r="920">
      <c r="A920" s="46"/>
      <c r="B920" s="47"/>
      <c r="C920" s="48"/>
      <c r="D920" s="49"/>
      <c r="E920" s="48"/>
      <c r="F920" s="47"/>
      <c r="K920" s="14"/>
      <c r="L920" s="14"/>
      <c r="M920" s="14"/>
    </row>
    <row r="921">
      <c r="A921" s="46"/>
      <c r="B921" s="47"/>
      <c r="C921" s="48"/>
      <c r="D921" s="49"/>
      <c r="E921" s="48"/>
      <c r="F921" s="47"/>
      <c r="K921" s="14"/>
      <c r="L921" s="14"/>
      <c r="M921" s="14"/>
    </row>
    <row r="922">
      <c r="A922" s="46"/>
      <c r="B922" s="47"/>
      <c r="C922" s="48"/>
      <c r="D922" s="49"/>
      <c r="E922" s="48"/>
      <c r="F922" s="47"/>
      <c r="K922" s="14"/>
      <c r="L922" s="14"/>
      <c r="M922" s="14"/>
    </row>
    <row r="923">
      <c r="A923" s="46"/>
      <c r="B923" s="47"/>
      <c r="C923" s="48"/>
      <c r="D923" s="49"/>
      <c r="E923" s="48"/>
      <c r="F923" s="47"/>
      <c r="K923" s="14"/>
      <c r="L923" s="14"/>
      <c r="M923" s="14"/>
    </row>
    <row r="924">
      <c r="A924" s="46"/>
      <c r="B924" s="47"/>
      <c r="C924" s="48"/>
      <c r="D924" s="49"/>
      <c r="E924" s="48"/>
      <c r="F924" s="47"/>
      <c r="K924" s="14"/>
      <c r="L924" s="14"/>
      <c r="M924" s="14"/>
    </row>
    <row r="925">
      <c r="A925" s="46"/>
      <c r="B925" s="47"/>
      <c r="C925" s="48"/>
      <c r="D925" s="49"/>
      <c r="E925" s="48"/>
      <c r="F925" s="47"/>
      <c r="K925" s="14"/>
      <c r="L925" s="14"/>
      <c r="M925" s="14"/>
    </row>
    <row r="926">
      <c r="A926" s="46"/>
      <c r="B926" s="47"/>
      <c r="C926" s="48"/>
      <c r="D926" s="49"/>
      <c r="E926" s="48"/>
      <c r="F926" s="47"/>
      <c r="K926" s="14"/>
      <c r="L926" s="14"/>
      <c r="M926" s="14"/>
    </row>
    <row r="927">
      <c r="A927" s="46"/>
      <c r="B927" s="47"/>
      <c r="C927" s="48"/>
      <c r="D927" s="49"/>
      <c r="E927" s="48"/>
      <c r="F927" s="47"/>
      <c r="K927" s="14"/>
      <c r="L927" s="14"/>
      <c r="M927" s="14"/>
    </row>
    <row r="928">
      <c r="A928" s="46"/>
      <c r="B928" s="47"/>
      <c r="C928" s="48"/>
      <c r="D928" s="49"/>
      <c r="E928" s="48"/>
      <c r="F928" s="47"/>
      <c r="K928" s="14"/>
      <c r="L928" s="14"/>
      <c r="M928" s="14"/>
    </row>
    <row r="929">
      <c r="A929" s="46"/>
      <c r="B929" s="47"/>
      <c r="C929" s="48"/>
      <c r="D929" s="49"/>
      <c r="E929" s="48"/>
      <c r="F929" s="47"/>
      <c r="K929" s="14"/>
      <c r="L929" s="14"/>
      <c r="M929" s="14"/>
    </row>
    <row r="930">
      <c r="A930" s="46"/>
      <c r="B930" s="47"/>
      <c r="C930" s="48"/>
      <c r="D930" s="49"/>
      <c r="E930" s="48"/>
      <c r="F930" s="47"/>
      <c r="K930" s="14"/>
      <c r="L930" s="14"/>
      <c r="M930" s="14"/>
    </row>
    <row r="931">
      <c r="A931" s="46"/>
      <c r="B931" s="47"/>
      <c r="C931" s="48"/>
      <c r="D931" s="49"/>
      <c r="E931" s="48"/>
      <c r="F931" s="47"/>
      <c r="K931" s="14"/>
      <c r="L931" s="14"/>
      <c r="M931" s="14"/>
    </row>
    <row r="932">
      <c r="A932" s="46"/>
      <c r="B932" s="47"/>
      <c r="C932" s="48"/>
      <c r="D932" s="49"/>
      <c r="E932" s="48"/>
      <c r="F932" s="47"/>
      <c r="K932" s="14"/>
      <c r="L932" s="14"/>
      <c r="M932" s="14"/>
    </row>
    <row r="933">
      <c r="A933" s="46"/>
      <c r="B933" s="47"/>
      <c r="C933" s="48"/>
      <c r="D933" s="49"/>
      <c r="E933" s="48"/>
      <c r="F933" s="47"/>
      <c r="K933" s="14"/>
      <c r="L933" s="14"/>
      <c r="M933" s="14"/>
    </row>
    <row r="934">
      <c r="A934" s="46"/>
      <c r="B934" s="47"/>
      <c r="C934" s="48"/>
      <c r="D934" s="49"/>
      <c r="E934" s="48"/>
      <c r="F934" s="47"/>
      <c r="K934" s="14"/>
      <c r="L934" s="14"/>
      <c r="M934" s="14"/>
    </row>
    <row r="935">
      <c r="A935" s="46"/>
      <c r="B935" s="47"/>
      <c r="C935" s="48"/>
      <c r="D935" s="49"/>
      <c r="E935" s="48"/>
      <c r="F935" s="47"/>
      <c r="K935" s="14"/>
      <c r="L935" s="14"/>
      <c r="M935" s="14"/>
    </row>
    <row r="936">
      <c r="A936" s="46"/>
      <c r="B936" s="47"/>
      <c r="C936" s="48"/>
      <c r="D936" s="49"/>
      <c r="E936" s="48"/>
      <c r="F936" s="47"/>
      <c r="K936" s="14"/>
      <c r="L936" s="14"/>
      <c r="M936" s="14"/>
    </row>
    <row r="937">
      <c r="A937" s="46"/>
      <c r="B937" s="47"/>
      <c r="C937" s="48"/>
      <c r="D937" s="49"/>
      <c r="E937" s="48"/>
      <c r="F937" s="47"/>
      <c r="K937" s="14"/>
      <c r="L937" s="14"/>
      <c r="M937" s="14"/>
    </row>
    <row r="938">
      <c r="A938" s="46"/>
      <c r="B938" s="47"/>
      <c r="C938" s="48"/>
      <c r="D938" s="49"/>
      <c r="E938" s="48"/>
      <c r="F938" s="47"/>
      <c r="K938" s="14"/>
      <c r="L938" s="14"/>
      <c r="M938" s="14"/>
    </row>
    <row r="939">
      <c r="A939" s="46"/>
      <c r="B939" s="47"/>
      <c r="C939" s="48"/>
      <c r="D939" s="49"/>
      <c r="E939" s="48"/>
      <c r="F939" s="47"/>
      <c r="K939" s="14"/>
      <c r="L939" s="14"/>
      <c r="M939" s="14"/>
    </row>
    <row r="940">
      <c r="A940" s="46"/>
      <c r="B940" s="47"/>
      <c r="C940" s="48"/>
      <c r="D940" s="49"/>
      <c r="E940" s="48"/>
      <c r="F940" s="47"/>
      <c r="K940" s="14"/>
      <c r="L940" s="14"/>
      <c r="M940" s="14"/>
    </row>
    <row r="941">
      <c r="A941" s="46"/>
      <c r="B941" s="47"/>
      <c r="C941" s="48"/>
      <c r="D941" s="49"/>
      <c r="E941" s="48"/>
      <c r="F941" s="47"/>
      <c r="K941" s="14"/>
      <c r="L941" s="14"/>
      <c r="M941" s="14"/>
    </row>
    <row r="942">
      <c r="A942" s="46"/>
      <c r="B942" s="47"/>
      <c r="C942" s="48"/>
      <c r="D942" s="49"/>
      <c r="E942" s="48"/>
      <c r="F942" s="47"/>
      <c r="K942" s="14"/>
      <c r="L942" s="14"/>
      <c r="M942" s="14"/>
    </row>
    <row r="943">
      <c r="A943" s="46"/>
      <c r="B943" s="47"/>
      <c r="C943" s="48"/>
      <c r="D943" s="49"/>
      <c r="E943" s="48"/>
      <c r="F943" s="47"/>
      <c r="K943" s="14"/>
      <c r="L943" s="14"/>
      <c r="M943" s="14"/>
    </row>
    <row r="944">
      <c r="A944" s="46"/>
      <c r="B944" s="47"/>
      <c r="C944" s="48"/>
      <c r="D944" s="49"/>
      <c r="E944" s="48"/>
      <c r="F944" s="47"/>
      <c r="K944" s="14"/>
      <c r="L944" s="14"/>
      <c r="M944" s="14"/>
    </row>
    <row r="945">
      <c r="A945" s="46"/>
      <c r="B945" s="47"/>
      <c r="C945" s="48"/>
      <c r="D945" s="49"/>
      <c r="E945" s="48"/>
      <c r="F945" s="47"/>
      <c r="K945" s="14"/>
      <c r="L945" s="14"/>
      <c r="M945" s="14"/>
    </row>
    <row r="946">
      <c r="A946" s="46"/>
      <c r="B946" s="47"/>
      <c r="C946" s="48"/>
      <c r="D946" s="49"/>
      <c r="E946" s="48"/>
      <c r="F946" s="47"/>
      <c r="K946" s="14"/>
      <c r="L946" s="14"/>
      <c r="M946" s="14"/>
    </row>
    <row r="947">
      <c r="A947" s="46"/>
      <c r="B947" s="47"/>
      <c r="C947" s="48"/>
      <c r="D947" s="49"/>
      <c r="E947" s="48"/>
      <c r="F947" s="47"/>
      <c r="K947" s="14"/>
      <c r="L947" s="14"/>
      <c r="M947" s="14"/>
    </row>
    <row r="948">
      <c r="A948" s="46"/>
      <c r="B948" s="47"/>
      <c r="C948" s="48"/>
      <c r="D948" s="49"/>
      <c r="E948" s="48"/>
      <c r="F948" s="47"/>
      <c r="K948" s="14"/>
      <c r="L948" s="14"/>
      <c r="M948" s="14"/>
    </row>
    <row r="949">
      <c r="A949" s="46"/>
      <c r="B949" s="47"/>
      <c r="C949" s="48"/>
      <c r="D949" s="49"/>
      <c r="E949" s="48"/>
      <c r="F949" s="47"/>
      <c r="K949" s="14"/>
      <c r="L949" s="14"/>
      <c r="M949" s="14"/>
    </row>
    <row r="950">
      <c r="A950" s="46"/>
      <c r="B950" s="47"/>
      <c r="C950" s="48"/>
      <c r="D950" s="49"/>
      <c r="E950" s="48"/>
      <c r="F950" s="47"/>
      <c r="K950" s="14"/>
      <c r="L950" s="14"/>
      <c r="M950" s="14"/>
    </row>
    <row r="951">
      <c r="A951" s="46"/>
      <c r="B951" s="47"/>
      <c r="C951" s="48"/>
      <c r="D951" s="49"/>
      <c r="E951" s="48"/>
      <c r="F951" s="47"/>
      <c r="K951" s="14"/>
      <c r="L951" s="14"/>
      <c r="M951" s="14"/>
    </row>
    <row r="952">
      <c r="A952" s="46"/>
      <c r="B952" s="47"/>
      <c r="C952" s="48"/>
      <c r="D952" s="49"/>
      <c r="E952" s="48"/>
      <c r="F952" s="47"/>
      <c r="K952" s="14"/>
      <c r="L952" s="14"/>
      <c r="M952" s="14"/>
    </row>
    <row r="953">
      <c r="A953" s="46"/>
      <c r="B953" s="47"/>
      <c r="C953" s="48"/>
      <c r="D953" s="49"/>
      <c r="E953" s="48"/>
      <c r="F953" s="47"/>
      <c r="K953" s="14"/>
      <c r="L953" s="14"/>
      <c r="M953" s="14"/>
    </row>
    <row r="954">
      <c r="A954" s="46"/>
      <c r="B954" s="47"/>
      <c r="C954" s="48"/>
      <c r="D954" s="49"/>
      <c r="E954" s="48"/>
      <c r="F954" s="47"/>
      <c r="K954" s="14"/>
      <c r="L954" s="14"/>
      <c r="M954" s="14"/>
    </row>
    <row r="955">
      <c r="A955" s="46"/>
      <c r="B955" s="47"/>
      <c r="C955" s="48"/>
      <c r="D955" s="49"/>
      <c r="E955" s="48"/>
      <c r="F955" s="47"/>
      <c r="K955" s="14"/>
      <c r="L955" s="14"/>
      <c r="M955" s="14"/>
    </row>
    <row r="956">
      <c r="A956" s="46"/>
      <c r="B956" s="47"/>
      <c r="C956" s="48"/>
      <c r="D956" s="49"/>
      <c r="E956" s="48"/>
      <c r="F956" s="47"/>
      <c r="K956" s="14"/>
      <c r="L956" s="14"/>
      <c r="M956" s="14"/>
    </row>
    <row r="957">
      <c r="A957" s="46"/>
      <c r="B957" s="47"/>
      <c r="C957" s="48"/>
      <c r="D957" s="49"/>
      <c r="E957" s="48"/>
      <c r="F957" s="47"/>
      <c r="K957" s="14"/>
      <c r="L957" s="14"/>
      <c r="M957" s="14"/>
    </row>
    <row r="958">
      <c r="A958" s="46"/>
      <c r="B958" s="47"/>
      <c r="C958" s="48"/>
      <c r="D958" s="49"/>
      <c r="E958" s="48"/>
      <c r="F958" s="47"/>
      <c r="K958" s="14"/>
      <c r="L958" s="14"/>
      <c r="M958" s="14"/>
    </row>
    <row r="959">
      <c r="A959" s="46"/>
      <c r="B959" s="47"/>
      <c r="C959" s="48"/>
      <c r="D959" s="49"/>
      <c r="E959" s="48"/>
      <c r="F959" s="47"/>
      <c r="K959" s="14"/>
      <c r="L959" s="14"/>
      <c r="M959" s="14"/>
    </row>
    <row r="960">
      <c r="A960" s="46"/>
      <c r="B960" s="47"/>
      <c r="C960" s="48"/>
      <c r="D960" s="49"/>
      <c r="E960" s="48"/>
      <c r="F960" s="47"/>
      <c r="K960" s="14"/>
      <c r="L960" s="14"/>
      <c r="M960" s="14"/>
    </row>
    <row r="961">
      <c r="A961" s="46"/>
      <c r="B961" s="47"/>
      <c r="C961" s="48"/>
      <c r="D961" s="49"/>
      <c r="E961" s="48"/>
      <c r="F961" s="47"/>
      <c r="K961" s="14"/>
      <c r="L961" s="14"/>
      <c r="M961" s="14"/>
    </row>
    <row r="962">
      <c r="A962" s="46"/>
      <c r="B962" s="47"/>
      <c r="C962" s="48"/>
      <c r="D962" s="49"/>
      <c r="E962" s="48"/>
      <c r="F962" s="47"/>
      <c r="K962" s="14"/>
      <c r="L962" s="14"/>
      <c r="M962" s="14"/>
    </row>
    <row r="963">
      <c r="A963" s="46"/>
      <c r="B963" s="47"/>
      <c r="C963" s="48"/>
      <c r="D963" s="49"/>
      <c r="E963" s="48"/>
      <c r="F963" s="47"/>
      <c r="K963" s="14"/>
      <c r="L963" s="14"/>
      <c r="M963" s="14"/>
    </row>
    <row r="964">
      <c r="A964" s="46"/>
      <c r="B964" s="47"/>
      <c r="C964" s="48"/>
      <c r="D964" s="49"/>
      <c r="E964" s="48"/>
      <c r="F964" s="47"/>
      <c r="K964" s="14"/>
      <c r="L964" s="14"/>
      <c r="M964" s="14"/>
    </row>
    <row r="965">
      <c r="A965" s="46"/>
      <c r="B965" s="47"/>
      <c r="C965" s="48"/>
      <c r="D965" s="49"/>
      <c r="E965" s="48"/>
      <c r="F965" s="47"/>
      <c r="K965" s="14"/>
      <c r="L965" s="14"/>
      <c r="M965" s="14"/>
    </row>
    <row r="966">
      <c r="A966" s="46"/>
      <c r="B966" s="47"/>
      <c r="C966" s="48"/>
      <c r="D966" s="49"/>
      <c r="E966" s="48"/>
      <c r="F966" s="47"/>
      <c r="K966" s="14"/>
      <c r="L966" s="14"/>
      <c r="M966" s="14"/>
    </row>
    <row r="967">
      <c r="A967" s="46"/>
      <c r="B967" s="47"/>
      <c r="C967" s="48"/>
      <c r="D967" s="49"/>
      <c r="E967" s="48"/>
      <c r="F967" s="47"/>
      <c r="K967" s="14"/>
      <c r="L967" s="14"/>
      <c r="M967" s="14"/>
    </row>
    <row r="968">
      <c r="A968" s="46"/>
      <c r="B968" s="47"/>
      <c r="C968" s="48"/>
      <c r="D968" s="49"/>
      <c r="E968" s="48"/>
      <c r="F968" s="47"/>
      <c r="K968" s="14"/>
      <c r="L968" s="14"/>
      <c r="M968" s="14"/>
    </row>
    <row r="969">
      <c r="A969" s="46"/>
      <c r="B969" s="47"/>
      <c r="C969" s="48"/>
      <c r="D969" s="49"/>
      <c r="E969" s="48"/>
      <c r="F969" s="47"/>
      <c r="K969" s="14"/>
      <c r="L969" s="14"/>
      <c r="M969" s="14"/>
    </row>
    <row r="970">
      <c r="A970" s="46"/>
      <c r="B970" s="47"/>
      <c r="C970" s="48"/>
      <c r="D970" s="49"/>
      <c r="E970" s="48"/>
      <c r="F970" s="47"/>
      <c r="K970" s="14"/>
      <c r="L970" s="14"/>
      <c r="M970" s="14"/>
    </row>
    <row r="971">
      <c r="A971" s="46"/>
      <c r="B971" s="47"/>
      <c r="C971" s="48"/>
      <c r="D971" s="49"/>
      <c r="E971" s="48"/>
      <c r="F971" s="47"/>
      <c r="K971" s="14"/>
      <c r="L971" s="14"/>
      <c r="M971" s="14"/>
    </row>
  </sheetData>
  <mergeCells count="1"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4" max="4" width="33.63"/>
  </cols>
  <sheetData>
    <row r="1">
      <c r="A1" s="20" t="s">
        <v>0</v>
      </c>
      <c r="B1" s="20" t="s">
        <v>1</v>
      </c>
      <c r="C1" s="50" t="s">
        <v>1569</v>
      </c>
      <c r="D1" s="20" t="s">
        <v>4</v>
      </c>
      <c r="E1" s="20" t="s">
        <v>5</v>
      </c>
      <c r="J1" s="7" t="s">
        <v>6</v>
      </c>
      <c r="K1" s="7"/>
    </row>
    <row r="2">
      <c r="A2" s="20">
        <v>1.0</v>
      </c>
      <c r="B2" s="20" t="s">
        <v>1570</v>
      </c>
      <c r="C2" s="50" t="s">
        <v>1571</v>
      </c>
      <c r="D2" s="20" t="s">
        <v>1572</v>
      </c>
      <c r="E2" s="51"/>
      <c r="J2" s="52" t="str">
        <f>IFERROR(__xludf.DUMMYFUNCTION("FILTER(B2:B994, E2:E994&lt;&gt;""✅"")"),"ば")</f>
        <v>ば</v>
      </c>
      <c r="K2" s="52" t="str">
        <f>IFERROR(__xludf.DUMMYFUNCTION("FILTER(D2:D994, E2:E994&lt;&gt;""✅"")"),"conditional form; If [A] then [B]")</f>
        <v>conditional form; If [A] then [B]</v>
      </c>
    </row>
    <row r="3">
      <c r="A3" s="20">
        <v>2.0</v>
      </c>
      <c r="B3" s="20" t="s">
        <v>1573</v>
      </c>
      <c r="C3" s="50" t="s">
        <v>1574</v>
      </c>
      <c r="D3" s="20" t="s">
        <v>1575</v>
      </c>
      <c r="E3" s="51"/>
      <c r="G3" s="20" t="s">
        <v>14</v>
      </c>
      <c r="J3" s="14" t="str">
        <f>IFERROR(__xludf.DUMMYFUNCTION("""COMPUTED_VALUE"""),"ばかり")</f>
        <v>ばかり</v>
      </c>
      <c r="K3" s="14" t="str">
        <f>IFERROR(__xludf.DUMMYFUNCTION("""COMPUTED_VALUE"""),"only; nothing but~")</f>
        <v>only; nothing but~</v>
      </c>
    </row>
    <row r="4">
      <c r="A4" s="20">
        <v>3.0</v>
      </c>
      <c r="B4" s="20" t="s">
        <v>1576</v>
      </c>
      <c r="C4" s="50" t="s">
        <v>1577</v>
      </c>
      <c r="D4" s="20" t="s">
        <v>1578</v>
      </c>
      <c r="E4" s="51"/>
      <c r="G4" s="20" t="s">
        <v>19</v>
      </c>
      <c r="H4" s="20">
        <f>COUNTIF(J2:J994, "&lt;&gt;")</f>
        <v>24</v>
      </c>
      <c r="J4" s="14" t="str">
        <f>IFERROR(__xludf.DUMMYFUNCTION("""COMPUTED_VALUE"""),"でも")</f>
        <v>でも</v>
      </c>
      <c r="K4" s="14" t="str">
        <f>IFERROR(__xludf.DUMMYFUNCTION("""COMPUTED_VALUE"""),"... or something; how about~")</f>
        <v>... or something; how about~</v>
      </c>
    </row>
    <row r="5">
      <c r="A5" s="20">
        <v>4.0</v>
      </c>
      <c r="B5" s="20" t="s">
        <v>1579</v>
      </c>
      <c r="C5" s="50" t="s">
        <v>1580</v>
      </c>
      <c r="D5" s="20" t="s">
        <v>1581</v>
      </c>
      <c r="E5" s="51"/>
      <c r="G5" s="20" t="s">
        <v>23</v>
      </c>
      <c r="H5" s="14">
        <f>COUNTIF(A2:A994, "&lt;&gt;")</f>
        <v>24</v>
      </c>
      <c r="J5" s="14" t="str">
        <f>IFERROR(__xludf.DUMMYFUNCTION("""COMPUTED_VALUE"""),"かしら")</f>
        <v>かしら</v>
      </c>
      <c r="K5" s="14" t="str">
        <f>IFERROR(__xludf.DUMMYFUNCTION("""COMPUTED_VALUE"""),"I wonder~")</f>
        <v>I wonder~</v>
      </c>
    </row>
    <row r="6">
      <c r="A6" s="20">
        <v>5.0</v>
      </c>
      <c r="B6" s="20" t="s">
        <v>1582</v>
      </c>
      <c r="C6" s="50" t="s">
        <v>1583</v>
      </c>
      <c r="D6" s="20" t="s">
        <v>1584</v>
      </c>
      <c r="E6" s="51"/>
      <c r="H6" s="14">
        <f>TRUNC((H4/H5)*100, 1)</f>
        <v>100</v>
      </c>
      <c r="J6" s="14" t="str">
        <f>IFERROR(__xludf.DUMMYFUNCTION("""COMPUTED_VALUE"""),"かい")</f>
        <v>かい</v>
      </c>
      <c r="K6" s="14" t="str">
        <f>IFERROR(__xludf.DUMMYFUNCTION("""COMPUTED_VALUE"""),"turns a sentence into a yes/no ?")</f>
        <v>turns a sentence into a yes/no ?</v>
      </c>
    </row>
    <row r="7">
      <c r="A7" s="20">
        <v>6.0</v>
      </c>
      <c r="B7" s="20" t="s">
        <v>2</v>
      </c>
      <c r="C7" s="50" t="s">
        <v>1585</v>
      </c>
      <c r="D7" s="20" t="s">
        <v>1586</v>
      </c>
      <c r="E7" s="51"/>
      <c r="G7" s="20" t="s">
        <v>31</v>
      </c>
      <c r="H7" s="14">
        <f>100-H6</f>
        <v>0</v>
      </c>
      <c r="J7" s="14" t="str">
        <f>IFERROR(__xludf.DUMMYFUNCTION("""COMPUTED_VALUE"""),"かな")</f>
        <v>かな</v>
      </c>
      <c r="K7" s="14" t="str">
        <f>IFERROR(__xludf.DUMMYFUNCTION("""COMPUTED_VALUE"""),"I wonder; should I?")</f>
        <v>I wonder; should I?</v>
      </c>
    </row>
    <row r="8">
      <c r="A8" s="20">
        <v>7.0</v>
      </c>
      <c r="B8" s="20" t="s">
        <v>1587</v>
      </c>
      <c r="C8" s="50" t="s">
        <v>1588</v>
      </c>
      <c r="D8" s="20" t="s">
        <v>1589</v>
      </c>
      <c r="E8" s="51"/>
      <c r="G8" s="20" t="s">
        <v>35</v>
      </c>
      <c r="J8" s="14" t="str">
        <f>IFERROR(__xludf.DUMMYFUNCTION("""COMPUTED_VALUE"""),"も")</f>
        <v>も</v>
      </c>
      <c r="K8" s="14" t="str">
        <f>IFERROR(__xludf.DUMMYFUNCTION("""COMPUTED_VALUE"""),"as many as; as much as; nearly~")</f>
        <v>as many as; as much as; nearly~</v>
      </c>
    </row>
    <row r="9">
      <c r="A9" s="20">
        <v>8.0</v>
      </c>
      <c r="B9" s="20" t="s">
        <v>1590</v>
      </c>
      <c r="C9" s="50" t="s">
        <v>1591</v>
      </c>
      <c r="D9" s="20" t="s">
        <v>1592</v>
      </c>
      <c r="E9" s="51"/>
      <c r="J9" s="14" t="str">
        <f>IFERROR(__xludf.DUMMYFUNCTION("""COMPUTED_VALUE"""),"な")</f>
        <v>な</v>
      </c>
      <c r="K9" s="14" t="str">
        <f>IFERROR(__xludf.DUMMYFUNCTION("""COMPUTED_VALUE"""),"don’t ~ (order somebody to not do)")</f>
        <v>don’t ~ (order somebody to not do)</v>
      </c>
    </row>
    <row r="10">
      <c r="A10" s="20">
        <v>9.0</v>
      </c>
      <c r="B10" s="20" t="s">
        <v>1593</v>
      </c>
      <c r="C10" s="50" t="s">
        <v>1594</v>
      </c>
      <c r="D10" s="20" t="s">
        <v>1595</v>
      </c>
      <c r="E10" s="51"/>
      <c r="J10" s="14" t="str">
        <f>IFERROR(__xludf.DUMMYFUNCTION("""COMPUTED_VALUE"""),"など")</f>
        <v>など</v>
      </c>
      <c r="K10" s="14" t="str">
        <f>IFERROR(__xludf.DUMMYFUNCTION("""COMPUTED_VALUE"""),"such as, things like~")</f>
        <v>such as, things like~</v>
      </c>
    </row>
    <row r="11">
      <c r="A11" s="20">
        <v>10.0</v>
      </c>
      <c r="B11" s="20" t="s">
        <v>1596</v>
      </c>
      <c r="C11" s="50" t="s">
        <v>1597</v>
      </c>
      <c r="D11" s="20" t="s">
        <v>1598</v>
      </c>
      <c r="E11" s="51"/>
      <c r="J11" s="14" t="str">
        <f>IFERROR(__xludf.DUMMYFUNCTION("""COMPUTED_VALUE"""),"ながら")</f>
        <v>ながら</v>
      </c>
      <c r="K11" s="14" t="str">
        <f>IFERROR(__xludf.DUMMYFUNCTION("""COMPUTED_VALUE"""),"while; during; as; simultaneously")</f>
        <v>while; during; as; simultaneously</v>
      </c>
    </row>
    <row r="12">
      <c r="A12" s="20">
        <v>11.0</v>
      </c>
      <c r="B12" s="20" t="s">
        <v>1599</v>
      </c>
      <c r="C12" s="50" t="s">
        <v>1600</v>
      </c>
      <c r="D12" s="20" t="s">
        <v>1601</v>
      </c>
      <c r="E12" s="51"/>
      <c r="J12" s="14" t="str">
        <f>IFERROR(__xludf.DUMMYFUNCTION("""COMPUTED_VALUE"""),"なら")</f>
        <v>なら</v>
      </c>
      <c r="K12" s="14" t="str">
        <f>IFERROR(__xludf.DUMMYFUNCTION("""COMPUTED_VALUE"""),"if; in the case that~")</f>
        <v>if; in the case that~</v>
      </c>
    </row>
    <row r="13">
      <c r="A13" s="20">
        <v>12.0</v>
      </c>
      <c r="B13" s="20" t="s">
        <v>1602</v>
      </c>
      <c r="C13" s="50" t="s">
        <v>1603</v>
      </c>
      <c r="D13" s="20" t="s">
        <v>1604</v>
      </c>
      <c r="E13" s="51"/>
      <c r="J13" s="14" t="str">
        <f>IFERROR(__xludf.DUMMYFUNCTION("""COMPUTED_VALUE"""),"のに")</f>
        <v>のに</v>
      </c>
      <c r="K13" s="14" t="str">
        <f>IFERROR(__xludf.DUMMYFUNCTION("""COMPUTED_VALUE"""),"although, in spite of, even though~")</f>
        <v>although, in spite of, even though~</v>
      </c>
    </row>
    <row r="14">
      <c r="A14" s="20">
        <v>13.0</v>
      </c>
      <c r="B14" s="20" t="s">
        <v>1602</v>
      </c>
      <c r="C14" s="50" t="s">
        <v>1603</v>
      </c>
      <c r="D14" s="20" t="s">
        <v>1605</v>
      </c>
      <c r="E14" s="51"/>
      <c r="J14" s="14" t="str">
        <f>IFERROR(__xludf.DUMMYFUNCTION("""COMPUTED_VALUE"""),"のに")</f>
        <v>のに</v>
      </c>
      <c r="K14" s="14" t="str">
        <f>IFERROR(__xludf.DUMMYFUNCTION("""COMPUTED_VALUE"""),"to (do something); in order to~")</f>
        <v>to (do something); in order to~</v>
      </c>
    </row>
    <row r="15">
      <c r="A15" s="20">
        <v>14.0</v>
      </c>
      <c r="B15" s="20" t="s">
        <v>1606</v>
      </c>
      <c r="C15" s="50" t="s">
        <v>1607</v>
      </c>
      <c r="D15" s="20" t="s">
        <v>1608</v>
      </c>
      <c r="E15" s="51"/>
      <c r="J15" s="14" t="str">
        <f>IFERROR(__xludf.DUMMYFUNCTION("""COMPUTED_VALUE"""),"のは〜だ")</f>
        <v>のは〜だ</v>
      </c>
      <c r="K15" s="14" t="str">
        <f>IFERROR(__xludf.DUMMYFUNCTION("""COMPUTED_VALUE"""),"[A] is [B]; the reason for [A] is [B]")</f>
        <v>[A] is [B]; the reason for [A] is [B]</v>
      </c>
    </row>
    <row r="16">
      <c r="A16" s="20">
        <v>15.0</v>
      </c>
      <c r="B16" s="20" t="s">
        <v>1091</v>
      </c>
      <c r="C16" s="50" t="s">
        <v>1092</v>
      </c>
      <c r="D16" s="20" t="s">
        <v>1609</v>
      </c>
      <c r="E16" s="51"/>
      <c r="J16" s="14" t="str">
        <f>IFERROR(__xludf.DUMMYFUNCTION("""COMPUTED_VALUE"""),"し")</f>
        <v>し</v>
      </c>
      <c r="K16" s="14" t="str">
        <f>IFERROR(__xludf.DUMMYFUNCTION("""COMPUTED_VALUE"""),"and; and what’s more; emphasis~")</f>
        <v>and; and what’s more; emphasis~</v>
      </c>
    </row>
    <row r="17">
      <c r="A17" s="20">
        <v>16.0</v>
      </c>
      <c r="B17" s="20" t="s">
        <v>1610</v>
      </c>
      <c r="C17" s="50" t="s">
        <v>1611</v>
      </c>
      <c r="D17" s="20" t="s">
        <v>1612</v>
      </c>
      <c r="E17" s="51"/>
      <c r="J17" s="14" t="str">
        <f>IFERROR(__xludf.DUMMYFUNCTION("""COMPUTED_VALUE"""),"たばかり")</f>
        <v>たばかり</v>
      </c>
      <c r="K17" s="14" t="str">
        <f>IFERROR(__xludf.DUMMYFUNCTION("""COMPUTED_VALUE"""),"just finished/occurred")</f>
        <v>just finished/occurred</v>
      </c>
    </row>
    <row r="18">
      <c r="A18" s="20">
        <v>17.0</v>
      </c>
      <c r="B18" s="20" t="s">
        <v>1613</v>
      </c>
      <c r="C18" s="50" t="s">
        <v>1614</v>
      </c>
      <c r="D18" s="20" t="s">
        <v>1615</v>
      </c>
      <c r="E18" s="51"/>
      <c r="J18" s="14" t="str">
        <f>IFERROR(__xludf.DUMMYFUNCTION("""COMPUTED_VALUE"""),"たら")</f>
        <v>たら</v>
      </c>
      <c r="K18" s="14" t="str">
        <f>IFERROR(__xludf.DUMMYFUNCTION("""COMPUTED_VALUE"""),"if; after; when~")</f>
        <v>if; after; when~</v>
      </c>
    </row>
    <row r="19">
      <c r="A19" s="20">
        <v>18.0</v>
      </c>
      <c r="B19" s="20" t="s">
        <v>1616</v>
      </c>
      <c r="C19" s="50" t="s">
        <v>1617</v>
      </c>
      <c r="D19" s="20" t="s">
        <v>1618</v>
      </c>
      <c r="E19" s="51"/>
      <c r="J19" s="14" t="str">
        <f>IFERROR(__xludf.DUMMYFUNCTION("""COMPUTED_VALUE"""),"て / で")</f>
        <v>て / で</v>
      </c>
      <c r="K19" s="14" t="str">
        <f>IFERROR(__xludf.DUMMYFUNCTION("""COMPUTED_VALUE"""),"conjunction; so; because of [A], [B]~")</f>
        <v>conjunction; so; because of [A], [B]~</v>
      </c>
    </row>
    <row r="20">
      <c r="A20" s="20">
        <v>19.0</v>
      </c>
      <c r="B20" s="20" t="s">
        <v>1619</v>
      </c>
      <c r="C20" s="50" t="s">
        <v>1620</v>
      </c>
      <c r="D20" s="20" t="s">
        <v>1621</v>
      </c>
      <c r="E20" s="51"/>
      <c r="J20" s="14" t="str">
        <f>IFERROR(__xludf.DUMMYFUNCTION("""COMPUTED_VALUE"""),"ても")</f>
        <v>ても</v>
      </c>
      <c r="K20" s="14" t="str">
        <f>IFERROR(__xludf.DUMMYFUNCTION("""COMPUTED_VALUE"""),"even; even if; even though~")</f>
        <v>even; even if; even though~</v>
      </c>
    </row>
    <row r="21">
      <c r="A21" s="20">
        <v>20.0</v>
      </c>
      <c r="B21" s="20" t="s">
        <v>1406</v>
      </c>
      <c r="C21" s="50" t="s">
        <v>1407</v>
      </c>
      <c r="D21" s="20" t="s">
        <v>1622</v>
      </c>
      <c r="E21" s="51"/>
      <c r="J21" s="14" t="str">
        <f>IFERROR(__xludf.DUMMYFUNCTION("""COMPUTED_VALUE"""),"と")</f>
        <v>と</v>
      </c>
      <c r="K21" s="14" t="str">
        <f>IFERROR(__xludf.DUMMYFUNCTION("""COMPUTED_VALUE"""),"whenever [A] happens, [B] ~")</f>
        <v>whenever [A] happens, [B] ~</v>
      </c>
    </row>
    <row r="22">
      <c r="A22" s="20">
        <v>21.0</v>
      </c>
      <c r="B22" s="20" t="s">
        <v>1623</v>
      </c>
      <c r="C22" s="50" t="s">
        <v>1624</v>
      </c>
      <c r="D22" s="20" t="s">
        <v>1625</v>
      </c>
      <c r="E22" s="51"/>
      <c r="J22" s="14" t="str">
        <f>IFERROR(__xludf.DUMMYFUNCTION("""COMPUTED_VALUE"""),"という")</f>
        <v>という</v>
      </c>
      <c r="K22" s="14" t="str">
        <f>IFERROR(__xludf.DUMMYFUNCTION("""COMPUTED_VALUE"""),"called; named; that~")</f>
        <v>called; named; that~</v>
      </c>
    </row>
    <row r="23">
      <c r="A23" s="20">
        <v>22.0</v>
      </c>
      <c r="B23" s="20" t="s">
        <v>1626</v>
      </c>
      <c r="C23" s="50" t="s">
        <v>1627</v>
      </c>
      <c r="D23" s="20" t="s">
        <v>1628</v>
      </c>
      <c r="E23" s="51"/>
      <c r="J23" s="14" t="str">
        <f>IFERROR(__xludf.DUMMYFUNCTION("""COMPUTED_VALUE"""),"とか～とか")</f>
        <v>とか～とか</v>
      </c>
      <c r="K23" s="14" t="str">
        <f>IFERROR(__xludf.DUMMYFUNCTION("""COMPUTED_VALUE"""),"among other things; such as; like~")</f>
        <v>among other things; such as; like~</v>
      </c>
    </row>
    <row r="24">
      <c r="A24" s="20">
        <v>23.0</v>
      </c>
      <c r="B24" s="20" t="s">
        <v>1629</v>
      </c>
      <c r="C24" s="50" t="s">
        <v>1630</v>
      </c>
      <c r="D24" s="20" t="s">
        <v>1631</v>
      </c>
      <c r="E24" s="51"/>
      <c r="J24" s="14" t="str">
        <f>IFERROR(__xludf.DUMMYFUNCTION("""COMPUTED_VALUE"""),"って")</f>
        <v>って</v>
      </c>
      <c r="K24" s="14" t="str">
        <f>IFERROR(__xludf.DUMMYFUNCTION("""COMPUTED_VALUE"""),"named; called~")</f>
        <v>named; called~</v>
      </c>
    </row>
    <row r="25">
      <c r="A25" s="20">
        <v>24.0</v>
      </c>
      <c r="B25" s="20" t="s">
        <v>1632</v>
      </c>
      <c r="C25" s="50" t="s">
        <v>1633</v>
      </c>
      <c r="D25" s="20" t="s">
        <v>1634</v>
      </c>
      <c r="E25" s="51"/>
      <c r="J25" s="14" t="str">
        <f>IFERROR(__xludf.DUMMYFUNCTION("""COMPUTED_VALUE"""),"より")</f>
        <v>より</v>
      </c>
      <c r="K25" s="14" t="str">
        <f>IFERROR(__xludf.DUMMYFUNCTION("""COMPUTED_VALUE"""),"than; rather than; more than~")</f>
        <v>than; rather than; more than~</v>
      </c>
    </row>
    <row r="26">
      <c r="A26" s="51"/>
      <c r="B26" s="51"/>
      <c r="C26" s="53"/>
      <c r="D26" s="51"/>
      <c r="E26" s="51"/>
      <c r="J26" s="14"/>
      <c r="K26" s="14"/>
    </row>
    <row r="27">
      <c r="C27" s="54"/>
      <c r="D27" s="54"/>
      <c r="J27" s="14"/>
      <c r="K27" s="14"/>
    </row>
    <row r="28">
      <c r="C28" s="54"/>
      <c r="D28" s="54"/>
      <c r="J28" s="14"/>
      <c r="K28" s="14"/>
    </row>
    <row r="29">
      <c r="C29" s="54"/>
      <c r="D29" s="54"/>
      <c r="J29" s="14"/>
      <c r="K29" s="14"/>
    </row>
    <row r="30">
      <c r="C30" s="54"/>
      <c r="D30" s="54"/>
      <c r="J30" s="14"/>
      <c r="K30" s="14"/>
    </row>
    <row r="31">
      <c r="C31" s="54"/>
      <c r="D31" s="54"/>
      <c r="J31" s="14"/>
      <c r="K31" s="14"/>
    </row>
    <row r="32">
      <c r="C32" s="54"/>
      <c r="D32" s="54"/>
      <c r="J32" s="14"/>
      <c r="K32" s="14"/>
    </row>
    <row r="33">
      <c r="C33" s="54"/>
      <c r="D33" s="54"/>
      <c r="J33" s="14"/>
      <c r="K33" s="14"/>
    </row>
    <row r="34">
      <c r="C34" s="54"/>
      <c r="D34" s="54"/>
      <c r="J34" s="14"/>
      <c r="K34" s="14"/>
    </row>
    <row r="35">
      <c r="C35" s="54"/>
      <c r="D35" s="54"/>
      <c r="J35" s="14"/>
      <c r="K35" s="14"/>
    </row>
    <row r="36">
      <c r="C36" s="54"/>
      <c r="D36" s="54"/>
      <c r="J36" s="14"/>
      <c r="K36" s="14"/>
    </row>
    <row r="37">
      <c r="C37" s="54"/>
      <c r="D37" s="54"/>
      <c r="J37" s="14"/>
      <c r="K37" s="14"/>
    </row>
    <row r="38">
      <c r="C38" s="54"/>
      <c r="D38" s="54"/>
      <c r="J38" s="14"/>
      <c r="K38" s="14"/>
    </row>
    <row r="39">
      <c r="C39" s="54"/>
      <c r="D39" s="54"/>
      <c r="J39" s="14"/>
      <c r="K39" s="14"/>
    </row>
    <row r="40">
      <c r="C40" s="54"/>
      <c r="D40" s="54"/>
      <c r="J40" s="14"/>
      <c r="K40" s="14"/>
    </row>
    <row r="41">
      <c r="C41" s="54"/>
      <c r="D41" s="54"/>
      <c r="J41" s="14"/>
      <c r="K41" s="14"/>
    </row>
    <row r="42">
      <c r="C42" s="54"/>
      <c r="D42" s="54"/>
      <c r="J42" s="14"/>
      <c r="K42" s="14"/>
    </row>
    <row r="43">
      <c r="C43" s="54"/>
      <c r="D43" s="54"/>
      <c r="J43" s="14"/>
      <c r="K43" s="14"/>
    </row>
    <row r="44">
      <c r="C44" s="54"/>
      <c r="D44" s="54"/>
      <c r="J44" s="14"/>
      <c r="K44" s="14"/>
    </row>
    <row r="45">
      <c r="C45" s="54"/>
      <c r="D45" s="54"/>
      <c r="J45" s="14"/>
      <c r="K45" s="14"/>
    </row>
    <row r="46">
      <c r="C46" s="54"/>
      <c r="D46" s="54"/>
      <c r="J46" s="14"/>
      <c r="K46" s="14"/>
    </row>
    <row r="47">
      <c r="C47" s="54"/>
      <c r="D47" s="54"/>
      <c r="J47" s="14"/>
      <c r="K47" s="14"/>
    </row>
    <row r="48">
      <c r="C48" s="54"/>
      <c r="D48" s="54"/>
      <c r="J48" s="14"/>
      <c r="K48" s="14"/>
    </row>
    <row r="49">
      <c r="C49" s="54"/>
      <c r="D49" s="54"/>
      <c r="J49" s="14"/>
      <c r="K49" s="14"/>
    </row>
    <row r="50">
      <c r="C50" s="54"/>
      <c r="D50" s="54"/>
      <c r="J50" s="14"/>
      <c r="K50" s="14"/>
    </row>
    <row r="51">
      <c r="C51" s="54"/>
      <c r="D51" s="54"/>
      <c r="J51" s="14"/>
      <c r="K51" s="14"/>
    </row>
    <row r="52">
      <c r="C52" s="54"/>
      <c r="D52" s="54"/>
      <c r="J52" s="14"/>
      <c r="K52" s="14"/>
    </row>
    <row r="53">
      <c r="C53" s="54"/>
      <c r="D53" s="54"/>
      <c r="J53" s="14"/>
      <c r="K53" s="14"/>
    </row>
    <row r="54">
      <c r="C54" s="54"/>
      <c r="D54" s="54"/>
      <c r="J54" s="14"/>
      <c r="K54" s="14"/>
    </row>
    <row r="55">
      <c r="C55" s="54"/>
      <c r="D55" s="54"/>
      <c r="J55" s="14"/>
      <c r="K55" s="14"/>
    </row>
    <row r="56">
      <c r="C56" s="54"/>
      <c r="D56" s="54"/>
      <c r="J56" s="14"/>
      <c r="K56" s="14"/>
    </row>
    <row r="57">
      <c r="C57" s="54"/>
      <c r="D57" s="54"/>
      <c r="J57" s="14"/>
      <c r="K57" s="14"/>
    </row>
    <row r="58">
      <c r="C58" s="54"/>
      <c r="D58" s="54"/>
      <c r="J58" s="14"/>
      <c r="K58" s="14"/>
    </row>
    <row r="59">
      <c r="C59" s="54"/>
      <c r="D59" s="54"/>
      <c r="J59" s="14"/>
      <c r="K59" s="14"/>
    </row>
    <row r="60">
      <c r="C60" s="54"/>
      <c r="D60" s="54"/>
      <c r="J60" s="14"/>
      <c r="K60" s="14"/>
    </row>
    <row r="61">
      <c r="C61" s="54"/>
      <c r="D61" s="54"/>
      <c r="J61" s="14"/>
      <c r="K61" s="14"/>
    </row>
    <row r="62">
      <c r="C62" s="54"/>
      <c r="D62" s="54"/>
      <c r="J62" s="14"/>
      <c r="K62" s="14"/>
    </row>
    <row r="63">
      <c r="C63" s="54"/>
      <c r="D63" s="54"/>
      <c r="J63" s="14"/>
      <c r="K63" s="14"/>
    </row>
    <row r="64">
      <c r="C64" s="54"/>
      <c r="D64" s="54"/>
      <c r="J64" s="14"/>
      <c r="K64" s="14"/>
    </row>
    <row r="65">
      <c r="C65" s="54"/>
      <c r="D65" s="54"/>
      <c r="J65" s="14"/>
      <c r="K65" s="14"/>
    </row>
    <row r="66">
      <c r="C66" s="54"/>
      <c r="D66" s="54"/>
      <c r="J66" s="14"/>
      <c r="K66" s="14"/>
    </row>
    <row r="67">
      <c r="C67" s="54"/>
      <c r="D67" s="54"/>
      <c r="J67" s="14"/>
      <c r="K67" s="14"/>
    </row>
    <row r="68">
      <c r="C68" s="54"/>
      <c r="D68" s="54"/>
      <c r="J68" s="14"/>
      <c r="K68" s="14"/>
    </row>
    <row r="69">
      <c r="C69" s="54"/>
      <c r="D69" s="54"/>
      <c r="J69" s="14"/>
      <c r="K69" s="14"/>
    </row>
    <row r="70">
      <c r="C70" s="54"/>
      <c r="D70" s="54"/>
      <c r="J70" s="14"/>
      <c r="K70" s="14"/>
    </row>
    <row r="71">
      <c r="C71" s="54"/>
      <c r="D71" s="54"/>
      <c r="J71" s="14"/>
      <c r="K71" s="14"/>
    </row>
    <row r="72">
      <c r="C72" s="54"/>
      <c r="D72" s="54"/>
      <c r="J72" s="14"/>
      <c r="K72" s="14"/>
    </row>
    <row r="73">
      <c r="C73" s="54"/>
      <c r="D73" s="54"/>
      <c r="J73" s="14"/>
      <c r="K73" s="14"/>
    </row>
    <row r="74">
      <c r="C74" s="54"/>
      <c r="D74" s="54"/>
      <c r="J74" s="14"/>
      <c r="K74" s="14"/>
    </row>
    <row r="75">
      <c r="C75" s="54"/>
      <c r="D75" s="54"/>
      <c r="J75" s="14"/>
      <c r="K75" s="14"/>
    </row>
    <row r="76">
      <c r="C76" s="54"/>
      <c r="D76" s="54"/>
      <c r="J76" s="14"/>
      <c r="K76" s="14"/>
    </row>
    <row r="77">
      <c r="C77" s="54"/>
      <c r="D77" s="54"/>
      <c r="J77" s="14"/>
      <c r="K77" s="14"/>
    </row>
    <row r="78">
      <c r="C78" s="54"/>
      <c r="D78" s="54"/>
      <c r="J78" s="14"/>
      <c r="K78" s="14"/>
    </row>
    <row r="79">
      <c r="C79" s="54"/>
      <c r="D79" s="54"/>
      <c r="J79" s="14"/>
      <c r="K79" s="14"/>
    </row>
    <row r="80">
      <c r="C80" s="54"/>
      <c r="D80" s="54"/>
      <c r="J80" s="14"/>
      <c r="K80" s="14"/>
    </row>
    <row r="81">
      <c r="C81" s="54"/>
      <c r="D81" s="54"/>
      <c r="J81" s="14"/>
      <c r="K81" s="14"/>
    </row>
    <row r="82">
      <c r="C82" s="54"/>
      <c r="D82" s="54"/>
      <c r="J82" s="14"/>
      <c r="K82" s="14"/>
    </row>
    <row r="83">
      <c r="C83" s="54"/>
      <c r="D83" s="54"/>
      <c r="J83" s="14"/>
      <c r="K83" s="14"/>
    </row>
    <row r="84">
      <c r="C84" s="54"/>
      <c r="D84" s="54"/>
      <c r="J84" s="14"/>
      <c r="K84" s="14"/>
    </row>
    <row r="85">
      <c r="C85" s="54"/>
      <c r="D85" s="54"/>
      <c r="J85" s="14"/>
      <c r="K85" s="14"/>
    </row>
    <row r="86">
      <c r="C86" s="54"/>
      <c r="D86" s="54"/>
      <c r="J86" s="14"/>
      <c r="K86" s="14"/>
    </row>
    <row r="87">
      <c r="C87" s="54"/>
      <c r="D87" s="54"/>
      <c r="J87" s="14"/>
      <c r="K87" s="14"/>
    </row>
    <row r="88">
      <c r="C88" s="54"/>
      <c r="D88" s="54"/>
      <c r="J88" s="14"/>
      <c r="K88" s="14"/>
    </row>
    <row r="89">
      <c r="C89" s="54"/>
      <c r="D89" s="54"/>
      <c r="J89" s="14"/>
      <c r="K89" s="14"/>
    </row>
    <row r="90">
      <c r="C90" s="54"/>
      <c r="D90" s="54"/>
      <c r="J90" s="14"/>
      <c r="K90" s="14"/>
    </row>
    <row r="91">
      <c r="C91" s="54"/>
      <c r="D91" s="54"/>
      <c r="J91" s="14"/>
      <c r="K91" s="14"/>
    </row>
    <row r="92">
      <c r="C92" s="54"/>
      <c r="D92" s="54"/>
      <c r="J92" s="14"/>
      <c r="K92" s="14"/>
    </row>
    <row r="93">
      <c r="C93" s="54"/>
      <c r="D93" s="54"/>
      <c r="J93" s="14"/>
      <c r="K93" s="14"/>
    </row>
    <row r="94">
      <c r="C94" s="54"/>
      <c r="D94" s="54"/>
      <c r="J94" s="14"/>
      <c r="K94" s="14"/>
    </row>
    <row r="95">
      <c r="C95" s="54"/>
      <c r="D95" s="54"/>
      <c r="J95" s="14"/>
      <c r="K95" s="14"/>
    </row>
    <row r="96">
      <c r="C96" s="54"/>
      <c r="D96" s="54"/>
      <c r="J96" s="14"/>
      <c r="K96" s="14"/>
    </row>
    <row r="97">
      <c r="C97" s="54"/>
      <c r="D97" s="54"/>
      <c r="J97" s="14"/>
      <c r="K97" s="14"/>
    </row>
    <row r="98">
      <c r="C98" s="54"/>
      <c r="D98" s="54"/>
      <c r="J98" s="14"/>
      <c r="K98" s="14"/>
    </row>
    <row r="99">
      <c r="C99" s="54"/>
      <c r="D99" s="54"/>
      <c r="J99" s="14"/>
      <c r="K99" s="14"/>
    </row>
    <row r="100">
      <c r="C100" s="54"/>
      <c r="D100" s="54"/>
      <c r="J100" s="14"/>
      <c r="K100" s="14"/>
    </row>
    <row r="101">
      <c r="C101" s="54"/>
      <c r="D101" s="54"/>
      <c r="J101" s="14"/>
      <c r="K101" s="14"/>
    </row>
    <row r="102">
      <c r="C102" s="54"/>
      <c r="D102" s="54"/>
      <c r="J102" s="14"/>
      <c r="K102" s="14"/>
    </row>
    <row r="103">
      <c r="C103" s="54"/>
      <c r="D103" s="54"/>
      <c r="J103" s="14"/>
      <c r="K103" s="14"/>
    </row>
    <row r="104">
      <c r="C104" s="54"/>
      <c r="D104" s="54"/>
      <c r="J104" s="14"/>
      <c r="K104" s="14"/>
    </row>
    <row r="105">
      <c r="C105" s="54"/>
      <c r="D105" s="54"/>
      <c r="J105" s="14"/>
      <c r="K105" s="14"/>
    </row>
    <row r="106">
      <c r="C106" s="54"/>
      <c r="D106" s="54"/>
      <c r="J106" s="14"/>
      <c r="K106" s="14"/>
    </row>
    <row r="107">
      <c r="C107" s="54"/>
      <c r="D107" s="54"/>
      <c r="J107" s="14"/>
      <c r="K107" s="14"/>
    </row>
    <row r="108">
      <c r="C108" s="54"/>
      <c r="D108" s="54"/>
      <c r="J108" s="14"/>
      <c r="K108" s="14"/>
    </row>
    <row r="109">
      <c r="C109" s="54"/>
      <c r="D109" s="54"/>
      <c r="J109" s="14"/>
      <c r="K109" s="14"/>
    </row>
    <row r="110">
      <c r="C110" s="54"/>
      <c r="D110" s="54"/>
      <c r="J110" s="14"/>
      <c r="K110" s="14"/>
    </row>
    <row r="111">
      <c r="C111" s="54"/>
      <c r="D111" s="54"/>
      <c r="J111" s="14"/>
      <c r="K111" s="14"/>
    </row>
    <row r="112">
      <c r="C112" s="54"/>
      <c r="D112" s="54"/>
      <c r="J112" s="14"/>
      <c r="K112" s="14"/>
    </row>
    <row r="113">
      <c r="C113" s="54"/>
      <c r="D113" s="54"/>
      <c r="J113" s="14"/>
      <c r="K113" s="14"/>
    </row>
    <row r="114">
      <c r="C114" s="54"/>
      <c r="D114" s="54"/>
      <c r="J114" s="14"/>
      <c r="K114" s="14"/>
    </row>
    <row r="115">
      <c r="C115" s="54"/>
      <c r="D115" s="54"/>
      <c r="J115" s="14"/>
      <c r="K115" s="14"/>
    </row>
    <row r="116">
      <c r="C116" s="54"/>
      <c r="D116" s="54"/>
      <c r="J116" s="14"/>
      <c r="K116" s="14"/>
    </row>
    <row r="117">
      <c r="C117" s="54"/>
      <c r="D117" s="54"/>
      <c r="J117" s="14"/>
      <c r="K117" s="14"/>
    </row>
    <row r="118">
      <c r="C118" s="54"/>
      <c r="D118" s="54"/>
      <c r="J118" s="14"/>
      <c r="K118" s="14"/>
    </row>
    <row r="119">
      <c r="C119" s="54"/>
      <c r="D119" s="54"/>
      <c r="J119" s="14"/>
      <c r="K119" s="14"/>
    </row>
    <row r="120">
      <c r="C120" s="54"/>
      <c r="D120" s="54"/>
      <c r="J120" s="14"/>
      <c r="K120" s="14"/>
    </row>
    <row r="121">
      <c r="C121" s="54"/>
      <c r="D121" s="54"/>
      <c r="J121" s="14"/>
      <c r="K121" s="14"/>
    </row>
    <row r="122">
      <c r="C122" s="54"/>
      <c r="D122" s="54"/>
      <c r="J122" s="14"/>
      <c r="K122" s="14"/>
    </row>
    <row r="123">
      <c r="C123" s="54"/>
      <c r="D123" s="54"/>
      <c r="J123" s="14"/>
      <c r="K123" s="14"/>
    </row>
    <row r="124">
      <c r="C124" s="54"/>
      <c r="D124" s="54"/>
      <c r="J124" s="14"/>
      <c r="K124" s="14"/>
    </row>
    <row r="125">
      <c r="C125" s="54"/>
      <c r="D125" s="54"/>
      <c r="J125" s="14"/>
      <c r="K125" s="14"/>
    </row>
    <row r="126">
      <c r="C126" s="54"/>
      <c r="D126" s="54"/>
      <c r="J126" s="14"/>
      <c r="K126" s="14"/>
    </row>
    <row r="127">
      <c r="C127" s="54"/>
      <c r="D127" s="54"/>
      <c r="J127" s="14"/>
      <c r="K127" s="14"/>
    </row>
    <row r="128">
      <c r="C128" s="54"/>
      <c r="D128" s="54"/>
      <c r="J128" s="14"/>
      <c r="K128" s="14"/>
    </row>
    <row r="129">
      <c r="C129" s="54"/>
      <c r="D129" s="54"/>
      <c r="J129" s="14"/>
      <c r="K129" s="14"/>
    </row>
    <row r="130">
      <c r="C130" s="54"/>
      <c r="D130" s="54"/>
      <c r="J130" s="14"/>
      <c r="K130" s="14"/>
    </row>
    <row r="131">
      <c r="C131" s="54"/>
      <c r="D131" s="54"/>
      <c r="J131" s="14"/>
      <c r="K131" s="14"/>
    </row>
    <row r="132">
      <c r="C132" s="54"/>
      <c r="D132" s="54"/>
      <c r="J132" s="14"/>
      <c r="K132" s="14"/>
    </row>
    <row r="133">
      <c r="C133" s="54"/>
      <c r="D133" s="54"/>
      <c r="J133" s="14"/>
      <c r="K133" s="14"/>
    </row>
    <row r="134">
      <c r="C134" s="54"/>
      <c r="D134" s="54"/>
      <c r="J134" s="14"/>
      <c r="K134" s="14"/>
    </row>
    <row r="135">
      <c r="C135" s="54"/>
      <c r="D135" s="54"/>
      <c r="J135" s="14"/>
      <c r="K135" s="14"/>
    </row>
    <row r="136">
      <c r="C136" s="54"/>
      <c r="D136" s="54"/>
      <c r="J136" s="14"/>
      <c r="K136" s="14"/>
    </row>
    <row r="137">
      <c r="C137" s="54"/>
      <c r="D137" s="54"/>
      <c r="J137" s="14"/>
      <c r="K137" s="14"/>
    </row>
    <row r="138">
      <c r="C138" s="54"/>
      <c r="D138" s="54"/>
      <c r="J138" s="14"/>
      <c r="K138" s="14"/>
    </row>
    <row r="139">
      <c r="C139" s="54"/>
      <c r="D139" s="54"/>
      <c r="J139" s="14"/>
      <c r="K139" s="14"/>
    </row>
    <row r="140">
      <c r="C140" s="54"/>
      <c r="D140" s="54"/>
      <c r="J140" s="14"/>
      <c r="K140" s="14"/>
    </row>
    <row r="141">
      <c r="C141" s="54"/>
      <c r="D141" s="54"/>
      <c r="J141" s="14"/>
      <c r="K141" s="14"/>
    </row>
    <row r="142">
      <c r="C142" s="54"/>
      <c r="D142" s="54"/>
      <c r="J142" s="14"/>
      <c r="K142" s="14"/>
    </row>
    <row r="143">
      <c r="C143" s="54"/>
      <c r="D143" s="54"/>
      <c r="J143" s="14"/>
      <c r="K143" s="14"/>
    </row>
    <row r="144">
      <c r="C144" s="54"/>
      <c r="D144" s="54"/>
      <c r="J144" s="14"/>
      <c r="K144" s="14"/>
    </row>
    <row r="145">
      <c r="C145" s="54"/>
      <c r="D145" s="54"/>
      <c r="J145" s="14"/>
      <c r="K145" s="14"/>
    </row>
    <row r="146">
      <c r="C146" s="54"/>
      <c r="D146" s="54"/>
      <c r="J146" s="14"/>
      <c r="K146" s="14"/>
    </row>
    <row r="147">
      <c r="C147" s="54"/>
      <c r="D147" s="54"/>
      <c r="J147" s="14"/>
      <c r="K147" s="14"/>
    </row>
    <row r="148">
      <c r="C148" s="54"/>
      <c r="D148" s="54"/>
      <c r="J148" s="14"/>
      <c r="K148" s="14"/>
    </row>
    <row r="149">
      <c r="C149" s="54"/>
      <c r="D149" s="54"/>
      <c r="J149" s="14"/>
      <c r="K149" s="14"/>
    </row>
    <row r="150">
      <c r="C150" s="54"/>
      <c r="D150" s="54"/>
      <c r="J150" s="14"/>
      <c r="K150" s="14"/>
    </row>
    <row r="151">
      <c r="C151" s="54"/>
      <c r="D151" s="54"/>
      <c r="J151" s="14"/>
      <c r="K151" s="14"/>
    </row>
    <row r="152">
      <c r="C152" s="54"/>
      <c r="D152" s="54"/>
      <c r="J152" s="14"/>
      <c r="K152" s="14"/>
    </row>
    <row r="153">
      <c r="C153" s="54"/>
      <c r="D153" s="54"/>
      <c r="J153" s="14"/>
      <c r="K153" s="14"/>
    </row>
    <row r="154">
      <c r="C154" s="54"/>
      <c r="D154" s="54"/>
      <c r="J154" s="14"/>
      <c r="K154" s="14"/>
    </row>
    <row r="155">
      <c r="C155" s="54"/>
      <c r="D155" s="54"/>
      <c r="J155" s="14"/>
      <c r="K155" s="14"/>
    </row>
    <row r="156">
      <c r="C156" s="54"/>
      <c r="D156" s="54"/>
      <c r="J156" s="14"/>
      <c r="K156" s="14"/>
    </row>
    <row r="157">
      <c r="C157" s="54"/>
      <c r="D157" s="54"/>
      <c r="J157" s="14"/>
      <c r="K157" s="14"/>
    </row>
    <row r="158">
      <c r="C158" s="54"/>
      <c r="D158" s="54"/>
      <c r="J158" s="14"/>
      <c r="K158" s="14"/>
    </row>
    <row r="159">
      <c r="C159" s="54"/>
      <c r="D159" s="54"/>
      <c r="J159" s="14"/>
      <c r="K159" s="14"/>
    </row>
    <row r="160">
      <c r="C160" s="54"/>
      <c r="D160" s="54"/>
      <c r="J160" s="14"/>
      <c r="K160" s="14"/>
    </row>
    <row r="161">
      <c r="C161" s="54"/>
      <c r="D161" s="54"/>
      <c r="J161" s="14"/>
      <c r="K161" s="14"/>
    </row>
    <row r="162">
      <c r="C162" s="54"/>
      <c r="D162" s="54"/>
      <c r="J162" s="14"/>
      <c r="K162" s="14"/>
    </row>
    <row r="163">
      <c r="C163" s="54"/>
      <c r="D163" s="54"/>
      <c r="J163" s="14"/>
      <c r="K163" s="14"/>
    </row>
    <row r="164">
      <c r="C164" s="54"/>
      <c r="D164" s="54"/>
      <c r="J164" s="14"/>
      <c r="K164" s="14"/>
    </row>
    <row r="165">
      <c r="C165" s="54"/>
      <c r="D165" s="54"/>
      <c r="J165" s="14"/>
      <c r="K165" s="14"/>
    </row>
    <row r="166">
      <c r="C166" s="54"/>
      <c r="D166" s="54"/>
      <c r="J166" s="14"/>
      <c r="K166" s="14"/>
    </row>
    <row r="167">
      <c r="C167" s="54"/>
      <c r="D167" s="54"/>
      <c r="J167" s="14"/>
      <c r="K167" s="14"/>
    </row>
    <row r="168">
      <c r="C168" s="54"/>
      <c r="D168" s="54"/>
      <c r="J168" s="14"/>
      <c r="K168" s="14"/>
    </row>
    <row r="169">
      <c r="C169" s="54"/>
      <c r="D169" s="54"/>
      <c r="J169" s="14"/>
      <c r="K169" s="14"/>
    </row>
    <row r="170">
      <c r="C170" s="54"/>
      <c r="D170" s="54"/>
      <c r="J170" s="14"/>
      <c r="K170" s="14"/>
    </row>
    <row r="171">
      <c r="C171" s="54"/>
      <c r="D171" s="54"/>
      <c r="J171" s="14"/>
      <c r="K171" s="14"/>
    </row>
    <row r="172">
      <c r="C172" s="54"/>
      <c r="D172" s="54"/>
      <c r="J172" s="14"/>
      <c r="K172" s="14"/>
    </row>
    <row r="173">
      <c r="C173" s="54"/>
      <c r="D173" s="54"/>
      <c r="J173" s="14"/>
      <c r="K173" s="14"/>
    </row>
    <row r="174">
      <c r="C174" s="54"/>
      <c r="D174" s="54"/>
      <c r="J174" s="14"/>
      <c r="K174" s="14"/>
    </row>
    <row r="175">
      <c r="C175" s="54"/>
      <c r="D175" s="54"/>
      <c r="J175" s="14"/>
      <c r="K175" s="14"/>
    </row>
    <row r="176">
      <c r="C176" s="54"/>
      <c r="D176" s="54"/>
      <c r="J176" s="14"/>
      <c r="K176" s="14"/>
    </row>
    <row r="177">
      <c r="C177" s="54"/>
      <c r="D177" s="54"/>
      <c r="J177" s="14"/>
      <c r="K177" s="14"/>
    </row>
    <row r="178">
      <c r="C178" s="54"/>
      <c r="D178" s="54"/>
      <c r="J178" s="14"/>
      <c r="K178" s="14"/>
    </row>
    <row r="179">
      <c r="C179" s="54"/>
      <c r="D179" s="54"/>
      <c r="J179" s="14"/>
      <c r="K179" s="14"/>
    </row>
    <row r="180">
      <c r="C180" s="54"/>
      <c r="D180" s="54"/>
      <c r="J180" s="14"/>
      <c r="K180" s="14"/>
    </row>
    <row r="181">
      <c r="C181" s="54"/>
      <c r="D181" s="54"/>
      <c r="J181" s="14"/>
      <c r="K181" s="14"/>
    </row>
    <row r="182">
      <c r="C182" s="54"/>
      <c r="D182" s="54"/>
      <c r="J182" s="14"/>
      <c r="K182" s="14"/>
    </row>
    <row r="183">
      <c r="C183" s="54"/>
      <c r="D183" s="54"/>
      <c r="J183" s="14"/>
      <c r="K183" s="14"/>
    </row>
    <row r="184">
      <c r="C184" s="54"/>
      <c r="D184" s="54"/>
      <c r="J184" s="14"/>
      <c r="K184" s="14"/>
    </row>
    <row r="185">
      <c r="C185" s="54"/>
      <c r="D185" s="54"/>
      <c r="J185" s="14"/>
      <c r="K185" s="14"/>
    </row>
    <row r="186">
      <c r="C186" s="54"/>
      <c r="D186" s="54"/>
      <c r="J186" s="14"/>
      <c r="K186" s="14"/>
    </row>
    <row r="187">
      <c r="C187" s="54"/>
      <c r="D187" s="54"/>
      <c r="J187" s="14"/>
      <c r="K187" s="14"/>
    </row>
    <row r="188">
      <c r="C188" s="54"/>
      <c r="D188" s="54"/>
      <c r="J188" s="14"/>
      <c r="K188" s="14"/>
    </row>
    <row r="189">
      <c r="C189" s="54"/>
      <c r="D189" s="54"/>
      <c r="J189" s="14"/>
      <c r="K189" s="14"/>
    </row>
    <row r="190">
      <c r="C190" s="54"/>
      <c r="D190" s="54"/>
      <c r="J190" s="14"/>
      <c r="K190" s="14"/>
    </row>
    <row r="191">
      <c r="C191" s="54"/>
      <c r="D191" s="54"/>
      <c r="J191" s="14"/>
      <c r="K191" s="14"/>
    </row>
    <row r="192">
      <c r="C192" s="54"/>
      <c r="D192" s="54"/>
      <c r="J192" s="14"/>
      <c r="K192" s="14"/>
    </row>
    <row r="193">
      <c r="C193" s="54"/>
      <c r="D193" s="54"/>
      <c r="J193" s="14"/>
      <c r="K193" s="14"/>
    </row>
    <row r="194">
      <c r="C194" s="54"/>
      <c r="D194" s="54"/>
      <c r="J194" s="14"/>
      <c r="K194" s="14"/>
    </row>
    <row r="195">
      <c r="C195" s="54"/>
      <c r="D195" s="54"/>
      <c r="J195" s="14"/>
      <c r="K195" s="14"/>
    </row>
    <row r="196">
      <c r="C196" s="54"/>
      <c r="D196" s="54"/>
      <c r="J196" s="14"/>
      <c r="K196" s="14"/>
    </row>
    <row r="197">
      <c r="C197" s="54"/>
      <c r="D197" s="54"/>
      <c r="J197" s="14"/>
      <c r="K197" s="14"/>
    </row>
    <row r="198">
      <c r="C198" s="54"/>
      <c r="D198" s="54"/>
      <c r="J198" s="14"/>
      <c r="K198" s="14"/>
    </row>
    <row r="199">
      <c r="C199" s="54"/>
      <c r="D199" s="54"/>
      <c r="J199" s="14"/>
      <c r="K199" s="14"/>
    </row>
    <row r="200">
      <c r="C200" s="54"/>
      <c r="D200" s="54"/>
      <c r="J200" s="14"/>
      <c r="K200" s="14"/>
    </row>
    <row r="201">
      <c r="C201" s="54"/>
      <c r="D201" s="54"/>
      <c r="J201" s="14"/>
      <c r="K201" s="14"/>
    </row>
    <row r="202">
      <c r="C202" s="54"/>
      <c r="D202" s="54"/>
      <c r="J202" s="14"/>
      <c r="K202" s="14"/>
    </row>
    <row r="203">
      <c r="C203" s="54"/>
      <c r="D203" s="54"/>
      <c r="J203" s="14"/>
      <c r="K203" s="14"/>
    </row>
    <row r="204">
      <c r="C204" s="54"/>
      <c r="D204" s="54"/>
      <c r="J204" s="14"/>
      <c r="K204" s="14"/>
    </row>
    <row r="205">
      <c r="C205" s="54"/>
      <c r="D205" s="54"/>
      <c r="J205" s="14"/>
      <c r="K205" s="14"/>
    </row>
    <row r="206">
      <c r="C206" s="54"/>
      <c r="D206" s="54"/>
      <c r="J206" s="14"/>
      <c r="K206" s="14"/>
    </row>
    <row r="207">
      <c r="C207" s="54"/>
      <c r="D207" s="54"/>
      <c r="J207" s="14"/>
      <c r="K207" s="14"/>
    </row>
    <row r="208">
      <c r="C208" s="54"/>
      <c r="D208" s="54"/>
      <c r="J208" s="14"/>
      <c r="K208" s="14"/>
    </row>
    <row r="209">
      <c r="C209" s="54"/>
      <c r="D209" s="54"/>
      <c r="J209" s="14"/>
      <c r="K209" s="14"/>
    </row>
    <row r="210">
      <c r="C210" s="54"/>
      <c r="D210" s="54"/>
      <c r="J210" s="14"/>
      <c r="K210" s="14"/>
    </row>
    <row r="211">
      <c r="C211" s="54"/>
      <c r="D211" s="54"/>
      <c r="J211" s="14"/>
      <c r="K211" s="14"/>
    </row>
    <row r="212">
      <c r="C212" s="54"/>
      <c r="D212" s="54"/>
      <c r="J212" s="14"/>
      <c r="K212" s="14"/>
    </row>
    <row r="213">
      <c r="C213" s="54"/>
      <c r="D213" s="54"/>
      <c r="J213" s="14"/>
      <c r="K213" s="14"/>
    </row>
    <row r="214">
      <c r="C214" s="54"/>
      <c r="D214" s="54"/>
      <c r="J214" s="14"/>
      <c r="K214" s="14"/>
    </row>
    <row r="215">
      <c r="C215" s="54"/>
      <c r="D215" s="54"/>
      <c r="J215" s="14"/>
      <c r="K215" s="14"/>
    </row>
    <row r="216">
      <c r="C216" s="54"/>
      <c r="D216" s="54"/>
      <c r="J216" s="14"/>
      <c r="K216" s="14"/>
    </row>
    <row r="217">
      <c r="C217" s="54"/>
      <c r="D217" s="54"/>
      <c r="J217" s="14"/>
      <c r="K217" s="14"/>
    </row>
    <row r="218">
      <c r="C218" s="54"/>
      <c r="D218" s="54"/>
      <c r="J218" s="14"/>
      <c r="K218" s="14"/>
    </row>
    <row r="219">
      <c r="C219" s="54"/>
      <c r="D219" s="54"/>
      <c r="J219" s="14"/>
      <c r="K219" s="14"/>
    </row>
    <row r="220">
      <c r="C220" s="54"/>
      <c r="D220" s="54"/>
      <c r="J220" s="14"/>
      <c r="K220" s="14"/>
    </row>
    <row r="221">
      <c r="C221" s="54"/>
      <c r="D221" s="54"/>
      <c r="J221" s="14"/>
      <c r="K221" s="14"/>
    </row>
    <row r="222">
      <c r="C222" s="54"/>
      <c r="D222" s="54"/>
      <c r="J222" s="14"/>
      <c r="K222" s="14"/>
    </row>
    <row r="223">
      <c r="C223" s="54"/>
      <c r="D223" s="54"/>
      <c r="J223" s="14"/>
      <c r="K223" s="14"/>
    </row>
    <row r="224">
      <c r="C224" s="54"/>
      <c r="D224" s="54"/>
      <c r="J224" s="14"/>
      <c r="K224" s="14"/>
    </row>
    <row r="225">
      <c r="C225" s="54"/>
      <c r="D225" s="54"/>
      <c r="J225" s="14"/>
      <c r="K225" s="14"/>
    </row>
    <row r="226">
      <c r="C226" s="54"/>
      <c r="D226" s="54"/>
      <c r="J226" s="14"/>
      <c r="K226" s="14"/>
    </row>
    <row r="227">
      <c r="C227" s="54"/>
      <c r="D227" s="54"/>
      <c r="J227" s="14"/>
      <c r="K227" s="14"/>
    </row>
    <row r="228">
      <c r="C228" s="54"/>
      <c r="D228" s="54"/>
      <c r="J228" s="14"/>
      <c r="K228" s="14"/>
    </row>
    <row r="229">
      <c r="C229" s="54"/>
      <c r="D229" s="54"/>
      <c r="J229" s="14"/>
      <c r="K229" s="14"/>
    </row>
    <row r="230">
      <c r="C230" s="54"/>
      <c r="D230" s="54"/>
      <c r="J230" s="14"/>
      <c r="K230" s="14"/>
    </row>
    <row r="231">
      <c r="C231" s="54"/>
      <c r="D231" s="54"/>
      <c r="J231" s="14"/>
      <c r="K231" s="14"/>
    </row>
    <row r="232">
      <c r="C232" s="54"/>
      <c r="D232" s="54"/>
      <c r="J232" s="14"/>
      <c r="K232" s="14"/>
    </row>
    <row r="233">
      <c r="C233" s="54"/>
      <c r="D233" s="54"/>
      <c r="J233" s="14"/>
      <c r="K233" s="14"/>
    </row>
    <row r="234">
      <c r="C234" s="54"/>
      <c r="D234" s="54"/>
      <c r="J234" s="14"/>
      <c r="K234" s="14"/>
    </row>
    <row r="235">
      <c r="C235" s="54"/>
      <c r="D235" s="54"/>
      <c r="J235" s="14"/>
      <c r="K235" s="14"/>
    </row>
    <row r="236">
      <c r="C236" s="54"/>
      <c r="D236" s="54"/>
      <c r="J236" s="14"/>
      <c r="K236" s="14"/>
    </row>
    <row r="237">
      <c r="C237" s="54"/>
      <c r="D237" s="54"/>
      <c r="J237" s="14"/>
      <c r="K237" s="14"/>
    </row>
    <row r="238">
      <c r="C238" s="54"/>
      <c r="D238" s="54"/>
      <c r="J238" s="14"/>
      <c r="K238" s="14"/>
    </row>
    <row r="239">
      <c r="C239" s="54"/>
      <c r="D239" s="54"/>
      <c r="J239" s="14"/>
      <c r="K239" s="14"/>
    </row>
    <row r="240">
      <c r="C240" s="54"/>
      <c r="D240" s="54"/>
      <c r="J240" s="14"/>
      <c r="K240" s="14"/>
    </row>
    <row r="241">
      <c r="C241" s="54"/>
      <c r="D241" s="54"/>
      <c r="J241" s="14"/>
      <c r="K241" s="14"/>
    </row>
    <row r="242">
      <c r="C242" s="54"/>
      <c r="D242" s="54"/>
      <c r="J242" s="14"/>
      <c r="K242" s="14"/>
    </row>
    <row r="243">
      <c r="C243" s="54"/>
      <c r="D243" s="54"/>
      <c r="J243" s="14"/>
      <c r="K243" s="14"/>
    </row>
    <row r="244">
      <c r="C244" s="54"/>
      <c r="D244" s="54"/>
      <c r="J244" s="14"/>
      <c r="K244" s="14"/>
    </row>
    <row r="245">
      <c r="C245" s="54"/>
      <c r="D245" s="54"/>
      <c r="J245" s="14"/>
      <c r="K245" s="14"/>
    </row>
    <row r="246">
      <c r="C246" s="54"/>
      <c r="D246" s="54"/>
      <c r="J246" s="14"/>
      <c r="K246" s="14"/>
    </row>
    <row r="247">
      <c r="C247" s="54"/>
      <c r="D247" s="54"/>
      <c r="J247" s="14"/>
      <c r="K247" s="14"/>
    </row>
    <row r="248">
      <c r="C248" s="54"/>
      <c r="D248" s="54"/>
      <c r="J248" s="14"/>
      <c r="K248" s="14"/>
    </row>
    <row r="249">
      <c r="C249" s="54"/>
      <c r="D249" s="54"/>
      <c r="J249" s="14"/>
      <c r="K249" s="14"/>
    </row>
    <row r="250">
      <c r="C250" s="54"/>
      <c r="D250" s="54"/>
      <c r="J250" s="14"/>
      <c r="K250" s="14"/>
    </row>
    <row r="251">
      <c r="C251" s="54"/>
      <c r="D251" s="54"/>
      <c r="J251" s="14"/>
      <c r="K251" s="14"/>
    </row>
    <row r="252">
      <c r="C252" s="54"/>
      <c r="D252" s="54"/>
      <c r="J252" s="14"/>
      <c r="K252" s="14"/>
    </row>
    <row r="253">
      <c r="C253" s="54"/>
      <c r="D253" s="54"/>
      <c r="J253" s="14"/>
      <c r="K253" s="14"/>
    </row>
    <row r="254">
      <c r="C254" s="54"/>
      <c r="D254" s="54"/>
      <c r="J254" s="14"/>
      <c r="K254" s="14"/>
    </row>
    <row r="255">
      <c r="C255" s="54"/>
      <c r="D255" s="54"/>
      <c r="J255" s="14"/>
      <c r="K255" s="14"/>
    </row>
    <row r="256">
      <c r="C256" s="54"/>
      <c r="D256" s="54"/>
      <c r="J256" s="14"/>
      <c r="K256" s="14"/>
    </row>
    <row r="257">
      <c r="C257" s="54"/>
      <c r="D257" s="54"/>
      <c r="J257" s="14"/>
      <c r="K257" s="14"/>
    </row>
    <row r="258">
      <c r="C258" s="54"/>
      <c r="D258" s="54"/>
      <c r="J258" s="14"/>
      <c r="K258" s="14"/>
    </row>
    <row r="259">
      <c r="C259" s="54"/>
      <c r="D259" s="54"/>
      <c r="J259" s="14"/>
      <c r="K259" s="14"/>
    </row>
    <row r="260">
      <c r="C260" s="54"/>
      <c r="D260" s="54"/>
      <c r="J260" s="14"/>
      <c r="K260" s="14"/>
    </row>
    <row r="261">
      <c r="C261" s="54"/>
      <c r="D261" s="54"/>
      <c r="J261" s="14"/>
      <c r="K261" s="14"/>
    </row>
    <row r="262">
      <c r="C262" s="54"/>
      <c r="D262" s="54"/>
      <c r="J262" s="14"/>
      <c r="K262" s="14"/>
    </row>
    <row r="263">
      <c r="C263" s="54"/>
      <c r="D263" s="54"/>
      <c r="J263" s="14"/>
      <c r="K263" s="14"/>
    </row>
    <row r="264">
      <c r="C264" s="54"/>
      <c r="D264" s="54"/>
      <c r="J264" s="14"/>
      <c r="K264" s="14"/>
    </row>
    <row r="265">
      <c r="C265" s="54"/>
      <c r="D265" s="54"/>
      <c r="J265" s="14"/>
      <c r="K265" s="14"/>
    </row>
    <row r="266">
      <c r="C266" s="54"/>
      <c r="D266" s="54"/>
      <c r="J266" s="14"/>
      <c r="K266" s="14"/>
    </row>
    <row r="267">
      <c r="C267" s="54"/>
      <c r="D267" s="54"/>
      <c r="J267" s="14"/>
      <c r="K267" s="14"/>
    </row>
    <row r="268">
      <c r="C268" s="54"/>
      <c r="D268" s="54"/>
      <c r="J268" s="14"/>
      <c r="K268" s="14"/>
    </row>
    <row r="269">
      <c r="C269" s="54"/>
      <c r="D269" s="54"/>
      <c r="J269" s="14"/>
      <c r="K269" s="14"/>
    </row>
    <row r="270">
      <c r="C270" s="54"/>
      <c r="D270" s="54"/>
      <c r="J270" s="14"/>
      <c r="K270" s="14"/>
    </row>
    <row r="271">
      <c r="C271" s="54"/>
      <c r="D271" s="54"/>
      <c r="J271" s="14"/>
      <c r="K271" s="14"/>
    </row>
    <row r="272">
      <c r="C272" s="54"/>
      <c r="D272" s="54"/>
      <c r="J272" s="14"/>
      <c r="K272" s="14"/>
    </row>
    <row r="273">
      <c r="C273" s="54"/>
      <c r="D273" s="54"/>
      <c r="J273" s="14"/>
      <c r="K273" s="14"/>
    </row>
    <row r="274">
      <c r="C274" s="54"/>
      <c r="D274" s="54"/>
      <c r="J274" s="14"/>
      <c r="K274" s="14"/>
    </row>
    <row r="275">
      <c r="C275" s="54"/>
      <c r="D275" s="54"/>
      <c r="J275" s="14"/>
      <c r="K275" s="14"/>
    </row>
    <row r="276">
      <c r="C276" s="54"/>
      <c r="D276" s="54"/>
      <c r="J276" s="14"/>
      <c r="K276" s="14"/>
    </row>
    <row r="277">
      <c r="C277" s="54"/>
      <c r="D277" s="54"/>
      <c r="J277" s="14"/>
      <c r="K277" s="14"/>
    </row>
    <row r="278">
      <c r="C278" s="54"/>
      <c r="D278" s="54"/>
      <c r="J278" s="14"/>
      <c r="K278" s="14"/>
    </row>
    <row r="279">
      <c r="C279" s="54"/>
      <c r="D279" s="54"/>
      <c r="J279" s="14"/>
      <c r="K279" s="14"/>
    </row>
    <row r="280">
      <c r="C280" s="54"/>
      <c r="D280" s="54"/>
      <c r="J280" s="14"/>
      <c r="K280" s="14"/>
    </row>
    <row r="281">
      <c r="C281" s="54"/>
      <c r="D281" s="54"/>
      <c r="J281" s="14"/>
      <c r="K281" s="14"/>
    </row>
    <row r="282">
      <c r="C282" s="54"/>
      <c r="D282" s="54"/>
      <c r="J282" s="14"/>
      <c r="K282" s="14"/>
    </row>
    <row r="283">
      <c r="C283" s="54"/>
      <c r="D283" s="54"/>
      <c r="J283" s="14"/>
      <c r="K283" s="14"/>
    </row>
    <row r="284">
      <c r="C284" s="54"/>
      <c r="D284" s="54"/>
      <c r="J284" s="14"/>
      <c r="K284" s="14"/>
    </row>
    <row r="285">
      <c r="C285" s="54"/>
      <c r="D285" s="54"/>
      <c r="J285" s="14"/>
      <c r="K285" s="14"/>
    </row>
    <row r="286">
      <c r="C286" s="54"/>
      <c r="D286" s="54"/>
      <c r="J286" s="14"/>
      <c r="K286" s="14"/>
    </row>
    <row r="287">
      <c r="C287" s="54"/>
      <c r="D287" s="54"/>
      <c r="J287" s="14"/>
      <c r="K287" s="14"/>
    </row>
    <row r="288">
      <c r="C288" s="54"/>
      <c r="D288" s="54"/>
      <c r="J288" s="14"/>
      <c r="K288" s="14"/>
    </row>
    <row r="289">
      <c r="C289" s="54"/>
      <c r="D289" s="54"/>
      <c r="J289" s="14"/>
      <c r="K289" s="14"/>
    </row>
    <row r="290">
      <c r="C290" s="54"/>
      <c r="D290" s="54"/>
      <c r="J290" s="14"/>
      <c r="K290" s="14"/>
    </row>
    <row r="291">
      <c r="C291" s="54"/>
      <c r="D291" s="54"/>
      <c r="J291" s="14"/>
      <c r="K291" s="14"/>
    </row>
    <row r="292">
      <c r="C292" s="54"/>
      <c r="D292" s="54"/>
      <c r="J292" s="14"/>
      <c r="K292" s="14"/>
    </row>
    <row r="293">
      <c r="C293" s="54"/>
      <c r="D293" s="54"/>
      <c r="J293" s="14"/>
      <c r="K293" s="14"/>
    </row>
    <row r="294">
      <c r="C294" s="54"/>
      <c r="D294" s="54"/>
      <c r="J294" s="14"/>
      <c r="K294" s="14"/>
    </row>
    <row r="295">
      <c r="C295" s="54"/>
      <c r="D295" s="54"/>
      <c r="J295" s="14"/>
      <c r="K295" s="14"/>
    </row>
    <row r="296">
      <c r="C296" s="54"/>
      <c r="D296" s="54"/>
      <c r="J296" s="14"/>
      <c r="K296" s="14"/>
    </row>
    <row r="297">
      <c r="C297" s="54"/>
      <c r="D297" s="54"/>
      <c r="J297" s="14"/>
      <c r="K297" s="14"/>
    </row>
    <row r="298">
      <c r="C298" s="54"/>
      <c r="D298" s="54"/>
      <c r="J298" s="14"/>
      <c r="K298" s="14"/>
    </row>
    <row r="299">
      <c r="C299" s="54"/>
      <c r="D299" s="54"/>
      <c r="J299" s="14"/>
      <c r="K299" s="14"/>
    </row>
    <row r="300">
      <c r="C300" s="54"/>
      <c r="D300" s="54"/>
      <c r="J300" s="14"/>
      <c r="K300" s="14"/>
    </row>
    <row r="301">
      <c r="C301" s="54"/>
      <c r="D301" s="54"/>
      <c r="J301" s="14"/>
      <c r="K301" s="14"/>
    </row>
    <row r="302">
      <c r="C302" s="54"/>
      <c r="D302" s="54"/>
      <c r="J302" s="14"/>
      <c r="K302" s="14"/>
    </row>
    <row r="303">
      <c r="C303" s="54"/>
      <c r="D303" s="54"/>
      <c r="J303" s="14"/>
      <c r="K303" s="14"/>
    </row>
    <row r="304">
      <c r="C304" s="54"/>
      <c r="D304" s="54"/>
      <c r="J304" s="14"/>
      <c r="K304" s="14"/>
    </row>
    <row r="305">
      <c r="C305" s="54"/>
      <c r="D305" s="54"/>
      <c r="J305" s="14"/>
      <c r="K305" s="14"/>
    </row>
    <row r="306">
      <c r="C306" s="54"/>
      <c r="D306" s="54"/>
      <c r="J306" s="14"/>
      <c r="K306" s="14"/>
    </row>
    <row r="307">
      <c r="C307" s="54"/>
      <c r="D307" s="54"/>
      <c r="J307" s="14"/>
      <c r="K307" s="14"/>
    </row>
    <row r="308">
      <c r="C308" s="54"/>
      <c r="D308" s="54"/>
      <c r="J308" s="14"/>
      <c r="K308" s="14"/>
    </row>
    <row r="309">
      <c r="C309" s="54"/>
      <c r="D309" s="54"/>
      <c r="J309" s="14"/>
      <c r="K309" s="14"/>
    </row>
    <row r="310">
      <c r="C310" s="54"/>
      <c r="D310" s="54"/>
      <c r="J310" s="14"/>
      <c r="K310" s="14"/>
    </row>
    <row r="311">
      <c r="C311" s="54"/>
      <c r="D311" s="54"/>
      <c r="J311" s="14"/>
      <c r="K311" s="14"/>
    </row>
    <row r="312">
      <c r="C312" s="54"/>
      <c r="D312" s="54"/>
      <c r="J312" s="14"/>
      <c r="K312" s="14"/>
    </row>
    <row r="313">
      <c r="C313" s="54"/>
      <c r="D313" s="54"/>
      <c r="J313" s="14"/>
      <c r="K313" s="14"/>
    </row>
    <row r="314">
      <c r="C314" s="54"/>
      <c r="D314" s="54"/>
      <c r="J314" s="14"/>
      <c r="K314" s="14"/>
    </row>
    <row r="315">
      <c r="C315" s="54"/>
      <c r="D315" s="54"/>
      <c r="J315" s="14"/>
      <c r="K315" s="14"/>
    </row>
    <row r="316">
      <c r="C316" s="54"/>
      <c r="D316" s="54"/>
      <c r="J316" s="14"/>
      <c r="K316" s="14"/>
    </row>
    <row r="317">
      <c r="C317" s="54"/>
      <c r="D317" s="54"/>
      <c r="J317" s="14"/>
      <c r="K317" s="14"/>
    </row>
    <row r="318">
      <c r="C318" s="54"/>
      <c r="D318" s="54"/>
      <c r="J318" s="14"/>
      <c r="K318" s="14"/>
    </row>
    <row r="319">
      <c r="C319" s="54"/>
      <c r="D319" s="54"/>
      <c r="J319" s="14"/>
      <c r="K319" s="14"/>
    </row>
    <row r="320">
      <c r="C320" s="54"/>
      <c r="D320" s="54"/>
      <c r="J320" s="14"/>
      <c r="K320" s="14"/>
    </row>
    <row r="321">
      <c r="C321" s="54"/>
      <c r="D321" s="54"/>
      <c r="J321" s="14"/>
      <c r="K321" s="14"/>
    </row>
    <row r="322">
      <c r="C322" s="54"/>
      <c r="D322" s="54"/>
      <c r="J322" s="14"/>
      <c r="K322" s="14"/>
    </row>
    <row r="323">
      <c r="C323" s="54"/>
      <c r="D323" s="54"/>
      <c r="J323" s="14"/>
      <c r="K323" s="14"/>
    </row>
    <row r="324">
      <c r="C324" s="54"/>
      <c r="D324" s="54"/>
      <c r="J324" s="14"/>
      <c r="K324" s="14"/>
    </row>
    <row r="325">
      <c r="C325" s="54"/>
      <c r="D325" s="54"/>
      <c r="J325" s="14"/>
      <c r="K325" s="14"/>
    </row>
    <row r="326">
      <c r="C326" s="54"/>
      <c r="D326" s="54"/>
      <c r="J326" s="14"/>
      <c r="K326" s="14"/>
    </row>
    <row r="327">
      <c r="C327" s="54"/>
      <c r="D327" s="54"/>
      <c r="J327" s="14"/>
      <c r="K327" s="14"/>
    </row>
    <row r="328">
      <c r="C328" s="54"/>
      <c r="D328" s="54"/>
      <c r="J328" s="14"/>
      <c r="K328" s="14"/>
    </row>
    <row r="329">
      <c r="C329" s="54"/>
      <c r="D329" s="54"/>
      <c r="J329" s="14"/>
      <c r="K329" s="14"/>
    </row>
    <row r="330">
      <c r="C330" s="54"/>
      <c r="D330" s="54"/>
      <c r="J330" s="14"/>
      <c r="K330" s="14"/>
    </row>
    <row r="331">
      <c r="C331" s="54"/>
      <c r="D331" s="54"/>
      <c r="J331" s="14"/>
      <c r="K331" s="14"/>
    </row>
    <row r="332">
      <c r="C332" s="54"/>
      <c r="D332" s="54"/>
      <c r="J332" s="14"/>
      <c r="K332" s="14"/>
    </row>
    <row r="333">
      <c r="C333" s="54"/>
      <c r="D333" s="54"/>
      <c r="J333" s="14"/>
      <c r="K333" s="14"/>
    </row>
    <row r="334">
      <c r="C334" s="54"/>
      <c r="D334" s="54"/>
      <c r="J334" s="14"/>
      <c r="K334" s="14"/>
    </row>
    <row r="335">
      <c r="C335" s="54"/>
      <c r="D335" s="54"/>
      <c r="J335" s="14"/>
      <c r="K335" s="14"/>
    </row>
    <row r="336">
      <c r="C336" s="54"/>
      <c r="D336" s="54"/>
      <c r="J336" s="14"/>
      <c r="K336" s="14"/>
    </row>
    <row r="337">
      <c r="C337" s="54"/>
      <c r="D337" s="54"/>
      <c r="J337" s="14"/>
      <c r="K337" s="14"/>
    </row>
    <row r="338">
      <c r="C338" s="54"/>
      <c r="D338" s="54"/>
      <c r="J338" s="14"/>
      <c r="K338" s="14"/>
    </row>
    <row r="339">
      <c r="C339" s="54"/>
      <c r="D339" s="54"/>
      <c r="J339" s="14"/>
      <c r="K339" s="14"/>
    </row>
    <row r="340">
      <c r="C340" s="54"/>
      <c r="D340" s="54"/>
      <c r="J340" s="14"/>
      <c r="K340" s="14"/>
    </row>
    <row r="341">
      <c r="C341" s="54"/>
      <c r="D341" s="54"/>
      <c r="J341" s="14"/>
      <c r="K341" s="14"/>
    </row>
    <row r="342">
      <c r="C342" s="54"/>
      <c r="D342" s="54"/>
      <c r="J342" s="14"/>
      <c r="K342" s="14"/>
    </row>
    <row r="343">
      <c r="C343" s="54"/>
      <c r="D343" s="54"/>
      <c r="J343" s="14"/>
      <c r="K343" s="14"/>
    </row>
    <row r="344">
      <c r="C344" s="54"/>
      <c r="D344" s="54"/>
      <c r="J344" s="14"/>
      <c r="K344" s="14"/>
    </row>
    <row r="345">
      <c r="C345" s="54"/>
      <c r="D345" s="54"/>
      <c r="J345" s="14"/>
      <c r="K345" s="14"/>
    </row>
    <row r="346">
      <c r="C346" s="54"/>
      <c r="D346" s="54"/>
      <c r="J346" s="14"/>
      <c r="K346" s="14"/>
    </row>
    <row r="347">
      <c r="C347" s="54"/>
      <c r="D347" s="54"/>
      <c r="J347" s="14"/>
      <c r="K347" s="14"/>
    </row>
    <row r="348">
      <c r="C348" s="54"/>
      <c r="D348" s="54"/>
      <c r="J348" s="14"/>
      <c r="K348" s="14"/>
    </row>
    <row r="349">
      <c r="C349" s="54"/>
      <c r="D349" s="54"/>
      <c r="J349" s="14"/>
      <c r="K349" s="14"/>
    </row>
    <row r="350">
      <c r="C350" s="54"/>
      <c r="D350" s="54"/>
      <c r="J350" s="14"/>
      <c r="K350" s="14"/>
    </row>
    <row r="351">
      <c r="C351" s="54"/>
      <c r="D351" s="54"/>
      <c r="J351" s="14"/>
      <c r="K351" s="14"/>
    </row>
    <row r="352">
      <c r="C352" s="54"/>
      <c r="D352" s="54"/>
      <c r="J352" s="14"/>
      <c r="K352" s="14"/>
    </row>
    <row r="353">
      <c r="C353" s="54"/>
      <c r="D353" s="54"/>
      <c r="J353" s="14"/>
      <c r="K353" s="14"/>
    </row>
    <row r="354">
      <c r="C354" s="54"/>
      <c r="D354" s="54"/>
      <c r="J354" s="14"/>
      <c r="K354" s="14"/>
    </row>
    <row r="355">
      <c r="C355" s="54"/>
      <c r="D355" s="54"/>
      <c r="J355" s="14"/>
      <c r="K355" s="14"/>
    </row>
    <row r="356">
      <c r="C356" s="54"/>
      <c r="D356" s="54"/>
      <c r="J356" s="14"/>
      <c r="K356" s="14"/>
    </row>
    <row r="357">
      <c r="C357" s="54"/>
      <c r="D357" s="54"/>
      <c r="J357" s="14"/>
      <c r="K357" s="14"/>
    </row>
    <row r="358">
      <c r="C358" s="54"/>
      <c r="D358" s="54"/>
      <c r="J358" s="14"/>
      <c r="K358" s="14"/>
    </row>
    <row r="359">
      <c r="C359" s="54"/>
      <c r="D359" s="54"/>
      <c r="J359" s="14"/>
      <c r="K359" s="14"/>
    </row>
    <row r="360">
      <c r="C360" s="54"/>
      <c r="D360" s="54"/>
      <c r="J360" s="14"/>
      <c r="K360" s="14"/>
    </row>
    <row r="361">
      <c r="C361" s="54"/>
      <c r="D361" s="54"/>
      <c r="J361" s="14"/>
      <c r="K361" s="14"/>
    </row>
    <row r="362">
      <c r="C362" s="54"/>
      <c r="D362" s="54"/>
      <c r="J362" s="14"/>
      <c r="K362" s="14"/>
    </row>
    <row r="363">
      <c r="C363" s="54"/>
      <c r="D363" s="54"/>
      <c r="J363" s="14"/>
      <c r="K363" s="14"/>
    </row>
    <row r="364">
      <c r="C364" s="54"/>
      <c r="D364" s="54"/>
      <c r="J364" s="14"/>
      <c r="K364" s="14"/>
    </row>
    <row r="365">
      <c r="C365" s="54"/>
      <c r="D365" s="54"/>
      <c r="J365" s="14"/>
      <c r="K365" s="14"/>
    </row>
    <row r="366">
      <c r="C366" s="54"/>
      <c r="D366" s="54"/>
      <c r="J366" s="14"/>
      <c r="K366" s="14"/>
    </row>
    <row r="367">
      <c r="C367" s="54"/>
      <c r="D367" s="54"/>
      <c r="J367" s="14"/>
      <c r="K367" s="14"/>
    </row>
    <row r="368">
      <c r="C368" s="54"/>
      <c r="D368" s="54"/>
      <c r="J368" s="14"/>
      <c r="K368" s="14"/>
    </row>
    <row r="369">
      <c r="C369" s="54"/>
      <c r="D369" s="54"/>
      <c r="J369" s="14"/>
      <c r="K369" s="14"/>
    </row>
    <row r="370">
      <c r="C370" s="54"/>
      <c r="D370" s="54"/>
      <c r="J370" s="14"/>
      <c r="K370" s="14"/>
    </row>
    <row r="371">
      <c r="C371" s="54"/>
      <c r="D371" s="54"/>
      <c r="J371" s="14"/>
      <c r="K371" s="14"/>
    </row>
    <row r="372">
      <c r="C372" s="54"/>
      <c r="D372" s="54"/>
      <c r="J372" s="14"/>
      <c r="K372" s="14"/>
    </row>
    <row r="373">
      <c r="C373" s="54"/>
      <c r="D373" s="54"/>
      <c r="J373" s="14"/>
      <c r="K373" s="14"/>
    </row>
    <row r="374">
      <c r="C374" s="54"/>
      <c r="D374" s="54"/>
      <c r="J374" s="14"/>
      <c r="K374" s="14"/>
    </row>
    <row r="375">
      <c r="C375" s="54"/>
      <c r="D375" s="54"/>
      <c r="J375" s="14"/>
      <c r="K375" s="14"/>
    </row>
    <row r="376">
      <c r="C376" s="54"/>
      <c r="D376" s="54"/>
      <c r="J376" s="14"/>
      <c r="K376" s="14"/>
    </row>
    <row r="377">
      <c r="C377" s="54"/>
      <c r="D377" s="54"/>
      <c r="J377" s="14"/>
      <c r="K377" s="14"/>
    </row>
    <row r="378">
      <c r="C378" s="54"/>
      <c r="D378" s="54"/>
      <c r="J378" s="14"/>
      <c r="K378" s="14"/>
    </row>
    <row r="379">
      <c r="C379" s="54"/>
      <c r="D379" s="54"/>
      <c r="J379" s="14"/>
      <c r="K379" s="14"/>
    </row>
    <row r="380">
      <c r="C380" s="54"/>
      <c r="D380" s="54"/>
      <c r="J380" s="14"/>
      <c r="K380" s="14"/>
    </row>
    <row r="381">
      <c r="C381" s="54"/>
      <c r="D381" s="54"/>
      <c r="J381" s="14"/>
      <c r="K381" s="14"/>
    </row>
    <row r="382">
      <c r="C382" s="54"/>
      <c r="D382" s="54"/>
      <c r="J382" s="14"/>
      <c r="K382" s="14"/>
    </row>
    <row r="383">
      <c r="C383" s="54"/>
      <c r="D383" s="54"/>
      <c r="J383" s="14"/>
      <c r="K383" s="14"/>
    </row>
    <row r="384">
      <c r="C384" s="54"/>
      <c r="D384" s="54"/>
      <c r="J384" s="14"/>
      <c r="K384" s="14"/>
    </row>
    <row r="385">
      <c r="C385" s="54"/>
      <c r="D385" s="54"/>
      <c r="J385" s="14"/>
      <c r="K385" s="14"/>
    </row>
    <row r="386">
      <c r="C386" s="54"/>
      <c r="D386" s="54"/>
      <c r="J386" s="14"/>
      <c r="K386" s="14"/>
    </row>
    <row r="387">
      <c r="C387" s="54"/>
      <c r="D387" s="54"/>
      <c r="J387" s="14"/>
      <c r="K387" s="14"/>
    </row>
    <row r="388">
      <c r="C388" s="54"/>
      <c r="D388" s="54"/>
      <c r="J388" s="14"/>
      <c r="K388" s="14"/>
    </row>
    <row r="389">
      <c r="C389" s="54"/>
      <c r="D389" s="54"/>
      <c r="J389" s="14"/>
      <c r="K389" s="14"/>
    </row>
    <row r="390">
      <c r="C390" s="54"/>
      <c r="D390" s="54"/>
      <c r="J390" s="14"/>
      <c r="K390" s="14"/>
    </row>
    <row r="391">
      <c r="C391" s="54"/>
      <c r="D391" s="54"/>
      <c r="J391" s="14"/>
      <c r="K391" s="14"/>
    </row>
    <row r="392">
      <c r="C392" s="54"/>
      <c r="D392" s="54"/>
      <c r="J392" s="14"/>
      <c r="K392" s="14"/>
    </row>
    <row r="393">
      <c r="C393" s="54"/>
      <c r="D393" s="54"/>
      <c r="J393" s="14"/>
      <c r="K393" s="14"/>
    </row>
    <row r="394">
      <c r="C394" s="54"/>
      <c r="D394" s="54"/>
      <c r="J394" s="14"/>
      <c r="K394" s="14"/>
    </row>
    <row r="395">
      <c r="C395" s="54"/>
      <c r="D395" s="54"/>
      <c r="J395" s="14"/>
      <c r="K395" s="14"/>
    </row>
    <row r="396">
      <c r="C396" s="54"/>
      <c r="D396" s="54"/>
      <c r="J396" s="14"/>
      <c r="K396" s="14"/>
    </row>
    <row r="397">
      <c r="C397" s="54"/>
      <c r="D397" s="54"/>
      <c r="J397" s="14"/>
      <c r="K397" s="14"/>
    </row>
    <row r="398">
      <c r="C398" s="54"/>
      <c r="D398" s="54"/>
      <c r="J398" s="14"/>
      <c r="K398" s="14"/>
    </row>
    <row r="399">
      <c r="C399" s="54"/>
      <c r="D399" s="54"/>
      <c r="J399" s="14"/>
      <c r="K399" s="14"/>
    </row>
    <row r="400">
      <c r="C400" s="54"/>
      <c r="D400" s="54"/>
      <c r="J400" s="14"/>
      <c r="K400" s="14"/>
    </row>
    <row r="401">
      <c r="C401" s="54"/>
      <c r="D401" s="54"/>
      <c r="J401" s="14"/>
      <c r="K401" s="14"/>
    </row>
    <row r="402">
      <c r="C402" s="54"/>
      <c r="D402" s="54"/>
      <c r="J402" s="14"/>
      <c r="K402" s="14"/>
    </row>
    <row r="403">
      <c r="C403" s="54"/>
      <c r="D403" s="54"/>
      <c r="J403" s="14"/>
      <c r="K403" s="14"/>
    </row>
    <row r="404">
      <c r="C404" s="54"/>
      <c r="D404" s="54"/>
      <c r="J404" s="14"/>
      <c r="K404" s="14"/>
    </row>
    <row r="405">
      <c r="C405" s="54"/>
      <c r="D405" s="54"/>
      <c r="J405" s="14"/>
      <c r="K405" s="14"/>
    </row>
    <row r="406">
      <c r="C406" s="54"/>
      <c r="D406" s="54"/>
      <c r="J406" s="14"/>
      <c r="K406" s="14"/>
    </row>
    <row r="407">
      <c r="C407" s="54"/>
      <c r="D407" s="54"/>
      <c r="J407" s="14"/>
      <c r="K407" s="14"/>
    </row>
    <row r="408">
      <c r="C408" s="54"/>
      <c r="D408" s="54"/>
      <c r="J408" s="14"/>
      <c r="K408" s="14"/>
    </row>
    <row r="409">
      <c r="C409" s="54"/>
      <c r="D409" s="54"/>
      <c r="J409" s="14"/>
      <c r="K409" s="14"/>
    </row>
    <row r="410">
      <c r="C410" s="54"/>
      <c r="D410" s="54"/>
      <c r="J410" s="14"/>
      <c r="K410" s="14"/>
    </row>
    <row r="411">
      <c r="C411" s="54"/>
      <c r="D411" s="54"/>
      <c r="J411" s="14"/>
      <c r="K411" s="14"/>
    </row>
    <row r="412">
      <c r="C412" s="54"/>
      <c r="D412" s="54"/>
      <c r="J412" s="14"/>
      <c r="K412" s="14"/>
    </row>
    <row r="413">
      <c r="C413" s="54"/>
      <c r="D413" s="54"/>
      <c r="J413" s="14"/>
      <c r="K413" s="14"/>
    </row>
    <row r="414">
      <c r="C414" s="54"/>
      <c r="D414" s="54"/>
      <c r="J414" s="14"/>
      <c r="K414" s="14"/>
    </row>
    <row r="415">
      <c r="C415" s="54"/>
      <c r="D415" s="54"/>
      <c r="J415" s="14"/>
      <c r="K415" s="14"/>
    </row>
    <row r="416">
      <c r="C416" s="54"/>
      <c r="D416" s="54"/>
      <c r="J416" s="14"/>
      <c r="K416" s="14"/>
    </row>
    <row r="417">
      <c r="C417" s="54"/>
      <c r="D417" s="54"/>
      <c r="J417" s="14"/>
      <c r="K417" s="14"/>
    </row>
    <row r="418">
      <c r="C418" s="54"/>
      <c r="D418" s="54"/>
      <c r="J418" s="14"/>
      <c r="K418" s="14"/>
    </row>
    <row r="419">
      <c r="C419" s="54"/>
      <c r="D419" s="54"/>
      <c r="J419" s="14"/>
      <c r="K419" s="14"/>
    </row>
    <row r="420">
      <c r="C420" s="54"/>
      <c r="D420" s="54"/>
      <c r="J420" s="14"/>
      <c r="K420" s="14"/>
    </row>
    <row r="421">
      <c r="C421" s="54"/>
      <c r="D421" s="54"/>
      <c r="J421" s="14"/>
      <c r="K421" s="14"/>
    </row>
    <row r="422">
      <c r="C422" s="54"/>
      <c r="D422" s="54"/>
      <c r="J422" s="14"/>
      <c r="K422" s="14"/>
    </row>
    <row r="423">
      <c r="C423" s="54"/>
      <c r="D423" s="54"/>
      <c r="J423" s="14"/>
      <c r="K423" s="14"/>
    </row>
    <row r="424">
      <c r="C424" s="54"/>
      <c r="D424" s="54"/>
      <c r="J424" s="14"/>
      <c r="K424" s="14"/>
    </row>
    <row r="425">
      <c r="C425" s="54"/>
      <c r="D425" s="54"/>
      <c r="J425" s="14"/>
      <c r="K425" s="14"/>
    </row>
    <row r="426">
      <c r="C426" s="54"/>
      <c r="D426" s="54"/>
      <c r="J426" s="14"/>
      <c r="K426" s="14"/>
    </row>
    <row r="427">
      <c r="C427" s="54"/>
      <c r="D427" s="54"/>
      <c r="J427" s="14"/>
      <c r="K427" s="14"/>
    </row>
    <row r="428">
      <c r="C428" s="54"/>
      <c r="D428" s="54"/>
      <c r="J428" s="14"/>
      <c r="K428" s="14"/>
    </row>
    <row r="429">
      <c r="C429" s="54"/>
      <c r="D429" s="54"/>
      <c r="J429" s="14"/>
      <c r="K429" s="14"/>
    </row>
    <row r="430">
      <c r="C430" s="54"/>
      <c r="D430" s="54"/>
      <c r="J430" s="14"/>
      <c r="K430" s="14"/>
    </row>
    <row r="431">
      <c r="C431" s="54"/>
      <c r="D431" s="54"/>
      <c r="J431" s="14"/>
      <c r="K431" s="14"/>
    </row>
    <row r="432">
      <c r="C432" s="54"/>
      <c r="D432" s="54"/>
      <c r="J432" s="14"/>
      <c r="K432" s="14"/>
    </row>
    <row r="433">
      <c r="C433" s="54"/>
      <c r="D433" s="54"/>
      <c r="J433" s="14"/>
      <c r="K433" s="14"/>
    </row>
    <row r="434">
      <c r="C434" s="54"/>
      <c r="D434" s="54"/>
      <c r="J434" s="14"/>
      <c r="K434" s="14"/>
    </row>
    <row r="435">
      <c r="C435" s="54"/>
      <c r="D435" s="54"/>
      <c r="J435" s="14"/>
      <c r="K435" s="14"/>
    </row>
    <row r="436">
      <c r="C436" s="54"/>
      <c r="D436" s="54"/>
      <c r="J436" s="14"/>
      <c r="K436" s="14"/>
    </row>
    <row r="437">
      <c r="C437" s="54"/>
      <c r="D437" s="54"/>
      <c r="J437" s="14"/>
      <c r="K437" s="14"/>
    </row>
    <row r="438">
      <c r="C438" s="54"/>
      <c r="D438" s="54"/>
      <c r="J438" s="14"/>
      <c r="K438" s="14"/>
    </row>
    <row r="439">
      <c r="C439" s="54"/>
      <c r="D439" s="54"/>
      <c r="J439" s="14"/>
      <c r="K439" s="14"/>
    </row>
    <row r="440">
      <c r="C440" s="54"/>
      <c r="D440" s="54"/>
      <c r="J440" s="14"/>
      <c r="K440" s="14"/>
    </row>
    <row r="441">
      <c r="C441" s="54"/>
      <c r="D441" s="54"/>
      <c r="J441" s="14"/>
      <c r="K441" s="14"/>
    </row>
    <row r="442">
      <c r="C442" s="54"/>
      <c r="D442" s="54"/>
      <c r="J442" s="14"/>
      <c r="K442" s="14"/>
    </row>
    <row r="443">
      <c r="C443" s="54"/>
      <c r="D443" s="54"/>
      <c r="J443" s="14"/>
      <c r="K443" s="14"/>
    </row>
    <row r="444">
      <c r="C444" s="54"/>
      <c r="D444" s="54"/>
      <c r="J444" s="14"/>
      <c r="K444" s="14"/>
    </row>
    <row r="445">
      <c r="C445" s="54"/>
      <c r="D445" s="54"/>
      <c r="J445" s="14"/>
      <c r="K445" s="14"/>
    </row>
    <row r="446">
      <c r="C446" s="54"/>
      <c r="D446" s="54"/>
      <c r="J446" s="14"/>
      <c r="K446" s="14"/>
    </row>
    <row r="447">
      <c r="C447" s="54"/>
      <c r="D447" s="54"/>
      <c r="J447" s="14"/>
      <c r="K447" s="14"/>
    </row>
    <row r="448">
      <c r="C448" s="54"/>
      <c r="D448" s="54"/>
      <c r="J448" s="14"/>
      <c r="K448" s="14"/>
    </row>
    <row r="449">
      <c r="C449" s="54"/>
      <c r="D449" s="54"/>
      <c r="J449" s="14"/>
      <c r="K449" s="14"/>
    </row>
    <row r="450">
      <c r="C450" s="54"/>
      <c r="D450" s="54"/>
      <c r="J450" s="14"/>
      <c r="K450" s="14"/>
    </row>
    <row r="451">
      <c r="C451" s="54"/>
      <c r="D451" s="54"/>
      <c r="J451" s="14"/>
      <c r="K451" s="14"/>
    </row>
    <row r="452">
      <c r="C452" s="54"/>
      <c r="D452" s="54"/>
      <c r="J452" s="14"/>
      <c r="K452" s="14"/>
    </row>
    <row r="453">
      <c r="C453" s="54"/>
      <c r="D453" s="54"/>
      <c r="J453" s="14"/>
      <c r="K453" s="14"/>
    </row>
    <row r="454">
      <c r="C454" s="54"/>
      <c r="D454" s="54"/>
      <c r="J454" s="14"/>
      <c r="K454" s="14"/>
    </row>
    <row r="455">
      <c r="C455" s="54"/>
      <c r="D455" s="54"/>
      <c r="J455" s="14"/>
      <c r="K455" s="14"/>
    </row>
    <row r="456">
      <c r="C456" s="54"/>
      <c r="D456" s="54"/>
      <c r="J456" s="14"/>
      <c r="K456" s="14"/>
    </row>
    <row r="457">
      <c r="C457" s="54"/>
      <c r="D457" s="54"/>
      <c r="J457" s="14"/>
      <c r="K457" s="14"/>
    </row>
    <row r="458">
      <c r="C458" s="54"/>
      <c r="D458" s="54"/>
      <c r="J458" s="14"/>
      <c r="K458" s="14"/>
    </row>
    <row r="459">
      <c r="C459" s="54"/>
      <c r="D459" s="54"/>
      <c r="J459" s="14"/>
      <c r="K459" s="14"/>
    </row>
    <row r="460">
      <c r="C460" s="54"/>
      <c r="D460" s="54"/>
      <c r="J460" s="14"/>
      <c r="K460" s="14"/>
    </row>
    <row r="461">
      <c r="C461" s="54"/>
      <c r="D461" s="54"/>
      <c r="J461" s="14"/>
      <c r="K461" s="14"/>
    </row>
    <row r="462">
      <c r="C462" s="54"/>
      <c r="D462" s="54"/>
      <c r="J462" s="14"/>
      <c r="K462" s="14"/>
    </row>
    <row r="463">
      <c r="C463" s="54"/>
      <c r="D463" s="54"/>
      <c r="J463" s="14"/>
      <c r="K463" s="14"/>
    </row>
    <row r="464">
      <c r="C464" s="54"/>
      <c r="D464" s="54"/>
      <c r="J464" s="14"/>
      <c r="K464" s="14"/>
    </row>
    <row r="465">
      <c r="C465" s="54"/>
      <c r="D465" s="54"/>
      <c r="J465" s="14"/>
      <c r="K465" s="14"/>
    </row>
    <row r="466">
      <c r="C466" s="54"/>
      <c r="D466" s="54"/>
      <c r="J466" s="14"/>
      <c r="K466" s="14"/>
    </row>
    <row r="467">
      <c r="C467" s="54"/>
      <c r="D467" s="54"/>
      <c r="J467" s="14"/>
      <c r="K467" s="14"/>
    </row>
    <row r="468">
      <c r="C468" s="54"/>
      <c r="D468" s="54"/>
      <c r="J468" s="14"/>
      <c r="K468" s="14"/>
    </row>
    <row r="469">
      <c r="C469" s="54"/>
      <c r="D469" s="54"/>
      <c r="J469" s="14"/>
      <c r="K469" s="14"/>
    </row>
    <row r="470">
      <c r="C470" s="54"/>
      <c r="D470" s="54"/>
      <c r="J470" s="14"/>
      <c r="K470" s="14"/>
    </row>
    <row r="471">
      <c r="C471" s="54"/>
      <c r="D471" s="54"/>
      <c r="J471" s="14"/>
      <c r="K471" s="14"/>
    </row>
    <row r="472">
      <c r="C472" s="54"/>
      <c r="D472" s="54"/>
      <c r="J472" s="14"/>
      <c r="K472" s="14"/>
    </row>
    <row r="473">
      <c r="C473" s="54"/>
      <c r="D473" s="54"/>
      <c r="J473" s="14"/>
      <c r="K473" s="14"/>
    </row>
    <row r="474">
      <c r="C474" s="54"/>
      <c r="D474" s="54"/>
      <c r="J474" s="14"/>
      <c r="K474" s="14"/>
    </row>
    <row r="475">
      <c r="C475" s="54"/>
      <c r="D475" s="54"/>
      <c r="J475" s="14"/>
      <c r="K475" s="14"/>
    </row>
    <row r="476">
      <c r="C476" s="54"/>
      <c r="D476" s="54"/>
      <c r="J476" s="14"/>
      <c r="K476" s="14"/>
    </row>
    <row r="477">
      <c r="C477" s="54"/>
      <c r="D477" s="54"/>
      <c r="J477" s="14"/>
      <c r="K477" s="14"/>
    </row>
    <row r="478">
      <c r="C478" s="54"/>
      <c r="D478" s="54"/>
      <c r="J478" s="14"/>
      <c r="K478" s="14"/>
    </row>
    <row r="479">
      <c r="C479" s="54"/>
      <c r="D479" s="54"/>
      <c r="J479" s="14"/>
      <c r="K479" s="14"/>
    </row>
    <row r="480">
      <c r="C480" s="54"/>
      <c r="D480" s="54"/>
      <c r="J480" s="14"/>
      <c r="K480" s="14"/>
    </row>
    <row r="481">
      <c r="C481" s="54"/>
      <c r="D481" s="54"/>
      <c r="J481" s="14"/>
      <c r="K481" s="14"/>
    </row>
    <row r="482">
      <c r="C482" s="54"/>
      <c r="D482" s="54"/>
      <c r="J482" s="14"/>
      <c r="K482" s="14"/>
    </row>
    <row r="483">
      <c r="C483" s="54"/>
      <c r="D483" s="54"/>
      <c r="J483" s="14"/>
      <c r="K483" s="14"/>
    </row>
    <row r="484">
      <c r="C484" s="54"/>
      <c r="D484" s="54"/>
      <c r="J484" s="14"/>
      <c r="K484" s="14"/>
    </row>
    <row r="485">
      <c r="C485" s="54"/>
      <c r="D485" s="54"/>
      <c r="J485" s="14"/>
      <c r="K485" s="14"/>
    </row>
    <row r="486">
      <c r="C486" s="54"/>
      <c r="D486" s="54"/>
      <c r="J486" s="14"/>
      <c r="K486" s="14"/>
    </row>
    <row r="487">
      <c r="C487" s="54"/>
      <c r="D487" s="54"/>
      <c r="J487" s="14"/>
      <c r="K487" s="14"/>
    </row>
    <row r="488">
      <c r="C488" s="54"/>
      <c r="D488" s="54"/>
      <c r="J488" s="14"/>
      <c r="K488" s="14"/>
    </row>
    <row r="489">
      <c r="C489" s="54"/>
      <c r="D489" s="54"/>
      <c r="J489" s="14"/>
      <c r="K489" s="14"/>
    </row>
    <row r="490">
      <c r="C490" s="54"/>
      <c r="D490" s="54"/>
      <c r="J490" s="14"/>
      <c r="K490" s="14"/>
    </row>
    <row r="491">
      <c r="C491" s="54"/>
      <c r="D491" s="54"/>
      <c r="J491" s="14"/>
      <c r="K491" s="14"/>
    </row>
    <row r="492">
      <c r="C492" s="54"/>
      <c r="D492" s="54"/>
      <c r="J492" s="14"/>
      <c r="K492" s="14"/>
    </row>
    <row r="493">
      <c r="C493" s="54"/>
      <c r="D493" s="54"/>
      <c r="J493" s="14"/>
      <c r="K493" s="14"/>
    </row>
    <row r="494">
      <c r="C494" s="54"/>
      <c r="D494" s="54"/>
      <c r="J494" s="14"/>
      <c r="K494" s="14"/>
    </row>
    <row r="495">
      <c r="C495" s="54"/>
      <c r="D495" s="54"/>
      <c r="J495" s="14"/>
      <c r="K495" s="14"/>
    </row>
    <row r="496">
      <c r="C496" s="54"/>
      <c r="D496" s="54"/>
      <c r="J496" s="14"/>
      <c r="K496" s="14"/>
    </row>
    <row r="497">
      <c r="C497" s="54"/>
      <c r="D497" s="54"/>
      <c r="J497" s="14"/>
      <c r="K497" s="14"/>
    </row>
    <row r="498">
      <c r="C498" s="54"/>
      <c r="D498" s="54"/>
      <c r="J498" s="14"/>
      <c r="K498" s="14"/>
    </row>
    <row r="499">
      <c r="C499" s="54"/>
      <c r="D499" s="54"/>
      <c r="J499" s="14"/>
      <c r="K499" s="14"/>
    </row>
    <row r="500">
      <c r="C500" s="54"/>
      <c r="D500" s="54"/>
      <c r="J500" s="14"/>
      <c r="K500" s="14"/>
    </row>
    <row r="501">
      <c r="C501" s="54"/>
      <c r="D501" s="54"/>
      <c r="J501" s="14"/>
      <c r="K501" s="14"/>
    </row>
    <row r="502">
      <c r="C502" s="54"/>
      <c r="D502" s="54"/>
      <c r="J502" s="14"/>
      <c r="K502" s="14"/>
    </row>
    <row r="503">
      <c r="C503" s="54"/>
      <c r="D503" s="54"/>
      <c r="J503" s="14"/>
      <c r="K503" s="14"/>
    </row>
    <row r="504">
      <c r="C504" s="54"/>
      <c r="D504" s="54"/>
      <c r="J504" s="14"/>
      <c r="K504" s="14"/>
    </row>
    <row r="505">
      <c r="C505" s="54"/>
      <c r="D505" s="54"/>
      <c r="J505" s="14"/>
      <c r="K505" s="14"/>
    </row>
    <row r="506">
      <c r="C506" s="54"/>
      <c r="D506" s="54"/>
      <c r="J506" s="14"/>
      <c r="K506" s="14"/>
    </row>
    <row r="507">
      <c r="C507" s="54"/>
      <c r="D507" s="54"/>
      <c r="J507" s="14"/>
      <c r="K507" s="14"/>
    </row>
    <row r="508">
      <c r="C508" s="54"/>
      <c r="D508" s="54"/>
      <c r="J508" s="14"/>
      <c r="K508" s="14"/>
    </row>
    <row r="509">
      <c r="C509" s="54"/>
      <c r="D509" s="54"/>
      <c r="J509" s="14"/>
      <c r="K509" s="14"/>
    </row>
    <row r="510">
      <c r="C510" s="54"/>
      <c r="D510" s="54"/>
      <c r="J510" s="14"/>
      <c r="K510" s="14"/>
    </row>
    <row r="511">
      <c r="C511" s="54"/>
      <c r="D511" s="54"/>
      <c r="J511" s="14"/>
      <c r="K511" s="14"/>
    </row>
    <row r="512">
      <c r="C512" s="54"/>
      <c r="D512" s="54"/>
      <c r="J512" s="14"/>
      <c r="K512" s="14"/>
    </row>
    <row r="513">
      <c r="C513" s="54"/>
      <c r="D513" s="54"/>
      <c r="J513" s="14"/>
      <c r="K513" s="14"/>
    </row>
    <row r="514">
      <c r="C514" s="54"/>
      <c r="D514" s="54"/>
      <c r="J514" s="14"/>
      <c r="K514" s="14"/>
    </row>
    <row r="515">
      <c r="C515" s="54"/>
      <c r="D515" s="54"/>
      <c r="J515" s="14"/>
      <c r="K515" s="14"/>
    </row>
    <row r="516">
      <c r="C516" s="54"/>
      <c r="D516" s="54"/>
      <c r="J516" s="14"/>
      <c r="K516" s="14"/>
    </row>
    <row r="517">
      <c r="C517" s="54"/>
      <c r="D517" s="54"/>
      <c r="J517" s="14"/>
      <c r="K517" s="14"/>
    </row>
    <row r="518">
      <c r="C518" s="54"/>
      <c r="D518" s="54"/>
      <c r="J518" s="14"/>
      <c r="K518" s="14"/>
    </row>
    <row r="519">
      <c r="C519" s="54"/>
      <c r="D519" s="54"/>
      <c r="J519" s="14"/>
      <c r="K519" s="14"/>
    </row>
    <row r="520">
      <c r="C520" s="54"/>
      <c r="D520" s="54"/>
      <c r="J520" s="14"/>
      <c r="K520" s="14"/>
    </row>
    <row r="521">
      <c r="C521" s="54"/>
      <c r="D521" s="54"/>
      <c r="J521" s="14"/>
      <c r="K521" s="14"/>
    </row>
    <row r="522">
      <c r="C522" s="54"/>
      <c r="D522" s="54"/>
      <c r="J522" s="14"/>
      <c r="K522" s="14"/>
    </row>
    <row r="523">
      <c r="C523" s="54"/>
      <c r="D523" s="54"/>
      <c r="J523" s="14"/>
      <c r="K523" s="14"/>
    </row>
    <row r="524">
      <c r="C524" s="54"/>
      <c r="D524" s="54"/>
      <c r="J524" s="14"/>
      <c r="K524" s="14"/>
    </row>
    <row r="525">
      <c r="C525" s="54"/>
      <c r="D525" s="54"/>
      <c r="J525" s="14"/>
      <c r="K525" s="14"/>
    </row>
    <row r="526">
      <c r="C526" s="54"/>
      <c r="D526" s="54"/>
      <c r="J526" s="14"/>
      <c r="K526" s="14"/>
    </row>
    <row r="527">
      <c r="C527" s="54"/>
      <c r="D527" s="54"/>
      <c r="J527" s="14"/>
      <c r="K527" s="14"/>
    </row>
    <row r="528">
      <c r="C528" s="54"/>
      <c r="D528" s="54"/>
      <c r="J528" s="14"/>
      <c r="K528" s="14"/>
    </row>
    <row r="529">
      <c r="C529" s="54"/>
      <c r="D529" s="54"/>
      <c r="J529" s="14"/>
      <c r="K529" s="14"/>
    </row>
    <row r="530">
      <c r="C530" s="54"/>
      <c r="D530" s="54"/>
      <c r="J530" s="14"/>
      <c r="K530" s="14"/>
    </row>
    <row r="531">
      <c r="C531" s="54"/>
      <c r="D531" s="54"/>
      <c r="J531" s="14"/>
      <c r="K531" s="14"/>
    </row>
    <row r="532">
      <c r="C532" s="54"/>
      <c r="D532" s="54"/>
      <c r="J532" s="14"/>
      <c r="K532" s="14"/>
    </row>
    <row r="533">
      <c r="C533" s="54"/>
      <c r="D533" s="54"/>
      <c r="J533" s="14"/>
      <c r="K533" s="14"/>
    </row>
    <row r="534">
      <c r="C534" s="54"/>
      <c r="D534" s="54"/>
      <c r="J534" s="14"/>
      <c r="K534" s="14"/>
    </row>
    <row r="535">
      <c r="C535" s="54"/>
      <c r="D535" s="54"/>
      <c r="J535" s="14"/>
      <c r="K535" s="14"/>
    </row>
    <row r="536">
      <c r="C536" s="54"/>
      <c r="D536" s="54"/>
      <c r="J536" s="14"/>
      <c r="K536" s="14"/>
    </row>
    <row r="537">
      <c r="C537" s="54"/>
      <c r="D537" s="54"/>
      <c r="J537" s="14"/>
      <c r="K537" s="14"/>
    </row>
    <row r="538">
      <c r="C538" s="54"/>
      <c r="D538" s="54"/>
      <c r="J538" s="14"/>
      <c r="K538" s="14"/>
    </row>
    <row r="539">
      <c r="C539" s="54"/>
      <c r="D539" s="54"/>
      <c r="J539" s="14"/>
      <c r="K539" s="14"/>
    </row>
    <row r="540">
      <c r="C540" s="54"/>
      <c r="D540" s="54"/>
      <c r="J540" s="14"/>
      <c r="K540" s="14"/>
    </row>
    <row r="541">
      <c r="C541" s="54"/>
      <c r="D541" s="54"/>
      <c r="J541" s="14"/>
      <c r="K541" s="14"/>
    </row>
    <row r="542">
      <c r="C542" s="54"/>
      <c r="D542" s="54"/>
      <c r="J542" s="14"/>
      <c r="K542" s="14"/>
    </row>
    <row r="543">
      <c r="C543" s="54"/>
      <c r="D543" s="54"/>
      <c r="J543" s="14"/>
      <c r="K543" s="14"/>
    </row>
    <row r="544">
      <c r="C544" s="54"/>
      <c r="D544" s="54"/>
      <c r="J544" s="14"/>
      <c r="K544" s="14"/>
    </row>
    <row r="545">
      <c r="C545" s="54"/>
      <c r="D545" s="54"/>
      <c r="J545" s="14"/>
      <c r="K545" s="14"/>
    </row>
    <row r="546">
      <c r="C546" s="54"/>
      <c r="D546" s="54"/>
      <c r="J546" s="14"/>
      <c r="K546" s="14"/>
    </row>
    <row r="547">
      <c r="C547" s="54"/>
      <c r="D547" s="54"/>
      <c r="J547" s="14"/>
      <c r="K547" s="14"/>
    </row>
    <row r="548">
      <c r="C548" s="54"/>
      <c r="D548" s="54"/>
      <c r="J548" s="14"/>
      <c r="K548" s="14"/>
    </row>
    <row r="549">
      <c r="C549" s="54"/>
      <c r="D549" s="54"/>
      <c r="J549" s="14"/>
      <c r="K549" s="14"/>
    </row>
    <row r="550">
      <c r="C550" s="54"/>
      <c r="D550" s="54"/>
      <c r="J550" s="14"/>
      <c r="K550" s="14"/>
    </row>
    <row r="551">
      <c r="C551" s="54"/>
      <c r="D551" s="54"/>
      <c r="J551" s="14"/>
      <c r="K551" s="14"/>
    </row>
    <row r="552">
      <c r="C552" s="54"/>
      <c r="D552" s="54"/>
      <c r="J552" s="14"/>
      <c r="K552" s="14"/>
    </row>
    <row r="553">
      <c r="C553" s="54"/>
      <c r="D553" s="54"/>
      <c r="J553" s="14"/>
      <c r="K553" s="14"/>
    </row>
    <row r="554">
      <c r="C554" s="54"/>
      <c r="D554" s="54"/>
      <c r="J554" s="14"/>
      <c r="K554" s="14"/>
    </row>
    <row r="555">
      <c r="C555" s="54"/>
      <c r="D555" s="54"/>
      <c r="J555" s="14"/>
      <c r="K555" s="14"/>
    </row>
    <row r="556">
      <c r="C556" s="54"/>
      <c r="D556" s="54"/>
      <c r="J556" s="14"/>
      <c r="K556" s="14"/>
    </row>
    <row r="557">
      <c r="C557" s="54"/>
      <c r="D557" s="54"/>
      <c r="J557" s="14"/>
      <c r="K557" s="14"/>
    </row>
    <row r="558">
      <c r="C558" s="54"/>
      <c r="D558" s="54"/>
      <c r="J558" s="14"/>
      <c r="K558" s="14"/>
    </row>
    <row r="559">
      <c r="C559" s="54"/>
      <c r="D559" s="54"/>
      <c r="J559" s="14"/>
      <c r="K559" s="14"/>
    </row>
    <row r="560">
      <c r="C560" s="54"/>
      <c r="D560" s="54"/>
      <c r="J560" s="14"/>
      <c r="K560" s="14"/>
    </row>
    <row r="561">
      <c r="C561" s="54"/>
      <c r="D561" s="54"/>
      <c r="J561" s="14"/>
      <c r="K561" s="14"/>
    </row>
    <row r="562">
      <c r="C562" s="54"/>
      <c r="D562" s="54"/>
      <c r="J562" s="14"/>
      <c r="K562" s="14"/>
    </row>
    <row r="563">
      <c r="C563" s="54"/>
      <c r="D563" s="54"/>
      <c r="J563" s="14"/>
      <c r="K563" s="14"/>
    </row>
    <row r="564">
      <c r="C564" s="54"/>
      <c r="D564" s="54"/>
      <c r="J564" s="14"/>
      <c r="K564" s="14"/>
    </row>
    <row r="565">
      <c r="C565" s="54"/>
      <c r="D565" s="54"/>
      <c r="J565" s="14"/>
      <c r="K565" s="14"/>
    </row>
    <row r="566">
      <c r="C566" s="54"/>
      <c r="D566" s="54"/>
      <c r="J566" s="14"/>
      <c r="K566" s="14"/>
    </row>
    <row r="567">
      <c r="C567" s="54"/>
      <c r="D567" s="54"/>
      <c r="J567" s="14"/>
      <c r="K567" s="14"/>
    </row>
    <row r="568">
      <c r="C568" s="54"/>
      <c r="D568" s="54"/>
      <c r="J568" s="14"/>
      <c r="K568" s="14"/>
    </row>
    <row r="569">
      <c r="C569" s="54"/>
      <c r="D569" s="54"/>
      <c r="J569" s="14"/>
      <c r="K569" s="14"/>
    </row>
    <row r="570">
      <c r="C570" s="54"/>
      <c r="D570" s="54"/>
      <c r="J570" s="14"/>
      <c r="K570" s="14"/>
    </row>
    <row r="571">
      <c r="C571" s="54"/>
      <c r="D571" s="54"/>
      <c r="J571" s="14"/>
      <c r="K571" s="14"/>
    </row>
    <row r="572">
      <c r="C572" s="54"/>
      <c r="D572" s="54"/>
      <c r="J572" s="14"/>
      <c r="K572" s="14"/>
    </row>
    <row r="573">
      <c r="C573" s="54"/>
      <c r="D573" s="54"/>
      <c r="J573" s="14"/>
      <c r="K573" s="14"/>
    </row>
    <row r="574">
      <c r="C574" s="54"/>
      <c r="D574" s="54"/>
      <c r="J574" s="14"/>
      <c r="K574" s="14"/>
    </row>
    <row r="575">
      <c r="C575" s="54"/>
      <c r="D575" s="54"/>
      <c r="J575" s="14"/>
      <c r="K575" s="14"/>
    </row>
    <row r="576">
      <c r="C576" s="54"/>
      <c r="D576" s="54"/>
      <c r="J576" s="14"/>
      <c r="K576" s="14"/>
    </row>
    <row r="577">
      <c r="C577" s="54"/>
      <c r="D577" s="54"/>
      <c r="J577" s="14"/>
      <c r="K577" s="14"/>
    </row>
    <row r="578">
      <c r="C578" s="54"/>
      <c r="D578" s="54"/>
      <c r="J578" s="14"/>
      <c r="K578" s="14"/>
    </row>
    <row r="579">
      <c r="C579" s="54"/>
      <c r="D579" s="54"/>
      <c r="J579" s="14"/>
      <c r="K579" s="14"/>
    </row>
    <row r="580">
      <c r="C580" s="54"/>
      <c r="D580" s="54"/>
      <c r="J580" s="14"/>
      <c r="K580" s="14"/>
    </row>
    <row r="581">
      <c r="C581" s="54"/>
      <c r="D581" s="54"/>
      <c r="J581" s="14"/>
      <c r="K581" s="14"/>
    </row>
    <row r="582">
      <c r="C582" s="54"/>
      <c r="D582" s="54"/>
      <c r="J582" s="14"/>
      <c r="K582" s="14"/>
    </row>
    <row r="583">
      <c r="C583" s="54"/>
      <c r="D583" s="54"/>
      <c r="J583" s="14"/>
      <c r="K583" s="14"/>
    </row>
    <row r="584">
      <c r="C584" s="54"/>
      <c r="D584" s="54"/>
      <c r="J584" s="14"/>
      <c r="K584" s="14"/>
    </row>
    <row r="585">
      <c r="C585" s="54"/>
      <c r="D585" s="54"/>
      <c r="J585" s="14"/>
      <c r="K585" s="14"/>
    </row>
    <row r="586">
      <c r="C586" s="54"/>
      <c r="D586" s="54"/>
      <c r="J586" s="14"/>
      <c r="K586" s="14"/>
    </row>
    <row r="587">
      <c r="C587" s="54"/>
      <c r="D587" s="54"/>
      <c r="J587" s="14"/>
      <c r="K587" s="14"/>
    </row>
    <row r="588">
      <c r="C588" s="54"/>
      <c r="D588" s="54"/>
      <c r="J588" s="14"/>
      <c r="K588" s="14"/>
    </row>
    <row r="589">
      <c r="C589" s="54"/>
      <c r="D589" s="54"/>
      <c r="J589" s="14"/>
      <c r="K589" s="14"/>
    </row>
    <row r="590">
      <c r="C590" s="54"/>
      <c r="D590" s="54"/>
      <c r="J590" s="14"/>
      <c r="K590" s="14"/>
    </row>
    <row r="591">
      <c r="C591" s="54"/>
      <c r="D591" s="54"/>
      <c r="J591" s="14"/>
      <c r="K591" s="14"/>
    </row>
    <row r="592">
      <c r="C592" s="54"/>
      <c r="D592" s="54"/>
      <c r="J592" s="14"/>
      <c r="K592" s="14"/>
    </row>
    <row r="593">
      <c r="C593" s="54"/>
      <c r="D593" s="54"/>
      <c r="J593" s="14"/>
      <c r="K593" s="14"/>
    </row>
    <row r="594">
      <c r="C594" s="54"/>
      <c r="D594" s="54"/>
      <c r="J594" s="14"/>
      <c r="K594" s="14"/>
    </row>
    <row r="595">
      <c r="C595" s="54"/>
      <c r="D595" s="54"/>
      <c r="J595" s="14"/>
      <c r="K595" s="14"/>
    </row>
    <row r="596">
      <c r="C596" s="54"/>
      <c r="D596" s="54"/>
      <c r="J596" s="14"/>
      <c r="K596" s="14"/>
    </row>
    <row r="597">
      <c r="C597" s="54"/>
      <c r="D597" s="54"/>
      <c r="J597" s="14"/>
      <c r="K597" s="14"/>
    </row>
    <row r="598">
      <c r="C598" s="54"/>
      <c r="D598" s="54"/>
      <c r="J598" s="14"/>
      <c r="K598" s="14"/>
    </row>
    <row r="599">
      <c r="C599" s="54"/>
      <c r="D599" s="54"/>
      <c r="J599" s="14"/>
      <c r="K599" s="14"/>
    </row>
    <row r="600">
      <c r="C600" s="54"/>
      <c r="D600" s="54"/>
      <c r="J600" s="14"/>
      <c r="K600" s="14"/>
    </row>
    <row r="601">
      <c r="C601" s="54"/>
      <c r="D601" s="54"/>
      <c r="J601" s="14"/>
      <c r="K601" s="14"/>
    </row>
    <row r="602">
      <c r="C602" s="54"/>
      <c r="D602" s="54"/>
      <c r="J602" s="14"/>
      <c r="K602" s="14"/>
    </row>
    <row r="603">
      <c r="C603" s="54"/>
      <c r="D603" s="54"/>
      <c r="J603" s="14"/>
      <c r="K603" s="14"/>
    </row>
    <row r="604">
      <c r="C604" s="54"/>
      <c r="D604" s="54"/>
      <c r="J604" s="14"/>
      <c r="K604" s="14"/>
    </row>
    <row r="605">
      <c r="C605" s="54"/>
      <c r="D605" s="54"/>
      <c r="J605" s="14"/>
      <c r="K605" s="14"/>
    </row>
    <row r="606">
      <c r="C606" s="54"/>
      <c r="D606" s="54"/>
      <c r="J606" s="14"/>
      <c r="K606" s="14"/>
    </row>
    <row r="607">
      <c r="C607" s="54"/>
      <c r="D607" s="54"/>
      <c r="J607" s="14"/>
      <c r="K607" s="14"/>
    </row>
    <row r="608">
      <c r="C608" s="54"/>
      <c r="D608" s="54"/>
      <c r="J608" s="14"/>
      <c r="K608" s="14"/>
    </row>
    <row r="609">
      <c r="C609" s="54"/>
      <c r="D609" s="54"/>
      <c r="J609" s="14"/>
      <c r="K609" s="14"/>
    </row>
    <row r="610">
      <c r="C610" s="54"/>
      <c r="D610" s="54"/>
      <c r="J610" s="14"/>
      <c r="K610" s="14"/>
    </row>
    <row r="611">
      <c r="C611" s="54"/>
      <c r="D611" s="54"/>
      <c r="J611" s="14"/>
      <c r="K611" s="14"/>
    </row>
    <row r="612">
      <c r="C612" s="54"/>
      <c r="D612" s="54"/>
      <c r="J612" s="14"/>
      <c r="K612" s="14"/>
    </row>
    <row r="613">
      <c r="C613" s="54"/>
      <c r="D613" s="54"/>
      <c r="J613" s="14"/>
      <c r="K613" s="14"/>
    </row>
    <row r="614">
      <c r="C614" s="54"/>
      <c r="D614" s="54"/>
      <c r="J614" s="14"/>
      <c r="K614" s="14"/>
    </row>
    <row r="615">
      <c r="C615" s="54"/>
      <c r="D615" s="54"/>
      <c r="J615" s="14"/>
      <c r="K615" s="14"/>
    </row>
    <row r="616">
      <c r="C616" s="54"/>
      <c r="D616" s="54"/>
      <c r="J616" s="14"/>
      <c r="K616" s="14"/>
    </row>
    <row r="617">
      <c r="C617" s="54"/>
      <c r="D617" s="54"/>
      <c r="J617" s="14"/>
      <c r="K617" s="14"/>
    </row>
    <row r="618">
      <c r="C618" s="54"/>
      <c r="D618" s="54"/>
      <c r="J618" s="14"/>
      <c r="K618" s="14"/>
    </row>
    <row r="619">
      <c r="C619" s="54"/>
      <c r="D619" s="54"/>
      <c r="J619" s="14"/>
      <c r="K619" s="14"/>
    </row>
    <row r="620">
      <c r="C620" s="54"/>
      <c r="D620" s="54"/>
      <c r="J620" s="14"/>
      <c r="K620" s="14"/>
    </row>
    <row r="621">
      <c r="C621" s="54"/>
      <c r="D621" s="54"/>
      <c r="J621" s="14"/>
      <c r="K621" s="14"/>
    </row>
    <row r="622">
      <c r="C622" s="54"/>
      <c r="D622" s="54"/>
      <c r="J622" s="14"/>
      <c r="K622" s="14"/>
    </row>
    <row r="623">
      <c r="C623" s="54"/>
      <c r="D623" s="54"/>
      <c r="J623" s="14"/>
      <c r="K623" s="14"/>
    </row>
    <row r="624">
      <c r="C624" s="54"/>
      <c r="D624" s="54"/>
      <c r="J624" s="14"/>
      <c r="K624" s="14"/>
    </row>
    <row r="625">
      <c r="C625" s="54"/>
      <c r="D625" s="54"/>
      <c r="J625" s="14"/>
      <c r="K625" s="14"/>
    </row>
    <row r="626">
      <c r="C626" s="54"/>
      <c r="D626" s="54"/>
      <c r="J626" s="14"/>
      <c r="K626" s="14"/>
    </row>
    <row r="627">
      <c r="C627" s="54"/>
      <c r="D627" s="54"/>
      <c r="J627" s="14"/>
      <c r="K627" s="14"/>
    </row>
    <row r="628">
      <c r="C628" s="54"/>
      <c r="D628" s="54"/>
      <c r="J628" s="14"/>
      <c r="K628" s="14"/>
    </row>
    <row r="629">
      <c r="C629" s="54"/>
      <c r="D629" s="54"/>
      <c r="J629" s="14"/>
      <c r="K629" s="14"/>
    </row>
    <row r="630">
      <c r="C630" s="54"/>
      <c r="D630" s="54"/>
      <c r="J630" s="14"/>
      <c r="K630" s="14"/>
    </row>
    <row r="631">
      <c r="C631" s="54"/>
      <c r="D631" s="54"/>
      <c r="J631" s="14"/>
      <c r="K631" s="14"/>
    </row>
    <row r="632">
      <c r="C632" s="54"/>
      <c r="D632" s="54"/>
      <c r="J632" s="14"/>
      <c r="K632" s="14"/>
    </row>
    <row r="633">
      <c r="C633" s="54"/>
      <c r="D633" s="54"/>
      <c r="J633" s="14"/>
      <c r="K633" s="14"/>
    </row>
    <row r="634">
      <c r="C634" s="54"/>
      <c r="D634" s="54"/>
      <c r="J634" s="14"/>
      <c r="K634" s="14"/>
    </row>
    <row r="635">
      <c r="C635" s="54"/>
      <c r="D635" s="54"/>
      <c r="J635" s="14"/>
      <c r="K635" s="14"/>
    </row>
    <row r="636">
      <c r="C636" s="54"/>
      <c r="D636" s="54"/>
      <c r="J636" s="14"/>
      <c r="K636" s="14"/>
    </row>
    <row r="637">
      <c r="C637" s="54"/>
      <c r="D637" s="54"/>
      <c r="J637" s="14"/>
      <c r="K637" s="14"/>
    </row>
    <row r="638">
      <c r="C638" s="54"/>
      <c r="D638" s="54"/>
      <c r="J638" s="14"/>
      <c r="K638" s="14"/>
    </row>
    <row r="639">
      <c r="C639" s="54"/>
      <c r="D639" s="54"/>
      <c r="J639" s="14"/>
      <c r="K639" s="14"/>
    </row>
    <row r="640">
      <c r="C640" s="54"/>
      <c r="D640" s="54"/>
      <c r="J640" s="14"/>
      <c r="K640" s="14"/>
    </row>
    <row r="641">
      <c r="C641" s="54"/>
      <c r="D641" s="54"/>
      <c r="J641" s="14"/>
      <c r="K641" s="14"/>
    </row>
    <row r="642">
      <c r="C642" s="54"/>
      <c r="D642" s="54"/>
      <c r="J642" s="14"/>
      <c r="K642" s="14"/>
    </row>
    <row r="643">
      <c r="C643" s="54"/>
      <c r="D643" s="54"/>
      <c r="J643" s="14"/>
      <c r="K643" s="14"/>
    </row>
    <row r="644">
      <c r="C644" s="54"/>
      <c r="D644" s="54"/>
      <c r="J644" s="14"/>
      <c r="K644" s="14"/>
    </row>
    <row r="645">
      <c r="C645" s="54"/>
      <c r="D645" s="54"/>
      <c r="J645" s="14"/>
      <c r="K645" s="14"/>
    </row>
    <row r="646">
      <c r="C646" s="54"/>
      <c r="D646" s="54"/>
      <c r="J646" s="14"/>
      <c r="K646" s="14"/>
    </row>
    <row r="647">
      <c r="C647" s="54"/>
      <c r="D647" s="54"/>
      <c r="J647" s="14"/>
      <c r="K647" s="14"/>
    </row>
    <row r="648">
      <c r="C648" s="54"/>
      <c r="D648" s="54"/>
      <c r="J648" s="14"/>
      <c r="K648" s="14"/>
    </row>
    <row r="649">
      <c r="C649" s="54"/>
      <c r="D649" s="54"/>
      <c r="J649" s="14"/>
      <c r="K649" s="14"/>
    </row>
    <row r="650">
      <c r="C650" s="54"/>
      <c r="D650" s="54"/>
      <c r="J650" s="14"/>
      <c r="K650" s="14"/>
    </row>
    <row r="651">
      <c r="C651" s="54"/>
      <c r="D651" s="54"/>
      <c r="J651" s="14"/>
      <c r="K651" s="14"/>
    </row>
    <row r="652">
      <c r="C652" s="54"/>
      <c r="D652" s="54"/>
      <c r="J652" s="14"/>
      <c r="K652" s="14"/>
    </row>
    <row r="653">
      <c r="C653" s="54"/>
      <c r="D653" s="54"/>
      <c r="J653" s="14"/>
      <c r="K653" s="14"/>
    </row>
    <row r="654">
      <c r="C654" s="54"/>
      <c r="D654" s="54"/>
      <c r="J654" s="14"/>
      <c r="K654" s="14"/>
    </row>
    <row r="655">
      <c r="C655" s="54"/>
      <c r="D655" s="54"/>
      <c r="J655" s="14"/>
      <c r="K655" s="14"/>
    </row>
    <row r="656">
      <c r="C656" s="54"/>
      <c r="D656" s="54"/>
      <c r="J656" s="14"/>
      <c r="K656" s="14"/>
    </row>
    <row r="657">
      <c r="C657" s="54"/>
      <c r="D657" s="54"/>
      <c r="J657" s="14"/>
      <c r="K657" s="14"/>
    </row>
    <row r="658">
      <c r="C658" s="54"/>
      <c r="D658" s="54"/>
      <c r="J658" s="14"/>
      <c r="K658" s="14"/>
    </row>
    <row r="659">
      <c r="C659" s="54"/>
      <c r="D659" s="54"/>
      <c r="J659" s="14"/>
      <c r="K659" s="14"/>
    </row>
    <row r="660">
      <c r="C660" s="54"/>
      <c r="D660" s="54"/>
      <c r="J660" s="14"/>
      <c r="K660" s="14"/>
    </row>
    <row r="661">
      <c r="C661" s="54"/>
      <c r="D661" s="54"/>
      <c r="J661" s="14"/>
      <c r="K661" s="14"/>
    </row>
    <row r="662">
      <c r="C662" s="54"/>
      <c r="D662" s="54"/>
      <c r="J662" s="14"/>
      <c r="K662" s="14"/>
    </row>
    <row r="663">
      <c r="C663" s="54"/>
      <c r="D663" s="54"/>
      <c r="J663" s="14"/>
      <c r="K663" s="14"/>
    </row>
    <row r="664">
      <c r="C664" s="54"/>
      <c r="D664" s="54"/>
      <c r="J664" s="14"/>
      <c r="K664" s="14"/>
    </row>
    <row r="665">
      <c r="C665" s="54"/>
      <c r="D665" s="54"/>
      <c r="J665" s="14"/>
      <c r="K665" s="14"/>
    </row>
    <row r="666">
      <c r="C666" s="54"/>
      <c r="D666" s="54"/>
      <c r="J666" s="14"/>
      <c r="K666" s="14"/>
    </row>
    <row r="667">
      <c r="C667" s="54"/>
      <c r="D667" s="54"/>
      <c r="J667" s="14"/>
      <c r="K667" s="14"/>
    </row>
    <row r="668">
      <c r="C668" s="54"/>
      <c r="D668" s="54"/>
      <c r="J668" s="14"/>
      <c r="K668" s="14"/>
    </row>
    <row r="669">
      <c r="C669" s="54"/>
      <c r="D669" s="54"/>
      <c r="J669" s="14"/>
      <c r="K669" s="14"/>
    </row>
    <row r="670">
      <c r="C670" s="54"/>
      <c r="D670" s="54"/>
      <c r="J670" s="14"/>
      <c r="K670" s="14"/>
    </row>
    <row r="671">
      <c r="C671" s="54"/>
      <c r="D671" s="54"/>
      <c r="J671" s="14"/>
      <c r="K671" s="14"/>
    </row>
    <row r="672">
      <c r="C672" s="54"/>
      <c r="D672" s="54"/>
      <c r="J672" s="14"/>
      <c r="K672" s="14"/>
    </row>
    <row r="673">
      <c r="C673" s="54"/>
      <c r="D673" s="54"/>
      <c r="J673" s="14"/>
      <c r="K673" s="14"/>
    </row>
    <row r="674">
      <c r="C674" s="54"/>
      <c r="D674" s="54"/>
      <c r="J674" s="14"/>
      <c r="K674" s="14"/>
    </row>
    <row r="675">
      <c r="C675" s="54"/>
      <c r="D675" s="54"/>
      <c r="J675" s="14"/>
      <c r="K675" s="14"/>
    </row>
    <row r="676">
      <c r="C676" s="54"/>
      <c r="D676" s="54"/>
      <c r="J676" s="14"/>
      <c r="K676" s="14"/>
    </row>
    <row r="677">
      <c r="C677" s="54"/>
      <c r="D677" s="54"/>
      <c r="J677" s="14"/>
      <c r="K677" s="14"/>
    </row>
    <row r="678">
      <c r="C678" s="54"/>
      <c r="D678" s="54"/>
      <c r="J678" s="14"/>
      <c r="K678" s="14"/>
    </row>
    <row r="679">
      <c r="C679" s="54"/>
      <c r="D679" s="54"/>
      <c r="J679" s="14"/>
      <c r="K679" s="14"/>
    </row>
    <row r="680">
      <c r="C680" s="54"/>
      <c r="D680" s="54"/>
      <c r="J680" s="14"/>
      <c r="K680" s="14"/>
    </row>
    <row r="681">
      <c r="C681" s="54"/>
      <c r="D681" s="54"/>
      <c r="J681" s="14"/>
      <c r="K681" s="14"/>
    </row>
    <row r="682">
      <c r="C682" s="54"/>
      <c r="D682" s="54"/>
      <c r="J682" s="14"/>
      <c r="K682" s="14"/>
    </row>
    <row r="683">
      <c r="C683" s="54"/>
      <c r="D683" s="54"/>
      <c r="J683" s="14"/>
      <c r="K683" s="14"/>
    </row>
    <row r="684">
      <c r="C684" s="54"/>
      <c r="D684" s="54"/>
      <c r="J684" s="14"/>
      <c r="K684" s="14"/>
    </row>
    <row r="685">
      <c r="C685" s="54"/>
      <c r="D685" s="54"/>
      <c r="J685" s="14"/>
      <c r="K685" s="14"/>
    </row>
    <row r="686">
      <c r="C686" s="54"/>
      <c r="D686" s="54"/>
      <c r="J686" s="14"/>
      <c r="K686" s="14"/>
    </row>
    <row r="687">
      <c r="C687" s="54"/>
      <c r="D687" s="54"/>
      <c r="J687" s="14"/>
      <c r="K687" s="14"/>
    </row>
    <row r="688">
      <c r="C688" s="54"/>
      <c r="D688" s="54"/>
      <c r="J688" s="14"/>
      <c r="K688" s="14"/>
    </row>
    <row r="689">
      <c r="C689" s="54"/>
      <c r="D689" s="54"/>
      <c r="J689" s="14"/>
      <c r="K689" s="14"/>
    </row>
    <row r="690">
      <c r="C690" s="54"/>
      <c r="D690" s="54"/>
      <c r="J690" s="14"/>
      <c r="K690" s="14"/>
    </row>
    <row r="691">
      <c r="C691" s="54"/>
      <c r="D691" s="54"/>
      <c r="J691" s="14"/>
      <c r="K691" s="14"/>
    </row>
    <row r="692">
      <c r="C692" s="54"/>
      <c r="D692" s="54"/>
      <c r="J692" s="14"/>
      <c r="K692" s="14"/>
    </row>
    <row r="693">
      <c r="C693" s="54"/>
      <c r="D693" s="54"/>
      <c r="J693" s="14"/>
      <c r="K693" s="14"/>
    </row>
    <row r="694">
      <c r="C694" s="54"/>
      <c r="D694" s="54"/>
      <c r="J694" s="14"/>
      <c r="K694" s="14"/>
    </row>
    <row r="695">
      <c r="C695" s="54"/>
      <c r="D695" s="54"/>
      <c r="J695" s="14"/>
      <c r="K695" s="14"/>
    </row>
    <row r="696">
      <c r="C696" s="54"/>
      <c r="D696" s="54"/>
      <c r="J696" s="14"/>
      <c r="K696" s="14"/>
    </row>
    <row r="697">
      <c r="C697" s="54"/>
      <c r="D697" s="54"/>
      <c r="J697" s="14"/>
      <c r="K697" s="14"/>
    </row>
    <row r="698">
      <c r="C698" s="54"/>
      <c r="D698" s="54"/>
      <c r="J698" s="14"/>
      <c r="K698" s="14"/>
    </row>
    <row r="699">
      <c r="C699" s="54"/>
      <c r="D699" s="54"/>
      <c r="J699" s="14"/>
      <c r="K699" s="14"/>
    </row>
    <row r="700">
      <c r="C700" s="54"/>
      <c r="D700" s="54"/>
      <c r="J700" s="14"/>
      <c r="K700" s="14"/>
    </row>
    <row r="701">
      <c r="C701" s="54"/>
      <c r="D701" s="54"/>
      <c r="J701" s="14"/>
      <c r="K701" s="14"/>
    </row>
    <row r="702">
      <c r="C702" s="54"/>
      <c r="D702" s="54"/>
      <c r="J702" s="14"/>
      <c r="K702" s="14"/>
    </row>
    <row r="703">
      <c r="C703" s="54"/>
      <c r="D703" s="54"/>
      <c r="J703" s="14"/>
      <c r="K703" s="14"/>
    </row>
    <row r="704">
      <c r="C704" s="54"/>
      <c r="D704" s="54"/>
      <c r="J704" s="14"/>
      <c r="K704" s="14"/>
    </row>
    <row r="705">
      <c r="C705" s="54"/>
      <c r="D705" s="54"/>
      <c r="J705" s="14"/>
      <c r="K705" s="14"/>
    </row>
    <row r="706">
      <c r="C706" s="54"/>
      <c r="D706" s="54"/>
      <c r="J706" s="14"/>
      <c r="K706" s="14"/>
    </row>
    <row r="707">
      <c r="C707" s="54"/>
      <c r="D707" s="54"/>
      <c r="J707" s="14"/>
      <c r="K707" s="14"/>
    </row>
    <row r="708">
      <c r="C708" s="54"/>
      <c r="D708" s="54"/>
      <c r="J708" s="14"/>
      <c r="K708" s="14"/>
    </row>
    <row r="709">
      <c r="C709" s="54"/>
      <c r="D709" s="54"/>
      <c r="J709" s="14"/>
      <c r="K709" s="14"/>
    </row>
    <row r="710">
      <c r="C710" s="54"/>
      <c r="D710" s="54"/>
      <c r="J710" s="14"/>
      <c r="K710" s="14"/>
    </row>
    <row r="711">
      <c r="C711" s="54"/>
      <c r="D711" s="54"/>
      <c r="J711" s="14"/>
      <c r="K711" s="14"/>
    </row>
    <row r="712">
      <c r="C712" s="54"/>
      <c r="D712" s="54"/>
      <c r="J712" s="14"/>
      <c r="K712" s="14"/>
    </row>
    <row r="713">
      <c r="C713" s="54"/>
      <c r="D713" s="54"/>
      <c r="J713" s="14"/>
      <c r="K713" s="14"/>
    </row>
    <row r="714">
      <c r="C714" s="54"/>
      <c r="D714" s="54"/>
      <c r="J714" s="14"/>
      <c r="K714" s="14"/>
    </row>
    <row r="715">
      <c r="C715" s="54"/>
      <c r="D715" s="54"/>
      <c r="J715" s="14"/>
      <c r="K715" s="14"/>
    </row>
    <row r="716">
      <c r="C716" s="54"/>
      <c r="D716" s="54"/>
      <c r="J716" s="14"/>
      <c r="K716" s="14"/>
    </row>
    <row r="717">
      <c r="C717" s="54"/>
      <c r="D717" s="54"/>
      <c r="J717" s="14"/>
      <c r="K717" s="14"/>
    </row>
    <row r="718">
      <c r="C718" s="54"/>
      <c r="D718" s="54"/>
      <c r="J718" s="14"/>
      <c r="K718" s="14"/>
    </row>
    <row r="719">
      <c r="C719" s="54"/>
      <c r="D719" s="54"/>
      <c r="J719" s="14"/>
      <c r="K719" s="14"/>
    </row>
    <row r="720">
      <c r="C720" s="54"/>
      <c r="D720" s="54"/>
      <c r="J720" s="14"/>
      <c r="K720" s="14"/>
    </row>
    <row r="721">
      <c r="C721" s="54"/>
      <c r="D721" s="54"/>
      <c r="J721" s="14"/>
      <c r="K721" s="14"/>
    </row>
    <row r="722">
      <c r="C722" s="54"/>
      <c r="D722" s="54"/>
      <c r="J722" s="14"/>
      <c r="K722" s="14"/>
    </row>
    <row r="723">
      <c r="C723" s="54"/>
      <c r="D723" s="54"/>
      <c r="J723" s="14"/>
      <c r="K723" s="14"/>
    </row>
    <row r="724">
      <c r="C724" s="54"/>
      <c r="D724" s="54"/>
      <c r="J724" s="14"/>
      <c r="K724" s="14"/>
    </row>
    <row r="725">
      <c r="C725" s="54"/>
      <c r="D725" s="54"/>
      <c r="J725" s="14"/>
      <c r="K725" s="14"/>
    </row>
    <row r="726">
      <c r="C726" s="54"/>
      <c r="D726" s="54"/>
      <c r="J726" s="14"/>
      <c r="K726" s="14"/>
    </row>
    <row r="727">
      <c r="C727" s="54"/>
      <c r="D727" s="54"/>
      <c r="J727" s="14"/>
      <c r="K727" s="14"/>
    </row>
    <row r="728">
      <c r="C728" s="54"/>
      <c r="D728" s="54"/>
      <c r="J728" s="14"/>
      <c r="K728" s="14"/>
    </row>
    <row r="729">
      <c r="C729" s="54"/>
      <c r="D729" s="54"/>
      <c r="J729" s="14"/>
      <c r="K729" s="14"/>
    </row>
    <row r="730">
      <c r="C730" s="54"/>
      <c r="D730" s="54"/>
      <c r="J730" s="14"/>
      <c r="K730" s="14"/>
    </row>
    <row r="731">
      <c r="C731" s="54"/>
      <c r="D731" s="54"/>
      <c r="J731" s="14"/>
      <c r="K731" s="14"/>
    </row>
    <row r="732">
      <c r="C732" s="54"/>
      <c r="D732" s="54"/>
      <c r="J732" s="14"/>
      <c r="K732" s="14"/>
    </row>
    <row r="733">
      <c r="C733" s="54"/>
      <c r="D733" s="54"/>
      <c r="J733" s="14"/>
      <c r="K733" s="14"/>
    </row>
    <row r="734">
      <c r="C734" s="54"/>
      <c r="D734" s="54"/>
      <c r="J734" s="14"/>
      <c r="K734" s="14"/>
    </row>
    <row r="735">
      <c r="C735" s="54"/>
      <c r="D735" s="54"/>
      <c r="J735" s="14"/>
      <c r="K735" s="14"/>
    </row>
    <row r="736">
      <c r="C736" s="54"/>
      <c r="D736" s="54"/>
      <c r="J736" s="14"/>
      <c r="K736" s="14"/>
    </row>
    <row r="737">
      <c r="C737" s="54"/>
      <c r="D737" s="54"/>
      <c r="J737" s="14"/>
      <c r="K737" s="14"/>
    </row>
    <row r="738">
      <c r="C738" s="54"/>
      <c r="D738" s="54"/>
      <c r="J738" s="14"/>
      <c r="K738" s="14"/>
    </row>
    <row r="739">
      <c r="C739" s="54"/>
      <c r="D739" s="54"/>
      <c r="J739" s="14"/>
      <c r="K739" s="14"/>
    </row>
    <row r="740">
      <c r="C740" s="54"/>
      <c r="D740" s="54"/>
      <c r="J740" s="14"/>
      <c r="K740" s="14"/>
    </row>
    <row r="741">
      <c r="C741" s="54"/>
      <c r="D741" s="54"/>
      <c r="J741" s="14"/>
      <c r="K741" s="14"/>
    </row>
    <row r="742">
      <c r="C742" s="54"/>
      <c r="D742" s="54"/>
      <c r="J742" s="14"/>
      <c r="K742" s="14"/>
    </row>
    <row r="743">
      <c r="C743" s="54"/>
      <c r="D743" s="54"/>
      <c r="J743" s="14"/>
      <c r="K743" s="14"/>
    </row>
    <row r="744">
      <c r="C744" s="54"/>
      <c r="D744" s="54"/>
      <c r="J744" s="14"/>
      <c r="K744" s="14"/>
    </row>
    <row r="745">
      <c r="C745" s="54"/>
      <c r="D745" s="54"/>
      <c r="J745" s="14"/>
      <c r="K745" s="14"/>
    </row>
    <row r="746">
      <c r="C746" s="54"/>
      <c r="D746" s="54"/>
      <c r="J746" s="14"/>
      <c r="K746" s="14"/>
    </row>
    <row r="747">
      <c r="C747" s="54"/>
      <c r="D747" s="54"/>
      <c r="J747" s="14"/>
      <c r="K747" s="14"/>
    </row>
    <row r="748">
      <c r="C748" s="54"/>
      <c r="D748" s="54"/>
      <c r="J748" s="14"/>
      <c r="K748" s="14"/>
    </row>
    <row r="749">
      <c r="C749" s="54"/>
      <c r="D749" s="54"/>
      <c r="J749" s="14"/>
      <c r="K749" s="14"/>
    </row>
    <row r="750">
      <c r="C750" s="54"/>
      <c r="D750" s="54"/>
      <c r="J750" s="14"/>
      <c r="K750" s="14"/>
    </row>
    <row r="751">
      <c r="C751" s="54"/>
      <c r="D751" s="54"/>
      <c r="J751" s="14"/>
      <c r="K751" s="14"/>
    </row>
    <row r="752">
      <c r="C752" s="54"/>
      <c r="D752" s="54"/>
      <c r="J752" s="14"/>
      <c r="K752" s="14"/>
    </row>
    <row r="753">
      <c r="C753" s="54"/>
      <c r="D753" s="54"/>
      <c r="J753" s="14"/>
      <c r="K753" s="14"/>
    </row>
    <row r="754">
      <c r="C754" s="54"/>
      <c r="D754" s="54"/>
      <c r="J754" s="14"/>
      <c r="K754" s="14"/>
    </row>
    <row r="755">
      <c r="C755" s="54"/>
      <c r="D755" s="54"/>
      <c r="J755" s="14"/>
      <c r="K755" s="14"/>
    </row>
    <row r="756">
      <c r="C756" s="54"/>
      <c r="D756" s="54"/>
      <c r="J756" s="14"/>
      <c r="K756" s="14"/>
    </row>
    <row r="757">
      <c r="C757" s="54"/>
      <c r="D757" s="54"/>
      <c r="J757" s="14"/>
      <c r="K757" s="14"/>
    </row>
    <row r="758">
      <c r="C758" s="54"/>
      <c r="D758" s="54"/>
      <c r="J758" s="14"/>
      <c r="K758" s="14"/>
    </row>
    <row r="759">
      <c r="C759" s="54"/>
      <c r="D759" s="54"/>
      <c r="J759" s="14"/>
      <c r="K759" s="14"/>
    </row>
    <row r="760">
      <c r="C760" s="54"/>
      <c r="D760" s="54"/>
      <c r="J760" s="14"/>
      <c r="K760" s="14"/>
    </row>
    <row r="761">
      <c r="C761" s="54"/>
      <c r="D761" s="54"/>
      <c r="J761" s="14"/>
      <c r="K761" s="14"/>
    </row>
    <row r="762">
      <c r="C762" s="54"/>
      <c r="D762" s="54"/>
      <c r="J762" s="14"/>
      <c r="K762" s="14"/>
    </row>
    <row r="763">
      <c r="C763" s="54"/>
      <c r="D763" s="54"/>
      <c r="J763" s="14"/>
      <c r="K763" s="14"/>
    </row>
    <row r="764">
      <c r="C764" s="54"/>
      <c r="D764" s="54"/>
      <c r="J764" s="14"/>
      <c r="K764" s="14"/>
    </row>
    <row r="765">
      <c r="C765" s="54"/>
      <c r="D765" s="54"/>
      <c r="J765" s="14"/>
      <c r="K765" s="14"/>
    </row>
    <row r="766">
      <c r="C766" s="54"/>
      <c r="D766" s="54"/>
      <c r="J766" s="14"/>
      <c r="K766" s="14"/>
    </row>
    <row r="767">
      <c r="C767" s="54"/>
      <c r="D767" s="54"/>
      <c r="J767" s="14"/>
      <c r="K767" s="14"/>
    </row>
    <row r="768">
      <c r="C768" s="54"/>
      <c r="D768" s="54"/>
      <c r="J768" s="14"/>
      <c r="K768" s="14"/>
    </row>
    <row r="769">
      <c r="C769" s="54"/>
      <c r="D769" s="54"/>
      <c r="J769" s="14"/>
      <c r="K769" s="14"/>
    </row>
    <row r="770">
      <c r="C770" s="54"/>
      <c r="D770" s="54"/>
      <c r="J770" s="14"/>
      <c r="K770" s="14"/>
    </row>
    <row r="771">
      <c r="C771" s="54"/>
      <c r="D771" s="54"/>
      <c r="J771" s="14"/>
      <c r="K771" s="14"/>
    </row>
    <row r="772">
      <c r="C772" s="54"/>
      <c r="D772" s="54"/>
      <c r="J772" s="14"/>
      <c r="K772" s="14"/>
    </row>
    <row r="773">
      <c r="C773" s="54"/>
      <c r="D773" s="54"/>
      <c r="J773" s="14"/>
      <c r="K773" s="14"/>
    </row>
    <row r="774">
      <c r="C774" s="54"/>
      <c r="D774" s="54"/>
      <c r="J774" s="14"/>
      <c r="K774" s="14"/>
    </row>
    <row r="775">
      <c r="C775" s="54"/>
      <c r="D775" s="54"/>
      <c r="J775" s="14"/>
      <c r="K775" s="14"/>
    </row>
    <row r="776">
      <c r="C776" s="54"/>
      <c r="D776" s="54"/>
      <c r="J776" s="14"/>
      <c r="K776" s="14"/>
    </row>
    <row r="777">
      <c r="C777" s="54"/>
      <c r="D777" s="54"/>
      <c r="J777" s="14"/>
      <c r="K777" s="14"/>
    </row>
    <row r="778">
      <c r="C778" s="54"/>
      <c r="D778" s="54"/>
      <c r="J778" s="14"/>
      <c r="K778" s="14"/>
    </row>
    <row r="779">
      <c r="C779" s="54"/>
      <c r="D779" s="54"/>
      <c r="J779" s="14"/>
      <c r="K779" s="14"/>
    </row>
    <row r="780">
      <c r="C780" s="54"/>
      <c r="D780" s="54"/>
      <c r="J780" s="14"/>
      <c r="K780" s="14"/>
    </row>
    <row r="781">
      <c r="C781" s="54"/>
      <c r="D781" s="54"/>
      <c r="J781" s="14"/>
      <c r="K781" s="14"/>
    </row>
    <row r="782">
      <c r="C782" s="54"/>
      <c r="D782" s="54"/>
      <c r="J782" s="14"/>
      <c r="K782" s="14"/>
    </row>
    <row r="783">
      <c r="C783" s="54"/>
      <c r="D783" s="54"/>
      <c r="J783" s="14"/>
      <c r="K783" s="14"/>
    </row>
    <row r="784">
      <c r="C784" s="54"/>
      <c r="D784" s="54"/>
      <c r="J784" s="14"/>
      <c r="K784" s="14"/>
    </row>
    <row r="785">
      <c r="C785" s="54"/>
      <c r="D785" s="54"/>
      <c r="J785" s="14"/>
      <c r="K785" s="14"/>
    </row>
    <row r="786">
      <c r="C786" s="54"/>
      <c r="D786" s="54"/>
      <c r="J786" s="14"/>
      <c r="K786" s="14"/>
    </row>
    <row r="787">
      <c r="C787" s="54"/>
      <c r="D787" s="54"/>
      <c r="J787" s="14"/>
      <c r="K787" s="14"/>
    </row>
    <row r="788">
      <c r="C788" s="54"/>
      <c r="D788" s="54"/>
      <c r="J788" s="14"/>
      <c r="K788" s="14"/>
    </row>
    <row r="789">
      <c r="C789" s="54"/>
      <c r="D789" s="54"/>
      <c r="J789" s="14"/>
      <c r="K789" s="14"/>
    </row>
    <row r="790">
      <c r="C790" s="54"/>
      <c r="D790" s="54"/>
      <c r="J790" s="14"/>
      <c r="K790" s="14"/>
    </row>
    <row r="791">
      <c r="C791" s="54"/>
      <c r="D791" s="54"/>
      <c r="J791" s="14"/>
      <c r="K791" s="14"/>
    </row>
    <row r="792">
      <c r="C792" s="54"/>
      <c r="D792" s="54"/>
      <c r="J792" s="14"/>
      <c r="K792" s="14"/>
    </row>
    <row r="793">
      <c r="C793" s="54"/>
      <c r="D793" s="54"/>
      <c r="J793" s="14"/>
      <c r="K793" s="14"/>
    </row>
    <row r="794">
      <c r="C794" s="54"/>
      <c r="D794" s="54"/>
      <c r="J794" s="14"/>
      <c r="K794" s="14"/>
    </row>
    <row r="795">
      <c r="C795" s="54"/>
      <c r="D795" s="54"/>
      <c r="J795" s="14"/>
      <c r="K795" s="14"/>
    </row>
    <row r="796">
      <c r="C796" s="54"/>
      <c r="D796" s="54"/>
      <c r="J796" s="14"/>
      <c r="K796" s="14"/>
    </row>
    <row r="797">
      <c r="C797" s="54"/>
      <c r="D797" s="54"/>
      <c r="J797" s="14"/>
      <c r="K797" s="14"/>
    </row>
    <row r="798">
      <c r="C798" s="54"/>
      <c r="D798" s="54"/>
      <c r="J798" s="14"/>
      <c r="K798" s="14"/>
    </row>
    <row r="799">
      <c r="C799" s="54"/>
      <c r="D799" s="54"/>
      <c r="J799" s="14"/>
      <c r="K799" s="14"/>
    </row>
    <row r="800">
      <c r="C800" s="54"/>
      <c r="D800" s="54"/>
      <c r="J800" s="14"/>
      <c r="K800" s="14"/>
    </row>
    <row r="801">
      <c r="C801" s="54"/>
      <c r="D801" s="54"/>
      <c r="J801" s="14"/>
      <c r="K801" s="14"/>
    </row>
    <row r="802">
      <c r="C802" s="54"/>
      <c r="D802" s="54"/>
      <c r="J802" s="14"/>
      <c r="K802" s="14"/>
    </row>
    <row r="803">
      <c r="C803" s="54"/>
      <c r="D803" s="54"/>
      <c r="J803" s="14"/>
      <c r="K803" s="14"/>
    </row>
    <row r="804">
      <c r="C804" s="54"/>
      <c r="D804" s="54"/>
      <c r="J804" s="14"/>
      <c r="K804" s="14"/>
    </row>
    <row r="805">
      <c r="C805" s="54"/>
      <c r="D805" s="54"/>
      <c r="J805" s="14"/>
      <c r="K805" s="14"/>
    </row>
    <row r="806">
      <c r="C806" s="54"/>
      <c r="D806" s="54"/>
      <c r="J806" s="14"/>
      <c r="K806" s="14"/>
    </row>
    <row r="807">
      <c r="C807" s="54"/>
      <c r="D807" s="54"/>
      <c r="J807" s="14"/>
      <c r="K807" s="14"/>
    </row>
    <row r="808">
      <c r="C808" s="54"/>
      <c r="D808" s="54"/>
      <c r="J808" s="14"/>
      <c r="K808" s="14"/>
    </row>
    <row r="809">
      <c r="C809" s="54"/>
      <c r="D809" s="54"/>
      <c r="J809" s="14"/>
      <c r="K809" s="14"/>
    </row>
    <row r="810">
      <c r="C810" s="54"/>
      <c r="D810" s="54"/>
      <c r="J810" s="14"/>
      <c r="K810" s="14"/>
    </row>
    <row r="811">
      <c r="C811" s="54"/>
      <c r="D811" s="54"/>
      <c r="J811" s="14"/>
      <c r="K811" s="14"/>
    </row>
    <row r="812">
      <c r="C812" s="54"/>
      <c r="D812" s="54"/>
      <c r="J812" s="14"/>
      <c r="K812" s="14"/>
    </row>
    <row r="813">
      <c r="C813" s="54"/>
      <c r="D813" s="54"/>
      <c r="J813" s="14"/>
      <c r="K813" s="14"/>
    </row>
    <row r="814">
      <c r="C814" s="54"/>
      <c r="D814" s="54"/>
      <c r="J814" s="14"/>
      <c r="K814" s="14"/>
    </row>
    <row r="815">
      <c r="C815" s="54"/>
      <c r="D815" s="54"/>
      <c r="J815" s="14"/>
      <c r="K815" s="14"/>
    </row>
    <row r="816">
      <c r="C816" s="54"/>
      <c r="D816" s="54"/>
      <c r="J816" s="14"/>
      <c r="K816" s="14"/>
    </row>
    <row r="817">
      <c r="C817" s="54"/>
      <c r="D817" s="54"/>
      <c r="J817" s="14"/>
      <c r="K817" s="14"/>
    </row>
    <row r="818">
      <c r="C818" s="54"/>
      <c r="D818" s="54"/>
      <c r="J818" s="14"/>
      <c r="K818" s="14"/>
    </row>
    <row r="819">
      <c r="C819" s="54"/>
      <c r="D819" s="54"/>
      <c r="J819" s="14"/>
      <c r="K819" s="14"/>
    </row>
    <row r="820">
      <c r="C820" s="54"/>
      <c r="D820" s="54"/>
      <c r="J820" s="14"/>
      <c r="K820" s="14"/>
    </row>
    <row r="821">
      <c r="C821" s="54"/>
      <c r="D821" s="54"/>
      <c r="J821" s="14"/>
      <c r="K821" s="14"/>
    </row>
    <row r="822">
      <c r="C822" s="54"/>
      <c r="D822" s="54"/>
      <c r="J822" s="14"/>
      <c r="K822" s="14"/>
    </row>
    <row r="823">
      <c r="C823" s="54"/>
      <c r="D823" s="54"/>
      <c r="J823" s="14"/>
      <c r="K823" s="14"/>
    </row>
    <row r="824">
      <c r="C824" s="54"/>
      <c r="D824" s="54"/>
      <c r="J824" s="14"/>
      <c r="K824" s="14"/>
    </row>
    <row r="825">
      <c r="C825" s="54"/>
      <c r="D825" s="54"/>
      <c r="J825" s="14"/>
      <c r="K825" s="14"/>
    </row>
    <row r="826">
      <c r="C826" s="54"/>
      <c r="D826" s="54"/>
      <c r="J826" s="14"/>
      <c r="K826" s="14"/>
    </row>
    <row r="827">
      <c r="C827" s="54"/>
      <c r="D827" s="54"/>
      <c r="J827" s="14"/>
      <c r="K827" s="14"/>
    </row>
    <row r="828">
      <c r="C828" s="54"/>
      <c r="D828" s="54"/>
      <c r="J828" s="14"/>
      <c r="K828" s="14"/>
    </row>
    <row r="829">
      <c r="C829" s="54"/>
      <c r="D829" s="54"/>
      <c r="J829" s="14"/>
      <c r="K829" s="14"/>
    </row>
    <row r="830">
      <c r="C830" s="54"/>
      <c r="D830" s="54"/>
      <c r="J830" s="14"/>
      <c r="K830" s="14"/>
    </row>
    <row r="831">
      <c r="C831" s="54"/>
      <c r="D831" s="54"/>
      <c r="J831" s="14"/>
      <c r="K831" s="14"/>
    </row>
    <row r="832">
      <c r="C832" s="54"/>
      <c r="D832" s="54"/>
      <c r="J832" s="14"/>
      <c r="K832" s="14"/>
    </row>
    <row r="833">
      <c r="C833" s="54"/>
      <c r="D833" s="54"/>
      <c r="J833" s="14"/>
      <c r="K833" s="14"/>
    </row>
    <row r="834">
      <c r="C834" s="54"/>
      <c r="D834" s="54"/>
      <c r="J834" s="14"/>
      <c r="K834" s="14"/>
    </row>
    <row r="835">
      <c r="C835" s="54"/>
      <c r="D835" s="54"/>
      <c r="J835" s="14"/>
      <c r="K835" s="14"/>
    </row>
    <row r="836">
      <c r="C836" s="54"/>
      <c r="D836" s="54"/>
      <c r="J836" s="14"/>
      <c r="K836" s="14"/>
    </row>
    <row r="837">
      <c r="C837" s="54"/>
      <c r="D837" s="54"/>
      <c r="J837" s="14"/>
      <c r="K837" s="14"/>
    </row>
    <row r="838">
      <c r="C838" s="54"/>
      <c r="D838" s="54"/>
      <c r="J838" s="14"/>
      <c r="K838" s="14"/>
    </row>
    <row r="839">
      <c r="C839" s="54"/>
      <c r="D839" s="54"/>
      <c r="J839" s="14"/>
      <c r="K839" s="14"/>
    </row>
    <row r="840">
      <c r="C840" s="54"/>
      <c r="D840" s="54"/>
      <c r="J840" s="14"/>
      <c r="K840" s="14"/>
    </row>
    <row r="841">
      <c r="C841" s="54"/>
      <c r="D841" s="54"/>
      <c r="J841" s="14"/>
      <c r="K841" s="14"/>
    </row>
    <row r="842">
      <c r="C842" s="54"/>
      <c r="D842" s="54"/>
      <c r="J842" s="14"/>
      <c r="K842" s="14"/>
    </row>
    <row r="843">
      <c r="C843" s="54"/>
      <c r="D843" s="54"/>
      <c r="J843" s="14"/>
      <c r="K843" s="14"/>
    </row>
    <row r="844">
      <c r="C844" s="54"/>
      <c r="D844" s="54"/>
      <c r="J844" s="14"/>
      <c r="K844" s="14"/>
    </row>
    <row r="845">
      <c r="C845" s="54"/>
      <c r="D845" s="54"/>
      <c r="J845" s="14"/>
      <c r="K845" s="14"/>
    </row>
    <row r="846">
      <c r="C846" s="54"/>
      <c r="D846" s="54"/>
      <c r="J846" s="14"/>
      <c r="K846" s="14"/>
    </row>
    <row r="847">
      <c r="C847" s="54"/>
      <c r="D847" s="54"/>
      <c r="J847" s="14"/>
      <c r="K847" s="14"/>
    </row>
    <row r="848">
      <c r="C848" s="54"/>
      <c r="D848" s="54"/>
      <c r="J848" s="14"/>
      <c r="K848" s="14"/>
    </row>
    <row r="849">
      <c r="C849" s="54"/>
      <c r="D849" s="54"/>
      <c r="J849" s="14"/>
      <c r="K849" s="14"/>
    </row>
    <row r="850">
      <c r="C850" s="54"/>
      <c r="D850" s="54"/>
      <c r="J850" s="14"/>
      <c r="K850" s="14"/>
    </row>
    <row r="851">
      <c r="C851" s="54"/>
      <c r="D851" s="54"/>
      <c r="J851" s="14"/>
      <c r="K851" s="14"/>
    </row>
    <row r="852">
      <c r="C852" s="54"/>
      <c r="D852" s="54"/>
      <c r="J852" s="14"/>
      <c r="K852" s="14"/>
    </row>
    <row r="853">
      <c r="C853" s="54"/>
      <c r="D853" s="54"/>
      <c r="J853" s="14"/>
      <c r="K853" s="14"/>
    </row>
    <row r="854">
      <c r="C854" s="54"/>
      <c r="D854" s="54"/>
      <c r="J854" s="14"/>
      <c r="K854" s="14"/>
    </row>
    <row r="855">
      <c r="C855" s="54"/>
      <c r="D855" s="54"/>
      <c r="J855" s="14"/>
      <c r="K855" s="14"/>
    </row>
    <row r="856">
      <c r="C856" s="54"/>
      <c r="D856" s="54"/>
      <c r="J856" s="14"/>
      <c r="K856" s="14"/>
    </row>
    <row r="857">
      <c r="C857" s="54"/>
      <c r="D857" s="54"/>
      <c r="J857" s="14"/>
      <c r="K857" s="14"/>
    </row>
    <row r="858">
      <c r="C858" s="54"/>
      <c r="D858" s="54"/>
      <c r="J858" s="14"/>
      <c r="K858" s="14"/>
    </row>
    <row r="859">
      <c r="C859" s="54"/>
      <c r="D859" s="54"/>
      <c r="J859" s="14"/>
      <c r="K859" s="14"/>
    </row>
    <row r="860">
      <c r="C860" s="54"/>
      <c r="D860" s="54"/>
      <c r="J860" s="14"/>
      <c r="K860" s="14"/>
    </row>
    <row r="861">
      <c r="C861" s="54"/>
      <c r="D861" s="54"/>
      <c r="J861" s="14"/>
      <c r="K861" s="14"/>
    </row>
    <row r="862">
      <c r="C862" s="54"/>
      <c r="D862" s="54"/>
      <c r="J862" s="14"/>
      <c r="K862" s="14"/>
    </row>
    <row r="863">
      <c r="C863" s="54"/>
      <c r="D863" s="54"/>
      <c r="J863" s="14"/>
      <c r="K863" s="14"/>
    </row>
    <row r="864">
      <c r="C864" s="54"/>
      <c r="D864" s="54"/>
      <c r="J864" s="14"/>
      <c r="K864" s="14"/>
    </row>
    <row r="865">
      <c r="C865" s="54"/>
      <c r="D865" s="54"/>
      <c r="J865" s="14"/>
      <c r="K865" s="14"/>
    </row>
    <row r="866">
      <c r="C866" s="54"/>
      <c r="D866" s="54"/>
      <c r="J866" s="14"/>
      <c r="K866" s="14"/>
    </row>
    <row r="867">
      <c r="C867" s="54"/>
      <c r="D867" s="54"/>
      <c r="J867" s="14"/>
      <c r="K867" s="14"/>
    </row>
    <row r="868">
      <c r="C868" s="54"/>
      <c r="D868" s="54"/>
      <c r="J868" s="14"/>
      <c r="K868" s="14"/>
    </row>
    <row r="869">
      <c r="C869" s="54"/>
      <c r="D869" s="54"/>
      <c r="J869" s="14"/>
      <c r="K869" s="14"/>
    </row>
    <row r="870">
      <c r="C870" s="54"/>
      <c r="D870" s="54"/>
      <c r="J870" s="14"/>
      <c r="K870" s="14"/>
    </row>
    <row r="871">
      <c r="C871" s="54"/>
      <c r="D871" s="54"/>
      <c r="J871" s="14"/>
      <c r="K871" s="14"/>
    </row>
    <row r="872">
      <c r="C872" s="54"/>
      <c r="D872" s="54"/>
      <c r="J872" s="14"/>
      <c r="K872" s="14"/>
    </row>
    <row r="873">
      <c r="C873" s="54"/>
      <c r="D873" s="54"/>
      <c r="J873" s="14"/>
      <c r="K873" s="14"/>
    </row>
    <row r="874">
      <c r="C874" s="54"/>
      <c r="D874" s="54"/>
      <c r="J874" s="14"/>
      <c r="K874" s="14"/>
    </row>
    <row r="875">
      <c r="C875" s="54"/>
      <c r="D875" s="54"/>
      <c r="J875" s="14"/>
      <c r="K875" s="14"/>
    </row>
    <row r="876">
      <c r="C876" s="54"/>
      <c r="D876" s="54"/>
      <c r="J876" s="14"/>
      <c r="K876" s="14"/>
    </row>
    <row r="877">
      <c r="C877" s="54"/>
      <c r="D877" s="54"/>
      <c r="J877" s="14"/>
      <c r="K877" s="14"/>
    </row>
    <row r="878">
      <c r="C878" s="54"/>
      <c r="D878" s="54"/>
      <c r="J878" s="14"/>
      <c r="K878" s="14"/>
    </row>
    <row r="879">
      <c r="C879" s="54"/>
      <c r="D879" s="54"/>
      <c r="J879" s="14"/>
      <c r="K879" s="14"/>
    </row>
    <row r="880">
      <c r="C880" s="54"/>
      <c r="D880" s="54"/>
      <c r="J880" s="14"/>
      <c r="K880" s="14"/>
    </row>
    <row r="881">
      <c r="C881" s="54"/>
      <c r="D881" s="54"/>
      <c r="J881" s="14"/>
      <c r="K881" s="14"/>
    </row>
    <row r="882">
      <c r="C882" s="54"/>
      <c r="D882" s="54"/>
      <c r="J882" s="14"/>
      <c r="K882" s="14"/>
    </row>
    <row r="883">
      <c r="C883" s="54"/>
      <c r="D883" s="54"/>
      <c r="J883" s="14"/>
      <c r="K883" s="14"/>
    </row>
    <row r="884">
      <c r="C884" s="54"/>
      <c r="D884" s="54"/>
      <c r="J884" s="14"/>
      <c r="K884" s="14"/>
    </row>
    <row r="885">
      <c r="C885" s="54"/>
      <c r="D885" s="54"/>
      <c r="J885" s="14"/>
      <c r="K885" s="14"/>
    </row>
    <row r="886">
      <c r="C886" s="54"/>
      <c r="D886" s="54"/>
      <c r="J886" s="14"/>
      <c r="K886" s="14"/>
    </row>
    <row r="887">
      <c r="C887" s="54"/>
      <c r="D887" s="54"/>
      <c r="J887" s="14"/>
      <c r="K887" s="14"/>
    </row>
    <row r="888">
      <c r="C888" s="54"/>
      <c r="D888" s="54"/>
      <c r="J888" s="14"/>
      <c r="K888" s="14"/>
    </row>
    <row r="889">
      <c r="C889" s="54"/>
      <c r="D889" s="54"/>
      <c r="J889" s="14"/>
      <c r="K889" s="14"/>
    </row>
    <row r="890">
      <c r="C890" s="54"/>
      <c r="D890" s="54"/>
      <c r="J890" s="14"/>
      <c r="K890" s="14"/>
    </row>
    <row r="891">
      <c r="C891" s="54"/>
      <c r="D891" s="54"/>
      <c r="J891" s="14"/>
      <c r="K891" s="14"/>
    </row>
    <row r="892">
      <c r="C892" s="54"/>
      <c r="D892" s="54"/>
      <c r="J892" s="14"/>
      <c r="K892" s="14"/>
    </row>
    <row r="893">
      <c r="C893" s="54"/>
      <c r="D893" s="54"/>
      <c r="J893" s="14"/>
      <c r="K893" s="14"/>
    </row>
    <row r="894">
      <c r="C894" s="54"/>
      <c r="D894" s="54"/>
      <c r="J894" s="14"/>
      <c r="K894" s="14"/>
    </row>
    <row r="895">
      <c r="C895" s="54"/>
      <c r="D895" s="54"/>
      <c r="J895" s="14"/>
      <c r="K895" s="14"/>
    </row>
    <row r="896">
      <c r="C896" s="54"/>
      <c r="D896" s="54"/>
      <c r="J896" s="14"/>
      <c r="K896" s="14"/>
    </row>
    <row r="897">
      <c r="C897" s="54"/>
      <c r="D897" s="54"/>
      <c r="J897" s="14"/>
      <c r="K897" s="14"/>
    </row>
    <row r="898">
      <c r="C898" s="54"/>
      <c r="D898" s="54"/>
      <c r="J898" s="14"/>
      <c r="K898" s="14"/>
    </row>
    <row r="899">
      <c r="C899" s="54"/>
      <c r="D899" s="54"/>
      <c r="J899" s="14"/>
      <c r="K899" s="14"/>
    </row>
    <row r="900">
      <c r="C900" s="54"/>
      <c r="D900" s="54"/>
      <c r="J900" s="14"/>
      <c r="K900" s="14"/>
    </row>
    <row r="901">
      <c r="C901" s="54"/>
      <c r="D901" s="54"/>
      <c r="J901" s="14"/>
      <c r="K901" s="14"/>
    </row>
    <row r="902">
      <c r="C902" s="54"/>
      <c r="D902" s="54"/>
      <c r="J902" s="14"/>
      <c r="K902" s="14"/>
    </row>
    <row r="903">
      <c r="C903" s="54"/>
      <c r="D903" s="54"/>
      <c r="J903" s="14"/>
      <c r="K903" s="14"/>
    </row>
    <row r="904">
      <c r="C904" s="54"/>
      <c r="D904" s="54"/>
      <c r="J904" s="14"/>
      <c r="K904" s="14"/>
    </row>
    <row r="905">
      <c r="C905" s="54"/>
      <c r="D905" s="54"/>
      <c r="J905" s="14"/>
      <c r="K905" s="14"/>
    </row>
    <row r="906">
      <c r="C906" s="54"/>
      <c r="D906" s="54"/>
      <c r="J906" s="14"/>
      <c r="K906" s="14"/>
    </row>
    <row r="907">
      <c r="C907" s="54"/>
      <c r="D907" s="54"/>
      <c r="J907" s="14"/>
      <c r="K907" s="14"/>
    </row>
    <row r="908">
      <c r="C908" s="54"/>
      <c r="D908" s="54"/>
      <c r="J908" s="14"/>
      <c r="K908" s="14"/>
    </row>
    <row r="909">
      <c r="C909" s="54"/>
      <c r="D909" s="54"/>
      <c r="J909" s="14"/>
      <c r="K909" s="14"/>
    </row>
    <row r="910">
      <c r="C910" s="54"/>
      <c r="D910" s="54"/>
      <c r="J910" s="14"/>
      <c r="K910" s="14"/>
    </row>
    <row r="911">
      <c r="C911" s="54"/>
      <c r="D911" s="54"/>
      <c r="J911" s="14"/>
      <c r="K911" s="14"/>
    </row>
    <row r="912">
      <c r="C912" s="54"/>
      <c r="D912" s="54"/>
      <c r="J912" s="14"/>
      <c r="K912" s="14"/>
    </row>
    <row r="913">
      <c r="C913" s="54"/>
      <c r="D913" s="54"/>
      <c r="J913" s="14"/>
      <c r="K913" s="14"/>
    </row>
    <row r="914">
      <c r="C914" s="54"/>
      <c r="D914" s="54"/>
      <c r="J914" s="14"/>
      <c r="K914" s="14"/>
    </row>
    <row r="915">
      <c r="C915" s="54"/>
      <c r="D915" s="54"/>
      <c r="J915" s="14"/>
      <c r="K915" s="14"/>
    </row>
    <row r="916">
      <c r="C916" s="54"/>
      <c r="D916" s="54"/>
      <c r="J916" s="14"/>
      <c r="K916" s="14"/>
    </row>
    <row r="917">
      <c r="C917" s="54"/>
      <c r="D917" s="54"/>
      <c r="J917" s="14"/>
      <c r="K917" s="14"/>
    </row>
    <row r="918">
      <c r="C918" s="54"/>
      <c r="D918" s="54"/>
      <c r="J918" s="14"/>
      <c r="K918" s="14"/>
    </row>
    <row r="919">
      <c r="C919" s="54"/>
      <c r="D919" s="54"/>
      <c r="J919" s="14"/>
      <c r="K919" s="14"/>
    </row>
    <row r="920">
      <c r="C920" s="54"/>
      <c r="D920" s="54"/>
      <c r="J920" s="14"/>
      <c r="K920" s="14"/>
    </row>
    <row r="921">
      <c r="C921" s="54"/>
      <c r="D921" s="54"/>
      <c r="J921" s="14"/>
      <c r="K921" s="14"/>
    </row>
    <row r="922">
      <c r="C922" s="54"/>
      <c r="D922" s="54"/>
      <c r="J922" s="14"/>
      <c r="K922" s="14"/>
    </row>
    <row r="923">
      <c r="C923" s="54"/>
      <c r="D923" s="54"/>
      <c r="J923" s="14"/>
      <c r="K923" s="14"/>
    </row>
    <row r="924">
      <c r="C924" s="54"/>
      <c r="D924" s="54"/>
      <c r="J924" s="14"/>
      <c r="K924" s="14"/>
    </row>
    <row r="925">
      <c r="C925" s="54"/>
      <c r="D925" s="54"/>
      <c r="J925" s="14"/>
      <c r="K925" s="14"/>
    </row>
    <row r="926">
      <c r="C926" s="54"/>
      <c r="D926" s="54"/>
      <c r="J926" s="14"/>
      <c r="K926" s="14"/>
    </row>
    <row r="927">
      <c r="C927" s="54"/>
      <c r="D927" s="54"/>
      <c r="J927" s="14"/>
      <c r="K927" s="14"/>
    </row>
    <row r="928">
      <c r="C928" s="54"/>
      <c r="D928" s="54"/>
      <c r="J928" s="14"/>
      <c r="K928" s="14"/>
    </row>
    <row r="929">
      <c r="C929" s="54"/>
      <c r="D929" s="54"/>
      <c r="J929" s="14"/>
      <c r="K929" s="14"/>
    </row>
    <row r="930">
      <c r="C930" s="54"/>
      <c r="D930" s="54"/>
      <c r="J930" s="14"/>
      <c r="K930" s="14"/>
    </row>
    <row r="931">
      <c r="C931" s="54"/>
      <c r="D931" s="54"/>
      <c r="J931" s="14"/>
      <c r="K931" s="14"/>
    </row>
    <row r="932">
      <c r="C932" s="54"/>
      <c r="D932" s="54"/>
      <c r="J932" s="14"/>
      <c r="K932" s="14"/>
    </row>
    <row r="933">
      <c r="C933" s="54"/>
      <c r="D933" s="54"/>
      <c r="J933" s="14"/>
      <c r="K933" s="14"/>
    </row>
    <row r="934">
      <c r="C934" s="54"/>
      <c r="D934" s="54"/>
      <c r="J934" s="14"/>
      <c r="K934" s="14"/>
    </row>
    <row r="935">
      <c r="C935" s="54"/>
      <c r="D935" s="54"/>
      <c r="J935" s="14"/>
      <c r="K935" s="14"/>
    </row>
    <row r="936">
      <c r="C936" s="54"/>
      <c r="D936" s="54"/>
      <c r="J936" s="14"/>
      <c r="K936" s="14"/>
    </row>
    <row r="937">
      <c r="C937" s="54"/>
      <c r="D937" s="54"/>
      <c r="J937" s="14"/>
      <c r="K937" s="14"/>
    </row>
    <row r="938">
      <c r="C938" s="54"/>
      <c r="D938" s="54"/>
      <c r="J938" s="14"/>
      <c r="K938" s="14"/>
    </row>
    <row r="939">
      <c r="C939" s="54"/>
      <c r="D939" s="54"/>
      <c r="J939" s="14"/>
      <c r="K939" s="14"/>
    </row>
    <row r="940">
      <c r="C940" s="54"/>
      <c r="D940" s="54"/>
      <c r="J940" s="14"/>
      <c r="K940" s="14"/>
    </row>
    <row r="941">
      <c r="C941" s="54"/>
      <c r="D941" s="54"/>
      <c r="J941" s="14"/>
      <c r="K941" s="14"/>
    </row>
    <row r="942">
      <c r="C942" s="54"/>
      <c r="D942" s="54"/>
      <c r="J942" s="14"/>
      <c r="K942" s="14"/>
    </row>
    <row r="943">
      <c r="C943" s="54"/>
      <c r="D943" s="54"/>
      <c r="J943" s="14"/>
      <c r="K943" s="14"/>
    </row>
    <row r="944">
      <c r="C944" s="54"/>
      <c r="D944" s="54"/>
      <c r="J944" s="14"/>
      <c r="K944" s="14"/>
    </row>
    <row r="945">
      <c r="C945" s="54"/>
      <c r="D945" s="54"/>
      <c r="J945" s="14"/>
      <c r="K945" s="14"/>
    </row>
    <row r="946">
      <c r="C946" s="54"/>
      <c r="D946" s="54"/>
      <c r="J946" s="14"/>
      <c r="K946" s="14"/>
    </row>
    <row r="947">
      <c r="C947" s="54"/>
      <c r="D947" s="54"/>
      <c r="J947" s="14"/>
      <c r="K947" s="14"/>
    </row>
    <row r="948">
      <c r="C948" s="54"/>
      <c r="D948" s="54"/>
      <c r="J948" s="14"/>
      <c r="K948" s="14"/>
    </row>
    <row r="949">
      <c r="C949" s="54"/>
      <c r="D949" s="54"/>
      <c r="J949" s="14"/>
      <c r="K949" s="14"/>
    </row>
    <row r="950">
      <c r="C950" s="54"/>
      <c r="D950" s="54"/>
      <c r="J950" s="14"/>
      <c r="K950" s="14"/>
    </row>
    <row r="951">
      <c r="C951" s="54"/>
      <c r="D951" s="54"/>
      <c r="J951" s="14"/>
      <c r="K951" s="14"/>
    </row>
    <row r="952">
      <c r="C952" s="54"/>
      <c r="D952" s="54"/>
      <c r="J952" s="14"/>
      <c r="K952" s="14"/>
    </row>
    <row r="953">
      <c r="C953" s="54"/>
      <c r="D953" s="54"/>
      <c r="J953" s="14"/>
      <c r="K953" s="14"/>
    </row>
    <row r="954">
      <c r="C954" s="54"/>
      <c r="D954" s="54"/>
      <c r="J954" s="14"/>
      <c r="K954" s="14"/>
    </row>
    <row r="955">
      <c r="C955" s="54"/>
      <c r="D955" s="54"/>
      <c r="J955" s="14"/>
      <c r="K955" s="14"/>
    </row>
    <row r="956">
      <c r="C956" s="54"/>
      <c r="D956" s="54"/>
      <c r="J956" s="14"/>
      <c r="K956" s="14"/>
    </row>
    <row r="957">
      <c r="C957" s="54"/>
      <c r="D957" s="54"/>
      <c r="J957" s="14"/>
      <c r="K957" s="14"/>
    </row>
    <row r="958">
      <c r="C958" s="54"/>
      <c r="D958" s="54"/>
      <c r="J958" s="14"/>
      <c r="K958" s="14"/>
    </row>
    <row r="959">
      <c r="C959" s="54"/>
      <c r="D959" s="54"/>
      <c r="J959" s="14"/>
      <c r="K959" s="14"/>
    </row>
    <row r="960">
      <c r="C960" s="54"/>
      <c r="D960" s="54"/>
      <c r="J960" s="14"/>
      <c r="K960" s="14"/>
    </row>
    <row r="961">
      <c r="C961" s="54"/>
      <c r="D961" s="54"/>
      <c r="J961" s="14"/>
      <c r="K961" s="14"/>
    </row>
    <row r="962">
      <c r="C962" s="54"/>
      <c r="D962" s="54"/>
      <c r="J962" s="14"/>
      <c r="K962" s="14"/>
    </row>
    <row r="963">
      <c r="C963" s="54"/>
      <c r="D963" s="54"/>
      <c r="J963" s="14"/>
      <c r="K963" s="14"/>
    </row>
    <row r="964">
      <c r="C964" s="54"/>
      <c r="D964" s="54"/>
      <c r="J964" s="14"/>
      <c r="K964" s="14"/>
    </row>
    <row r="965">
      <c r="C965" s="54"/>
      <c r="D965" s="54"/>
      <c r="J965" s="14"/>
      <c r="K965" s="14"/>
    </row>
    <row r="966">
      <c r="C966" s="54"/>
      <c r="D966" s="54"/>
      <c r="J966" s="14"/>
      <c r="K966" s="14"/>
    </row>
    <row r="967">
      <c r="C967" s="54"/>
      <c r="D967" s="54"/>
      <c r="J967" s="14"/>
      <c r="K967" s="14"/>
    </row>
    <row r="968">
      <c r="C968" s="54"/>
      <c r="D968" s="54"/>
      <c r="J968" s="14"/>
      <c r="K968" s="14"/>
    </row>
    <row r="969">
      <c r="C969" s="54"/>
      <c r="D969" s="54"/>
      <c r="J969" s="14"/>
      <c r="K969" s="14"/>
    </row>
    <row r="970">
      <c r="C970" s="54"/>
      <c r="D970" s="54"/>
      <c r="J970" s="14"/>
      <c r="K970" s="14"/>
    </row>
    <row r="971">
      <c r="C971" s="54"/>
      <c r="D971" s="54"/>
      <c r="J971" s="14"/>
      <c r="K971" s="14"/>
    </row>
    <row r="972">
      <c r="C972" s="54"/>
      <c r="D972" s="54"/>
      <c r="J972" s="14"/>
      <c r="K972" s="14"/>
    </row>
    <row r="973">
      <c r="C973" s="54"/>
      <c r="D973" s="54"/>
      <c r="J973" s="14"/>
      <c r="K973" s="14"/>
    </row>
    <row r="974">
      <c r="C974" s="54"/>
      <c r="D974" s="54"/>
      <c r="J974" s="14"/>
      <c r="K974" s="14"/>
    </row>
    <row r="975">
      <c r="C975" s="54"/>
      <c r="D975" s="54"/>
      <c r="J975" s="14"/>
      <c r="K975" s="14"/>
    </row>
    <row r="976">
      <c r="C976" s="54"/>
      <c r="D976" s="54"/>
      <c r="J976" s="14"/>
      <c r="K976" s="14"/>
    </row>
    <row r="977">
      <c r="C977" s="54"/>
      <c r="D977" s="54"/>
      <c r="J977" s="14"/>
      <c r="K977" s="14"/>
    </row>
    <row r="978">
      <c r="C978" s="54"/>
      <c r="D978" s="54"/>
      <c r="J978" s="14"/>
      <c r="K978" s="14"/>
    </row>
    <row r="979">
      <c r="C979" s="54"/>
      <c r="D979" s="54"/>
      <c r="J979" s="14"/>
      <c r="K979" s="14"/>
    </row>
    <row r="980">
      <c r="C980" s="54"/>
      <c r="D980" s="54"/>
      <c r="J980" s="14"/>
      <c r="K980" s="14"/>
    </row>
    <row r="981">
      <c r="C981" s="54"/>
      <c r="D981" s="54"/>
      <c r="J981" s="14"/>
      <c r="K981" s="14"/>
    </row>
    <row r="982">
      <c r="C982" s="54"/>
      <c r="D982" s="54"/>
      <c r="J982" s="14"/>
      <c r="K982" s="14"/>
    </row>
    <row r="983">
      <c r="C983" s="54"/>
      <c r="D983" s="54"/>
      <c r="J983" s="14"/>
      <c r="K983" s="14"/>
    </row>
    <row r="984">
      <c r="C984" s="54"/>
      <c r="D984" s="54"/>
      <c r="J984" s="14"/>
      <c r="K984" s="14"/>
    </row>
    <row r="985">
      <c r="C985" s="54"/>
      <c r="D985" s="54"/>
      <c r="J985" s="14"/>
      <c r="K985" s="14"/>
    </row>
    <row r="986">
      <c r="C986" s="54"/>
      <c r="D986" s="54"/>
      <c r="J986" s="14"/>
      <c r="K986" s="14"/>
    </row>
    <row r="987">
      <c r="C987" s="54"/>
      <c r="D987" s="54"/>
      <c r="J987" s="14"/>
      <c r="K987" s="14"/>
    </row>
    <row r="988">
      <c r="C988" s="54"/>
      <c r="D988" s="54"/>
      <c r="J988" s="14"/>
      <c r="K988" s="14"/>
    </row>
    <row r="989">
      <c r="C989" s="54"/>
      <c r="D989" s="54"/>
      <c r="J989" s="14"/>
      <c r="K989" s="14"/>
    </row>
    <row r="990">
      <c r="C990" s="54"/>
      <c r="D990" s="54"/>
      <c r="J990" s="14"/>
      <c r="K990" s="14"/>
    </row>
    <row r="991">
      <c r="C991" s="54"/>
      <c r="D991" s="54"/>
      <c r="J991" s="14"/>
      <c r="K991" s="14"/>
    </row>
    <row r="992">
      <c r="C992" s="54"/>
      <c r="D992" s="54"/>
      <c r="J992" s="14"/>
      <c r="K992" s="14"/>
    </row>
    <row r="993">
      <c r="C993" s="54"/>
      <c r="D993" s="54"/>
      <c r="J993" s="14"/>
      <c r="K993" s="14"/>
    </row>
    <row r="994">
      <c r="C994" s="54"/>
      <c r="D994" s="54"/>
      <c r="J994" s="14"/>
      <c r="K99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3.25"/>
    <col customWidth="1" min="4" max="4" width="21.13"/>
  </cols>
  <sheetData>
    <row r="1">
      <c r="A1" s="20" t="s">
        <v>0</v>
      </c>
      <c r="B1" s="20" t="s">
        <v>1</v>
      </c>
      <c r="C1" s="55" t="s">
        <v>1569</v>
      </c>
      <c r="D1" s="20" t="s">
        <v>4</v>
      </c>
      <c r="E1" s="51"/>
      <c r="J1" s="7" t="s">
        <v>6</v>
      </c>
    </row>
    <row r="2">
      <c r="A2" s="20">
        <v>1.0</v>
      </c>
      <c r="B2" s="20" t="s">
        <v>7</v>
      </c>
      <c r="C2" s="55" t="s">
        <v>8</v>
      </c>
      <c r="D2" s="20" t="s">
        <v>9</v>
      </c>
      <c r="E2" s="51"/>
      <c r="J2" s="52" t="str">
        <f>IFERROR(__xludf.DUMMYFUNCTION("FILTER(B2:B998, E2:E998&lt;&gt;""✅"")"),"アフリカ")</f>
        <v>アフリカ</v>
      </c>
      <c r="K2" s="52" t="str">
        <f>IFERROR(__xludf.DUMMYFUNCTION("FILTER(D2:D998, E2:E998&lt;&gt;""✅"")"),"Africa")</f>
        <v>Africa</v>
      </c>
    </row>
    <row r="3">
      <c r="A3" s="20">
        <v>2.0</v>
      </c>
      <c r="B3" s="20" t="s">
        <v>20</v>
      </c>
      <c r="C3" s="55" t="s">
        <v>21</v>
      </c>
      <c r="D3" s="20" t="s">
        <v>22</v>
      </c>
      <c r="E3" s="51"/>
      <c r="G3" s="20" t="s">
        <v>14</v>
      </c>
      <c r="J3" s="14" t="str">
        <f>IFERROR(__xludf.DUMMYFUNCTION("""COMPUTED_VALUE"""),"アジア")</f>
        <v>アジア</v>
      </c>
      <c r="K3" s="14" t="str">
        <f>IFERROR(__xludf.DUMMYFUNCTION("""COMPUTED_VALUE"""),"Asia")</f>
        <v>Asia</v>
      </c>
    </row>
    <row r="4">
      <c r="A4" s="20">
        <v>3.0</v>
      </c>
      <c r="B4" s="20" t="s">
        <v>32</v>
      </c>
      <c r="C4" s="55" t="s">
        <v>33</v>
      </c>
      <c r="D4" s="20" t="s">
        <v>34</v>
      </c>
      <c r="E4" s="51"/>
      <c r="G4" s="20" t="s">
        <v>19</v>
      </c>
      <c r="H4" s="20">
        <f>COUNTIF(J2:J998, "&lt;&gt;")</f>
        <v>40</v>
      </c>
      <c r="J4" s="14" t="str">
        <f>IFERROR(__xludf.DUMMYFUNCTION("""COMPUTED_VALUE"""),"アクセサリー")</f>
        <v>アクセサリー</v>
      </c>
      <c r="K4" s="14" t="str">
        <f>IFERROR(__xludf.DUMMYFUNCTION("""COMPUTED_VALUE"""),"accessory")</f>
        <v>accessory</v>
      </c>
    </row>
    <row r="5">
      <c r="A5" s="20">
        <v>4.0</v>
      </c>
      <c r="B5" s="20" t="s">
        <v>36</v>
      </c>
      <c r="C5" s="55" t="s">
        <v>37</v>
      </c>
      <c r="D5" s="20" t="s">
        <v>38</v>
      </c>
      <c r="E5" s="51"/>
      <c r="G5" s="20" t="s">
        <v>23</v>
      </c>
      <c r="H5" s="14">
        <f>COUNTIF(A2:A998, "&lt;&gt;")</f>
        <v>40</v>
      </c>
      <c r="J5" s="14" t="str">
        <f>IFERROR(__xludf.DUMMYFUNCTION("""COMPUTED_VALUE"""),"アメリカ")</f>
        <v>アメリカ</v>
      </c>
      <c r="K5" s="14" t="str">
        <f>IFERROR(__xludf.DUMMYFUNCTION("""COMPUTED_VALUE"""),"America")</f>
        <v>America</v>
      </c>
    </row>
    <row r="6">
      <c r="A6" s="20">
        <v>5.0</v>
      </c>
      <c r="B6" s="20" t="s">
        <v>39</v>
      </c>
      <c r="C6" s="55" t="s">
        <v>40</v>
      </c>
      <c r="D6" s="20" t="s">
        <v>41</v>
      </c>
      <c r="E6" s="51"/>
      <c r="H6" s="14">
        <f>TRUNC((H4/H5)*100, 1)</f>
        <v>100</v>
      </c>
      <c r="J6" s="14" t="str">
        <f>IFERROR(__xludf.DUMMYFUNCTION("""COMPUTED_VALUE"""),"アナウンサー")</f>
        <v>アナウンサー</v>
      </c>
      <c r="K6" s="14" t="str">
        <f>IFERROR(__xludf.DUMMYFUNCTION("""COMPUTED_VALUE"""),"announcer")</f>
        <v>announcer</v>
      </c>
    </row>
    <row r="7">
      <c r="A7" s="20">
        <v>6.0</v>
      </c>
      <c r="B7" s="20" t="s">
        <v>54</v>
      </c>
      <c r="C7" s="55" t="s">
        <v>55</v>
      </c>
      <c r="D7" s="20" t="s">
        <v>56</v>
      </c>
      <c r="E7" s="51"/>
      <c r="G7" s="20" t="s">
        <v>31</v>
      </c>
      <c r="H7" s="14">
        <f>100-H6</f>
        <v>0</v>
      </c>
      <c r="J7" s="14" t="str">
        <f>IFERROR(__xludf.DUMMYFUNCTION("""COMPUTED_VALUE"""),"アルバイト")</f>
        <v>アルバイト</v>
      </c>
      <c r="K7" s="14" t="str">
        <f>IFERROR(__xludf.DUMMYFUNCTION("""COMPUTED_VALUE"""),"part-time job")</f>
        <v>part-time job</v>
      </c>
    </row>
    <row r="8">
      <c r="A8" s="20">
        <v>7.0</v>
      </c>
      <c r="B8" s="20" t="s">
        <v>57</v>
      </c>
      <c r="C8" s="55" t="s">
        <v>58</v>
      </c>
      <c r="D8" s="20" t="s">
        <v>59</v>
      </c>
      <c r="E8" s="51"/>
      <c r="G8" s="20" t="s">
        <v>35</v>
      </c>
      <c r="J8" s="14" t="str">
        <f>IFERROR(__xludf.DUMMYFUNCTION("""COMPUTED_VALUE"""),"アルコール")</f>
        <v>アルコール</v>
      </c>
      <c r="K8" s="14" t="str">
        <f>IFERROR(__xludf.DUMMYFUNCTION("""COMPUTED_VALUE"""),"alcohol")</f>
        <v>alcohol</v>
      </c>
    </row>
    <row r="9">
      <c r="A9" s="20">
        <v>8.0</v>
      </c>
      <c r="B9" s="20" t="s">
        <v>76</v>
      </c>
      <c r="C9" s="55" t="s">
        <v>77</v>
      </c>
      <c r="D9" s="20" t="s">
        <v>78</v>
      </c>
      <c r="E9" s="51"/>
      <c r="J9" s="14" t="str">
        <f>IFERROR(__xludf.DUMMYFUNCTION("""COMPUTED_VALUE"""),"ベル")</f>
        <v>ベル</v>
      </c>
      <c r="K9" s="14" t="str">
        <f>IFERROR(__xludf.DUMMYFUNCTION("""COMPUTED_VALUE"""),"bell")</f>
        <v>bell</v>
      </c>
    </row>
    <row r="10">
      <c r="A10" s="20">
        <v>9.0</v>
      </c>
      <c r="B10" s="20" t="s">
        <v>83</v>
      </c>
      <c r="C10" s="55" t="s">
        <v>84</v>
      </c>
      <c r="D10" s="20" t="s">
        <v>85</v>
      </c>
      <c r="E10" s="51"/>
      <c r="J10" s="14" t="str">
        <f>IFERROR(__xludf.DUMMYFUNCTION("""COMPUTED_VALUE"""),"ビル")</f>
        <v>ビル</v>
      </c>
      <c r="K10" s="14" t="str">
        <f>IFERROR(__xludf.DUMMYFUNCTION("""COMPUTED_VALUE"""),"building")</f>
        <v>building</v>
      </c>
    </row>
    <row r="11">
      <c r="A11" s="20">
        <v>10.0</v>
      </c>
      <c r="B11" s="20" t="s">
        <v>109</v>
      </c>
      <c r="C11" s="55" t="s">
        <v>110</v>
      </c>
      <c r="D11" s="20" t="s">
        <v>111</v>
      </c>
      <c r="E11" s="51"/>
      <c r="J11" s="14" t="str">
        <f>IFERROR(__xludf.DUMMYFUNCTION("""COMPUTED_VALUE"""),"チェック")</f>
        <v>チェック</v>
      </c>
      <c r="K11" s="14" t="str">
        <f>IFERROR(__xludf.DUMMYFUNCTION("""COMPUTED_VALUE"""),"to check")</f>
        <v>to check</v>
      </c>
    </row>
    <row r="12">
      <c r="A12" s="20">
        <v>11.0</v>
      </c>
      <c r="B12" s="20" t="s">
        <v>184</v>
      </c>
      <c r="C12" s="55" t="s">
        <v>185</v>
      </c>
      <c r="D12" s="20" t="s">
        <v>186</v>
      </c>
      <c r="E12" s="51"/>
      <c r="J12" s="14" t="str">
        <f>IFERROR(__xludf.DUMMYFUNCTION("""COMPUTED_VALUE"""),"エスカレーター")</f>
        <v>エスカレーター</v>
      </c>
      <c r="K12" s="14" t="str">
        <f>IFERROR(__xludf.DUMMYFUNCTION("""COMPUTED_VALUE"""),"escalator")</f>
        <v>escalator</v>
      </c>
    </row>
    <row r="13">
      <c r="A13" s="20">
        <v>12.0</v>
      </c>
      <c r="B13" s="20" t="s">
        <v>187</v>
      </c>
      <c r="C13" s="55" t="s">
        <v>188</v>
      </c>
      <c r="D13" s="20" t="s">
        <v>189</v>
      </c>
      <c r="E13" s="51"/>
      <c r="J13" s="14" t="str">
        <f>IFERROR(__xludf.DUMMYFUNCTION("""COMPUTED_VALUE"""),"ファックス")</f>
        <v>ファックス</v>
      </c>
      <c r="K13" s="14" t="str">
        <f>IFERROR(__xludf.DUMMYFUNCTION("""COMPUTED_VALUE"""),"fax")</f>
        <v>fax</v>
      </c>
    </row>
    <row r="14">
      <c r="A14" s="20">
        <v>13.0</v>
      </c>
      <c r="B14" s="20" t="s">
        <v>214</v>
      </c>
      <c r="C14" s="55" t="s">
        <v>215</v>
      </c>
      <c r="D14" s="20" t="s">
        <v>216</v>
      </c>
      <c r="E14" s="51"/>
      <c r="J14" s="14" t="str">
        <f>IFERROR(__xludf.DUMMYFUNCTION("""COMPUTED_VALUE"""),"ガラス")</f>
        <v>ガラス</v>
      </c>
      <c r="K14" s="14" t="str">
        <f>IFERROR(__xludf.DUMMYFUNCTION("""COMPUTED_VALUE"""),"a glass")</f>
        <v>a glass</v>
      </c>
    </row>
    <row r="15">
      <c r="A15" s="20">
        <v>14.0</v>
      </c>
      <c r="B15" s="20" t="s">
        <v>217</v>
      </c>
      <c r="C15" s="55" t="s">
        <v>218</v>
      </c>
      <c r="D15" s="20" t="s">
        <v>219</v>
      </c>
      <c r="E15" s="51"/>
      <c r="J15" s="14" t="str">
        <f>IFERROR(__xludf.DUMMYFUNCTION("""COMPUTED_VALUE"""),"ガソリン")</f>
        <v>ガソリン</v>
      </c>
      <c r="K15" s="14" t="str">
        <f>IFERROR(__xludf.DUMMYFUNCTION("""COMPUTED_VALUE"""),"gasoline; petrol")</f>
        <v>gasoline; petrol</v>
      </c>
    </row>
    <row r="16">
      <c r="A16" s="20">
        <v>15.0</v>
      </c>
      <c r="B16" s="20" t="s">
        <v>220</v>
      </c>
      <c r="C16" s="55" t="s">
        <v>221</v>
      </c>
      <c r="D16" s="20" t="s">
        <v>1635</v>
      </c>
      <c r="E16" s="51"/>
      <c r="J16" s="14" t="str">
        <f>IFERROR(__xludf.DUMMYFUNCTION("""COMPUTED_VALUE"""),"ガソリンスタンド")</f>
        <v>ガソリンスタンド</v>
      </c>
      <c r="K16" s="14" t="str">
        <f>IFERROR(__xludf.DUMMYFUNCTION("""COMPUTED_VALUE"""),"petrol station")</f>
        <v>petrol station</v>
      </c>
    </row>
    <row r="17">
      <c r="A17" s="20">
        <v>16.0</v>
      </c>
      <c r="B17" s="20" t="s">
        <v>223</v>
      </c>
      <c r="C17" s="55" t="s">
        <v>224</v>
      </c>
      <c r="D17" s="20" t="s">
        <v>225</v>
      </c>
      <c r="E17" s="51"/>
      <c r="J17" s="14" t="str">
        <f>IFERROR(__xludf.DUMMYFUNCTION("""COMPUTED_VALUE"""),"ガス")</f>
        <v>ガス</v>
      </c>
      <c r="K17" s="14" t="str">
        <f>IFERROR(__xludf.DUMMYFUNCTION("""COMPUTED_VALUE"""),"petrol")</f>
        <v>petrol</v>
      </c>
    </row>
    <row r="18">
      <c r="A18" s="20">
        <v>17.0</v>
      </c>
      <c r="B18" s="20" t="s">
        <v>241</v>
      </c>
      <c r="C18" s="55" t="s">
        <v>242</v>
      </c>
      <c r="D18" s="20" t="s">
        <v>243</v>
      </c>
      <c r="E18" s="51"/>
      <c r="J18" s="14" t="str">
        <f>IFERROR(__xludf.DUMMYFUNCTION("""COMPUTED_VALUE"""),"ごみ")</f>
        <v>ごみ</v>
      </c>
      <c r="K18" s="14" t="str">
        <f>IFERROR(__xludf.DUMMYFUNCTION("""COMPUTED_VALUE"""),"rubbish")</f>
        <v>rubbish</v>
      </c>
    </row>
    <row r="19">
      <c r="A19" s="20">
        <v>18.0</v>
      </c>
      <c r="B19" s="20" t="s">
        <v>272</v>
      </c>
      <c r="C19" s="55" t="s">
        <v>273</v>
      </c>
      <c r="D19" s="20" t="s">
        <v>274</v>
      </c>
      <c r="E19" s="51"/>
      <c r="J19" s="14" t="str">
        <f>IFERROR(__xludf.DUMMYFUNCTION("""COMPUTED_VALUE"""),"ハンドバッグ")</f>
        <v>ハンドバッグ</v>
      </c>
      <c r="K19" s="14" t="str">
        <f>IFERROR(__xludf.DUMMYFUNCTION("""COMPUTED_VALUE"""),"handbag")</f>
        <v>handbag</v>
      </c>
    </row>
    <row r="20">
      <c r="A20" s="20">
        <v>19.0</v>
      </c>
      <c r="B20" s="20" t="s">
        <v>397</v>
      </c>
      <c r="C20" s="55" t="s">
        <v>398</v>
      </c>
      <c r="D20" s="20" t="s">
        <v>399</v>
      </c>
      <c r="E20" s="51"/>
      <c r="J20" s="14" t="str">
        <f>IFERROR(__xludf.DUMMYFUNCTION("""COMPUTED_VALUE"""),"ジャム")</f>
        <v>ジャム</v>
      </c>
      <c r="K20" s="14" t="str">
        <f>IFERROR(__xludf.DUMMYFUNCTION("""COMPUTED_VALUE"""),"jam")</f>
        <v>jam</v>
      </c>
    </row>
    <row r="21">
      <c r="A21" s="20">
        <v>20.0</v>
      </c>
      <c r="B21" s="20" t="s">
        <v>460</v>
      </c>
      <c r="C21" s="55" t="s">
        <v>461</v>
      </c>
      <c r="D21" s="20" t="s">
        <v>462</v>
      </c>
      <c r="E21" s="51"/>
      <c r="J21" s="14" t="str">
        <f>IFERROR(__xludf.DUMMYFUNCTION("""COMPUTED_VALUE"""),"カーテン")</f>
        <v>カーテン</v>
      </c>
      <c r="K21" s="14" t="str">
        <f>IFERROR(__xludf.DUMMYFUNCTION("""COMPUTED_VALUE"""),"curtain")</f>
        <v>curtain</v>
      </c>
    </row>
    <row r="22">
      <c r="A22" s="20">
        <v>21.0</v>
      </c>
      <c r="B22" s="20" t="s">
        <v>542</v>
      </c>
      <c r="C22" s="55" t="s">
        <v>543</v>
      </c>
      <c r="D22" s="20" t="s">
        <v>544</v>
      </c>
      <c r="E22" s="51"/>
      <c r="J22" s="14" t="str">
        <f>IFERROR(__xludf.DUMMYFUNCTION("""COMPUTED_VALUE"""),"ケーキ")</f>
        <v>ケーキ</v>
      </c>
      <c r="K22" s="14" t="str">
        <f>IFERROR(__xludf.DUMMYFUNCTION("""COMPUTED_VALUE"""),"cake")</f>
        <v>cake</v>
      </c>
    </row>
    <row r="23">
      <c r="A23" s="20">
        <v>22.0</v>
      </c>
      <c r="B23" s="20" t="s">
        <v>660</v>
      </c>
      <c r="C23" s="55" t="s">
        <v>661</v>
      </c>
      <c r="D23" s="20" t="s">
        <v>662</v>
      </c>
      <c r="E23" s="51"/>
      <c r="J23" s="14" t="str">
        <f>IFERROR(__xludf.DUMMYFUNCTION("""COMPUTED_VALUE"""),"コンピュータ")</f>
        <v>コンピュータ</v>
      </c>
      <c r="K23" s="14" t="str">
        <f>IFERROR(__xludf.DUMMYFUNCTION("""COMPUTED_VALUE"""),"computer")</f>
        <v>computer</v>
      </c>
    </row>
    <row r="24">
      <c r="A24" s="20">
        <v>23.0</v>
      </c>
      <c r="B24" s="20" t="s">
        <v>663</v>
      </c>
      <c r="C24" s="55" t="s">
        <v>664</v>
      </c>
      <c r="D24" s="20" t="s">
        <v>665</v>
      </c>
      <c r="E24" s="51"/>
      <c r="J24" s="14" t="str">
        <f>IFERROR(__xludf.DUMMYFUNCTION("""COMPUTED_VALUE"""),"コンサート")</f>
        <v>コンサート</v>
      </c>
      <c r="K24" s="14" t="str">
        <f>IFERROR(__xludf.DUMMYFUNCTION("""COMPUTED_VALUE"""),"concert")</f>
        <v>concert</v>
      </c>
    </row>
    <row r="25">
      <c r="A25" s="20">
        <v>24.0</v>
      </c>
      <c r="B25" s="20" t="s">
        <v>908</v>
      </c>
      <c r="C25" s="55" t="s">
        <v>909</v>
      </c>
      <c r="D25" s="20" t="s">
        <v>910</v>
      </c>
      <c r="E25" s="51"/>
      <c r="J25" s="14" t="str">
        <f>IFERROR(__xludf.DUMMYFUNCTION("""COMPUTED_VALUE"""),"オートバイ")</f>
        <v>オートバイ</v>
      </c>
      <c r="K25" s="14" t="str">
        <f>IFERROR(__xludf.DUMMYFUNCTION("""COMPUTED_VALUE"""),"motorcycle")</f>
        <v>motorcycle</v>
      </c>
    </row>
    <row r="26">
      <c r="A26" s="20">
        <v>25.0</v>
      </c>
      <c r="B26" s="20" t="s">
        <v>947</v>
      </c>
      <c r="C26" s="55" t="s">
        <v>948</v>
      </c>
      <c r="D26" s="20" t="s">
        <v>949</v>
      </c>
      <c r="E26" s="51"/>
      <c r="J26" s="14" t="str">
        <f>IFERROR(__xludf.DUMMYFUNCTION("""COMPUTED_VALUE"""),"パート")</f>
        <v>パート</v>
      </c>
      <c r="K26" s="14" t="str">
        <f>IFERROR(__xludf.DUMMYFUNCTION("""COMPUTED_VALUE"""),"part; part time")</f>
        <v>part; part time</v>
      </c>
    </row>
    <row r="27">
      <c r="A27" s="20">
        <v>26.0</v>
      </c>
      <c r="B27" s="20" t="s">
        <v>953</v>
      </c>
      <c r="C27" s="55" t="s">
        <v>954</v>
      </c>
      <c r="D27" s="20" t="s">
        <v>954</v>
      </c>
      <c r="E27" s="51"/>
      <c r="J27" s="14" t="str">
        <f>IFERROR(__xludf.DUMMYFUNCTION("""COMPUTED_VALUE"""),"ピアノ")</f>
        <v>ピアノ</v>
      </c>
      <c r="K27" s="14" t="str">
        <f>IFERROR(__xludf.DUMMYFUNCTION("""COMPUTED_VALUE"""),"piano")</f>
        <v>piano</v>
      </c>
    </row>
    <row r="28">
      <c r="A28" s="20">
        <v>27.0</v>
      </c>
      <c r="B28" s="20" t="s">
        <v>955</v>
      </c>
      <c r="C28" s="55" t="s">
        <v>956</v>
      </c>
      <c r="D28" s="20" t="s">
        <v>888</v>
      </c>
      <c r="E28" s="51"/>
      <c r="J28" s="14" t="str">
        <f>IFERROR(__xludf.DUMMYFUNCTION("""COMPUTED_VALUE"""),"プレゼント")</f>
        <v>プレゼント</v>
      </c>
      <c r="K28" s="14" t="str">
        <f>IFERROR(__xludf.DUMMYFUNCTION("""COMPUTED_VALUE"""),"present; gift")</f>
        <v>present; gift</v>
      </c>
    </row>
    <row r="29">
      <c r="A29" s="20">
        <v>28.0</v>
      </c>
      <c r="B29" s="20" t="s">
        <v>961</v>
      </c>
      <c r="C29" s="55" t="s">
        <v>962</v>
      </c>
      <c r="D29" s="20" t="s">
        <v>963</v>
      </c>
      <c r="E29" s="51"/>
      <c r="J29" s="14" t="str">
        <f>IFERROR(__xludf.DUMMYFUNCTION("""COMPUTED_VALUE"""),"レジ")</f>
        <v>レジ</v>
      </c>
      <c r="K29" s="14" t="str">
        <f>IFERROR(__xludf.DUMMYFUNCTION("""COMPUTED_VALUE"""),"cashier")</f>
        <v>cashier</v>
      </c>
    </row>
    <row r="30">
      <c r="A30" s="20">
        <v>29.0</v>
      </c>
      <c r="B30" s="20" t="s">
        <v>1011</v>
      </c>
      <c r="C30" s="55" t="s">
        <v>1012</v>
      </c>
      <c r="D30" s="20" t="s">
        <v>1013</v>
      </c>
      <c r="E30" s="51"/>
      <c r="J30" s="14" t="str">
        <f>IFERROR(__xludf.DUMMYFUNCTION("""COMPUTED_VALUE"""),"サンダル")</f>
        <v>サンダル</v>
      </c>
      <c r="K30" s="14" t="str">
        <f>IFERROR(__xludf.DUMMYFUNCTION("""COMPUTED_VALUE"""),"sandal")</f>
        <v>sandal</v>
      </c>
    </row>
    <row r="31">
      <c r="A31" s="20">
        <v>30.0</v>
      </c>
      <c r="B31" s="20" t="s">
        <v>1014</v>
      </c>
      <c r="C31" s="55" t="s">
        <v>1015</v>
      </c>
      <c r="D31" s="20" t="s">
        <v>1016</v>
      </c>
      <c r="E31" s="51"/>
      <c r="J31" s="14" t="str">
        <f>IFERROR(__xludf.DUMMYFUNCTION("""COMPUTED_VALUE"""),"サンドイッチ")</f>
        <v>サンドイッチ</v>
      </c>
      <c r="K31" s="14" t="str">
        <f>IFERROR(__xludf.DUMMYFUNCTION("""COMPUTED_VALUE"""),"sandwich")</f>
        <v>sandwich</v>
      </c>
    </row>
    <row r="32">
      <c r="A32" s="20">
        <v>31.0</v>
      </c>
      <c r="B32" s="20" t="s">
        <v>1020</v>
      </c>
      <c r="C32" s="55" t="s">
        <v>1021</v>
      </c>
      <c r="D32" s="20" t="s">
        <v>1022</v>
      </c>
      <c r="E32" s="51"/>
      <c r="J32" s="14" t="str">
        <f>IFERROR(__xludf.DUMMYFUNCTION("""COMPUTED_VALUE"""),"サラダ")</f>
        <v>サラダ</v>
      </c>
      <c r="K32" s="14" t="str">
        <f>IFERROR(__xludf.DUMMYFUNCTION("""COMPUTED_VALUE"""),"salad")</f>
        <v>salad</v>
      </c>
    </row>
    <row r="33">
      <c r="A33" s="20">
        <v>32.0</v>
      </c>
      <c r="B33" s="20" t="s">
        <v>1169</v>
      </c>
      <c r="C33" s="55" t="s">
        <v>1170</v>
      </c>
      <c r="D33" s="20" t="s">
        <v>1171</v>
      </c>
      <c r="E33" s="51"/>
      <c r="J33" s="14" t="str">
        <f>IFERROR(__xludf.DUMMYFUNCTION("""COMPUTED_VALUE"""),"ソフト")</f>
        <v>ソフト</v>
      </c>
      <c r="K33" s="14" t="str">
        <f>IFERROR(__xludf.DUMMYFUNCTION("""COMPUTED_VALUE"""),"soft")</f>
        <v>soft</v>
      </c>
    </row>
    <row r="34">
      <c r="A34" s="20">
        <v>33.0</v>
      </c>
      <c r="B34" s="20" t="s">
        <v>1188</v>
      </c>
      <c r="C34" s="55" t="s">
        <v>1189</v>
      </c>
      <c r="D34" s="20" t="s">
        <v>1190</v>
      </c>
      <c r="E34" s="51"/>
      <c r="J34" s="14" t="str">
        <f>IFERROR(__xludf.DUMMYFUNCTION("""COMPUTED_VALUE"""),"スクリーン")</f>
        <v>スクリーン</v>
      </c>
      <c r="K34" s="14" t="str">
        <f>IFERROR(__xludf.DUMMYFUNCTION("""COMPUTED_VALUE"""),"screen")</f>
        <v>screen</v>
      </c>
    </row>
    <row r="35">
      <c r="A35" s="20">
        <v>34.0</v>
      </c>
      <c r="B35" s="20" t="s">
        <v>1202</v>
      </c>
      <c r="C35" s="55" t="s">
        <v>1203</v>
      </c>
      <c r="D35" s="20" t="s">
        <v>1204</v>
      </c>
      <c r="E35" s="51"/>
      <c r="J35" s="14" t="str">
        <f>IFERROR(__xludf.DUMMYFUNCTION("""COMPUTED_VALUE"""),"スーツケース")</f>
        <v>スーツケース</v>
      </c>
      <c r="K35" s="14" t="str">
        <f>IFERROR(__xludf.DUMMYFUNCTION("""COMPUTED_VALUE"""),"suitcase")</f>
        <v>suitcase</v>
      </c>
    </row>
    <row r="36">
      <c r="A36" s="20">
        <v>35.0</v>
      </c>
      <c r="B36" s="20" t="s">
        <v>1205</v>
      </c>
      <c r="C36" s="55" t="s">
        <v>1206</v>
      </c>
      <c r="D36" s="20" t="s">
        <v>1207</v>
      </c>
      <c r="E36" s="51"/>
      <c r="J36" s="14" t="str">
        <f>IFERROR(__xludf.DUMMYFUNCTION("""COMPUTED_VALUE"""),"ステーキ")</f>
        <v>ステーキ</v>
      </c>
      <c r="K36" s="14" t="str">
        <f>IFERROR(__xludf.DUMMYFUNCTION("""COMPUTED_VALUE"""),"steak")</f>
        <v>steak</v>
      </c>
    </row>
    <row r="37">
      <c r="A37" s="20">
        <v>36.0</v>
      </c>
      <c r="B37" s="20" t="s">
        <v>1208</v>
      </c>
      <c r="C37" s="55" t="s">
        <v>1209</v>
      </c>
      <c r="D37" s="20" t="s">
        <v>1210</v>
      </c>
      <c r="E37" s="51"/>
      <c r="J37" s="14" t="str">
        <f>IFERROR(__xludf.DUMMYFUNCTION("""COMPUTED_VALUE"""),"ステレオ")</f>
        <v>ステレオ</v>
      </c>
      <c r="K37" s="14" t="str">
        <f>IFERROR(__xludf.DUMMYFUNCTION("""COMPUTED_VALUE"""),"stereo")</f>
        <v>stereo</v>
      </c>
    </row>
    <row r="38">
      <c r="A38" s="20">
        <v>37.0</v>
      </c>
      <c r="B38" s="20" t="s">
        <v>1215</v>
      </c>
      <c r="C38" s="55" t="s">
        <v>1216</v>
      </c>
      <c r="D38" s="20" t="s">
        <v>1217</v>
      </c>
      <c r="E38" s="51"/>
      <c r="J38" s="14" t="str">
        <f>IFERROR(__xludf.DUMMYFUNCTION("""COMPUTED_VALUE"""),"スーツ")</f>
        <v>スーツ</v>
      </c>
      <c r="K38" s="14" t="str">
        <f>IFERROR(__xludf.DUMMYFUNCTION("""COMPUTED_VALUE"""),"suit")</f>
        <v>suit</v>
      </c>
    </row>
    <row r="39">
      <c r="A39" s="20">
        <v>38.0</v>
      </c>
      <c r="B39" s="20" t="s">
        <v>1226</v>
      </c>
      <c r="C39" s="55" t="s">
        <v>1227</v>
      </c>
      <c r="D39" s="20" t="s">
        <v>1228</v>
      </c>
      <c r="E39" s="51"/>
      <c r="J39" s="14" t="str">
        <f>IFERROR(__xludf.DUMMYFUNCTION("""COMPUTED_VALUE"""),"タイプ")</f>
        <v>タイプ</v>
      </c>
      <c r="K39" s="14" t="str">
        <f>IFERROR(__xludf.DUMMYFUNCTION("""COMPUTED_VALUE"""),"type,style")</f>
        <v>type,style</v>
      </c>
    </row>
    <row r="40">
      <c r="A40" s="20">
        <v>39.0</v>
      </c>
      <c r="B40" s="20" t="s">
        <v>1270</v>
      </c>
      <c r="C40" s="55" t="s">
        <v>1271</v>
      </c>
      <c r="D40" s="20" t="s">
        <v>1272</v>
      </c>
      <c r="E40" s="51"/>
      <c r="J40" s="14" t="str">
        <f>IFERROR(__xludf.DUMMYFUNCTION("""COMPUTED_VALUE"""),"テニス")</f>
        <v>テニス</v>
      </c>
      <c r="K40" s="14" t="str">
        <f>IFERROR(__xludf.DUMMYFUNCTION("""COMPUTED_VALUE"""),"tennis")</f>
        <v>tennis</v>
      </c>
    </row>
    <row r="41">
      <c r="A41" s="20">
        <v>40.0</v>
      </c>
      <c r="B41" s="20" t="s">
        <v>1344</v>
      </c>
      <c r="C41" s="55" t="s">
        <v>1345</v>
      </c>
      <c r="D41" s="20" t="s">
        <v>1346</v>
      </c>
      <c r="E41" s="51"/>
      <c r="J41" s="14" t="str">
        <f>IFERROR(__xludf.DUMMYFUNCTION("""COMPUTED_VALUE"""),"ワープロ")</f>
        <v>ワープロ</v>
      </c>
      <c r="K41" s="14" t="str">
        <f>IFERROR(__xludf.DUMMYFUNCTION("""COMPUTED_VALUE"""),"word processor")</f>
        <v>word processor</v>
      </c>
    </row>
    <row r="42">
      <c r="A42" s="51"/>
      <c r="B42" s="51"/>
      <c r="C42" s="56"/>
      <c r="D42" s="51"/>
      <c r="E42" s="51"/>
      <c r="J42" s="14"/>
      <c r="K42" s="14"/>
    </row>
    <row r="43">
      <c r="A43" s="51"/>
      <c r="B43" s="51"/>
      <c r="C43" s="56"/>
      <c r="D43" s="51"/>
      <c r="E43" s="51"/>
      <c r="J43" s="14"/>
      <c r="K43" s="14"/>
    </row>
    <row r="44">
      <c r="A44" s="51"/>
      <c r="B44" s="51"/>
      <c r="C44" s="56"/>
      <c r="D44" s="51"/>
      <c r="E44" s="51"/>
      <c r="J44" s="14"/>
      <c r="K44" s="14"/>
    </row>
    <row r="45">
      <c r="A45" s="51"/>
      <c r="B45" s="51"/>
      <c r="C45" s="56"/>
      <c r="D45" s="51"/>
      <c r="E45" s="51"/>
      <c r="J45" s="14"/>
      <c r="K45" s="14"/>
    </row>
    <row r="46">
      <c r="A46" s="51"/>
      <c r="B46" s="51"/>
      <c r="C46" s="56"/>
      <c r="D46" s="51"/>
      <c r="E46" s="51"/>
      <c r="J46" s="14"/>
      <c r="K46" s="14"/>
    </row>
    <row r="47">
      <c r="A47" s="51"/>
      <c r="B47" s="51"/>
      <c r="C47" s="56"/>
      <c r="D47" s="51"/>
      <c r="E47" s="51"/>
      <c r="J47" s="14"/>
      <c r="K47" s="14"/>
    </row>
    <row r="48">
      <c r="A48" s="51"/>
      <c r="B48" s="51"/>
      <c r="C48" s="56"/>
      <c r="D48" s="51"/>
      <c r="E48" s="51"/>
      <c r="J48" s="14"/>
      <c r="K48" s="14"/>
    </row>
    <row r="49">
      <c r="A49" s="51"/>
      <c r="B49" s="51"/>
      <c r="C49" s="56"/>
      <c r="D49" s="51"/>
      <c r="E49" s="51"/>
      <c r="J49" s="14"/>
      <c r="K49" s="14"/>
    </row>
    <row r="50">
      <c r="A50" s="51"/>
      <c r="B50" s="51"/>
      <c r="C50" s="56"/>
      <c r="D50" s="51"/>
      <c r="E50" s="51"/>
      <c r="J50" s="14"/>
      <c r="K50" s="14"/>
    </row>
    <row r="51">
      <c r="A51" s="51"/>
      <c r="B51" s="51"/>
      <c r="C51" s="56"/>
      <c r="D51" s="51"/>
      <c r="E51" s="51"/>
      <c r="J51" s="14"/>
      <c r="K51" s="14"/>
    </row>
    <row r="52">
      <c r="A52" s="51"/>
      <c r="B52" s="51"/>
      <c r="C52" s="56"/>
      <c r="D52" s="51"/>
      <c r="E52" s="51"/>
      <c r="J52" s="14"/>
      <c r="K52" s="14"/>
    </row>
    <row r="53">
      <c r="A53" s="51"/>
      <c r="B53" s="51"/>
      <c r="C53" s="56"/>
      <c r="D53" s="51"/>
      <c r="E53" s="51"/>
      <c r="J53" s="14"/>
      <c r="K53" s="14"/>
    </row>
    <row r="54">
      <c r="A54" s="51"/>
      <c r="B54" s="51"/>
      <c r="C54" s="56"/>
      <c r="D54" s="51"/>
      <c r="E54" s="51"/>
      <c r="J54" s="14"/>
      <c r="K54" s="14"/>
    </row>
    <row r="55">
      <c r="A55" s="51"/>
      <c r="B55" s="51"/>
      <c r="C55" s="56"/>
      <c r="D55" s="51"/>
      <c r="E55" s="51"/>
      <c r="J55" s="14"/>
      <c r="K55" s="14"/>
    </row>
    <row r="56">
      <c r="A56" s="51"/>
      <c r="B56" s="51"/>
      <c r="C56" s="56"/>
      <c r="D56" s="51"/>
      <c r="E56" s="51"/>
      <c r="J56" s="14"/>
      <c r="K56" s="14"/>
    </row>
    <row r="57">
      <c r="A57" s="51"/>
      <c r="B57" s="51"/>
      <c r="C57" s="56"/>
      <c r="D57" s="51"/>
      <c r="E57" s="51"/>
      <c r="J57" s="14"/>
      <c r="K57" s="14"/>
    </row>
    <row r="58">
      <c r="A58" s="51"/>
      <c r="B58" s="51"/>
      <c r="C58" s="56"/>
      <c r="D58" s="51"/>
      <c r="E58" s="51"/>
      <c r="J58" s="14"/>
      <c r="K58" s="14"/>
    </row>
    <row r="59">
      <c r="A59" s="51"/>
      <c r="B59" s="51"/>
      <c r="C59" s="56"/>
      <c r="D59" s="51"/>
      <c r="E59" s="51"/>
      <c r="J59" s="14"/>
      <c r="K59" s="14"/>
    </row>
    <row r="60">
      <c r="A60" s="51"/>
      <c r="B60" s="51"/>
      <c r="C60" s="56"/>
      <c r="D60" s="51"/>
      <c r="E60" s="51"/>
      <c r="J60" s="14"/>
      <c r="K60" s="14"/>
    </row>
    <row r="61">
      <c r="A61" s="51"/>
      <c r="B61" s="51"/>
      <c r="C61" s="56"/>
      <c r="D61" s="51"/>
      <c r="E61" s="51"/>
      <c r="J61" s="14"/>
      <c r="K61" s="14"/>
    </row>
    <row r="62">
      <c r="A62" s="51"/>
      <c r="B62" s="51"/>
      <c r="C62" s="56"/>
      <c r="D62" s="51"/>
      <c r="E62" s="51"/>
      <c r="J62" s="14"/>
      <c r="K62" s="14"/>
    </row>
    <row r="63">
      <c r="A63" s="57"/>
      <c r="C63" s="58"/>
      <c r="D63" s="54"/>
      <c r="J63" s="14"/>
      <c r="K63" s="14"/>
    </row>
    <row r="64">
      <c r="C64" s="58"/>
      <c r="D64" s="54"/>
      <c r="J64" s="14"/>
      <c r="K64" s="14"/>
    </row>
    <row r="65">
      <c r="C65" s="58"/>
      <c r="D65" s="54"/>
      <c r="J65" s="14"/>
      <c r="K65" s="14"/>
    </row>
    <row r="66">
      <c r="C66" s="58"/>
      <c r="D66" s="54"/>
      <c r="J66" s="14"/>
      <c r="K66" s="14"/>
    </row>
    <row r="67">
      <c r="C67" s="58"/>
      <c r="D67" s="54"/>
      <c r="J67" s="14"/>
      <c r="K67" s="14"/>
    </row>
    <row r="68">
      <c r="C68" s="58"/>
      <c r="D68" s="54"/>
      <c r="J68" s="14"/>
      <c r="K68" s="14"/>
    </row>
    <row r="69">
      <c r="C69" s="58"/>
      <c r="D69" s="54"/>
      <c r="J69" s="14"/>
      <c r="K69" s="14"/>
    </row>
    <row r="70">
      <c r="C70" s="58"/>
      <c r="D70" s="54"/>
      <c r="J70" s="14"/>
      <c r="K70" s="14"/>
    </row>
    <row r="71">
      <c r="C71" s="58"/>
      <c r="D71" s="54"/>
      <c r="J71" s="14"/>
      <c r="K71" s="14"/>
    </row>
    <row r="72">
      <c r="C72" s="58"/>
      <c r="D72" s="54"/>
      <c r="J72" s="14"/>
      <c r="K72" s="14"/>
    </row>
    <row r="73">
      <c r="C73" s="58"/>
      <c r="D73" s="54"/>
      <c r="J73" s="14"/>
      <c r="K73" s="14"/>
    </row>
    <row r="74">
      <c r="C74" s="58"/>
      <c r="D74" s="54"/>
      <c r="J74" s="14"/>
      <c r="K74" s="14"/>
    </row>
    <row r="75">
      <c r="C75" s="58"/>
      <c r="D75" s="54"/>
      <c r="J75" s="14"/>
      <c r="K75" s="14"/>
    </row>
    <row r="76">
      <c r="C76" s="58"/>
      <c r="D76" s="54"/>
      <c r="J76" s="14"/>
      <c r="K76" s="14"/>
    </row>
    <row r="77">
      <c r="C77" s="58"/>
      <c r="D77" s="54"/>
      <c r="J77" s="14"/>
      <c r="K77" s="14"/>
    </row>
    <row r="78">
      <c r="C78" s="58"/>
      <c r="D78" s="54"/>
      <c r="J78" s="14"/>
      <c r="K78" s="14"/>
    </row>
    <row r="79">
      <c r="C79" s="58"/>
      <c r="D79" s="54"/>
      <c r="J79" s="14"/>
      <c r="K79" s="14"/>
    </row>
    <row r="80">
      <c r="C80" s="58"/>
      <c r="D80" s="54"/>
      <c r="J80" s="14"/>
      <c r="K80" s="14"/>
    </row>
    <row r="81">
      <c r="C81" s="58"/>
      <c r="D81" s="54"/>
      <c r="J81" s="14"/>
      <c r="K81" s="14"/>
    </row>
    <row r="82">
      <c r="C82" s="58"/>
      <c r="D82" s="54"/>
      <c r="J82" s="14"/>
      <c r="K82" s="14"/>
    </row>
    <row r="83">
      <c r="C83" s="58"/>
      <c r="D83" s="54"/>
      <c r="J83" s="14"/>
      <c r="K83" s="14"/>
    </row>
    <row r="84">
      <c r="C84" s="58"/>
      <c r="D84" s="54"/>
      <c r="J84" s="14"/>
      <c r="K84" s="14"/>
    </row>
    <row r="85">
      <c r="C85" s="58"/>
      <c r="D85" s="54"/>
      <c r="J85" s="14"/>
      <c r="K85" s="14"/>
    </row>
    <row r="86">
      <c r="C86" s="58"/>
      <c r="D86" s="54"/>
      <c r="J86" s="14"/>
      <c r="K86" s="14"/>
    </row>
    <row r="87">
      <c r="C87" s="58"/>
      <c r="D87" s="54"/>
      <c r="J87" s="14"/>
      <c r="K87" s="14"/>
    </row>
    <row r="88">
      <c r="C88" s="58"/>
      <c r="D88" s="54"/>
      <c r="J88" s="14"/>
      <c r="K88" s="14"/>
    </row>
    <row r="89">
      <c r="C89" s="58"/>
      <c r="D89" s="54"/>
      <c r="J89" s="14"/>
      <c r="K89" s="14"/>
    </row>
    <row r="90">
      <c r="C90" s="58"/>
      <c r="D90" s="54"/>
      <c r="J90" s="14"/>
      <c r="K90" s="14"/>
    </row>
    <row r="91">
      <c r="C91" s="58"/>
      <c r="D91" s="54"/>
      <c r="J91" s="14"/>
      <c r="K91" s="14"/>
    </row>
    <row r="92">
      <c r="C92" s="58"/>
      <c r="D92" s="54"/>
      <c r="J92" s="14"/>
      <c r="K92" s="14"/>
    </row>
    <row r="93">
      <c r="C93" s="58"/>
      <c r="D93" s="54"/>
      <c r="J93" s="14"/>
      <c r="K93" s="14"/>
    </row>
    <row r="94">
      <c r="C94" s="58"/>
      <c r="D94" s="54"/>
      <c r="J94" s="14"/>
      <c r="K94" s="14"/>
    </row>
    <row r="95">
      <c r="C95" s="58"/>
      <c r="D95" s="54"/>
      <c r="J95" s="14"/>
      <c r="K95" s="14"/>
    </row>
    <row r="96">
      <c r="C96" s="58"/>
      <c r="D96" s="54"/>
      <c r="J96" s="14"/>
      <c r="K96" s="14"/>
    </row>
    <row r="97">
      <c r="C97" s="58"/>
      <c r="D97" s="54"/>
      <c r="J97" s="14"/>
      <c r="K97" s="14"/>
    </row>
    <row r="98">
      <c r="C98" s="58"/>
      <c r="D98" s="54"/>
      <c r="J98" s="14"/>
      <c r="K98" s="14"/>
    </row>
    <row r="99">
      <c r="C99" s="58"/>
      <c r="D99" s="54"/>
      <c r="J99" s="14"/>
      <c r="K99" s="14"/>
    </row>
    <row r="100">
      <c r="C100" s="58"/>
      <c r="D100" s="54"/>
      <c r="J100" s="14"/>
      <c r="K100" s="14"/>
    </row>
    <row r="101">
      <c r="C101" s="58"/>
      <c r="D101" s="54"/>
      <c r="J101" s="14"/>
      <c r="K101" s="14"/>
    </row>
    <row r="102">
      <c r="C102" s="58"/>
      <c r="D102" s="54"/>
      <c r="J102" s="14"/>
      <c r="K102" s="14"/>
    </row>
    <row r="103">
      <c r="C103" s="58"/>
      <c r="D103" s="54"/>
      <c r="J103" s="14"/>
      <c r="K103" s="14"/>
    </row>
    <row r="104">
      <c r="C104" s="58"/>
      <c r="D104" s="54"/>
      <c r="J104" s="14"/>
      <c r="K104" s="14"/>
    </row>
    <row r="105">
      <c r="C105" s="58"/>
      <c r="D105" s="54"/>
      <c r="J105" s="14"/>
      <c r="K105" s="14"/>
    </row>
    <row r="106">
      <c r="C106" s="58"/>
      <c r="D106" s="54"/>
      <c r="J106" s="14"/>
      <c r="K106" s="14"/>
    </row>
    <row r="107">
      <c r="C107" s="58"/>
      <c r="D107" s="54"/>
      <c r="J107" s="14"/>
      <c r="K107" s="14"/>
    </row>
    <row r="108">
      <c r="C108" s="58"/>
      <c r="D108" s="54"/>
      <c r="J108" s="14"/>
      <c r="K108" s="14"/>
    </row>
    <row r="109">
      <c r="C109" s="58"/>
      <c r="D109" s="54"/>
      <c r="J109" s="14"/>
      <c r="K109" s="14"/>
    </row>
    <row r="110">
      <c r="C110" s="58"/>
      <c r="D110" s="54"/>
      <c r="J110" s="14"/>
      <c r="K110" s="14"/>
    </row>
    <row r="111">
      <c r="C111" s="58"/>
      <c r="D111" s="54"/>
      <c r="J111" s="14"/>
      <c r="K111" s="14"/>
    </row>
    <row r="112">
      <c r="C112" s="58"/>
      <c r="D112" s="54"/>
      <c r="J112" s="14"/>
      <c r="K112" s="14"/>
    </row>
    <row r="113">
      <c r="C113" s="58"/>
      <c r="D113" s="54"/>
      <c r="J113" s="14"/>
      <c r="K113" s="14"/>
    </row>
    <row r="114">
      <c r="C114" s="58"/>
      <c r="D114" s="54"/>
      <c r="J114" s="14"/>
      <c r="K114" s="14"/>
    </row>
    <row r="115">
      <c r="C115" s="58"/>
      <c r="D115" s="54"/>
      <c r="J115" s="14"/>
      <c r="K115" s="14"/>
    </row>
    <row r="116">
      <c r="C116" s="58"/>
      <c r="D116" s="54"/>
      <c r="J116" s="14"/>
      <c r="K116" s="14"/>
    </row>
    <row r="117">
      <c r="C117" s="58"/>
      <c r="D117" s="54"/>
      <c r="J117" s="14"/>
      <c r="K117" s="14"/>
    </row>
    <row r="118">
      <c r="C118" s="58"/>
      <c r="D118" s="54"/>
      <c r="J118" s="14"/>
      <c r="K118" s="14"/>
    </row>
    <row r="119">
      <c r="C119" s="58"/>
      <c r="D119" s="54"/>
      <c r="J119" s="14"/>
      <c r="K119" s="14"/>
    </row>
    <row r="120">
      <c r="C120" s="58"/>
      <c r="D120" s="54"/>
      <c r="J120" s="14"/>
      <c r="K120" s="14"/>
    </row>
    <row r="121">
      <c r="C121" s="58"/>
      <c r="D121" s="54"/>
      <c r="J121" s="14"/>
      <c r="K121" s="14"/>
    </row>
    <row r="122">
      <c r="C122" s="58"/>
      <c r="D122" s="54"/>
      <c r="J122" s="14"/>
      <c r="K122" s="14"/>
    </row>
    <row r="123">
      <c r="C123" s="58"/>
      <c r="D123" s="54"/>
      <c r="J123" s="14"/>
      <c r="K123" s="14"/>
    </row>
    <row r="124">
      <c r="C124" s="58"/>
      <c r="D124" s="54"/>
      <c r="J124" s="14"/>
      <c r="K124" s="14"/>
    </row>
    <row r="125">
      <c r="C125" s="58"/>
      <c r="D125" s="54"/>
      <c r="J125" s="14"/>
      <c r="K125" s="14"/>
    </row>
    <row r="126">
      <c r="C126" s="58"/>
      <c r="D126" s="54"/>
      <c r="J126" s="14"/>
      <c r="K126" s="14"/>
    </row>
    <row r="127">
      <c r="C127" s="58"/>
      <c r="D127" s="54"/>
      <c r="J127" s="14"/>
      <c r="K127" s="14"/>
    </row>
    <row r="128">
      <c r="C128" s="58"/>
      <c r="D128" s="54"/>
      <c r="J128" s="14"/>
      <c r="K128" s="14"/>
    </row>
    <row r="129">
      <c r="C129" s="58"/>
      <c r="D129" s="54"/>
      <c r="J129" s="14"/>
      <c r="K129" s="14"/>
    </row>
    <row r="130">
      <c r="C130" s="58"/>
      <c r="D130" s="54"/>
      <c r="J130" s="14"/>
      <c r="K130" s="14"/>
    </row>
    <row r="131">
      <c r="C131" s="58"/>
      <c r="D131" s="54"/>
      <c r="J131" s="14"/>
      <c r="K131" s="14"/>
    </row>
    <row r="132">
      <c r="C132" s="58"/>
      <c r="D132" s="54"/>
      <c r="J132" s="14"/>
      <c r="K132" s="14"/>
    </row>
    <row r="133">
      <c r="C133" s="58"/>
      <c r="D133" s="54"/>
      <c r="J133" s="14"/>
      <c r="K133" s="14"/>
    </row>
    <row r="134">
      <c r="C134" s="58"/>
      <c r="D134" s="54"/>
      <c r="J134" s="14"/>
      <c r="K134" s="14"/>
    </row>
    <row r="135">
      <c r="C135" s="58"/>
      <c r="D135" s="54"/>
      <c r="J135" s="14"/>
      <c r="K135" s="14"/>
    </row>
    <row r="136">
      <c r="C136" s="58"/>
      <c r="D136" s="54"/>
      <c r="J136" s="14"/>
      <c r="K136" s="14"/>
    </row>
    <row r="137">
      <c r="C137" s="58"/>
      <c r="D137" s="54"/>
      <c r="J137" s="14"/>
      <c r="K137" s="14"/>
    </row>
    <row r="138">
      <c r="C138" s="58"/>
      <c r="D138" s="54"/>
      <c r="J138" s="14"/>
      <c r="K138" s="14"/>
    </row>
    <row r="139">
      <c r="C139" s="58"/>
      <c r="D139" s="54"/>
      <c r="J139" s="14"/>
      <c r="K139" s="14"/>
    </row>
    <row r="140">
      <c r="C140" s="58"/>
      <c r="D140" s="54"/>
      <c r="J140" s="14"/>
      <c r="K140" s="14"/>
    </row>
    <row r="141">
      <c r="C141" s="58"/>
      <c r="D141" s="54"/>
      <c r="J141" s="14"/>
      <c r="K141" s="14"/>
    </row>
    <row r="142">
      <c r="C142" s="58"/>
      <c r="D142" s="54"/>
      <c r="J142" s="14"/>
      <c r="K142" s="14"/>
    </row>
    <row r="143">
      <c r="C143" s="58"/>
      <c r="D143" s="54"/>
      <c r="J143" s="14"/>
      <c r="K143" s="14"/>
    </row>
    <row r="144">
      <c r="C144" s="58"/>
      <c r="D144" s="54"/>
      <c r="J144" s="14"/>
      <c r="K144" s="14"/>
    </row>
    <row r="145">
      <c r="C145" s="58"/>
      <c r="D145" s="54"/>
      <c r="J145" s="14"/>
      <c r="K145" s="14"/>
    </row>
    <row r="146">
      <c r="C146" s="58"/>
      <c r="D146" s="54"/>
      <c r="J146" s="14"/>
      <c r="K146" s="14"/>
    </row>
    <row r="147">
      <c r="C147" s="58"/>
      <c r="D147" s="54"/>
      <c r="J147" s="14"/>
      <c r="K147" s="14"/>
    </row>
    <row r="148">
      <c r="C148" s="58"/>
      <c r="D148" s="54"/>
      <c r="J148" s="14"/>
      <c r="K148" s="14"/>
    </row>
    <row r="149">
      <c r="C149" s="58"/>
      <c r="D149" s="54"/>
      <c r="J149" s="14"/>
      <c r="K149" s="14"/>
    </row>
    <row r="150">
      <c r="C150" s="58"/>
      <c r="D150" s="54"/>
      <c r="J150" s="14"/>
      <c r="K150" s="14"/>
    </row>
    <row r="151">
      <c r="C151" s="58"/>
      <c r="D151" s="54"/>
      <c r="J151" s="14"/>
      <c r="K151" s="14"/>
    </row>
    <row r="152">
      <c r="C152" s="58"/>
      <c r="D152" s="54"/>
      <c r="J152" s="14"/>
      <c r="K152" s="14"/>
    </row>
    <row r="153">
      <c r="C153" s="58"/>
      <c r="D153" s="54"/>
      <c r="J153" s="14"/>
      <c r="K153" s="14"/>
    </row>
    <row r="154">
      <c r="C154" s="58"/>
      <c r="D154" s="54"/>
      <c r="J154" s="14"/>
      <c r="K154" s="14"/>
    </row>
    <row r="155">
      <c r="C155" s="58"/>
      <c r="D155" s="54"/>
      <c r="J155" s="14"/>
      <c r="K155" s="14"/>
    </row>
    <row r="156">
      <c r="C156" s="58"/>
      <c r="D156" s="54"/>
      <c r="J156" s="14"/>
      <c r="K156" s="14"/>
    </row>
    <row r="157">
      <c r="C157" s="58"/>
      <c r="D157" s="54"/>
      <c r="J157" s="14"/>
      <c r="K157" s="14"/>
    </row>
    <row r="158">
      <c r="C158" s="58"/>
      <c r="D158" s="54"/>
      <c r="J158" s="14"/>
      <c r="K158" s="14"/>
    </row>
    <row r="159">
      <c r="C159" s="58"/>
      <c r="D159" s="54"/>
      <c r="J159" s="14"/>
      <c r="K159" s="14"/>
    </row>
    <row r="160">
      <c r="C160" s="58"/>
      <c r="D160" s="54"/>
      <c r="J160" s="14"/>
      <c r="K160" s="14"/>
    </row>
    <row r="161">
      <c r="C161" s="58"/>
      <c r="D161" s="54"/>
      <c r="J161" s="14"/>
      <c r="K161" s="14"/>
    </row>
    <row r="162">
      <c r="C162" s="58"/>
      <c r="D162" s="54"/>
      <c r="J162" s="14"/>
      <c r="K162" s="14"/>
    </row>
    <row r="163">
      <c r="C163" s="58"/>
      <c r="D163" s="54"/>
      <c r="J163" s="14"/>
      <c r="K163" s="14"/>
    </row>
    <row r="164">
      <c r="C164" s="58"/>
      <c r="D164" s="54"/>
      <c r="J164" s="14"/>
      <c r="K164" s="14"/>
    </row>
    <row r="165">
      <c r="C165" s="58"/>
      <c r="D165" s="54"/>
      <c r="J165" s="14"/>
      <c r="K165" s="14"/>
    </row>
    <row r="166">
      <c r="C166" s="58"/>
      <c r="D166" s="54"/>
      <c r="J166" s="14"/>
      <c r="K166" s="14"/>
    </row>
    <row r="167">
      <c r="C167" s="58"/>
      <c r="D167" s="54"/>
      <c r="J167" s="14"/>
      <c r="K167" s="14"/>
    </row>
    <row r="168">
      <c r="C168" s="58"/>
      <c r="D168" s="54"/>
      <c r="J168" s="14"/>
      <c r="K168" s="14"/>
    </row>
    <row r="169">
      <c r="C169" s="58"/>
      <c r="D169" s="54"/>
      <c r="J169" s="14"/>
      <c r="K169" s="14"/>
    </row>
    <row r="170">
      <c r="C170" s="58"/>
      <c r="D170" s="54"/>
      <c r="J170" s="14"/>
      <c r="K170" s="14"/>
    </row>
    <row r="171">
      <c r="C171" s="58"/>
      <c r="D171" s="54"/>
      <c r="J171" s="14"/>
      <c r="K171" s="14"/>
    </row>
    <row r="172">
      <c r="C172" s="58"/>
      <c r="D172" s="54"/>
      <c r="J172" s="14"/>
      <c r="K172" s="14"/>
    </row>
    <row r="173">
      <c r="C173" s="58"/>
      <c r="D173" s="54"/>
      <c r="J173" s="14"/>
      <c r="K173" s="14"/>
    </row>
    <row r="174">
      <c r="C174" s="58"/>
      <c r="D174" s="54"/>
      <c r="J174" s="14"/>
      <c r="K174" s="14"/>
    </row>
    <row r="175">
      <c r="C175" s="58"/>
      <c r="D175" s="54"/>
      <c r="J175" s="14"/>
      <c r="K175" s="14"/>
    </row>
    <row r="176">
      <c r="C176" s="58"/>
      <c r="D176" s="54"/>
      <c r="J176" s="14"/>
      <c r="K176" s="14"/>
    </row>
    <row r="177">
      <c r="C177" s="58"/>
      <c r="D177" s="54"/>
      <c r="J177" s="14"/>
      <c r="K177" s="14"/>
    </row>
    <row r="178">
      <c r="C178" s="58"/>
      <c r="D178" s="54"/>
      <c r="J178" s="14"/>
      <c r="K178" s="14"/>
    </row>
    <row r="179">
      <c r="C179" s="58"/>
      <c r="D179" s="54"/>
      <c r="J179" s="14"/>
      <c r="K179" s="14"/>
    </row>
    <row r="180">
      <c r="C180" s="58"/>
      <c r="D180" s="54"/>
      <c r="J180" s="14"/>
      <c r="K180" s="14"/>
    </row>
    <row r="181">
      <c r="C181" s="58"/>
      <c r="D181" s="54"/>
      <c r="J181" s="14"/>
      <c r="K181" s="14"/>
    </row>
    <row r="182">
      <c r="C182" s="58"/>
      <c r="D182" s="54"/>
      <c r="J182" s="14"/>
      <c r="K182" s="14"/>
    </row>
    <row r="183">
      <c r="C183" s="58"/>
      <c r="D183" s="54"/>
      <c r="J183" s="14"/>
      <c r="K183" s="14"/>
    </row>
    <row r="184">
      <c r="C184" s="58"/>
      <c r="D184" s="54"/>
      <c r="J184" s="14"/>
      <c r="K184" s="14"/>
    </row>
    <row r="185">
      <c r="C185" s="58"/>
      <c r="D185" s="54"/>
      <c r="J185" s="14"/>
      <c r="K185" s="14"/>
    </row>
    <row r="186">
      <c r="C186" s="58"/>
      <c r="D186" s="54"/>
      <c r="J186" s="14"/>
      <c r="K186" s="14"/>
    </row>
    <row r="187">
      <c r="C187" s="58"/>
      <c r="D187" s="54"/>
      <c r="J187" s="14"/>
      <c r="K187" s="14"/>
    </row>
    <row r="188">
      <c r="C188" s="58"/>
      <c r="D188" s="54"/>
      <c r="J188" s="14"/>
      <c r="K188" s="14"/>
    </row>
    <row r="189">
      <c r="C189" s="58"/>
      <c r="D189" s="54"/>
      <c r="J189" s="14"/>
      <c r="K189" s="14"/>
    </row>
    <row r="190">
      <c r="C190" s="58"/>
      <c r="D190" s="54"/>
      <c r="J190" s="14"/>
      <c r="K190" s="14"/>
    </row>
    <row r="191">
      <c r="C191" s="58"/>
      <c r="D191" s="54"/>
      <c r="J191" s="14"/>
      <c r="K191" s="14"/>
    </row>
    <row r="192">
      <c r="C192" s="58"/>
      <c r="D192" s="54"/>
      <c r="J192" s="14"/>
      <c r="K192" s="14"/>
    </row>
    <row r="193">
      <c r="C193" s="58"/>
      <c r="D193" s="54"/>
      <c r="J193" s="14"/>
      <c r="K193" s="14"/>
    </row>
    <row r="194">
      <c r="C194" s="58"/>
      <c r="D194" s="54"/>
      <c r="J194" s="14"/>
      <c r="K194" s="14"/>
    </row>
    <row r="195">
      <c r="C195" s="58"/>
      <c r="D195" s="54"/>
      <c r="J195" s="14"/>
      <c r="K195" s="14"/>
    </row>
    <row r="196">
      <c r="C196" s="58"/>
      <c r="D196" s="54"/>
      <c r="J196" s="14"/>
      <c r="K196" s="14"/>
    </row>
    <row r="197">
      <c r="C197" s="58"/>
      <c r="D197" s="54"/>
      <c r="J197" s="14"/>
      <c r="K197" s="14"/>
    </row>
    <row r="198">
      <c r="C198" s="58"/>
      <c r="D198" s="54"/>
      <c r="J198" s="14"/>
      <c r="K198" s="14"/>
    </row>
    <row r="199">
      <c r="C199" s="58"/>
      <c r="D199" s="54"/>
      <c r="J199" s="14"/>
      <c r="K199" s="14"/>
    </row>
    <row r="200">
      <c r="C200" s="58"/>
      <c r="D200" s="54"/>
      <c r="J200" s="14"/>
      <c r="K200" s="14"/>
    </row>
    <row r="201">
      <c r="C201" s="58"/>
      <c r="D201" s="54"/>
      <c r="J201" s="14"/>
      <c r="K201" s="14"/>
    </row>
    <row r="202">
      <c r="C202" s="58"/>
      <c r="D202" s="54"/>
      <c r="J202" s="14"/>
      <c r="K202" s="14"/>
    </row>
    <row r="203">
      <c r="C203" s="58"/>
      <c r="D203" s="54"/>
      <c r="J203" s="14"/>
      <c r="K203" s="14"/>
    </row>
    <row r="204">
      <c r="C204" s="58"/>
      <c r="D204" s="54"/>
      <c r="J204" s="14"/>
      <c r="K204" s="14"/>
    </row>
    <row r="205">
      <c r="C205" s="58"/>
      <c r="D205" s="54"/>
      <c r="J205" s="14"/>
      <c r="K205" s="14"/>
    </row>
    <row r="206">
      <c r="C206" s="58"/>
      <c r="D206" s="54"/>
      <c r="J206" s="14"/>
      <c r="K206" s="14"/>
    </row>
    <row r="207">
      <c r="C207" s="58"/>
      <c r="D207" s="54"/>
      <c r="J207" s="14"/>
      <c r="K207" s="14"/>
    </row>
    <row r="208">
      <c r="C208" s="58"/>
      <c r="D208" s="54"/>
      <c r="J208" s="14"/>
      <c r="K208" s="14"/>
    </row>
    <row r="209">
      <c r="C209" s="58"/>
      <c r="D209" s="54"/>
      <c r="J209" s="14"/>
      <c r="K209" s="14"/>
    </row>
    <row r="210">
      <c r="C210" s="58"/>
      <c r="D210" s="54"/>
      <c r="J210" s="14"/>
      <c r="K210" s="14"/>
    </row>
    <row r="211">
      <c r="C211" s="58"/>
      <c r="D211" s="54"/>
      <c r="J211" s="14"/>
      <c r="K211" s="14"/>
    </row>
    <row r="212">
      <c r="C212" s="58"/>
      <c r="D212" s="54"/>
      <c r="J212" s="14"/>
      <c r="K212" s="14"/>
    </row>
    <row r="213">
      <c r="C213" s="58"/>
      <c r="D213" s="54"/>
      <c r="J213" s="14"/>
      <c r="K213" s="14"/>
    </row>
    <row r="214">
      <c r="C214" s="58"/>
      <c r="D214" s="54"/>
      <c r="J214" s="14"/>
      <c r="K214" s="14"/>
    </row>
    <row r="215">
      <c r="C215" s="58"/>
      <c r="D215" s="54"/>
      <c r="J215" s="14"/>
      <c r="K215" s="14"/>
    </row>
    <row r="216">
      <c r="C216" s="58"/>
      <c r="D216" s="54"/>
      <c r="J216" s="14"/>
      <c r="K216" s="14"/>
    </row>
    <row r="217">
      <c r="C217" s="58"/>
      <c r="D217" s="54"/>
      <c r="J217" s="14"/>
      <c r="K217" s="14"/>
    </row>
    <row r="218">
      <c r="C218" s="58"/>
      <c r="D218" s="54"/>
      <c r="J218" s="14"/>
      <c r="K218" s="14"/>
    </row>
    <row r="219">
      <c r="C219" s="58"/>
      <c r="D219" s="54"/>
      <c r="J219" s="14"/>
      <c r="K219" s="14"/>
    </row>
    <row r="220">
      <c r="C220" s="58"/>
      <c r="D220" s="54"/>
      <c r="J220" s="14"/>
      <c r="K220" s="14"/>
    </row>
    <row r="221">
      <c r="C221" s="58"/>
      <c r="D221" s="54"/>
      <c r="J221" s="14"/>
      <c r="K221" s="14"/>
    </row>
    <row r="222">
      <c r="C222" s="58"/>
      <c r="D222" s="54"/>
      <c r="J222" s="14"/>
      <c r="K222" s="14"/>
    </row>
    <row r="223">
      <c r="C223" s="58"/>
      <c r="D223" s="54"/>
      <c r="J223" s="14"/>
      <c r="K223" s="14"/>
    </row>
    <row r="224">
      <c r="C224" s="58"/>
      <c r="D224" s="54"/>
      <c r="J224" s="14"/>
      <c r="K224" s="14"/>
    </row>
    <row r="225">
      <c r="C225" s="58"/>
      <c r="D225" s="54"/>
      <c r="J225" s="14"/>
      <c r="K225" s="14"/>
    </row>
    <row r="226">
      <c r="C226" s="58"/>
      <c r="D226" s="54"/>
      <c r="J226" s="14"/>
      <c r="K226" s="14"/>
    </row>
    <row r="227">
      <c r="C227" s="58"/>
      <c r="D227" s="54"/>
      <c r="J227" s="14"/>
      <c r="K227" s="14"/>
    </row>
    <row r="228">
      <c r="C228" s="58"/>
      <c r="D228" s="54"/>
      <c r="J228" s="14"/>
      <c r="K228" s="14"/>
    </row>
    <row r="229">
      <c r="C229" s="58"/>
      <c r="D229" s="54"/>
      <c r="J229" s="14"/>
      <c r="K229" s="14"/>
    </row>
    <row r="230">
      <c r="C230" s="58"/>
      <c r="D230" s="54"/>
      <c r="J230" s="14"/>
      <c r="K230" s="14"/>
    </row>
    <row r="231">
      <c r="C231" s="58"/>
      <c r="D231" s="54"/>
      <c r="J231" s="14"/>
      <c r="K231" s="14"/>
    </row>
    <row r="232">
      <c r="C232" s="58"/>
      <c r="D232" s="54"/>
      <c r="J232" s="14"/>
      <c r="K232" s="14"/>
    </row>
    <row r="233">
      <c r="C233" s="58"/>
      <c r="D233" s="54"/>
      <c r="J233" s="14"/>
      <c r="K233" s="14"/>
    </row>
    <row r="234">
      <c r="C234" s="58"/>
      <c r="D234" s="54"/>
      <c r="J234" s="14"/>
      <c r="K234" s="14"/>
    </row>
    <row r="235">
      <c r="C235" s="58"/>
      <c r="D235" s="54"/>
      <c r="J235" s="14"/>
      <c r="K235" s="14"/>
    </row>
    <row r="236">
      <c r="C236" s="58"/>
      <c r="D236" s="54"/>
      <c r="J236" s="14"/>
      <c r="K236" s="14"/>
    </row>
    <row r="237">
      <c r="C237" s="58"/>
      <c r="D237" s="54"/>
      <c r="J237" s="14"/>
      <c r="K237" s="14"/>
    </row>
    <row r="238">
      <c r="C238" s="58"/>
      <c r="D238" s="54"/>
      <c r="J238" s="14"/>
      <c r="K238" s="14"/>
    </row>
    <row r="239">
      <c r="C239" s="58"/>
      <c r="D239" s="54"/>
      <c r="J239" s="14"/>
      <c r="K239" s="14"/>
    </row>
    <row r="240">
      <c r="C240" s="58"/>
      <c r="D240" s="54"/>
      <c r="J240" s="14"/>
      <c r="K240" s="14"/>
    </row>
    <row r="241">
      <c r="C241" s="58"/>
      <c r="D241" s="54"/>
      <c r="J241" s="14"/>
      <c r="K241" s="14"/>
    </row>
    <row r="242">
      <c r="C242" s="58"/>
      <c r="D242" s="54"/>
      <c r="J242" s="14"/>
      <c r="K242" s="14"/>
    </row>
    <row r="243">
      <c r="C243" s="58"/>
      <c r="D243" s="54"/>
      <c r="J243" s="14"/>
      <c r="K243" s="14"/>
    </row>
    <row r="244">
      <c r="C244" s="58"/>
      <c r="D244" s="54"/>
      <c r="J244" s="14"/>
      <c r="K244" s="14"/>
    </row>
    <row r="245">
      <c r="C245" s="58"/>
      <c r="D245" s="54"/>
      <c r="J245" s="14"/>
      <c r="K245" s="14"/>
    </row>
    <row r="246">
      <c r="C246" s="58"/>
      <c r="D246" s="54"/>
      <c r="J246" s="14"/>
      <c r="K246" s="14"/>
    </row>
    <row r="247">
      <c r="C247" s="58"/>
      <c r="D247" s="54"/>
      <c r="J247" s="14"/>
      <c r="K247" s="14"/>
    </row>
    <row r="248">
      <c r="C248" s="58"/>
      <c r="D248" s="54"/>
      <c r="J248" s="14"/>
      <c r="K248" s="14"/>
    </row>
    <row r="249">
      <c r="C249" s="58"/>
      <c r="D249" s="54"/>
      <c r="J249" s="14"/>
      <c r="K249" s="14"/>
    </row>
    <row r="250">
      <c r="C250" s="58"/>
      <c r="D250" s="54"/>
      <c r="J250" s="14"/>
      <c r="K250" s="14"/>
    </row>
    <row r="251">
      <c r="C251" s="58"/>
      <c r="D251" s="54"/>
      <c r="J251" s="14"/>
      <c r="K251" s="14"/>
    </row>
    <row r="252">
      <c r="C252" s="58"/>
      <c r="D252" s="54"/>
      <c r="J252" s="14"/>
      <c r="K252" s="14"/>
    </row>
    <row r="253">
      <c r="C253" s="58"/>
      <c r="D253" s="54"/>
      <c r="J253" s="14"/>
      <c r="K253" s="14"/>
    </row>
    <row r="254">
      <c r="C254" s="58"/>
      <c r="D254" s="54"/>
      <c r="J254" s="14"/>
      <c r="K254" s="14"/>
    </row>
    <row r="255">
      <c r="C255" s="58"/>
      <c r="D255" s="54"/>
      <c r="J255" s="14"/>
      <c r="K255" s="14"/>
    </row>
    <row r="256">
      <c r="C256" s="58"/>
      <c r="D256" s="54"/>
      <c r="J256" s="14"/>
      <c r="K256" s="14"/>
    </row>
    <row r="257">
      <c r="C257" s="58"/>
      <c r="D257" s="54"/>
      <c r="J257" s="14"/>
      <c r="K257" s="14"/>
    </row>
    <row r="258">
      <c r="C258" s="58"/>
      <c r="D258" s="54"/>
      <c r="J258" s="14"/>
      <c r="K258" s="14"/>
    </row>
    <row r="259">
      <c r="C259" s="58"/>
      <c r="D259" s="54"/>
      <c r="J259" s="14"/>
      <c r="K259" s="14"/>
    </row>
    <row r="260">
      <c r="C260" s="58"/>
      <c r="D260" s="54"/>
      <c r="J260" s="14"/>
      <c r="K260" s="14"/>
    </row>
    <row r="261">
      <c r="C261" s="58"/>
      <c r="D261" s="54"/>
      <c r="J261" s="14"/>
      <c r="K261" s="14"/>
    </row>
    <row r="262">
      <c r="C262" s="58"/>
      <c r="D262" s="54"/>
      <c r="J262" s="14"/>
      <c r="K262" s="14"/>
    </row>
    <row r="263">
      <c r="C263" s="58"/>
      <c r="D263" s="54"/>
      <c r="J263" s="14"/>
      <c r="K263" s="14"/>
    </row>
    <row r="264">
      <c r="C264" s="58"/>
      <c r="D264" s="54"/>
      <c r="J264" s="14"/>
      <c r="K264" s="14"/>
    </row>
    <row r="265">
      <c r="C265" s="58"/>
      <c r="D265" s="54"/>
      <c r="J265" s="14"/>
      <c r="K265" s="14"/>
    </row>
    <row r="266">
      <c r="C266" s="58"/>
      <c r="D266" s="54"/>
      <c r="J266" s="14"/>
      <c r="K266" s="14"/>
    </row>
    <row r="267">
      <c r="C267" s="58"/>
      <c r="D267" s="54"/>
      <c r="J267" s="14"/>
      <c r="K267" s="14"/>
    </row>
    <row r="268">
      <c r="C268" s="58"/>
      <c r="D268" s="54"/>
      <c r="J268" s="14"/>
      <c r="K268" s="14"/>
    </row>
    <row r="269">
      <c r="C269" s="58"/>
      <c r="D269" s="54"/>
      <c r="J269" s="14"/>
      <c r="K269" s="14"/>
    </row>
    <row r="270">
      <c r="C270" s="58"/>
      <c r="D270" s="54"/>
      <c r="J270" s="14"/>
      <c r="K270" s="14"/>
    </row>
    <row r="271">
      <c r="C271" s="58"/>
      <c r="D271" s="54"/>
      <c r="J271" s="14"/>
      <c r="K271" s="14"/>
    </row>
    <row r="272">
      <c r="C272" s="58"/>
      <c r="D272" s="54"/>
      <c r="J272" s="14"/>
      <c r="K272" s="14"/>
    </row>
    <row r="273">
      <c r="C273" s="58"/>
      <c r="D273" s="54"/>
      <c r="J273" s="14"/>
      <c r="K273" s="14"/>
    </row>
    <row r="274">
      <c r="C274" s="58"/>
      <c r="D274" s="54"/>
      <c r="J274" s="14"/>
      <c r="K274" s="14"/>
    </row>
    <row r="275">
      <c r="C275" s="58"/>
      <c r="D275" s="54"/>
      <c r="J275" s="14"/>
      <c r="K275" s="14"/>
    </row>
    <row r="276">
      <c r="C276" s="58"/>
      <c r="D276" s="54"/>
      <c r="J276" s="14"/>
      <c r="K276" s="14"/>
    </row>
    <row r="277">
      <c r="C277" s="58"/>
      <c r="D277" s="54"/>
      <c r="J277" s="14"/>
      <c r="K277" s="14"/>
    </row>
    <row r="278">
      <c r="C278" s="58"/>
      <c r="D278" s="54"/>
      <c r="J278" s="14"/>
      <c r="K278" s="14"/>
    </row>
    <row r="279">
      <c r="C279" s="58"/>
      <c r="D279" s="54"/>
      <c r="J279" s="14"/>
      <c r="K279" s="14"/>
    </row>
    <row r="280">
      <c r="C280" s="58"/>
      <c r="D280" s="54"/>
      <c r="J280" s="14"/>
      <c r="K280" s="14"/>
    </row>
    <row r="281">
      <c r="C281" s="58"/>
      <c r="D281" s="54"/>
      <c r="J281" s="14"/>
      <c r="K281" s="14"/>
    </row>
    <row r="282">
      <c r="C282" s="58"/>
      <c r="D282" s="54"/>
      <c r="J282" s="14"/>
      <c r="K282" s="14"/>
    </row>
    <row r="283">
      <c r="C283" s="58"/>
      <c r="D283" s="54"/>
      <c r="J283" s="14"/>
      <c r="K283" s="14"/>
    </row>
    <row r="284">
      <c r="C284" s="58"/>
      <c r="D284" s="54"/>
      <c r="J284" s="14"/>
      <c r="K284" s="14"/>
    </row>
    <row r="285">
      <c r="C285" s="58"/>
      <c r="D285" s="54"/>
      <c r="J285" s="14"/>
      <c r="K285" s="14"/>
    </row>
    <row r="286">
      <c r="C286" s="58"/>
      <c r="D286" s="54"/>
      <c r="J286" s="14"/>
      <c r="K286" s="14"/>
    </row>
    <row r="287">
      <c r="C287" s="58"/>
      <c r="D287" s="54"/>
      <c r="J287" s="14"/>
      <c r="K287" s="14"/>
    </row>
    <row r="288">
      <c r="C288" s="58"/>
      <c r="D288" s="54"/>
      <c r="J288" s="14"/>
      <c r="K288" s="14"/>
    </row>
    <row r="289">
      <c r="C289" s="58"/>
      <c r="D289" s="54"/>
      <c r="J289" s="14"/>
      <c r="K289" s="14"/>
    </row>
    <row r="290">
      <c r="C290" s="58"/>
      <c r="D290" s="54"/>
      <c r="J290" s="14"/>
      <c r="K290" s="14"/>
    </row>
    <row r="291">
      <c r="C291" s="58"/>
      <c r="D291" s="54"/>
      <c r="J291" s="14"/>
      <c r="K291" s="14"/>
    </row>
    <row r="292">
      <c r="C292" s="58"/>
      <c r="D292" s="54"/>
      <c r="J292" s="14"/>
      <c r="K292" s="14"/>
    </row>
    <row r="293">
      <c r="C293" s="58"/>
      <c r="D293" s="54"/>
      <c r="J293" s="14"/>
      <c r="K293" s="14"/>
    </row>
    <row r="294">
      <c r="C294" s="58"/>
      <c r="D294" s="54"/>
      <c r="J294" s="14"/>
      <c r="K294" s="14"/>
    </row>
    <row r="295">
      <c r="C295" s="58"/>
      <c r="D295" s="54"/>
      <c r="J295" s="14"/>
      <c r="K295" s="14"/>
    </row>
    <row r="296">
      <c r="C296" s="58"/>
      <c r="D296" s="54"/>
      <c r="J296" s="14"/>
      <c r="K296" s="14"/>
    </row>
    <row r="297">
      <c r="C297" s="58"/>
      <c r="D297" s="54"/>
      <c r="J297" s="14"/>
      <c r="K297" s="14"/>
    </row>
    <row r="298">
      <c r="C298" s="58"/>
      <c r="D298" s="54"/>
      <c r="J298" s="14"/>
      <c r="K298" s="14"/>
    </row>
    <row r="299">
      <c r="C299" s="58"/>
      <c r="D299" s="54"/>
      <c r="J299" s="14"/>
      <c r="K299" s="14"/>
    </row>
    <row r="300">
      <c r="C300" s="58"/>
      <c r="D300" s="54"/>
      <c r="J300" s="14"/>
      <c r="K300" s="14"/>
    </row>
    <row r="301">
      <c r="C301" s="58"/>
      <c r="D301" s="54"/>
      <c r="J301" s="14"/>
      <c r="K301" s="14"/>
    </row>
    <row r="302">
      <c r="C302" s="58"/>
      <c r="D302" s="54"/>
      <c r="J302" s="14"/>
      <c r="K302" s="14"/>
    </row>
    <row r="303">
      <c r="C303" s="58"/>
      <c r="D303" s="54"/>
      <c r="J303" s="14"/>
      <c r="K303" s="14"/>
    </row>
    <row r="304">
      <c r="C304" s="58"/>
      <c r="D304" s="54"/>
      <c r="J304" s="14"/>
      <c r="K304" s="14"/>
    </row>
    <row r="305">
      <c r="C305" s="58"/>
      <c r="D305" s="54"/>
      <c r="J305" s="14"/>
      <c r="K305" s="14"/>
    </row>
    <row r="306">
      <c r="C306" s="58"/>
      <c r="D306" s="54"/>
      <c r="J306" s="14"/>
      <c r="K306" s="14"/>
    </row>
    <row r="307">
      <c r="C307" s="58"/>
      <c r="D307" s="54"/>
      <c r="J307" s="14"/>
      <c r="K307" s="14"/>
    </row>
    <row r="308">
      <c r="C308" s="58"/>
      <c r="D308" s="54"/>
      <c r="J308" s="14"/>
      <c r="K308" s="14"/>
    </row>
    <row r="309">
      <c r="C309" s="58"/>
      <c r="D309" s="54"/>
      <c r="J309" s="14"/>
      <c r="K309" s="14"/>
    </row>
    <row r="310">
      <c r="C310" s="58"/>
      <c r="D310" s="54"/>
      <c r="J310" s="14"/>
      <c r="K310" s="14"/>
    </row>
    <row r="311">
      <c r="C311" s="58"/>
      <c r="D311" s="54"/>
      <c r="J311" s="14"/>
      <c r="K311" s="14"/>
    </row>
    <row r="312">
      <c r="C312" s="58"/>
      <c r="D312" s="54"/>
      <c r="J312" s="14"/>
      <c r="K312" s="14"/>
    </row>
    <row r="313">
      <c r="C313" s="58"/>
      <c r="D313" s="54"/>
      <c r="J313" s="14"/>
      <c r="K313" s="14"/>
    </row>
    <row r="314">
      <c r="C314" s="58"/>
      <c r="D314" s="54"/>
      <c r="J314" s="14"/>
      <c r="K314" s="14"/>
    </row>
    <row r="315">
      <c r="C315" s="58"/>
      <c r="D315" s="54"/>
      <c r="J315" s="14"/>
      <c r="K315" s="14"/>
    </row>
    <row r="316">
      <c r="C316" s="58"/>
      <c r="D316" s="54"/>
      <c r="J316" s="14"/>
      <c r="K316" s="14"/>
    </row>
    <row r="317">
      <c r="C317" s="58"/>
      <c r="D317" s="54"/>
      <c r="J317" s="14"/>
      <c r="K317" s="14"/>
    </row>
    <row r="318">
      <c r="C318" s="58"/>
      <c r="D318" s="54"/>
      <c r="J318" s="14"/>
      <c r="K318" s="14"/>
    </row>
    <row r="319">
      <c r="C319" s="58"/>
      <c r="D319" s="54"/>
      <c r="J319" s="14"/>
      <c r="K319" s="14"/>
    </row>
    <row r="320">
      <c r="C320" s="58"/>
      <c r="D320" s="54"/>
      <c r="J320" s="14"/>
      <c r="K320" s="14"/>
    </row>
    <row r="321">
      <c r="C321" s="58"/>
      <c r="D321" s="54"/>
      <c r="J321" s="14"/>
      <c r="K321" s="14"/>
    </row>
    <row r="322">
      <c r="C322" s="58"/>
      <c r="D322" s="54"/>
      <c r="J322" s="14"/>
      <c r="K322" s="14"/>
    </row>
    <row r="323">
      <c r="C323" s="58"/>
      <c r="D323" s="54"/>
      <c r="J323" s="14"/>
      <c r="K323" s="14"/>
    </row>
    <row r="324">
      <c r="C324" s="58"/>
      <c r="D324" s="54"/>
      <c r="J324" s="14"/>
      <c r="K324" s="14"/>
    </row>
    <row r="325">
      <c r="C325" s="58"/>
      <c r="D325" s="54"/>
      <c r="J325" s="14"/>
      <c r="K325" s="14"/>
    </row>
    <row r="326">
      <c r="C326" s="58"/>
      <c r="D326" s="54"/>
      <c r="J326" s="14"/>
      <c r="K326" s="14"/>
    </row>
    <row r="327">
      <c r="C327" s="58"/>
      <c r="D327" s="54"/>
      <c r="J327" s="14"/>
      <c r="K327" s="14"/>
    </row>
    <row r="328">
      <c r="C328" s="58"/>
      <c r="D328" s="54"/>
      <c r="J328" s="14"/>
      <c r="K328" s="14"/>
    </row>
    <row r="329">
      <c r="C329" s="58"/>
      <c r="D329" s="54"/>
      <c r="J329" s="14"/>
      <c r="K329" s="14"/>
    </row>
    <row r="330">
      <c r="C330" s="58"/>
      <c r="D330" s="54"/>
      <c r="J330" s="14"/>
      <c r="K330" s="14"/>
    </row>
    <row r="331">
      <c r="C331" s="58"/>
      <c r="D331" s="54"/>
      <c r="J331" s="14"/>
      <c r="K331" s="14"/>
    </row>
    <row r="332">
      <c r="C332" s="58"/>
      <c r="D332" s="54"/>
      <c r="J332" s="14"/>
      <c r="K332" s="14"/>
    </row>
    <row r="333">
      <c r="C333" s="58"/>
      <c r="D333" s="54"/>
      <c r="J333" s="14"/>
      <c r="K333" s="14"/>
    </row>
    <row r="334">
      <c r="C334" s="58"/>
      <c r="D334" s="54"/>
      <c r="J334" s="14"/>
      <c r="K334" s="14"/>
    </row>
    <row r="335">
      <c r="C335" s="58"/>
      <c r="D335" s="54"/>
      <c r="J335" s="14"/>
      <c r="K335" s="14"/>
    </row>
    <row r="336">
      <c r="C336" s="58"/>
      <c r="D336" s="54"/>
      <c r="J336" s="14"/>
      <c r="K336" s="14"/>
    </row>
    <row r="337">
      <c r="C337" s="58"/>
      <c r="D337" s="54"/>
      <c r="J337" s="14"/>
      <c r="K337" s="14"/>
    </row>
    <row r="338">
      <c r="C338" s="58"/>
      <c r="D338" s="54"/>
      <c r="J338" s="14"/>
      <c r="K338" s="14"/>
    </row>
    <row r="339">
      <c r="C339" s="58"/>
      <c r="D339" s="54"/>
      <c r="J339" s="14"/>
      <c r="K339" s="14"/>
    </row>
    <row r="340">
      <c r="C340" s="58"/>
      <c r="D340" s="54"/>
      <c r="J340" s="14"/>
      <c r="K340" s="14"/>
    </row>
    <row r="341">
      <c r="C341" s="58"/>
      <c r="D341" s="54"/>
      <c r="J341" s="14"/>
      <c r="K341" s="14"/>
    </row>
    <row r="342">
      <c r="C342" s="58"/>
      <c r="D342" s="54"/>
      <c r="J342" s="14"/>
      <c r="K342" s="14"/>
    </row>
    <row r="343">
      <c r="C343" s="58"/>
      <c r="D343" s="54"/>
      <c r="J343" s="14"/>
      <c r="K343" s="14"/>
    </row>
    <row r="344">
      <c r="C344" s="58"/>
      <c r="D344" s="54"/>
      <c r="J344" s="14"/>
      <c r="K344" s="14"/>
    </row>
    <row r="345">
      <c r="C345" s="58"/>
      <c r="D345" s="54"/>
      <c r="J345" s="14"/>
      <c r="K345" s="14"/>
    </row>
    <row r="346">
      <c r="C346" s="58"/>
      <c r="D346" s="54"/>
      <c r="J346" s="14"/>
      <c r="K346" s="14"/>
    </row>
    <row r="347">
      <c r="C347" s="58"/>
      <c r="D347" s="54"/>
      <c r="J347" s="14"/>
      <c r="K347" s="14"/>
    </row>
    <row r="348">
      <c r="C348" s="58"/>
      <c r="D348" s="54"/>
      <c r="J348" s="14"/>
      <c r="K348" s="14"/>
    </row>
    <row r="349">
      <c r="C349" s="58"/>
      <c r="D349" s="54"/>
      <c r="J349" s="14"/>
      <c r="K349" s="14"/>
    </row>
    <row r="350">
      <c r="C350" s="58"/>
      <c r="D350" s="54"/>
      <c r="J350" s="14"/>
      <c r="K350" s="14"/>
    </row>
    <row r="351">
      <c r="C351" s="58"/>
      <c r="D351" s="54"/>
      <c r="J351" s="14"/>
      <c r="K351" s="14"/>
    </row>
    <row r="352">
      <c r="C352" s="58"/>
      <c r="D352" s="54"/>
      <c r="J352" s="14"/>
      <c r="K352" s="14"/>
    </row>
    <row r="353">
      <c r="C353" s="58"/>
      <c r="D353" s="54"/>
      <c r="J353" s="14"/>
      <c r="K353" s="14"/>
    </row>
    <row r="354">
      <c r="C354" s="58"/>
      <c r="D354" s="54"/>
      <c r="J354" s="14"/>
      <c r="K354" s="14"/>
    </row>
    <row r="355">
      <c r="C355" s="58"/>
      <c r="D355" s="54"/>
      <c r="J355" s="14"/>
      <c r="K355" s="14"/>
    </row>
    <row r="356">
      <c r="C356" s="58"/>
      <c r="D356" s="54"/>
      <c r="J356" s="14"/>
      <c r="K356" s="14"/>
    </row>
    <row r="357">
      <c r="C357" s="58"/>
      <c r="D357" s="54"/>
      <c r="J357" s="14"/>
      <c r="K357" s="14"/>
    </row>
    <row r="358">
      <c r="C358" s="58"/>
      <c r="D358" s="54"/>
      <c r="J358" s="14"/>
      <c r="K358" s="14"/>
    </row>
    <row r="359">
      <c r="C359" s="58"/>
      <c r="D359" s="54"/>
      <c r="J359" s="14"/>
      <c r="K359" s="14"/>
    </row>
    <row r="360">
      <c r="C360" s="58"/>
      <c r="D360" s="54"/>
      <c r="J360" s="14"/>
      <c r="K360" s="14"/>
    </row>
    <row r="361">
      <c r="C361" s="58"/>
      <c r="D361" s="54"/>
      <c r="J361" s="14"/>
      <c r="K361" s="14"/>
    </row>
    <row r="362">
      <c r="C362" s="58"/>
      <c r="D362" s="54"/>
      <c r="J362" s="14"/>
      <c r="K362" s="14"/>
    </row>
    <row r="363">
      <c r="C363" s="58"/>
      <c r="D363" s="54"/>
      <c r="J363" s="14"/>
      <c r="K363" s="14"/>
    </row>
    <row r="364">
      <c r="C364" s="58"/>
      <c r="D364" s="54"/>
      <c r="J364" s="14"/>
      <c r="K364" s="14"/>
    </row>
    <row r="365">
      <c r="C365" s="58"/>
      <c r="D365" s="54"/>
      <c r="J365" s="14"/>
      <c r="K365" s="14"/>
    </row>
    <row r="366">
      <c r="C366" s="58"/>
      <c r="D366" s="54"/>
      <c r="J366" s="14"/>
      <c r="K366" s="14"/>
    </row>
    <row r="367">
      <c r="C367" s="58"/>
      <c r="D367" s="54"/>
      <c r="J367" s="14"/>
      <c r="K367" s="14"/>
    </row>
    <row r="368">
      <c r="C368" s="58"/>
      <c r="D368" s="54"/>
      <c r="J368" s="14"/>
      <c r="K368" s="14"/>
    </row>
    <row r="369">
      <c r="C369" s="58"/>
      <c r="D369" s="54"/>
      <c r="J369" s="14"/>
      <c r="K369" s="14"/>
    </row>
    <row r="370">
      <c r="C370" s="58"/>
      <c r="D370" s="54"/>
      <c r="J370" s="14"/>
      <c r="K370" s="14"/>
    </row>
    <row r="371">
      <c r="C371" s="58"/>
      <c r="D371" s="54"/>
      <c r="J371" s="14"/>
      <c r="K371" s="14"/>
    </row>
    <row r="372">
      <c r="C372" s="58"/>
      <c r="D372" s="54"/>
      <c r="J372" s="14"/>
      <c r="K372" s="14"/>
    </row>
    <row r="373">
      <c r="C373" s="58"/>
      <c r="D373" s="54"/>
      <c r="J373" s="14"/>
      <c r="K373" s="14"/>
    </row>
    <row r="374">
      <c r="C374" s="58"/>
      <c r="D374" s="54"/>
      <c r="J374" s="14"/>
      <c r="K374" s="14"/>
    </row>
    <row r="375">
      <c r="C375" s="58"/>
      <c r="D375" s="54"/>
      <c r="J375" s="14"/>
      <c r="K375" s="14"/>
    </row>
    <row r="376">
      <c r="C376" s="58"/>
      <c r="D376" s="54"/>
      <c r="J376" s="14"/>
      <c r="K376" s="14"/>
    </row>
    <row r="377">
      <c r="C377" s="58"/>
      <c r="D377" s="54"/>
      <c r="J377" s="14"/>
      <c r="K377" s="14"/>
    </row>
    <row r="378">
      <c r="C378" s="58"/>
      <c r="D378" s="54"/>
      <c r="J378" s="14"/>
      <c r="K378" s="14"/>
    </row>
    <row r="379">
      <c r="C379" s="58"/>
      <c r="D379" s="54"/>
      <c r="J379" s="14"/>
      <c r="K379" s="14"/>
    </row>
    <row r="380">
      <c r="C380" s="58"/>
      <c r="D380" s="54"/>
      <c r="J380" s="14"/>
      <c r="K380" s="14"/>
    </row>
    <row r="381">
      <c r="C381" s="58"/>
      <c r="D381" s="54"/>
      <c r="J381" s="14"/>
      <c r="K381" s="14"/>
    </row>
    <row r="382">
      <c r="C382" s="58"/>
      <c r="D382" s="54"/>
      <c r="J382" s="14"/>
      <c r="K382" s="14"/>
    </row>
    <row r="383">
      <c r="C383" s="58"/>
      <c r="D383" s="54"/>
      <c r="J383" s="14"/>
      <c r="K383" s="14"/>
    </row>
    <row r="384">
      <c r="C384" s="58"/>
      <c r="D384" s="54"/>
      <c r="J384" s="14"/>
      <c r="K384" s="14"/>
    </row>
    <row r="385">
      <c r="C385" s="58"/>
      <c r="D385" s="54"/>
      <c r="J385" s="14"/>
      <c r="K385" s="14"/>
    </row>
    <row r="386">
      <c r="C386" s="58"/>
      <c r="D386" s="54"/>
      <c r="J386" s="14"/>
      <c r="K386" s="14"/>
    </row>
    <row r="387">
      <c r="C387" s="58"/>
      <c r="D387" s="54"/>
      <c r="J387" s="14"/>
      <c r="K387" s="14"/>
    </row>
    <row r="388">
      <c r="C388" s="58"/>
      <c r="D388" s="54"/>
      <c r="J388" s="14"/>
      <c r="K388" s="14"/>
    </row>
    <row r="389">
      <c r="C389" s="58"/>
      <c r="D389" s="54"/>
      <c r="J389" s="14"/>
      <c r="K389" s="14"/>
    </row>
    <row r="390">
      <c r="C390" s="58"/>
      <c r="D390" s="54"/>
      <c r="J390" s="14"/>
      <c r="K390" s="14"/>
    </row>
    <row r="391">
      <c r="C391" s="58"/>
      <c r="D391" s="54"/>
      <c r="J391" s="14"/>
      <c r="K391" s="14"/>
    </row>
    <row r="392">
      <c r="C392" s="58"/>
      <c r="D392" s="54"/>
      <c r="J392" s="14"/>
      <c r="K392" s="14"/>
    </row>
    <row r="393">
      <c r="C393" s="58"/>
      <c r="D393" s="54"/>
      <c r="J393" s="14"/>
      <c r="K393" s="14"/>
    </row>
    <row r="394">
      <c r="C394" s="58"/>
      <c r="D394" s="54"/>
      <c r="J394" s="14"/>
      <c r="K394" s="14"/>
    </row>
    <row r="395">
      <c r="C395" s="58"/>
      <c r="D395" s="54"/>
      <c r="J395" s="14"/>
      <c r="K395" s="14"/>
    </row>
    <row r="396">
      <c r="C396" s="58"/>
      <c r="D396" s="54"/>
      <c r="J396" s="14"/>
      <c r="K396" s="14"/>
    </row>
    <row r="397">
      <c r="C397" s="58"/>
      <c r="D397" s="54"/>
      <c r="J397" s="14"/>
      <c r="K397" s="14"/>
    </row>
    <row r="398">
      <c r="C398" s="58"/>
      <c r="D398" s="54"/>
      <c r="J398" s="14"/>
      <c r="K398" s="14"/>
    </row>
    <row r="399">
      <c r="C399" s="58"/>
      <c r="D399" s="54"/>
      <c r="J399" s="14"/>
      <c r="K399" s="14"/>
    </row>
    <row r="400">
      <c r="C400" s="58"/>
      <c r="D400" s="54"/>
      <c r="J400" s="14"/>
      <c r="K400" s="14"/>
    </row>
    <row r="401">
      <c r="C401" s="58"/>
      <c r="D401" s="54"/>
      <c r="J401" s="14"/>
      <c r="K401" s="14"/>
    </row>
    <row r="402">
      <c r="C402" s="58"/>
      <c r="D402" s="54"/>
      <c r="J402" s="14"/>
      <c r="K402" s="14"/>
    </row>
    <row r="403">
      <c r="C403" s="58"/>
      <c r="D403" s="54"/>
      <c r="J403" s="14"/>
      <c r="K403" s="14"/>
    </row>
    <row r="404">
      <c r="C404" s="58"/>
      <c r="D404" s="54"/>
      <c r="J404" s="14"/>
      <c r="K404" s="14"/>
    </row>
    <row r="405">
      <c r="C405" s="58"/>
      <c r="D405" s="54"/>
      <c r="J405" s="14"/>
      <c r="K405" s="14"/>
    </row>
    <row r="406">
      <c r="C406" s="58"/>
      <c r="D406" s="54"/>
      <c r="J406" s="14"/>
      <c r="K406" s="14"/>
    </row>
    <row r="407">
      <c r="C407" s="58"/>
      <c r="D407" s="54"/>
      <c r="J407" s="14"/>
      <c r="K407" s="14"/>
    </row>
    <row r="408">
      <c r="C408" s="58"/>
      <c r="D408" s="54"/>
      <c r="J408" s="14"/>
      <c r="K408" s="14"/>
    </row>
    <row r="409">
      <c r="C409" s="58"/>
      <c r="D409" s="54"/>
      <c r="J409" s="14"/>
      <c r="K409" s="14"/>
    </row>
    <row r="410">
      <c r="C410" s="58"/>
      <c r="D410" s="54"/>
      <c r="J410" s="14"/>
      <c r="K410" s="14"/>
    </row>
    <row r="411">
      <c r="C411" s="58"/>
      <c r="D411" s="54"/>
      <c r="J411" s="14"/>
      <c r="K411" s="14"/>
    </row>
    <row r="412">
      <c r="C412" s="58"/>
      <c r="D412" s="54"/>
      <c r="J412" s="14"/>
      <c r="K412" s="14"/>
    </row>
    <row r="413">
      <c r="C413" s="58"/>
      <c r="D413" s="54"/>
      <c r="J413" s="14"/>
      <c r="K413" s="14"/>
    </row>
    <row r="414">
      <c r="C414" s="58"/>
      <c r="D414" s="54"/>
      <c r="J414" s="14"/>
      <c r="K414" s="14"/>
    </row>
    <row r="415">
      <c r="C415" s="58"/>
      <c r="D415" s="54"/>
      <c r="J415" s="14"/>
      <c r="K415" s="14"/>
    </row>
    <row r="416">
      <c r="C416" s="58"/>
      <c r="D416" s="54"/>
      <c r="J416" s="14"/>
      <c r="K416" s="14"/>
    </row>
    <row r="417">
      <c r="C417" s="58"/>
      <c r="D417" s="54"/>
      <c r="J417" s="14"/>
      <c r="K417" s="14"/>
    </row>
    <row r="418">
      <c r="C418" s="58"/>
      <c r="D418" s="54"/>
      <c r="J418" s="14"/>
      <c r="K418" s="14"/>
    </row>
    <row r="419">
      <c r="C419" s="58"/>
      <c r="D419" s="54"/>
      <c r="J419" s="14"/>
      <c r="K419" s="14"/>
    </row>
    <row r="420">
      <c r="C420" s="58"/>
      <c r="D420" s="54"/>
      <c r="J420" s="14"/>
      <c r="K420" s="14"/>
    </row>
    <row r="421">
      <c r="C421" s="58"/>
      <c r="D421" s="54"/>
      <c r="J421" s="14"/>
      <c r="K421" s="14"/>
    </row>
    <row r="422">
      <c r="C422" s="58"/>
      <c r="D422" s="54"/>
      <c r="J422" s="14"/>
      <c r="K422" s="14"/>
    </row>
    <row r="423">
      <c r="C423" s="58"/>
      <c r="D423" s="54"/>
      <c r="J423" s="14"/>
      <c r="K423" s="14"/>
    </row>
    <row r="424">
      <c r="C424" s="58"/>
      <c r="D424" s="54"/>
      <c r="J424" s="14"/>
      <c r="K424" s="14"/>
    </row>
    <row r="425">
      <c r="C425" s="58"/>
      <c r="D425" s="54"/>
      <c r="J425" s="14"/>
      <c r="K425" s="14"/>
    </row>
    <row r="426">
      <c r="C426" s="58"/>
      <c r="D426" s="54"/>
      <c r="J426" s="14"/>
      <c r="K426" s="14"/>
    </row>
    <row r="427">
      <c r="C427" s="58"/>
      <c r="D427" s="54"/>
      <c r="J427" s="14"/>
      <c r="K427" s="14"/>
    </row>
    <row r="428">
      <c r="C428" s="58"/>
      <c r="D428" s="54"/>
      <c r="J428" s="14"/>
      <c r="K428" s="14"/>
    </row>
    <row r="429">
      <c r="C429" s="58"/>
      <c r="D429" s="54"/>
      <c r="J429" s="14"/>
      <c r="K429" s="14"/>
    </row>
    <row r="430">
      <c r="C430" s="58"/>
      <c r="D430" s="54"/>
      <c r="J430" s="14"/>
      <c r="K430" s="14"/>
    </row>
    <row r="431">
      <c r="C431" s="58"/>
      <c r="D431" s="54"/>
      <c r="J431" s="14"/>
      <c r="K431" s="14"/>
    </row>
    <row r="432">
      <c r="C432" s="58"/>
      <c r="D432" s="54"/>
      <c r="J432" s="14"/>
      <c r="K432" s="14"/>
    </row>
    <row r="433">
      <c r="C433" s="58"/>
      <c r="D433" s="54"/>
      <c r="J433" s="14"/>
      <c r="K433" s="14"/>
    </row>
    <row r="434">
      <c r="C434" s="58"/>
      <c r="D434" s="54"/>
      <c r="J434" s="14"/>
      <c r="K434" s="14"/>
    </row>
    <row r="435">
      <c r="C435" s="58"/>
      <c r="D435" s="54"/>
      <c r="J435" s="14"/>
      <c r="K435" s="14"/>
    </row>
    <row r="436">
      <c r="C436" s="58"/>
      <c r="D436" s="54"/>
      <c r="J436" s="14"/>
      <c r="K436" s="14"/>
    </row>
    <row r="437">
      <c r="C437" s="58"/>
      <c r="D437" s="54"/>
      <c r="J437" s="14"/>
      <c r="K437" s="14"/>
    </row>
    <row r="438">
      <c r="C438" s="58"/>
      <c r="D438" s="54"/>
      <c r="J438" s="14"/>
      <c r="K438" s="14"/>
    </row>
    <row r="439">
      <c r="C439" s="58"/>
      <c r="D439" s="54"/>
      <c r="J439" s="14"/>
      <c r="K439" s="14"/>
    </row>
    <row r="440">
      <c r="C440" s="58"/>
      <c r="D440" s="54"/>
      <c r="J440" s="14"/>
      <c r="K440" s="14"/>
    </row>
    <row r="441">
      <c r="C441" s="58"/>
      <c r="D441" s="54"/>
      <c r="J441" s="14"/>
      <c r="K441" s="14"/>
    </row>
    <row r="442">
      <c r="C442" s="58"/>
      <c r="D442" s="54"/>
      <c r="J442" s="14"/>
      <c r="K442" s="14"/>
    </row>
    <row r="443">
      <c r="C443" s="58"/>
      <c r="D443" s="54"/>
      <c r="J443" s="14"/>
      <c r="K443" s="14"/>
    </row>
    <row r="444">
      <c r="C444" s="58"/>
      <c r="D444" s="54"/>
      <c r="J444" s="14"/>
      <c r="K444" s="14"/>
    </row>
    <row r="445">
      <c r="C445" s="58"/>
      <c r="D445" s="54"/>
      <c r="J445" s="14"/>
      <c r="K445" s="14"/>
    </row>
    <row r="446">
      <c r="C446" s="58"/>
      <c r="D446" s="54"/>
      <c r="J446" s="14"/>
      <c r="K446" s="14"/>
    </row>
    <row r="447">
      <c r="C447" s="58"/>
      <c r="D447" s="54"/>
      <c r="J447" s="14"/>
      <c r="K447" s="14"/>
    </row>
    <row r="448">
      <c r="C448" s="58"/>
      <c r="D448" s="54"/>
      <c r="J448" s="14"/>
      <c r="K448" s="14"/>
    </row>
    <row r="449">
      <c r="C449" s="58"/>
      <c r="D449" s="54"/>
      <c r="J449" s="14"/>
      <c r="K449" s="14"/>
    </row>
    <row r="450">
      <c r="C450" s="58"/>
      <c r="D450" s="54"/>
      <c r="J450" s="14"/>
      <c r="K450" s="14"/>
    </row>
    <row r="451">
      <c r="C451" s="58"/>
      <c r="D451" s="54"/>
      <c r="J451" s="14"/>
      <c r="K451" s="14"/>
    </row>
    <row r="452">
      <c r="C452" s="58"/>
      <c r="D452" s="54"/>
      <c r="J452" s="14"/>
      <c r="K452" s="14"/>
    </row>
    <row r="453">
      <c r="C453" s="58"/>
      <c r="D453" s="54"/>
      <c r="J453" s="14"/>
      <c r="K453" s="14"/>
    </row>
    <row r="454">
      <c r="C454" s="58"/>
      <c r="D454" s="54"/>
      <c r="J454" s="14"/>
      <c r="K454" s="14"/>
    </row>
    <row r="455">
      <c r="C455" s="58"/>
      <c r="D455" s="54"/>
      <c r="J455" s="14"/>
      <c r="K455" s="14"/>
    </row>
    <row r="456">
      <c r="C456" s="58"/>
      <c r="D456" s="54"/>
      <c r="J456" s="14"/>
      <c r="K456" s="14"/>
    </row>
    <row r="457">
      <c r="C457" s="58"/>
      <c r="D457" s="54"/>
      <c r="J457" s="14"/>
      <c r="K457" s="14"/>
    </row>
    <row r="458">
      <c r="C458" s="58"/>
      <c r="D458" s="54"/>
      <c r="J458" s="14"/>
      <c r="K458" s="14"/>
    </row>
    <row r="459">
      <c r="C459" s="58"/>
      <c r="D459" s="54"/>
      <c r="J459" s="14"/>
      <c r="K459" s="14"/>
    </row>
    <row r="460">
      <c r="C460" s="58"/>
      <c r="D460" s="54"/>
      <c r="J460" s="14"/>
      <c r="K460" s="14"/>
    </row>
    <row r="461">
      <c r="C461" s="58"/>
      <c r="D461" s="54"/>
      <c r="J461" s="14"/>
      <c r="K461" s="14"/>
    </row>
    <row r="462">
      <c r="C462" s="58"/>
      <c r="D462" s="54"/>
      <c r="J462" s="14"/>
      <c r="K462" s="14"/>
    </row>
    <row r="463">
      <c r="C463" s="58"/>
      <c r="D463" s="54"/>
      <c r="J463" s="14"/>
      <c r="K463" s="14"/>
    </row>
    <row r="464">
      <c r="C464" s="58"/>
      <c r="D464" s="54"/>
      <c r="J464" s="14"/>
      <c r="K464" s="14"/>
    </row>
    <row r="465">
      <c r="C465" s="58"/>
      <c r="D465" s="54"/>
      <c r="J465" s="14"/>
      <c r="K465" s="14"/>
    </row>
    <row r="466">
      <c r="C466" s="58"/>
      <c r="D466" s="54"/>
      <c r="J466" s="14"/>
      <c r="K466" s="14"/>
    </row>
    <row r="467">
      <c r="C467" s="58"/>
      <c r="D467" s="54"/>
      <c r="J467" s="14"/>
      <c r="K467" s="14"/>
    </row>
    <row r="468">
      <c r="C468" s="58"/>
      <c r="D468" s="54"/>
      <c r="J468" s="14"/>
      <c r="K468" s="14"/>
    </row>
    <row r="469">
      <c r="C469" s="58"/>
      <c r="D469" s="54"/>
      <c r="J469" s="14"/>
      <c r="K469" s="14"/>
    </row>
    <row r="470">
      <c r="C470" s="58"/>
      <c r="D470" s="54"/>
      <c r="J470" s="14"/>
      <c r="K470" s="14"/>
    </row>
    <row r="471">
      <c r="C471" s="58"/>
      <c r="D471" s="54"/>
      <c r="J471" s="14"/>
      <c r="K471" s="14"/>
    </row>
    <row r="472">
      <c r="C472" s="58"/>
      <c r="D472" s="54"/>
      <c r="J472" s="14"/>
      <c r="K472" s="14"/>
    </row>
    <row r="473">
      <c r="C473" s="58"/>
      <c r="D473" s="54"/>
      <c r="J473" s="14"/>
      <c r="K473" s="14"/>
    </row>
    <row r="474">
      <c r="C474" s="58"/>
      <c r="D474" s="54"/>
      <c r="J474" s="14"/>
      <c r="K474" s="14"/>
    </row>
    <row r="475">
      <c r="C475" s="58"/>
      <c r="D475" s="54"/>
      <c r="J475" s="14"/>
      <c r="K475" s="14"/>
    </row>
    <row r="476">
      <c r="C476" s="58"/>
      <c r="D476" s="54"/>
      <c r="J476" s="14"/>
      <c r="K476" s="14"/>
    </row>
    <row r="477">
      <c r="C477" s="58"/>
      <c r="D477" s="54"/>
      <c r="J477" s="14"/>
      <c r="K477" s="14"/>
    </row>
    <row r="478">
      <c r="C478" s="58"/>
      <c r="D478" s="54"/>
      <c r="J478" s="14"/>
      <c r="K478" s="14"/>
    </row>
    <row r="479">
      <c r="C479" s="58"/>
      <c r="D479" s="54"/>
      <c r="J479" s="14"/>
      <c r="K479" s="14"/>
    </row>
    <row r="480">
      <c r="C480" s="58"/>
      <c r="D480" s="54"/>
      <c r="J480" s="14"/>
      <c r="K480" s="14"/>
    </row>
    <row r="481">
      <c r="C481" s="58"/>
      <c r="D481" s="54"/>
      <c r="J481" s="14"/>
      <c r="K481" s="14"/>
    </row>
    <row r="482">
      <c r="C482" s="58"/>
      <c r="D482" s="54"/>
      <c r="J482" s="14"/>
      <c r="K482" s="14"/>
    </row>
    <row r="483">
      <c r="C483" s="58"/>
      <c r="D483" s="54"/>
      <c r="J483" s="14"/>
      <c r="K483" s="14"/>
    </row>
    <row r="484">
      <c r="C484" s="58"/>
      <c r="D484" s="54"/>
      <c r="J484" s="14"/>
      <c r="K484" s="14"/>
    </row>
    <row r="485">
      <c r="C485" s="58"/>
      <c r="D485" s="54"/>
      <c r="J485" s="14"/>
      <c r="K485" s="14"/>
    </row>
    <row r="486">
      <c r="C486" s="58"/>
      <c r="D486" s="54"/>
      <c r="J486" s="14"/>
      <c r="K486" s="14"/>
    </row>
    <row r="487">
      <c r="C487" s="58"/>
      <c r="D487" s="54"/>
      <c r="J487" s="14"/>
      <c r="K487" s="14"/>
    </row>
    <row r="488">
      <c r="C488" s="58"/>
      <c r="D488" s="54"/>
      <c r="J488" s="14"/>
      <c r="K488" s="14"/>
    </row>
    <row r="489">
      <c r="C489" s="58"/>
      <c r="D489" s="54"/>
      <c r="J489" s="14"/>
      <c r="K489" s="14"/>
    </row>
    <row r="490">
      <c r="C490" s="58"/>
      <c r="D490" s="54"/>
      <c r="J490" s="14"/>
      <c r="K490" s="14"/>
    </row>
    <row r="491">
      <c r="C491" s="58"/>
      <c r="D491" s="54"/>
      <c r="J491" s="14"/>
      <c r="K491" s="14"/>
    </row>
    <row r="492">
      <c r="C492" s="58"/>
      <c r="D492" s="54"/>
      <c r="J492" s="14"/>
      <c r="K492" s="14"/>
    </row>
    <row r="493">
      <c r="C493" s="58"/>
      <c r="D493" s="54"/>
      <c r="J493" s="14"/>
      <c r="K493" s="14"/>
    </row>
    <row r="494">
      <c r="C494" s="58"/>
      <c r="D494" s="54"/>
      <c r="J494" s="14"/>
      <c r="K494" s="14"/>
    </row>
    <row r="495">
      <c r="C495" s="58"/>
      <c r="D495" s="54"/>
      <c r="J495" s="14"/>
      <c r="K495" s="14"/>
    </row>
    <row r="496">
      <c r="C496" s="58"/>
      <c r="D496" s="54"/>
      <c r="J496" s="14"/>
      <c r="K496" s="14"/>
    </row>
    <row r="497">
      <c r="C497" s="58"/>
      <c r="D497" s="54"/>
      <c r="J497" s="14"/>
      <c r="K497" s="14"/>
    </row>
    <row r="498">
      <c r="C498" s="58"/>
      <c r="D498" s="54"/>
      <c r="J498" s="14"/>
      <c r="K498" s="14"/>
    </row>
    <row r="499">
      <c r="C499" s="58"/>
      <c r="D499" s="54"/>
      <c r="J499" s="14"/>
      <c r="K499" s="14"/>
    </row>
    <row r="500">
      <c r="C500" s="58"/>
      <c r="D500" s="54"/>
      <c r="J500" s="14"/>
      <c r="K500" s="14"/>
    </row>
    <row r="501">
      <c r="C501" s="58"/>
      <c r="D501" s="54"/>
      <c r="J501" s="14"/>
      <c r="K501" s="14"/>
    </row>
    <row r="502">
      <c r="C502" s="58"/>
      <c r="D502" s="54"/>
      <c r="J502" s="14"/>
      <c r="K502" s="14"/>
    </row>
    <row r="503">
      <c r="C503" s="58"/>
      <c r="D503" s="54"/>
      <c r="J503" s="14"/>
      <c r="K503" s="14"/>
    </row>
    <row r="504">
      <c r="C504" s="58"/>
      <c r="D504" s="54"/>
      <c r="J504" s="14"/>
      <c r="K504" s="14"/>
    </row>
    <row r="505">
      <c r="C505" s="58"/>
      <c r="D505" s="54"/>
      <c r="J505" s="14"/>
      <c r="K505" s="14"/>
    </row>
    <row r="506">
      <c r="C506" s="58"/>
      <c r="D506" s="54"/>
      <c r="J506" s="14"/>
      <c r="K506" s="14"/>
    </row>
    <row r="507">
      <c r="C507" s="58"/>
      <c r="D507" s="54"/>
      <c r="J507" s="14"/>
      <c r="K507" s="14"/>
    </row>
    <row r="508">
      <c r="C508" s="58"/>
      <c r="D508" s="54"/>
      <c r="J508" s="14"/>
      <c r="K508" s="14"/>
    </row>
    <row r="509">
      <c r="C509" s="58"/>
      <c r="D509" s="54"/>
      <c r="J509" s="14"/>
      <c r="K509" s="14"/>
    </row>
    <row r="510">
      <c r="C510" s="58"/>
      <c r="D510" s="54"/>
      <c r="J510" s="14"/>
      <c r="K510" s="14"/>
    </row>
    <row r="511">
      <c r="C511" s="58"/>
      <c r="D511" s="54"/>
      <c r="J511" s="14"/>
      <c r="K511" s="14"/>
    </row>
    <row r="512">
      <c r="C512" s="58"/>
      <c r="D512" s="54"/>
      <c r="J512" s="14"/>
      <c r="K512" s="14"/>
    </row>
    <row r="513">
      <c r="C513" s="58"/>
      <c r="D513" s="54"/>
      <c r="J513" s="14"/>
      <c r="K513" s="14"/>
    </row>
    <row r="514">
      <c r="C514" s="58"/>
      <c r="D514" s="54"/>
      <c r="J514" s="14"/>
      <c r="K514" s="14"/>
    </row>
    <row r="515">
      <c r="C515" s="58"/>
      <c r="D515" s="54"/>
      <c r="J515" s="14"/>
      <c r="K515" s="14"/>
    </row>
    <row r="516">
      <c r="C516" s="58"/>
      <c r="D516" s="54"/>
      <c r="J516" s="14"/>
      <c r="K516" s="14"/>
    </row>
    <row r="517">
      <c r="C517" s="58"/>
      <c r="D517" s="54"/>
      <c r="J517" s="14"/>
      <c r="K517" s="14"/>
    </row>
    <row r="518">
      <c r="C518" s="58"/>
      <c r="D518" s="54"/>
      <c r="J518" s="14"/>
      <c r="K518" s="14"/>
    </row>
    <row r="519">
      <c r="C519" s="58"/>
      <c r="D519" s="54"/>
      <c r="J519" s="14"/>
      <c r="K519" s="14"/>
    </row>
    <row r="520">
      <c r="C520" s="58"/>
      <c r="D520" s="54"/>
      <c r="J520" s="14"/>
      <c r="K520" s="14"/>
    </row>
    <row r="521">
      <c r="C521" s="58"/>
      <c r="D521" s="54"/>
      <c r="J521" s="14"/>
      <c r="K521" s="14"/>
    </row>
    <row r="522">
      <c r="C522" s="58"/>
      <c r="D522" s="54"/>
      <c r="J522" s="14"/>
      <c r="K522" s="14"/>
    </row>
    <row r="523">
      <c r="C523" s="58"/>
      <c r="D523" s="54"/>
      <c r="J523" s="14"/>
      <c r="K523" s="14"/>
    </row>
    <row r="524">
      <c r="C524" s="58"/>
      <c r="D524" s="54"/>
      <c r="J524" s="14"/>
      <c r="K524" s="14"/>
    </row>
    <row r="525">
      <c r="C525" s="58"/>
      <c r="D525" s="54"/>
      <c r="J525" s="14"/>
      <c r="K525" s="14"/>
    </row>
    <row r="526">
      <c r="C526" s="58"/>
      <c r="D526" s="54"/>
      <c r="J526" s="14"/>
      <c r="K526" s="14"/>
    </row>
    <row r="527">
      <c r="C527" s="58"/>
      <c r="D527" s="54"/>
      <c r="J527" s="14"/>
      <c r="K527" s="14"/>
    </row>
    <row r="528">
      <c r="C528" s="58"/>
      <c r="D528" s="54"/>
      <c r="J528" s="14"/>
      <c r="K528" s="14"/>
    </row>
    <row r="529">
      <c r="C529" s="58"/>
      <c r="D529" s="54"/>
      <c r="J529" s="14"/>
      <c r="K529" s="14"/>
    </row>
    <row r="530">
      <c r="C530" s="58"/>
      <c r="D530" s="54"/>
      <c r="J530" s="14"/>
      <c r="K530" s="14"/>
    </row>
    <row r="531">
      <c r="C531" s="58"/>
      <c r="D531" s="54"/>
      <c r="J531" s="14"/>
      <c r="K531" s="14"/>
    </row>
    <row r="532">
      <c r="C532" s="58"/>
      <c r="D532" s="54"/>
      <c r="J532" s="14"/>
      <c r="K532" s="14"/>
    </row>
    <row r="533">
      <c r="C533" s="58"/>
      <c r="D533" s="54"/>
      <c r="J533" s="14"/>
      <c r="K533" s="14"/>
    </row>
    <row r="534">
      <c r="C534" s="58"/>
      <c r="D534" s="54"/>
      <c r="J534" s="14"/>
      <c r="K534" s="14"/>
    </row>
    <row r="535">
      <c r="C535" s="58"/>
      <c r="D535" s="54"/>
      <c r="J535" s="14"/>
      <c r="K535" s="14"/>
    </row>
    <row r="536">
      <c r="C536" s="58"/>
      <c r="D536" s="54"/>
      <c r="J536" s="14"/>
      <c r="K536" s="14"/>
    </row>
    <row r="537">
      <c r="C537" s="58"/>
      <c r="D537" s="54"/>
      <c r="J537" s="14"/>
      <c r="K537" s="14"/>
    </row>
    <row r="538">
      <c r="C538" s="58"/>
      <c r="D538" s="54"/>
      <c r="J538" s="14"/>
      <c r="K538" s="14"/>
    </row>
    <row r="539">
      <c r="C539" s="58"/>
      <c r="D539" s="54"/>
      <c r="J539" s="14"/>
      <c r="K539" s="14"/>
    </row>
    <row r="540">
      <c r="C540" s="58"/>
      <c r="D540" s="54"/>
      <c r="J540" s="14"/>
      <c r="K540" s="14"/>
    </row>
    <row r="541">
      <c r="C541" s="58"/>
      <c r="D541" s="54"/>
      <c r="J541" s="14"/>
      <c r="K541" s="14"/>
    </row>
    <row r="542">
      <c r="C542" s="58"/>
      <c r="D542" s="54"/>
      <c r="J542" s="14"/>
      <c r="K542" s="14"/>
    </row>
    <row r="543">
      <c r="C543" s="58"/>
      <c r="D543" s="54"/>
      <c r="J543" s="14"/>
      <c r="K543" s="14"/>
    </row>
    <row r="544">
      <c r="C544" s="58"/>
      <c r="D544" s="54"/>
      <c r="J544" s="14"/>
      <c r="K544" s="14"/>
    </row>
    <row r="545">
      <c r="C545" s="58"/>
      <c r="D545" s="54"/>
      <c r="J545" s="14"/>
      <c r="K545" s="14"/>
    </row>
    <row r="546">
      <c r="C546" s="58"/>
      <c r="D546" s="54"/>
      <c r="J546" s="14"/>
      <c r="K546" s="14"/>
    </row>
    <row r="547">
      <c r="C547" s="58"/>
      <c r="D547" s="54"/>
      <c r="J547" s="14"/>
      <c r="K547" s="14"/>
    </row>
    <row r="548">
      <c r="C548" s="58"/>
      <c r="D548" s="54"/>
      <c r="J548" s="14"/>
      <c r="K548" s="14"/>
    </row>
    <row r="549">
      <c r="C549" s="58"/>
      <c r="D549" s="54"/>
      <c r="J549" s="14"/>
      <c r="K549" s="14"/>
    </row>
    <row r="550">
      <c r="C550" s="58"/>
      <c r="D550" s="54"/>
      <c r="J550" s="14"/>
      <c r="K550" s="14"/>
    </row>
    <row r="551">
      <c r="C551" s="58"/>
      <c r="D551" s="54"/>
      <c r="J551" s="14"/>
      <c r="K551" s="14"/>
    </row>
    <row r="552">
      <c r="C552" s="58"/>
      <c r="D552" s="54"/>
      <c r="J552" s="14"/>
      <c r="K552" s="14"/>
    </row>
    <row r="553">
      <c r="C553" s="58"/>
      <c r="D553" s="54"/>
      <c r="J553" s="14"/>
      <c r="K553" s="14"/>
    </row>
    <row r="554">
      <c r="C554" s="58"/>
      <c r="D554" s="54"/>
      <c r="J554" s="14"/>
      <c r="K554" s="14"/>
    </row>
    <row r="555">
      <c r="C555" s="58"/>
      <c r="D555" s="54"/>
      <c r="J555" s="14"/>
      <c r="K555" s="14"/>
    </row>
    <row r="556">
      <c r="C556" s="58"/>
      <c r="D556" s="54"/>
      <c r="J556" s="14"/>
      <c r="K556" s="14"/>
    </row>
    <row r="557">
      <c r="C557" s="58"/>
      <c r="D557" s="54"/>
      <c r="J557" s="14"/>
      <c r="K557" s="14"/>
    </row>
    <row r="558">
      <c r="C558" s="58"/>
      <c r="D558" s="54"/>
      <c r="J558" s="14"/>
      <c r="K558" s="14"/>
    </row>
    <row r="559">
      <c r="C559" s="58"/>
      <c r="D559" s="54"/>
      <c r="J559" s="14"/>
      <c r="K559" s="14"/>
    </row>
    <row r="560">
      <c r="C560" s="58"/>
      <c r="D560" s="54"/>
      <c r="J560" s="14"/>
      <c r="K560" s="14"/>
    </row>
    <row r="561">
      <c r="C561" s="58"/>
      <c r="D561" s="54"/>
      <c r="J561" s="14"/>
      <c r="K561" s="14"/>
    </row>
    <row r="562">
      <c r="C562" s="58"/>
      <c r="D562" s="54"/>
      <c r="J562" s="14"/>
      <c r="K562" s="14"/>
    </row>
    <row r="563">
      <c r="C563" s="58"/>
      <c r="D563" s="54"/>
      <c r="J563" s="14"/>
      <c r="K563" s="14"/>
    </row>
    <row r="564">
      <c r="C564" s="58"/>
      <c r="D564" s="54"/>
      <c r="J564" s="14"/>
      <c r="K564" s="14"/>
    </row>
    <row r="565">
      <c r="C565" s="58"/>
      <c r="D565" s="54"/>
      <c r="J565" s="14"/>
      <c r="K565" s="14"/>
    </row>
    <row r="566">
      <c r="C566" s="58"/>
      <c r="D566" s="54"/>
      <c r="J566" s="14"/>
      <c r="K566" s="14"/>
    </row>
    <row r="567">
      <c r="C567" s="58"/>
      <c r="D567" s="54"/>
      <c r="J567" s="14"/>
      <c r="K567" s="14"/>
    </row>
    <row r="568">
      <c r="C568" s="58"/>
      <c r="D568" s="54"/>
      <c r="J568" s="14"/>
      <c r="K568" s="14"/>
    </row>
    <row r="569">
      <c r="C569" s="58"/>
      <c r="D569" s="54"/>
      <c r="J569" s="14"/>
      <c r="K569" s="14"/>
    </row>
    <row r="570">
      <c r="C570" s="58"/>
      <c r="D570" s="54"/>
      <c r="J570" s="14"/>
      <c r="K570" s="14"/>
    </row>
    <row r="571">
      <c r="C571" s="58"/>
      <c r="D571" s="54"/>
      <c r="J571" s="14"/>
      <c r="K571" s="14"/>
    </row>
    <row r="572">
      <c r="C572" s="58"/>
      <c r="D572" s="54"/>
      <c r="J572" s="14"/>
      <c r="K572" s="14"/>
    </row>
    <row r="573">
      <c r="C573" s="58"/>
      <c r="D573" s="54"/>
      <c r="J573" s="14"/>
      <c r="K573" s="14"/>
    </row>
    <row r="574">
      <c r="C574" s="58"/>
      <c r="D574" s="54"/>
      <c r="J574" s="14"/>
      <c r="K574" s="14"/>
    </row>
    <row r="575">
      <c r="C575" s="58"/>
      <c r="D575" s="54"/>
      <c r="J575" s="14"/>
      <c r="K575" s="14"/>
    </row>
    <row r="576">
      <c r="C576" s="58"/>
      <c r="D576" s="54"/>
      <c r="J576" s="14"/>
      <c r="K576" s="14"/>
    </row>
    <row r="577">
      <c r="C577" s="58"/>
      <c r="D577" s="54"/>
      <c r="J577" s="14"/>
      <c r="K577" s="14"/>
    </row>
    <row r="578">
      <c r="C578" s="58"/>
      <c r="D578" s="54"/>
      <c r="J578" s="14"/>
      <c r="K578" s="14"/>
    </row>
    <row r="579">
      <c r="C579" s="58"/>
      <c r="D579" s="54"/>
      <c r="J579" s="14"/>
      <c r="K579" s="14"/>
    </row>
    <row r="580">
      <c r="C580" s="58"/>
      <c r="D580" s="54"/>
      <c r="J580" s="14"/>
      <c r="K580" s="14"/>
    </row>
    <row r="581">
      <c r="C581" s="58"/>
      <c r="D581" s="54"/>
      <c r="J581" s="14"/>
      <c r="K581" s="14"/>
    </row>
    <row r="582">
      <c r="C582" s="58"/>
      <c r="D582" s="54"/>
      <c r="J582" s="14"/>
      <c r="K582" s="14"/>
    </row>
    <row r="583">
      <c r="C583" s="58"/>
      <c r="D583" s="54"/>
      <c r="J583" s="14"/>
      <c r="K583" s="14"/>
    </row>
    <row r="584">
      <c r="C584" s="58"/>
      <c r="D584" s="54"/>
      <c r="J584" s="14"/>
      <c r="K584" s="14"/>
    </row>
    <row r="585">
      <c r="C585" s="58"/>
      <c r="D585" s="54"/>
      <c r="J585" s="14"/>
      <c r="K585" s="14"/>
    </row>
    <row r="586">
      <c r="C586" s="58"/>
      <c r="D586" s="54"/>
      <c r="J586" s="14"/>
      <c r="K586" s="14"/>
    </row>
    <row r="587">
      <c r="C587" s="58"/>
      <c r="D587" s="54"/>
      <c r="J587" s="14"/>
      <c r="K587" s="14"/>
    </row>
    <row r="588">
      <c r="C588" s="58"/>
      <c r="D588" s="54"/>
      <c r="J588" s="14"/>
      <c r="K588" s="14"/>
    </row>
    <row r="589">
      <c r="C589" s="58"/>
      <c r="D589" s="54"/>
      <c r="J589" s="14"/>
      <c r="K589" s="14"/>
    </row>
    <row r="590">
      <c r="C590" s="58"/>
      <c r="D590" s="54"/>
      <c r="J590" s="14"/>
      <c r="K590" s="14"/>
    </row>
    <row r="591">
      <c r="C591" s="58"/>
      <c r="D591" s="54"/>
      <c r="J591" s="14"/>
      <c r="K591" s="14"/>
    </row>
    <row r="592">
      <c r="C592" s="58"/>
      <c r="D592" s="54"/>
      <c r="J592" s="14"/>
      <c r="K592" s="14"/>
    </row>
    <row r="593">
      <c r="C593" s="58"/>
      <c r="D593" s="54"/>
      <c r="J593" s="14"/>
      <c r="K593" s="14"/>
    </row>
    <row r="594">
      <c r="C594" s="58"/>
      <c r="D594" s="54"/>
      <c r="J594" s="14"/>
      <c r="K594" s="14"/>
    </row>
    <row r="595">
      <c r="C595" s="58"/>
      <c r="D595" s="54"/>
      <c r="J595" s="14"/>
      <c r="K595" s="14"/>
    </row>
    <row r="596">
      <c r="C596" s="58"/>
      <c r="D596" s="54"/>
      <c r="J596" s="14"/>
      <c r="K596" s="14"/>
    </row>
    <row r="597">
      <c r="C597" s="58"/>
      <c r="D597" s="54"/>
      <c r="J597" s="14"/>
      <c r="K597" s="14"/>
    </row>
    <row r="598">
      <c r="C598" s="58"/>
      <c r="D598" s="54"/>
      <c r="J598" s="14"/>
      <c r="K598" s="14"/>
    </row>
    <row r="599">
      <c r="C599" s="58"/>
      <c r="D599" s="54"/>
      <c r="J599" s="14"/>
      <c r="K599" s="14"/>
    </row>
    <row r="600">
      <c r="C600" s="58"/>
      <c r="D600" s="54"/>
      <c r="J600" s="14"/>
      <c r="K600" s="14"/>
    </row>
    <row r="601">
      <c r="C601" s="58"/>
      <c r="D601" s="54"/>
      <c r="J601" s="14"/>
      <c r="K601" s="14"/>
    </row>
    <row r="602">
      <c r="C602" s="58"/>
      <c r="D602" s="54"/>
      <c r="J602" s="14"/>
      <c r="K602" s="14"/>
    </row>
    <row r="603">
      <c r="C603" s="58"/>
      <c r="D603" s="54"/>
      <c r="J603" s="14"/>
      <c r="K603" s="14"/>
    </row>
    <row r="604">
      <c r="C604" s="58"/>
      <c r="D604" s="54"/>
      <c r="J604" s="14"/>
      <c r="K604" s="14"/>
    </row>
    <row r="605">
      <c r="C605" s="58"/>
      <c r="D605" s="54"/>
      <c r="J605" s="14"/>
      <c r="K605" s="14"/>
    </row>
    <row r="606">
      <c r="C606" s="58"/>
      <c r="D606" s="54"/>
      <c r="J606" s="14"/>
      <c r="K606" s="14"/>
    </row>
    <row r="607">
      <c r="C607" s="58"/>
      <c r="D607" s="54"/>
      <c r="J607" s="14"/>
      <c r="K607" s="14"/>
    </row>
    <row r="608">
      <c r="C608" s="58"/>
      <c r="D608" s="54"/>
      <c r="J608" s="14"/>
      <c r="K608" s="14"/>
    </row>
    <row r="609">
      <c r="C609" s="58"/>
      <c r="D609" s="54"/>
      <c r="J609" s="14"/>
      <c r="K609" s="14"/>
    </row>
    <row r="610">
      <c r="C610" s="58"/>
      <c r="D610" s="54"/>
      <c r="J610" s="14"/>
      <c r="K610" s="14"/>
    </row>
    <row r="611">
      <c r="C611" s="58"/>
      <c r="D611" s="54"/>
      <c r="J611" s="14"/>
      <c r="K611" s="14"/>
    </row>
    <row r="612">
      <c r="C612" s="58"/>
      <c r="D612" s="54"/>
      <c r="J612" s="14"/>
      <c r="K612" s="14"/>
    </row>
    <row r="613">
      <c r="C613" s="58"/>
      <c r="D613" s="54"/>
      <c r="J613" s="14"/>
      <c r="K613" s="14"/>
    </row>
    <row r="614">
      <c r="C614" s="58"/>
      <c r="D614" s="54"/>
      <c r="J614" s="14"/>
      <c r="K614" s="14"/>
    </row>
    <row r="615">
      <c r="C615" s="58"/>
      <c r="D615" s="54"/>
      <c r="J615" s="14"/>
      <c r="K615" s="14"/>
    </row>
    <row r="616">
      <c r="C616" s="58"/>
      <c r="D616" s="54"/>
      <c r="J616" s="14"/>
      <c r="K616" s="14"/>
    </row>
    <row r="617">
      <c r="C617" s="58"/>
      <c r="D617" s="54"/>
      <c r="J617" s="14"/>
      <c r="K617" s="14"/>
    </row>
    <row r="618">
      <c r="C618" s="58"/>
      <c r="D618" s="54"/>
      <c r="J618" s="14"/>
      <c r="K618" s="14"/>
    </row>
    <row r="619">
      <c r="C619" s="58"/>
      <c r="D619" s="54"/>
      <c r="J619" s="14"/>
      <c r="K619" s="14"/>
    </row>
    <row r="620">
      <c r="C620" s="58"/>
      <c r="D620" s="54"/>
      <c r="J620" s="14"/>
      <c r="K620" s="14"/>
    </row>
    <row r="621">
      <c r="C621" s="58"/>
      <c r="D621" s="54"/>
      <c r="J621" s="14"/>
      <c r="K621" s="14"/>
    </row>
    <row r="622">
      <c r="C622" s="58"/>
      <c r="D622" s="54"/>
      <c r="J622" s="14"/>
      <c r="K622" s="14"/>
    </row>
    <row r="623">
      <c r="C623" s="58"/>
      <c r="D623" s="54"/>
      <c r="J623" s="14"/>
      <c r="K623" s="14"/>
    </row>
    <row r="624">
      <c r="C624" s="58"/>
      <c r="D624" s="54"/>
      <c r="J624" s="14"/>
      <c r="K624" s="14"/>
    </row>
    <row r="625">
      <c r="C625" s="58"/>
      <c r="D625" s="54"/>
      <c r="J625" s="14"/>
      <c r="K625" s="14"/>
    </row>
    <row r="626">
      <c r="C626" s="58"/>
      <c r="D626" s="54"/>
      <c r="J626" s="14"/>
      <c r="K626" s="14"/>
    </row>
    <row r="627">
      <c r="C627" s="58"/>
      <c r="D627" s="54"/>
      <c r="J627" s="14"/>
      <c r="K627" s="14"/>
    </row>
    <row r="628">
      <c r="C628" s="58"/>
      <c r="D628" s="54"/>
      <c r="J628" s="14"/>
      <c r="K628" s="14"/>
    </row>
    <row r="629">
      <c r="C629" s="58"/>
      <c r="D629" s="54"/>
      <c r="J629" s="14"/>
      <c r="K629" s="14"/>
    </row>
    <row r="630">
      <c r="C630" s="58"/>
      <c r="D630" s="54"/>
      <c r="J630" s="14"/>
      <c r="K630" s="14"/>
    </row>
    <row r="631">
      <c r="C631" s="58"/>
      <c r="D631" s="54"/>
      <c r="J631" s="14"/>
      <c r="K631" s="14"/>
    </row>
    <row r="632">
      <c r="C632" s="58"/>
      <c r="D632" s="54"/>
      <c r="J632" s="14"/>
      <c r="K632" s="14"/>
    </row>
    <row r="633">
      <c r="C633" s="58"/>
      <c r="D633" s="54"/>
      <c r="J633" s="14"/>
      <c r="K633" s="14"/>
    </row>
    <row r="634">
      <c r="C634" s="58"/>
      <c r="D634" s="54"/>
      <c r="J634" s="14"/>
      <c r="K634" s="14"/>
    </row>
    <row r="635">
      <c r="C635" s="58"/>
      <c r="D635" s="54"/>
      <c r="J635" s="14"/>
      <c r="K635" s="14"/>
    </row>
    <row r="636">
      <c r="C636" s="58"/>
      <c r="D636" s="54"/>
      <c r="J636" s="14"/>
      <c r="K636" s="14"/>
    </row>
    <row r="637">
      <c r="C637" s="58"/>
      <c r="D637" s="54"/>
      <c r="J637" s="14"/>
      <c r="K637" s="14"/>
    </row>
    <row r="638">
      <c r="C638" s="58"/>
      <c r="D638" s="54"/>
      <c r="J638" s="14"/>
      <c r="K638" s="14"/>
    </row>
    <row r="639">
      <c r="C639" s="58"/>
      <c r="D639" s="54"/>
      <c r="J639" s="14"/>
      <c r="K639" s="14"/>
    </row>
    <row r="640">
      <c r="C640" s="58"/>
      <c r="D640" s="54"/>
      <c r="J640" s="14"/>
      <c r="K640" s="14"/>
    </row>
    <row r="641">
      <c r="C641" s="58"/>
      <c r="D641" s="54"/>
      <c r="J641" s="14"/>
      <c r="K641" s="14"/>
    </row>
    <row r="642">
      <c r="C642" s="58"/>
      <c r="D642" s="54"/>
      <c r="J642" s="14"/>
      <c r="K642" s="14"/>
    </row>
    <row r="643">
      <c r="C643" s="58"/>
      <c r="D643" s="54"/>
      <c r="J643" s="14"/>
      <c r="K643" s="14"/>
    </row>
    <row r="644">
      <c r="C644" s="58"/>
      <c r="D644" s="54"/>
      <c r="J644" s="14"/>
      <c r="K644" s="14"/>
    </row>
    <row r="645">
      <c r="C645" s="58"/>
      <c r="D645" s="54"/>
      <c r="J645" s="14"/>
      <c r="K645" s="14"/>
    </row>
    <row r="646">
      <c r="C646" s="58"/>
      <c r="D646" s="54"/>
      <c r="J646" s="14"/>
      <c r="K646" s="14"/>
    </row>
    <row r="647">
      <c r="C647" s="58"/>
      <c r="D647" s="54"/>
      <c r="J647" s="14"/>
      <c r="K647" s="14"/>
    </row>
    <row r="648">
      <c r="C648" s="58"/>
      <c r="D648" s="54"/>
      <c r="J648" s="14"/>
      <c r="K648" s="14"/>
    </row>
    <row r="649">
      <c r="C649" s="58"/>
      <c r="D649" s="54"/>
      <c r="J649" s="14"/>
      <c r="K649" s="14"/>
    </row>
    <row r="650">
      <c r="C650" s="58"/>
      <c r="D650" s="54"/>
      <c r="J650" s="14"/>
      <c r="K650" s="14"/>
    </row>
    <row r="651">
      <c r="C651" s="58"/>
      <c r="D651" s="54"/>
      <c r="J651" s="14"/>
      <c r="K651" s="14"/>
    </row>
    <row r="652">
      <c r="C652" s="58"/>
      <c r="D652" s="54"/>
      <c r="J652" s="14"/>
      <c r="K652" s="14"/>
    </row>
    <row r="653">
      <c r="C653" s="58"/>
      <c r="D653" s="54"/>
      <c r="J653" s="14"/>
      <c r="K653" s="14"/>
    </row>
    <row r="654">
      <c r="C654" s="58"/>
      <c r="D654" s="54"/>
      <c r="J654" s="14"/>
      <c r="K654" s="14"/>
    </row>
    <row r="655">
      <c r="C655" s="58"/>
      <c r="D655" s="54"/>
      <c r="J655" s="14"/>
      <c r="K655" s="14"/>
    </row>
    <row r="656">
      <c r="C656" s="58"/>
      <c r="D656" s="54"/>
      <c r="J656" s="14"/>
      <c r="K656" s="14"/>
    </row>
    <row r="657">
      <c r="C657" s="58"/>
      <c r="D657" s="54"/>
      <c r="J657" s="14"/>
      <c r="K657" s="14"/>
    </row>
    <row r="658">
      <c r="C658" s="58"/>
      <c r="D658" s="54"/>
      <c r="J658" s="14"/>
      <c r="K658" s="14"/>
    </row>
    <row r="659">
      <c r="C659" s="58"/>
      <c r="D659" s="54"/>
      <c r="J659" s="14"/>
      <c r="K659" s="14"/>
    </row>
    <row r="660">
      <c r="C660" s="58"/>
      <c r="D660" s="54"/>
      <c r="J660" s="14"/>
      <c r="K660" s="14"/>
    </row>
    <row r="661">
      <c r="C661" s="58"/>
      <c r="D661" s="54"/>
      <c r="J661" s="14"/>
      <c r="K661" s="14"/>
    </row>
    <row r="662">
      <c r="C662" s="58"/>
      <c r="D662" s="54"/>
      <c r="J662" s="14"/>
      <c r="K662" s="14"/>
    </row>
    <row r="663">
      <c r="C663" s="58"/>
      <c r="D663" s="54"/>
      <c r="J663" s="14"/>
      <c r="K663" s="14"/>
    </row>
    <row r="664">
      <c r="C664" s="58"/>
      <c r="D664" s="54"/>
      <c r="J664" s="14"/>
      <c r="K664" s="14"/>
    </row>
    <row r="665">
      <c r="C665" s="58"/>
      <c r="D665" s="54"/>
      <c r="J665" s="14"/>
      <c r="K665" s="14"/>
    </row>
    <row r="666">
      <c r="C666" s="58"/>
      <c r="D666" s="54"/>
      <c r="J666" s="14"/>
      <c r="K666" s="14"/>
    </row>
    <row r="667">
      <c r="C667" s="58"/>
      <c r="D667" s="54"/>
      <c r="J667" s="14"/>
      <c r="K667" s="14"/>
    </row>
    <row r="668">
      <c r="C668" s="58"/>
      <c r="D668" s="54"/>
      <c r="J668" s="14"/>
      <c r="K668" s="14"/>
    </row>
    <row r="669">
      <c r="C669" s="58"/>
      <c r="D669" s="54"/>
      <c r="J669" s="14"/>
      <c r="K669" s="14"/>
    </row>
    <row r="670">
      <c r="C670" s="58"/>
      <c r="D670" s="54"/>
      <c r="J670" s="14"/>
      <c r="K670" s="14"/>
    </row>
    <row r="671">
      <c r="C671" s="58"/>
      <c r="D671" s="54"/>
      <c r="J671" s="14"/>
      <c r="K671" s="14"/>
    </row>
    <row r="672">
      <c r="C672" s="58"/>
      <c r="D672" s="54"/>
      <c r="J672" s="14"/>
      <c r="K672" s="14"/>
    </row>
    <row r="673">
      <c r="C673" s="58"/>
      <c r="D673" s="54"/>
      <c r="J673" s="14"/>
      <c r="K673" s="14"/>
    </row>
    <row r="674">
      <c r="C674" s="58"/>
      <c r="D674" s="54"/>
      <c r="J674" s="14"/>
      <c r="K674" s="14"/>
    </row>
    <row r="675">
      <c r="C675" s="58"/>
      <c r="D675" s="54"/>
      <c r="J675" s="14"/>
      <c r="K675" s="14"/>
    </row>
    <row r="676">
      <c r="C676" s="58"/>
      <c r="D676" s="54"/>
      <c r="J676" s="14"/>
      <c r="K676" s="14"/>
    </row>
    <row r="677">
      <c r="C677" s="58"/>
      <c r="D677" s="54"/>
      <c r="J677" s="14"/>
      <c r="K677" s="14"/>
    </row>
    <row r="678">
      <c r="C678" s="58"/>
      <c r="D678" s="54"/>
      <c r="J678" s="14"/>
      <c r="K678" s="14"/>
    </row>
    <row r="679">
      <c r="C679" s="58"/>
      <c r="D679" s="54"/>
      <c r="J679" s="14"/>
      <c r="K679" s="14"/>
    </row>
    <row r="680">
      <c r="C680" s="58"/>
      <c r="D680" s="54"/>
      <c r="J680" s="14"/>
      <c r="K680" s="14"/>
    </row>
    <row r="681">
      <c r="C681" s="58"/>
      <c r="D681" s="54"/>
      <c r="J681" s="14"/>
      <c r="K681" s="14"/>
    </row>
    <row r="682">
      <c r="C682" s="58"/>
      <c r="D682" s="54"/>
      <c r="J682" s="14"/>
      <c r="K682" s="14"/>
    </row>
    <row r="683">
      <c r="C683" s="58"/>
      <c r="D683" s="54"/>
      <c r="J683" s="14"/>
      <c r="K683" s="14"/>
    </row>
    <row r="684">
      <c r="C684" s="58"/>
      <c r="D684" s="54"/>
      <c r="J684" s="14"/>
      <c r="K684" s="14"/>
    </row>
    <row r="685">
      <c r="C685" s="58"/>
      <c r="D685" s="54"/>
      <c r="J685" s="14"/>
      <c r="K685" s="14"/>
    </row>
    <row r="686">
      <c r="C686" s="58"/>
      <c r="D686" s="54"/>
      <c r="J686" s="14"/>
      <c r="K686" s="14"/>
    </row>
    <row r="687">
      <c r="C687" s="58"/>
      <c r="D687" s="54"/>
      <c r="J687" s="14"/>
      <c r="K687" s="14"/>
    </row>
    <row r="688">
      <c r="C688" s="58"/>
      <c r="D688" s="54"/>
      <c r="J688" s="14"/>
      <c r="K688" s="14"/>
    </row>
    <row r="689">
      <c r="C689" s="58"/>
      <c r="D689" s="54"/>
      <c r="J689" s="14"/>
      <c r="K689" s="14"/>
    </row>
    <row r="690">
      <c r="C690" s="58"/>
      <c r="D690" s="54"/>
      <c r="J690" s="14"/>
      <c r="K690" s="14"/>
    </row>
    <row r="691">
      <c r="C691" s="58"/>
      <c r="D691" s="54"/>
      <c r="J691" s="14"/>
      <c r="K691" s="14"/>
    </row>
    <row r="692">
      <c r="C692" s="58"/>
      <c r="D692" s="54"/>
      <c r="J692" s="14"/>
      <c r="K692" s="14"/>
    </row>
    <row r="693">
      <c r="C693" s="58"/>
      <c r="D693" s="54"/>
      <c r="J693" s="14"/>
      <c r="K693" s="14"/>
    </row>
    <row r="694">
      <c r="C694" s="58"/>
      <c r="D694" s="54"/>
      <c r="J694" s="14"/>
      <c r="K694" s="14"/>
    </row>
    <row r="695">
      <c r="C695" s="58"/>
      <c r="D695" s="54"/>
      <c r="J695" s="14"/>
      <c r="K695" s="14"/>
    </row>
    <row r="696">
      <c r="C696" s="58"/>
      <c r="D696" s="54"/>
      <c r="J696" s="14"/>
      <c r="K696" s="14"/>
    </row>
    <row r="697">
      <c r="C697" s="58"/>
      <c r="D697" s="54"/>
      <c r="J697" s="14"/>
      <c r="K697" s="14"/>
    </row>
    <row r="698">
      <c r="C698" s="58"/>
      <c r="D698" s="54"/>
      <c r="J698" s="14"/>
      <c r="K698" s="14"/>
    </row>
    <row r="699">
      <c r="C699" s="58"/>
      <c r="D699" s="54"/>
      <c r="J699" s="14"/>
      <c r="K699" s="14"/>
    </row>
    <row r="700">
      <c r="C700" s="58"/>
      <c r="D700" s="54"/>
      <c r="J700" s="14"/>
      <c r="K700" s="14"/>
    </row>
    <row r="701">
      <c r="C701" s="58"/>
      <c r="D701" s="54"/>
      <c r="J701" s="14"/>
      <c r="K701" s="14"/>
    </row>
    <row r="702">
      <c r="C702" s="58"/>
      <c r="D702" s="54"/>
      <c r="J702" s="14"/>
      <c r="K702" s="14"/>
    </row>
    <row r="703">
      <c r="C703" s="58"/>
      <c r="D703" s="54"/>
      <c r="J703" s="14"/>
      <c r="K703" s="14"/>
    </row>
    <row r="704">
      <c r="C704" s="58"/>
      <c r="D704" s="54"/>
      <c r="J704" s="14"/>
      <c r="K704" s="14"/>
    </row>
    <row r="705">
      <c r="C705" s="58"/>
      <c r="D705" s="54"/>
      <c r="J705" s="14"/>
      <c r="K705" s="14"/>
    </row>
    <row r="706">
      <c r="C706" s="58"/>
      <c r="D706" s="54"/>
      <c r="J706" s="14"/>
      <c r="K706" s="14"/>
    </row>
    <row r="707">
      <c r="C707" s="58"/>
      <c r="D707" s="54"/>
      <c r="J707" s="14"/>
      <c r="K707" s="14"/>
    </row>
    <row r="708">
      <c r="C708" s="58"/>
      <c r="D708" s="54"/>
      <c r="J708" s="14"/>
      <c r="K708" s="14"/>
    </row>
    <row r="709">
      <c r="C709" s="58"/>
      <c r="D709" s="54"/>
      <c r="J709" s="14"/>
      <c r="K709" s="14"/>
    </row>
    <row r="710">
      <c r="C710" s="58"/>
      <c r="D710" s="54"/>
      <c r="J710" s="14"/>
      <c r="K710" s="14"/>
    </row>
    <row r="711">
      <c r="C711" s="58"/>
      <c r="D711" s="54"/>
      <c r="J711" s="14"/>
      <c r="K711" s="14"/>
    </row>
    <row r="712">
      <c r="C712" s="58"/>
      <c r="D712" s="54"/>
      <c r="J712" s="14"/>
      <c r="K712" s="14"/>
    </row>
    <row r="713">
      <c r="C713" s="58"/>
      <c r="D713" s="54"/>
      <c r="J713" s="14"/>
      <c r="K713" s="14"/>
    </row>
    <row r="714">
      <c r="C714" s="58"/>
      <c r="D714" s="54"/>
      <c r="J714" s="14"/>
      <c r="K714" s="14"/>
    </row>
    <row r="715">
      <c r="C715" s="58"/>
      <c r="D715" s="54"/>
      <c r="J715" s="14"/>
      <c r="K715" s="14"/>
    </row>
    <row r="716">
      <c r="C716" s="58"/>
      <c r="D716" s="54"/>
      <c r="J716" s="14"/>
      <c r="K716" s="14"/>
    </row>
    <row r="717">
      <c r="C717" s="58"/>
      <c r="D717" s="54"/>
      <c r="J717" s="14"/>
      <c r="K717" s="14"/>
    </row>
    <row r="718">
      <c r="C718" s="58"/>
      <c r="D718" s="54"/>
      <c r="J718" s="14"/>
      <c r="K718" s="14"/>
    </row>
    <row r="719">
      <c r="C719" s="58"/>
      <c r="D719" s="54"/>
      <c r="J719" s="14"/>
      <c r="K719" s="14"/>
    </row>
    <row r="720">
      <c r="C720" s="58"/>
      <c r="D720" s="54"/>
      <c r="J720" s="14"/>
      <c r="K720" s="14"/>
    </row>
    <row r="721">
      <c r="C721" s="58"/>
      <c r="D721" s="54"/>
      <c r="J721" s="14"/>
      <c r="K721" s="14"/>
    </row>
    <row r="722">
      <c r="C722" s="58"/>
      <c r="D722" s="54"/>
      <c r="J722" s="14"/>
      <c r="K722" s="14"/>
    </row>
    <row r="723">
      <c r="C723" s="58"/>
      <c r="D723" s="54"/>
      <c r="J723" s="14"/>
      <c r="K723" s="14"/>
    </row>
    <row r="724">
      <c r="C724" s="58"/>
      <c r="D724" s="54"/>
      <c r="J724" s="14"/>
      <c r="K724" s="14"/>
    </row>
    <row r="725">
      <c r="C725" s="58"/>
      <c r="D725" s="54"/>
      <c r="J725" s="14"/>
      <c r="K725" s="14"/>
    </row>
    <row r="726">
      <c r="C726" s="58"/>
      <c r="D726" s="54"/>
      <c r="J726" s="14"/>
      <c r="K726" s="14"/>
    </row>
    <row r="727">
      <c r="C727" s="58"/>
      <c r="D727" s="54"/>
      <c r="J727" s="14"/>
      <c r="K727" s="14"/>
    </row>
    <row r="728">
      <c r="C728" s="58"/>
      <c r="D728" s="54"/>
      <c r="J728" s="14"/>
      <c r="K728" s="14"/>
    </row>
    <row r="729">
      <c r="C729" s="58"/>
      <c r="D729" s="54"/>
      <c r="J729" s="14"/>
      <c r="K729" s="14"/>
    </row>
    <row r="730">
      <c r="C730" s="58"/>
      <c r="D730" s="54"/>
      <c r="J730" s="14"/>
      <c r="K730" s="14"/>
    </row>
    <row r="731">
      <c r="C731" s="58"/>
      <c r="D731" s="54"/>
      <c r="J731" s="14"/>
      <c r="K731" s="14"/>
    </row>
    <row r="732">
      <c r="C732" s="58"/>
      <c r="D732" s="54"/>
      <c r="J732" s="14"/>
      <c r="K732" s="14"/>
    </row>
    <row r="733">
      <c r="C733" s="58"/>
      <c r="D733" s="54"/>
      <c r="J733" s="14"/>
      <c r="K733" s="14"/>
    </row>
    <row r="734">
      <c r="C734" s="58"/>
      <c r="D734" s="54"/>
      <c r="J734" s="14"/>
      <c r="K734" s="14"/>
    </row>
    <row r="735">
      <c r="C735" s="58"/>
      <c r="D735" s="54"/>
      <c r="J735" s="14"/>
      <c r="K735" s="14"/>
    </row>
    <row r="736">
      <c r="C736" s="58"/>
      <c r="D736" s="54"/>
      <c r="J736" s="14"/>
      <c r="K736" s="14"/>
    </row>
    <row r="737">
      <c r="C737" s="58"/>
      <c r="D737" s="54"/>
      <c r="J737" s="14"/>
      <c r="K737" s="14"/>
    </row>
    <row r="738">
      <c r="C738" s="58"/>
      <c r="D738" s="54"/>
      <c r="J738" s="14"/>
      <c r="K738" s="14"/>
    </row>
    <row r="739">
      <c r="C739" s="58"/>
      <c r="D739" s="54"/>
      <c r="J739" s="14"/>
      <c r="K739" s="14"/>
    </row>
    <row r="740">
      <c r="C740" s="58"/>
      <c r="D740" s="54"/>
      <c r="J740" s="14"/>
      <c r="K740" s="14"/>
    </row>
    <row r="741">
      <c r="C741" s="58"/>
      <c r="D741" s="54"/>
      <c r="J741" s="14"/>
      <c r="K741" s="14"/>
    </row>
    <row r="742">
      <c r="C742" s="58"/>
      <c r="D742" s="54"/>
      <c r="J742" s="14"/>
      <c r="K742" s="14"/>
    </row>
    <row r="743">
      <c r="C743" s="58"/>
      <c r="D743" s="54"/>
      <c r="J743" s="14"/>
      <c r="K743" s="14"/>
    </row>
    <row r="744">
      <c r="C744" s="58"/>
      <c r="D744" s="54"/>
      <c r="J744" s="14"/>
      <c r="K744" s="14"/>
    </row>
    <row r="745">
      <c r="C745" s="58"/>
      <c r="D745" s="54"/>
      <c r="J745" s="14"/>
      <c r="K745" s="14"/>
    </row>
    <row r="746">
      <c r="C746" s="58"/>
      <c r="D746" s="54"/>
      <c r="J746" s="14"/>
      <c r="K746" s="14"/>
    </row>
    <row r="747">
      <c r="C747" s="58"/>
      <c r="D747" s="54"/>
      <c r="J747" s="14"/>
      <c r="K747" s="14"/>
    </row>
    <row r="748">
      <c r="C748" s="58"/>
      <c r="D748" s="54"/>
      <c r="J748" s="14"/>
      <c r="K748" s="14"/>
    </row>
    <row r="749">
      <c r="C749" s="58"/>
      <c r="D749" s="54"/>
      <c r="J749" s="14"/>
      <c r="K749" s="14"/>
    </row>
    <row r="750">
      <c r="C750" s="58"/>
      <c r="D750" s="54"/>
      <c r="J750" s="14"/>
      <c r="K750" s="14"/>
    </row>
    <row r="751">
      <c r="C751" s="58"/>
      <c r="D751" s="54"/>
      <c r="J751" s="14"/>
      <c r="K751" s="14"/>
    </row>
    <row r="752">
      <c r="C752" s="58"/>
      <c r="D752" s="54"/>
      <c r="J752" s="14"/>
      <c r="K752" s="14"/>
    </row>
    <row r="753">
      <c r="C753" s="58"/>
      <c r="D753" s="54"/>
      <c r="J753" s="14"/>
      <c r="K753" s="14"/>
    </row>
    <row r="754">
      <c r="C754" s="58"/>
      <c r="D754" s="54"/>
      <c r="J754" s="14"/>
      <c r="K754" s="14"/>
    </row>
    <row r="755">
      <c r="C755" s="58"/>
      <c r="D755" s="54"/>
      <c r="J755" s="14"/>
      <c r="K755" s="14"/>
    </row>
    <row r="756">
      <c r="C756" s="58"/>
      <c r="D756" s="54"/>
      <c r="J756" s="14"/>
      <c r="K756" s="14"/>
    </row>
    <row r="757">
      <c r="C757" s="58"/>
      <c r="D757" s="54"/>
      <c r="J757" s="14"/>
      <c r="K757" s="14"/>
    </row>
    <row r="758">
      <c r="C758" s="58"/>
      <c r="D758" s="54"/>
      <c r="J758" s="14"/>
      <c r="K758" s="14"/>
    </row>
    <row r="759">
      <c r="C759" s="58"/>
      <c r="D759" s="54"/>
      <c r="J759" s="14"/>
      <c r="K759" s="14"/>
    </row>
    <row r="760">
      <c r="C760" s="58"/>
      <c r="D760" s="54"/>
      <c r="J760" s="14"/>
      <c r="K760" s="14"/>
    </row>
    <row r="761">
      <c r="C761" s="58"/>
      <c r="D761" s="54"/>
      <c r="J761" s="14"/>
      <c r="K761" s="14"/>
    </row>
    <row r="762">
      <c r="C762" s="58"/>
      <c r="D762" s="54"/>
      <c r="J762" s="14"/>
      <c r="K762" s="14"/>
    </row>
    <row r="763">
      <c r="C763" s="58"/>
      <c r="D763" s="54"/>
      <c r="J763" s="14"/>
      <c r="K763" s="14"/>
    </row>
    <row r="764">
      <c r="C764" s="58"/>
      <c r="D764" s="54"/>
      <c r="J764" s="14"/>
      <c r="K764" s="14"/>
    </row>
    <row r="765">
      <c r="C765" s="58"/>
      <c r="D765" s="54"/>
      <c r="J765" s="14"/>
      <c r="K765" s="14"/>
    </row>
    <row r="766">
      <c r="C766" s="58"/>
      <c r="D766" s="54"/>
      <c r="J766" s="14"/>
      <c r="K766" s="14"/>
    </row>
    <row r="767">
      <c r="C767" s="58"/>
      <c r="D767" s="54"/>
      <c r="J767" s="14"/>
      <c r="K767" s="14"/>
    </row>
    <row r="768">
      <c r="C768" s="58"/>
      <c r="D768" s="54"/>
      <c r="J768" s="14"/>
      <c r="K768" s="14"/>
    </row>
    <row r="769">
      <c r="C769" s="58"/>
      <c r="D769" s="54"/>
      <c r="J769" s="14"/>
      <c r="K769" s="14"/>
    </row>
    <row r="770">
      <c r="C770" s="58"/>
      <c r="D770" s="54"/>
      <c r="J770" s="14"/>
      <c r="K770" s="14"/>
    </row>
    <row r="771">
      <c r="C771" s="58"/>
      <c r="D771" s="54"/>
      <c r="J771" s="14"/>
      <c r="K771" s="14"/>
    </row>
    <row r="772">
      <c r="C772" s="58"/>
      <c r="D772" s="54"/>
      <c r="J772" s="14"/>
      <c r="K772" s="14"/>
    </row>
    <row r="773">
      <c r="C773" s="58"/>
      <c r="D773" s="54"/>
      <c r="J773" s="14"/>
      <c r="K773" s="14"/>
    </row>
    <row r="774">
      <c r="C774" s="58"/>
      <c r="D774" s="54"/>
      <c r="J774" s="14"/>
      <c r="K774" s="14"/>
    </row>
    <row r="775">
      <c r="C775" s="58"/>
      <c r="D775" s="54"/>
      <c r="J775" s="14"/>
      <c r="K775" s="14"/>
    </row>
    <row r="776">
      <c r="C776" s="58"/>
      <c r="D776" s="54"/>
      <c r="J776" s="14"/>
      <c r="K776" s="14"/>
    </row>
    <row r="777">
      <c r="C777" s="58"/>
      <c r="D777" s="54"/>
      <c r="J777" s="14"/>
      <c r="K777" s="14"/>
    </row>
    <row r="778">
      <c r="C778" s="58"/>
      <c r="D778" s="54"/>
      <c r="J778" s="14"/>
      <c r="K778" s="14"/>
    </row>
    <row r="779">
      <c r="C779" s="58"/>
      <c r="D779" s="54"/>
      <c r="J779" s="14"/>
      <c r="K779" s="14"/>
    </row>
    <row r="780">
      <c r="C780" s="58"/>
      <c r="D780" s="54"/>
      <c r="J780" s="14"/>
      <c r="K780" s="14"/>
    </row>
    <row r="781">
      <c r="C781" s="58"/>
      <c r="D781" s="54"/>
      <c r="J781" s="14"/>
      <c r="K781" s="14"/>
    </row>
    <row r="782">
      <c r="C782" s="58"/>
      <c r="D782" s="54"/>
      <c r="J782" s="14"/>
      <c r="K782" s="14"/>
    </row>
    <row r="783">
      <c r="C783" s="58"/>
      <c r="D783" s="54"/>
      <c r="J783" s="14"/>
      <c r="K783" s="14"/>
    </row>
    <row r="784">
      <c r="C784" s="58"/>
      <c r="D784" s="54"/>
      <c r="J784" s="14"/>
      <c r="K784" s="14"/>
    </row>
    <row r="785">
      <c r="C785" s="58"/>
      <c r="D785" s="54"/>
      <c r="J785" s="14"/>
      <c r="K785" s="14"/>
    </row>
    <row r="786">
      <c r="C786" s="58"/>
      <c r="D786" s="54"/>
      <c r="J786" s="14"/>
      <c r="K786" s="14"/>
    </row>
    <row r="787">
      <c r="C787" s="58"/>
      <c r="D787" s="54"/>
      <c r="J787" s="14"/>
      <c r="K787" s="14"/>
    </row>
    <row r="788">
      <c r="C788" s="58"/>
      <c r="D788" s="54"/>
      <c r="J788" s="14"/>
      <c r="K788" s="14"/>
    </row>
    <row r="789">
      <c r="C789" s="58"/>
      <c r="D789" s="54"/>
      <c r="J789" s="14"/>
      <c r="K789" s="14"/>
    </row>
    <row r="790">
      <c r="C790" s="58"/>
      <c r="D790" s="54"/>
      <c r="J790" s="14"/>
      <c r="K790" s="14"/>
    </row>
    <row r="791">
      <c r="C791" s="58"/>
      <c r="D791" s="54"/>
      <c r="J791" s="14"/>
      <c r="K791" s="14"/>
    </row>
    <row r="792">
      <c r="C792" s="58"/>
      <c r="D792" s="54"/>
      <c r="J792" s="14"/>
      <c r="K792" s="14"/>
    </row>
    <row r="793">
      <c r="C793" s="58"/>
      <c r="D793" s="54"/>
      <c r="J793" s="14"/>
      <c r="K793" s="14"/>
    </row>
    <row r="794">
      <c r="C794" s="58"/>
      <c r="D794" s="54"/>
      <c r="J794" s="14"/>
      <c r="K794" s="14"/>
    </row>
    <row r="795">
      <c r="C795" s="58"/>
      <c r="D795" s="54"/>
      <c r="J795" s="14"/>
      <c r="K795" s="14"/>
    </row>
    <row r="796">
      <c r="C796" s="58"/>
      <c r="D796" s="54"/>
      <c r="J796" s="14"/>
      <c r="K796" s="14"/>
    </row>
    <row r="797">
      <c r="C797" s="58"/>
      <c r="D797" s="54"/>
      <c r="J797" s="14"/>
      <c r="K797" s="14"/>
    </row>
    <row r="798">
      <c r="C798" s="58"/>
      <c r="D798" s="54"/>
      <c r="J798" s="14"/>
      <c r="K798" s="14"/>
    </row>
    <row r="799">
      <c r="C799" s="58"/>
      <c r="D799" s="54"/>
      <c r="J799" s="14"/>
      <c r="K799" s="14"/>
    </row>
    <row r="800">
      <c r="C800" s="58"/>
      <c r="D800" s="54"/>
      <c r="J800" s="14"/>
      <c r="K800" s="14"/>
    </row>
    <row r="801">
      <c r="C801" s="58"/>
      <c r="D801" s="54"/>
      <c r="J801" s="14"/>
      <c r="K801" s="14"/>
    </row>
    <row r="802">
      <c r="C802" s="58"/>
      <c r="D802" s="54"/>
      <c r="J802" s="14"/>
      <c r="K802" s="14"/>
    </row>
    <row r="803">
      <c r="C803" s="58"/>
      <c r="D803" s="54"/>
      <c r="J803" s="14"/>
      <c r="K803" s="14"/>
    </row>
    <row r="804">
      <c r="C804" s="58"/>
      <c r="D804" s="54"/>
      <c r="J804" s="14"/>
      <c r="K804" s="14"/>
    </row>
    <row r="805">
      <c r="C805" s="58"/>
      <c r="D805" s="54"/>
      <c r="J805" s="14"/>
      <c r="K805" s="14"/>
    </row>
    <row r="806">
      <c r="C806" s="58"/>
      <c r="D806" s="54"/>
      <c r="J806" s="14"/>
      <c r="K806" s="14"/>
    </row>
    <row r="807">
      <c r="C807" s="58"/>
      <c r="D807" s="54"/>
      <c r="J807" s="14"/>
      <c r="K807" s="14"/>
    </row>
    <row r="808">
      <c r="C808" s="58"/>
      <c r="D808" s="54"/>
      <c r="J808" s="14"/>
      <c r="K808" s="14"/>
    </row>
    <row r="809">
      <c r="C809" s="58"/>
      <c r="D809" s="54"/>
      <c r="J809" s="14"/>
      <c r="K809" s="14"/>
    </row>
    <row r="810">
      <c r="C810" s="58"/>
      <c r="D810" s="54"/>
      <c r="J810" s="14"/>
      <c r="K810" s="14"/>
    </row>
    <row r="811">
      <c r="C811" s="58"/>
      <c r="D811" s="54"/>
      <c r="J811" s="14"/>
      <c r="K811" s="14"/>
    </row>
    <row r="812">
      <c r="C812" s="58"/>
      <c r="D812" s="54"/>
      <c r="J812" s="14"/>
      <c r="K812" s="14"/>
    </row>
    <row r="813">
      <c r="C813" s="58"/>
      <c r="D813" s="54"/>
      <c r="J813" s="14"/>
      <c r="K813" s="14"/>
    </row>
    <row r="814">
      <c r="C814" s="58"/>
      <c r="D814" s="54"/>
      <c r="J814" s="14"/>
      <c r="K814" s="14"/>
    </row>
    <row r="815">
      <c r="C815" s="58"/>
      <c r="D815" s="54"/>
      <c r="J815" s="14"/>
      <c r="K815" s="14"/>
    </row>
    <row r="816">
      <c r="C816" s="58"/>
      <c r="D816" s="54"/>
      <c r="J816" s="14"/>
      <c r="K816" s="14"/>
    </row>
    <row r="817">
      <c r="C817" s="58"/>
      <c r="D817" s="54"/>
      <c r="J817" s="14"/>
      <c r="K817" s="14"/>
    </row>
    <row r="818">
      <c r="C818" s="58"/>
      <c r="D818" s="54"/>
      <c r="J818" s="14"/>
      <c r="K818" s="14"/>
    </row>
    <row r="819">
      <c r="C819" s="58"/>
      <c r="D819" s="54"/>
      <c r="J819" s="14"/>
      <c r="K819" s="14"/>
    </row>
    <row r="820">
      <c r="C820" s="58"/>
      <c r="D820" s="54"/>
      <c r="J820" s="14"/>
      <c r="K820" s="14"/>
    </row>
    <row r="821">
      <c r="C821" s="58"/>
      <c r="D821" s="54"/>
      <c r="J821" s="14"/>
      <c r="K821" s="14"/>
    </row>
    <row r="822">
      <c r="C822" s="58"/>
      <c r="D822" s="54"/>
      <c r="J822" s="14"/>
      <c r="K822" s="14"/>
    </row>
    <row r="823">
      <c r="C823" s="58"/>
      <c r="D823" s="54"/>
      <c r="J823" s="14"/>
      <c r="K823" s="14"/>
    </row>
    <row r="824">
      <c r="C824" s="58"/>
      <c r="D824" s="54"/>
      <c r="J824" s="14"/>
      <c r="K824" s="14"/>
    </row>
    <row r="825">
      <c r="C825" s="58"/>
      <c r="D825" s="54"/>
      <c r="J825" s="14"/>
      <c r="K825" s="14"/>
    </row>
    <row r="826">
      <c r="C826" s="58"/>
      <c r="D826" s="54"/>
      <c r="J826" s="14"/>
      <c r="K826" s="14"/>
    </row>
    <row r="827">
      <c r="C827" s="58"/>
      <c r="D827" s="54"/>
      <c r="J827" s="14"/>
      <c r="K827" s="14"/>
    </row>
    <row r="828">
      <c r="C828" s="58"/>
      <c r="D828" s="54"/>
      <c r="J828" s="14"/>
      <c r="K828" s="14"/>
    </row>
    <row r="829">
      <c r="C829" s="58"/>
      <c r="D829" s="54"/>
      <c r="J829" s="14"/>
      <c r="K829" s="14"/>
    </row>
    <row r="830">
      <c r="C830" s="58"/>
      <c r="D830" s="54"/>
      <c r="J830" s="14"/>
      <c r="K830" s="14"/>
    </row>
    <row r="831">
      <c r="C831" s="58"/>
      <c r="D831" s="54"/>
      <c r="J831" s="14"/>
      <c r="K831" s="14"/>
    </row>
    <row r="832">
      <c r="C832" s="58"/>
      <c r="D832" s="54"/>
      <c r="J832" s="14"/>
      <c r="K832" s="14"/>
    </row>
    <row r="833">
      <c r="C833" s="58"/>
      <c r="D833" s="54"/>
      <c r="J833" s="14"/>
      <c r="K833" s="14"/>
    </row>
    <row r="834">
      <c r="C834" s="58"/>
      <c r="D834" s="54"/>
      <c r="J834" s="14"/>
      <c r="K834" s="14"/>
    </row>
    <row r="835">
      <c r="C835" s="58"/>
      <c r="D835" s="54"/>
      <c r="J835" s="14"/>
      <c r="K835" s="14"/>
    </row>
    <row r="836">
      <c r="C836" s="58"/>
      <c r="D836" s="54"/>
      <c r="J836" s="14"/>
      <c r="K836" s="14"/>
    </row>
    <row r="837">
      <c r="C837" s="58"/>
      <c r="D837" s="54"/>
      <c r="J837" s="14"/>
      <c r="K837" s="14"/>
    </row>
    <row r="838">
      <c r="C838" s="58"/>
      <c r="D838" s="54"/>
      <c r="J838" s="14"/>
      <c r="K838" s="14"/>
    </row>
    <row r="839">
      <c r="C839" s="58"/>
      <c r="D839" s="54"/>
      <c r="J839" s="14"/>
      <c r="K839" s="14"/>
    </row>
    <row r="840">
      <c r="C840" s="58"/>
      <c r="D840" s="54"/>
      <c r="J840" s="14"/>
      <c r="K840" s="14"/>
    </row>
    <row r="841">
      <c r="C841" s="58"/>
      <c r="D841" s="54"/>
      <c r="J841" s="14"/>
      <c r="K841" s="14"/>
    </row>
    <row r="842">
      <c r="C842" s="58"/>
      <c r="D842" s="54"/>
      <c r="J842" s="14"/>
      <c r="K842" s="14"/>
    </row>
    <row r="843">
      <c r="C843" s="58"/>
      <c r="D843" s="54"/>
      <c r="J843" s="14"/>
      <c r="K843" s="14"/>
    </row>
    <row r="844">
      <c r="C844" s="58"/>
      <c r="D844" s="54"/>
      <c r="J844" s="14"/>
      <c r="K844" s="14"/>
    </row>
    <row r="845">
      <c r="C845" s="58"/>
      <c r="D845" s="54"/>
      <c r="J845" s="14"/>
      <c r="K845" s="14"/>
    </row>
    <row r="846">
      <c r="C846" s="58"/>
      <c r="D846" s="54"/>
      <c r="J846" s="14"/>
      <c r="K846" s="14"/>
    </row>
    <row r="847">
      <c r="C847" s="58"/>
      <c r="D847" s="54"/>
      <c r="J847" s="14"/>
      <c r="K847" s="14"/>
    </row>
    <row r="848">
      <c r="C848" s="58"/>
      <c r="D848" s="54"/>
      <c r="J848" s="14"/>
      <c r="K848" s="14"/>
    </row>
    <row r="849">
      <c r="C849" s="58"/>
      <c r="D849" s="54"/>
      <c r="J849" s="14"/>
      <c r="K849" s="14"/>
    </row>
    <row r="850">
      <c r="C850" s="58"/>
      <c r="D850" s="54"/>
      <c r="J850" s="14"/>
      <c r="K850" s="14"/>
    </row>
    <row r="851">
      <c r="C851" s="58"/>
      <c r="D851" s="54"/>
      <c r="J851" s="14"/>
      <c r="K851" s="14"/>
    </row>
    <row r="852">
      <c r="C852" s="58"/>
      <c r="D852" s="54"/>
      <c r="J852" s="14"/>
      <c r="K852" s="14"/>
    </row>
    <row r="853">
      <c r="C853" s="58"/>
      <c r="D853" s="54"/>
      <c r="J853" s="14"/>
      <c r="K853" s="14"/>
    </row>
    <row r="854">
      <c r="C854" s="58"/>
      <c r="D854" s="54"/>
      <c r="J854" s="14"/>
      <c r="K854" s="14"/>
    </row>
    <row r="855">
      <c r="C855" s="58"/>
      <c r="D855" s="54"/>
      <c r="J855" s="14"/>
      <c r="K855" s="14"/>
    </row>
    <row r="856">
      <c r="C856" s="58"/>
      <c r="D856" s="54"/>
      <c r="J856" s="14"/>
      <c r="K856" s="14"/>
    </row>
    <row r="857">
      <c r="C857" s="58"/>
      <c r="D857" s="54"/>
      <c r="J857" s="14"/>
      <c r="K857" s="14"/>
    </row>
    <row r="858">
      <c r="C858" s="58"/>
      <c r="D858" s="54"/>
      <c r="J858" s="14"/>
      <c r="K858" s="14"/>
    </row>
    <row r="859">
      <c r="C859" s="58"/>
      <c r="D859" s="54"/>
      <c r="J859" s="14"/>
      <c r="K859" s="14"/>
    </row>
    <row r="860">
      <c r="C860" s="58"/>
      <c r="D860" s="54"/>
      <c r="J860" s="14"/>
      <c r="K860" s="14"/>
    </row>
    <row r="861">
      <c r="C861" s="58"/>
      <c r="D861" s="54"/>
      <c r="J861" s="14"/>
      <c r="K861" s="14"/>
    </row>
    <row r="862">
      <c r="C862" s="58"/>
      <c r="D862" s="54"/>
      <c r="J862" s="14"/>
      <c r="K862" s="14"/>
    </row>
    <row r="863">
      <c r="C863" s="58"/>
      <c r="D863" s="54"/>
      <c r="J863" s="14"/>
      <c r="K863" s="14"/>
    </row>
    <row r="864">
      <c r="C864" s="58"/>
      <c r="D864" s="54"/>
      <c r="J864" s="14"/>
      <c r="K864" s="14"/>
    </row>
    <row r="865">
      <c r="C865" s="58"/>
      <c r="D865" s="54"/>
      <c r="J865" s="14"/>
      <c r="K865" s="14"/>
    </row>
    <row r="866">
      <c r="C866" s="58"/>
      <c r="D866" s="54"/>
      <c r="J866" s="14"/>
      <c r="K866" s="14"/>
    </row>
    <row r="867">
      <c r="C867" s="58"/>
      <c r="D867" s="54"/>
      <c r="J867" s="14"/>
      <c r="K867" s="14"/>
    </row>
    <row r="868">
      <c r="C868" s="58"/>
      <c r="D868" s="54"/>
      <c r="J868" s="14"/>
      <c r="K868" s="14"/>
    </row>
    <row r="869">
      <c r="C869" s="58"/>
      <c r="D869" s="54"/>
      <c r="J869" s="14"/>
      <c r="K869" s="14"/>
    </row>
    <row r="870">
      <c r="C870" s="58"/>
      <c r="D870" s="54"/>
      <c r="J870" s="14"/>
      <c r="K870" s="14"/>
    </row>
    <row r="871">
      <c r="C871" s="58"/>
      <c r="D871" s="54"/>
      <c r="J871" s="14"/>
      <c r="K871" s="14"/>
    </row>
    <row r="872">
      <c r="C872" s="58"/>
      <c r="D872" s="54"/>
      <c r="J872" s="14"/>
      <c r="K872" s="14"/>
    </row>
    <row r="873">
      <c r="C873" s="58"/>
      <c r="D873" s="54"/>
      <c r="J873" s="14"/>
      <c r="K873" s="14"/>
    </row>
    <row r="874">
      <c r="C874" s="58"/>
      <c r="D874" s="54"/>
      <c r="J874" s="14"/>
      <c r="K874" s="14"/>
    </row>
    <row r="875">
      <c r="C875" s="58"/>
      <c r="D875" s="54"/>
      <c r="J875" s="14"/>
      <c r="K875" s="14"/>
    </row>
    <row r="876">
      <c r="C876" s="58"/>
      <c r="D876" s="54"/>
      <c r="J876" s="14"/>
      <c r="K876" s="14"/>
    </row>
    <row r="877">
      <c r="C877" s="58"/>
      <c r="D877" s="54"/>
      <c r="J877" s="14"/>
      <c r="K877" s="14"/>
    </row>
    <row r="878">
      <c r="C878" s="58"/>
      <c r="D878" s="54"/>
      <c r="J878" s="14"/>
      <c r="K878" s="14"/>
    </row>
    <row r="879">
      <c r="C879" s="58"/>
      <c r="D879" s="54"/>
      <c r="J879" s="14"/>
      <c r="K879" s="14"/>
    </row>
    <row r="880">
      <c r="C880" s="58"/>
      <c r="D880" s="54"/>
      <c r="J880" s="14"/>
      <c r="K880" s="14"/>
    </row>
    <row r="881">
      <c r="C881" s="58"/>
      <c r="D881" s="54"/>
      <c r="J881" s="14"/>
      <c r="K881" s="14"/>
    </row>
    <row r="882">
      <c r="C882" s="58"/>
      <c r="D882" s="54"/>
      <c r="J882" s="14"/>
      <c r="K882" s="14"/>
    </row>
    <row r="883">
      <c r="C883" s="58"/>
      <c r="D883" s="54"/>
      <c r="J883" s="14"/>
      <c r="K883" s="14"/>
    </row>
    <row r="884">
      <c r="C884" s="58"/>
      <c r="D884" s="54"/>
      <c r="J884" s="14"/>
      <c r="K884" s="14"/>
    </row>
    <row r="885">
      <c r="C885" s="58"/>
      <c r="D885" s="54"/>
      <c r="J885" s="14"/>
      <c r="K885" s="14"/>
    </row>
    <row r="886">
      <c r="C886" s="58"/>
      <c r="D886" s="54"/>
      <c r="J886" s="14"/>
      <c r="K886" s="14"/>
    </row>
    <row r="887">
      <c r="C887" s="58"/>
      <c r="D887" s="54"/>
      <c r="J887" s="14"/>
      <c r="K887" s="14"/>
    </row>
    <row r="888">
      <c r="C888" s="58"/>
      <c r="D888" s="54"/>
      <c r="J888" s="14"/>
      <c r="K888" s="14"/>
    </row>
    <row r="889">
      <c r="C889" s="58"/>
      <c r="D889" s="54"/>
      <c r="J889" s="14"/>
      <c r="K889" s="14"/>
    </row>
    <row r="890">
      <c r="C890" s="58"/>
      <c r="D890" s="54"/>
      <c r="J890" s="14"/>
      <c r="K890" s="14"/>
    </row>
    <row r="891">
      <c r="C891" s="58"/>
      <c r="D891" s="54"/>
      <c r="J891" s="14"/>
      <c r="K891" s="14"/>
    </row>
    <row r="892">
      <c r="C892" s="58"/>
      <c r="D892" s="54"/>
      <c r="J892" s="14"/>
      <c r="K892" s="14"/>
    </row>
    <row r="893">
      <c r="C893" s="58"/>
      <c r="D893" s="54"/>
      <c r="J893" s="14"/>
      <c r="K893" s="14"/>
    </row>
    <row r="894">
      <c r="C894" s="58"/>
      <c r="D894" s="54"/>
      <c r="J894" s="14"/>
      <c r="K894" s="14"/>
    </row>
    <row r="895">
      <c r="C895" s="58"/>
      <c r="D895" s="54"/>
      <c r="J895" s="14"/>
      <c r="K895" s="14"/>
    </row>
    <row r="896">
      <c r="C896" s="58"/>
      <c r="D896" s="54"/>
      <c r="J896" s="14"/>
      <c r="K896" s="14"/>
    </row>
    <row r="897">
      <c r="C897" s="58"/>
      <c r="D897" s="54"/>
      <c r="J897" s="14"/>
      <c r="K897" s="14"/>
    </row>
    <row r="898">
      <c r="C898" s="58"/>
      <c r="D898" s="54"/>
      <c r="J898" s="14"/>
      <c r="K898" s="14"/>
    </row>
    <row r="899">
      <c r="C899" s="58"/>
      <c r="D899" s="54"/>
      <c r="J899" s="14"/>
      <c r="K899" s="14"/>
    </row>
    <row r="900">
      <c r="C900" s="58"/>
      <c r="D900" s="54"/>
      <c r="J900" s="14"/>
      <c r="K900" s="14"/>
    </row>
    <row r="901">
      <c r="C901" s="58"/>
      <c r="D901" s="54"/>
      <c r="J901" s="14"/>
      <c r="K901" s="14"/>
    </row>
    <row r="902">
      <c r="C902" s="58"/>
      <c r="D902" s="54"/>
      <c r="J902" s="14"/>
      <c r="K902" s="14"/>
    </row>
    <row r="903">
      <c r="C903" s="58"/>
      <c r="D903" s="54"/>
      <c r="J903" s="14"/>
      <c r="K903" s="14"/>
    </row>
    <row r="904">
      <c r="C904" s="58"/>
      <c r="D904" s="54"/>
      <c r="J904" s="14"/>
      <c r="K904" s="14"/>
    </row>
    <row r="905">
      <c r="C905" s="58"/>
      <c r="D905" s="54"/>
      <c r="J905" s="14"/>
      <c r="K905" s="14"/>
    </row>
    <row r="906">
      <c r="C906" s="58"/>
      <c r="D906" s="54"/>
      <c r="J906" s="14"/>
      <c r="K906" s="14"/>
    </row>
    <row r="907">
      <c r="C907" s="58"/>
      <c r="D907" s="54"/>
      <c r="J907" s="14"/>
      <c r="K907" s="14"/>
    </row>
    <row r="908">
      <c r="C908" s="58"/>
      <c r="D908" s="54"/>
      <c r="J908" s="14"/>
      <c r="K908" s="14"/>
    </row>
    <row r="909">
      <c r="C909" s="58"/>
      <c r="D909" s="54"/>
      <c r="J909" s="14"/>
      <c r="K909" s="14"/>
    </row>
    <row r="910">
      <c r="C910" s="58"/>
      <c r="D910" s="54"/>
      <c r="J910" s="14"/>
      <c r="K910" s="14"/>
    </row>
    <row r="911">
      <c r="C911" s="58"/>
      <c r="D911" s="54"/>
      <c r="J911" s="14"/>
      <c r="K911" s="14"/>
    </row>
    <row r="912">
      <c r="C912" s="58"/>
      <c r="D912" s="54"/>
      <c r="J912" s="14"/>
      <c r="K912" s="14"/>
    </row>
    <row r="913">
      <c r="C913" s="58"/>
      <c r="D913" s="54"/>
      <c r="J913" s="14"/>
      <c r="K913" s="14"/>
    </row>
    <row r="914">
      <c r="C914" s="58"/>
      <c r="D914" s="54"/>
      <c r="J914" s="14"/>
      <c r="K914" s="14"/>
    </row>
    <row r="915">
      <c r="C915" s="58"/>
      <c r="D915" s="54"/>
      <c r="J915" s="14"/>
      <c r="K915" s="14"/>
    </row>
    <row r="916">
      <c r="C916" s="58"/>
      <c r="D916" s="54"/>
      <c r="J916" s="14"/>
      <c r="K916" s="14"/>
    </row>
    <row r="917">
      <c r="C917" s="58"/>
      <c r="D917" s="54"/>
      <c r="J917" s="14"/>
      <c r="K917" s="14"/>
    </row>
    <row r="918">
      <c r="C918" s="58"/>
      <c r="D918" s="54"/>
      <c r="J918" s="14"/>
      <c r="K918" s="14"/>
    </row>
    <row r="919">
      <c r="C919" s="58"/>
      <c r="D919" s="54"/>
      <c r="J919" s="14"/>
      <c r="K919" s="14"/>
    </row>
    <row r="920">
      <c r="C920" s="58"/>
      <c r="D920" s="54"/>
      <c r="J920" s="14"/>
      <c r="K920" s="14"/>
    </row>
    <row r="921">
      <c r="C921" s="58"/>
      <c r="D921" s="54"/>
      <c r="J921" s="14"/>
      <c r="K921" s="14"/>
    </row>
    <row r="922">
      <c r="C922" s="58"/>
      <c r="D922" s="54"/>
      <c r="J922" s="14"/>
      <c r="K922" s="14"/>
    </row>
    <row r="923">
      <c r="C923" s="58"/>
      <c r="D923" s="54"/>
      <c r="J923" s="14"/>
      <c r="K923" s="14"/>
    </row>
    <row r="924">
      <c r="C924" s="58"/>
      <c r="D924" s="54"/>
      <c r="J924" s="14"/>
      <c r="K924" s="14"/>
    </row>
    <row r="925">
      <c r="C925" s="58"/>
      <c r="D925" s="54"/>
      <c r="J925" s="14"/>
      <c r="K925" s="14"/>
    </row>
    <row r="926">
      <c r="C926" s="58"/>
      <c r="D926" s="54"/>
      <c r="J926" s="14"/>
      <c r="K926" s="14"/>
    </row>
    <row r="927">
      <c r="C927" s="58"/>
      <c r="D927" s="54"/>
      <c r="J927" s="14"/>
      <c r="K927" s="14"/>
    </row>
    <row r="928">
      <c r="C928" s="58"/>
      <c r="D928" s="54"/>
      <c r="J928" s="14"/>
      <c r="K928" s="14"/>
    </row>
    <row r="929">
      <c r="C929" s="58"/>
      <c r="D929" s="54"/>
      <c r="J929" s="14"/>
      <c r="K929" s="14"/>
    </row>
    <row r="930">
      <c r="C930" s="58"/>
      <c r="D930" s="54"/>
      <c r="J930" s="14"/>
      <c r="K930" s="14"/>
    </row>
    <row r="931">
      <c r="C931" s="58"/>
      <c r="D931" s="54"/>
      <c r="J931" s="14"/>
      <c r="K931" s="14"/>
    </row>
    <row r="932">
      <c r="C932" s="58"/>
      <c r="D932" s="54"/>
      <c r="J932" s="14"/>
      <c r="K932" s="14"/>
    </row>
    <row r="933">
      <c r="C933" s="58"/>
      <c r="D933" s="54"/>
      <c r="J933" s="14"/>
      <c r="K933" s="14"/>
    </row>
    <row r="934">
      <c r="C934" s="58"/>
      <c r="D934" s="54"/>
      <c r="J934" s="14"/>
      <c r="K934" s="14"/>
    </row>
    <row r="935">
      <c r="C935" s="58"/>
      <c r="D935" s="54"/>
      <c r="J935" s="14"/>
      <c r="K935" s="14"/>
    </row>
    <row r="936">
      <c r="C936" s="58"/>
      <c r="D936" s="54"/>
      <c r="J936" s="14"/>
      <c r="K936" s="14"/>
    </row>
    <row r="937">
      <c r="C937" s="58"/>
      <c r="D937" s="54"/>
      <c r="J937" s="14"/>
      <c r="K937" s="14"/>
    </row>
    <row r="938">
      <c r="C938" s="58"/>
      <c r="D938" s="54"/>
      <c r="J938" s="14"/>
      <c r="K938" s="14"/>
    </row>
    <row r="939">
      <c r="C939" s="58"/>
      <c r="D939" s="54"/>
      <c r="J939" s="14"/>
      <c r="K939" s="14"/>
    </row>
    <row r="940">
      <c r="C940" s="58"/>
      <c r="D940" s="54"/>
      <c r="J940" s="14"/>
      <c r="K940" s="14"/>
    </row>
    <row r="941">
      <c r="C941" s="58"/>
      <c r="D941" s="54"/>
      <c r="J941" s="14"/>
      <c r="K941" s="14"/>
    </row>
    <row r="942">
      <c r="C942" s="58"/>
      <c r="D942" s="54"/>
      <c r="J942" s="14"/>
      <c r="K942" s="14"/>
    </row>
    <row r="943">
      <c r="C943" s="58"/>
      <c r="D943" s="54"/>
      <c r="J943" s="14"/>
      <c r="K943" s="14"/>
    </row>
    <row r="944">
      <c r="C944" s="58"/>
      <c r="D944" s="54"/>
      <c r="J944" s="14"/>
      <c r="K944" s="14"/>
    </row>
    <row r="945">
      <c r="C945" s="58"/>
      <c r="D945" s="54"/>
      <c r="J945" s="14"/>
      <c r="K945" s="14"/>
    </row>
    <row r="946">
      <c r="C946" s="58"/>
      <c r="D946" s="54"/>
      <c r="J946" s="14"/>
      <c r="K946" s="14"/>
    </row>
    <row r="947">
      <c r="C947" s="58"/>
      <c r="D947" s="54"/>
      <c r="J947" s="14"/>
      <c r="K947" s="14"/>
    </row>
    <row r="948">
      <c r="C948" s="58"/>
      <c r="D948" s="54"/>
      <c r="J948" s="14"/>
      <c r="K948" s="14"/>
    </row>
    <row r="949">
      <c r="C949" s="58"/>
      <c r="D949" s="54"/>
      <c r="J949" s="14"/>
      <c r="K949" s="14"/>
    </row>
    <row r="950">
      <c r="C950" s="58"/>
      <c r="D950" s="54"/>
      <c r="J950" s="14"/>
      <c r="K950" s="14"/>
    </row>
    <row r="951">
      <c r="C951" s="58"/>
      <c r="D951" s="54"/>
      <c r="J951" s="14"/>
      <c r="K951" s="14"/>
    </row>
    <row r="952">
      <c r="C952" s="58"/>
      <c r="D952" s="54"/>
      <c r="J952" s="14"/>
      <c r="K952" s="14"/>
    </row>
    <row r="953">
      <c r="C953" s="58"/>
      <c r="D953" s="54"/>
      <c r="J953" s="14"/>
      <c r="K953" s="14"/>
    </row>
    <row r="954">
      <c r="C954" s="58"/>
      <c r="D954" s="54"/>
      <c r="J954" s="14"/>
      <c r="K954" s="14"/>
    </row>
    <row r="955">
      <c r="C955" s="58"/>
      <c r="D955" s="54"/>
      <c r="J955" s="14"/>
      <c r="K955" s="14"/>
    </row>
    <row r="956">
      <c r="C956" s="58"/>
      <c r="D956" s="54"/>
      <c r="J956" s="14"/>
      <c r="K956" s="14"/>
    </row>
    <row r="957">
      <c r="C957" s="58"/>
      <c r="D957" s="54"/>
      <c r="J957" s="14"/>
      <c r="K957" s="14"/>
    </row>
    <row r="958">
      <c r="C958" s="58"/>
      <c r="D958" s="54"/>
      <c r="J958" s="14"/>
      <c r="K958" s="14"/>
    </row>
    <row r="959">
      <c r="C959" s="58"/>
      <c r="D959" s="54"/>
      <c r="J959" s="14"/>
      <c r="K959" s="14"/>
    </row>
    <row r="960">
      <c r="C960" s="58"/>
      <c r="D960" s="54"/>
      <c r="J960" s="14"/>
      <c r="K960" s="14"/>
    </row>
    <row r="961">
      <c r="C961" s="58"/>
      <c r="D961" s="54"/>
      <c r="J961" s="14"/>
      <c r="K961" s="14"/>
    </row>
    <row r="962">
      <c r="C962" s="58"/>
      <c r="D962" s="54"/>
      <c r="J962" s="14"/>
      <c r="K962" s="14"/>
    </row>
    <row r="963">
      <c r="C963" s="58"/>
      <c r="D963" s="54"/>
      <c r="J963" s="14"/>
      <c r="K963" s="14"/>
    </row>
    <row r="964">
      <c r="C964" s="58"/>
      <c r="D964" s="54"/>
      <c r="J964" s="14"/>
      <c r="K964" s="14"/>
    </row>
    <row r="965">
      <c r="C965" s="58"/>
      <c r="D965" s="54"/>
      <c r="J965" s="14"/>
      <c r="K965" s="14"/>
    </row>
    <row r="966">
      <c r="C966" s="58"/>
      <c r="D966" s="54"/>
      <c r="J966" s="14"/>
      <c r="K966" s="14"/>
    </row>
    <row r="967">
      <c r="C967" s="58"/>
      <c r="D967" s="54"/>
      <c r="J967" s="14"/>
      <c r="K967" s="14"/>
    </row>
    <row r="968">
      <c r="C968" s="58"/>
      <c r="D968" s="54"/>
      <c r="J968" s="14"/>
      <c r="K968" s="14"/>
    </row>
    <row r="969">
      <c r="C969" s="58"/>
      <c r="D969" s="54"/>
      <c r="J969" s="14"/>
      <c r="K969" s="14"/>
    </row>
    <row r="970">
      <c r="C970" s="58"/>
      <c r="D970" s="54"/>
      <c r="J970" s="14"/>
      <c r="K970" s="14"/>
    </row>
    <row r="971">
      <c r="C971" s="58"/>
      <c r="D971" s="54"/>
      <c r="J971" s="14"/>
      <c r="K971" s="14"/>
    </row>
    <row r="972">
      <c r="C972" s="58"/>
      <c r="D972" s="54"/>
      <c r="J972" s="14"/>
      <c r="K972" s="14"/>
    </row>
    <row r="973">
      <c r="C973" s="58"/>
      <c r="D973" s="54"/>
      <c r="J973" s="14"/>
      <c r="K973" s="14"/>
    </row>
    <row r="974">
      <c r="C974" s="58"/>
      <c r="D974" s="54"/>
      <c r="J974" s="14"/>
      <c r="K974" s="14"/>
    </row>
    <row r="975">
      <c r="C975" s="58"/>
      <c r="D975" s="54"/>
      <c r="J975" s="14"/>
      <c r="K975" s="14"/>
    </row>
    <row r="976">
      <c r="C976" s="58"/>
      <c r="D976" s="54"/>
      <c r="J976" s="14"/>
      <c r="K976" s="14"/>
    </row>
    <row r="977">
      <c r="C977" s="58"/>
      <c r="D977" s="54"/>
      <c r="J977" s="14"/>
      <c r="K977" s="14"/>
    </row>
    <row r="978">
      <c r="C978" s="58"/>
      <c r="D978" s="54"/>
      <c r="J978" s="14"/>
      <c r="K978" s="14"/>
    </row>
    <row r="979">
      <c r="C979" s="58"/>
      <c r="D979" s="54"/>
      <c r="J979" s="14"/>
      <c r="K979" s="14"/>
    </row>
    <row r="980">
      <c r="C980" s="58"/>
      <c r="D980" s="54"/>
      <c r="J980" s="14"/>
      <c r="K980" s="14"/>
    </row>
    <row r="981">
      <c r="C981" s="58"/>
      <c r="D981" s="54"/>
      <c r="J981" s="14"/>
      <c r="K981" s="14"/>
    </row>
    <row r="982">
      <c r="C982" s="58"/>
      <c r="D982" s="54"/>
      <c r="J982" s="14"/>
      <c r="K982" s="14"/>
    </row>
    <row r="983">
      <c r="C983" s="58"/>
      <c r="D983" s="54"/>
      <c r="J983" s="14"/>
      <c r="K983" s="14"/>
    </row>
    <row r="984">
      <c r="C984" s="58"/>
      <c r="D984" s="54"/>
      <c r="J984" s="14"/>
      <c r="K984" s="14"/>
    </row>
    <row r="985">
      <c r="C985" s="58"/>
      <c r="D985" s="54"/>
      <c r="J985" s="14"/>
      <c r="K985" s="14"/>
    </row>
    <row r="986">
      <c r="C986" s="58"/>
      <c r="D986" s="54"/>
      <c r="J986" s="14"/>
      <c r="K986" s="14"/>
    </row>
    <row r="987">
      <c r="C987" s="58"/>
      <c r="D987" s="54"/>
      <c r="J987" s="14"/>
      <c r="K987" s="14"/>
    </row>
    <row r="988">
      <c r="C988" s="58"/>
      <c r="D988" s="54"/>
      <c r="J988" s="14"/>
      <c r="K988" s="14"/>
    </row>
    <row r="989">
      <c r="C989" s="58"/>
      <c r="D989" s="54"/>
      <c r="J989" s="14"/>
      <c r="K989" s="14"/>
    </row>
    <row r="990">
      <c r="C990" s="58"/>
      <c r="D990" s="54"/>
      <c r="J990" s="14"/>
      <c r="K990" s="14"/>
    </row>
    <row r="991">
      <c r="C991" s="58"/>
      <c r="D991" s="54"/>
      <c r="J991" s="14"/>
      <c r="K991" s="14"/>
    </row>
    <row r="992">
      <c r="C992" s="58"/>
      <c r="D992" s="54"/>
      <c r="J992" s="14"/>
      <c r="K992" s="14"/>
    </row>
    <row r="993">
      <c r="C993" s="58"/>
      <c r="D993" s="54"/>
      <c r="J993" s="14"/>
      <c r="K993" s="14"/>
    </row>
    <row r="994">
      <c r="C994" s="58"/>
      <c r="D994" s="54"/>
      <c r="J994" s="14"/>
      <c r="K994" s="14"/>
    </row>
    <row r="995">
      <c r="C995" s="58"/>
      <c r="D995" s="54"/>
      <c r="J995" s="14"/>
      <c r="K995" s="14"/>
    </row>
    <row r="996">
      <c r="C996" s="58"/>
      <c r="D996" s="54"/>
      <c r="J996" s="14"/>
      <c r="K996" s="14"/>
    </row>
    <row r="997">
      <c r="C997" s="58"/>
      <c r="D997" s="54"/>
      <c r="J997" s="14"/>
      <c r="K997" s="14"/>
    </row>
    <row r="998">
      <c r="C998" s="58"/>
      <c r="D998" s="54"/>
      <c r="J998" s="14"/>
      <c r="K998" s="14"/>
    </row>
  </sheetData>
  <mergeCells count="1"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5.13"/>
    <col customWidth="1" min="4" max="4" width="25.63"/>
  </cols>
  <sheetData>
    <row r="1">
      <c r="A1" s="20" t="s">
        <v>0</v>
      </c>
      <c r="B1" s="20" t="s">
        <v>1</v>
      </c>
      <c r="C1" s="59" t="s">
        <v>2</v>
      </c>
      <c r="D1" s="59" t="s">
        <v>4</v>
      </c>
      <c r="E1" s="20" t="s">
        <v>5</v>
      </c>
      <c r="J1" s="7" t="s">
        <v>6</v>
      </c>
    </row>
    <row r="2">
      <c r="A2" s="20">
        <v>1.0</v>
      </c>
      <c r="B2" s="20" t="s">
        <v>1636</v>
      </c>
      <c r="C2" s="60"/>
      <c r="D2" s="59" t="s">
        <v>1637</v>
      </c>
      <c r="J2" s="14" t="str">
        <f>IFERROR(__xludf.DUMMYFUNCTION("FILTER(B2:B989, E2:E989&lt;&gt;""✅"")"),"ああ")</f>
        <v>ああ</v>
      </c>
      <c r="K2" s="14" t="str">
        <f>IFERROR(__xludf.DUMMYFUNCTION("FILTER(C2:C989, E2:E989&lt;&gt;""✅"")"),"")</f>
        <v/>
      </c>
      <c r="L2" s="14" t="str">
        <f>IFERROR(__xludf.DUMMYFUNCTION("FILTER(D2:D989, E2:E989&lt;&gt;""✅"")"),"ah; yes")</f>
        <v>ah; yes</v>
      </c>
    </row>
    <row r="3">
      <c r="A3" s="20">
        <v>2.0</v>
      </c>
      <c r="B3" s="20" t="s">
        <v>1638</v>
      </c>
      <c r="C3" s="59" t="s">
        <v>1639</v>
      </c>
      <c r="D3" s="59" t="s">
        <v>1640</v>
      </c>
      <c r="G3" s="20" t="s">
        <v>14</v>
      </c>
      <c r="J3" s="14" t="str">
        <f>IFERROR(__xludf.DUMMYFUNCTION("""COMPUTED_VALUE"""),"間に")</f>
        <v>間に</v>
      </c>
      <c r="K3" s="14" t="str">
        <f>IFERROR(__xludf.DUMMYFUNCTION("""COMPUTED_VALUE"""),"あいだに")</f>
        <v>あいだに</v>
      </c>
      <c r="L3" s="14" t="str">
        <f>IFERROR(__xludf.DUMMYFUNCTION("""COMPUTED_VALUE"""),"while; during (the time when)")</f>
        <v>while; during (the time when)</v>
      </c>
    </row>
    <row r="4">
      <c r="A4" s="20">
        <v>3.0</v>
      </c>
      <c r="B4" s="20" t="s">
        <v>1641</v>
      </c>
      <c r="C4" s="59"/>
      <c r="D4" s="59" t="s">
        <v>1642</v>
      </c>
      <c r="G4" s="20" t="s">
        <v>19</v>
      </c>
      <c r="H4" s="20">
        <f>COUNTIF(J3:J989, "&lt;&gt;")</f>
        <v>44</v>
      </c>
      <c r="J4" s="14" t="str">
        <f>IFERROR(__xludf.DUMMYFUNCTION("""COMPUTED_VALUE"""),"あまり～ない")</f>
        <v>あまり～ない</v>
      </c>
      <c r="K4" s="14"/>
      <c r="L4" s="14" t="str">
        <f>IFERROR(__xludf.DUMMYFUNCTION("""COMPUTED_VALUE"""),"not very, not much~")</f>
        <v>not very, not much~</v>
      </c>
    </row>
    <row r="5">
      <c r="A5" s="20">
        <v>4.0</v>
      </c>
      <c r="B5" s="20" t="s">
        <v>1643</v>
      </c>
      <c r="C5" s="59" t="s">
        <v>1644</v>
      </c>
      <c r="D5" s="59" t="s">
        <v>1645</v>
      </c>
      <c r="G5" s="20" t="s">
        <v>23</v>
      </c>
      <c r="H5" s="14">
        <f>COUNTIF(B2:B989, "&lt;&gt;")</f>
        <v>45</v>
      </c>
      <c r="J5" s="14" t="str">
        <f>IFERROR(__xludf.DUMMYFUNCTION("""COMPUTED_VALUE"""),"後で")</f>
        <v>後で</v>
      </c>
      <c r="K5" s="14" t="str">
        <f>IFERROR(__xludf.DUMMYFUNCTION("""COMPUTED_VALUE"""),"あとで")</f>
        <v>あとで</v>
      </c>
      <c r="L5" s="14" t="str">
        <f>IFERROR(__xludf.DUMMYFUNCTION("""COMPUTED_VALUE"""),"after~; later")</f>
        <v>after~; later</v>
      </c>
    </row>
    <row r="6">
      <c r="A6" s="20">
        <v>5.0</v>
      </c>
      <c r="B6" s="20" t="s">
        <v>1646</v>
      </c>
      <c r="C6" s="60"/>
      <c r="D6" s="59" t="s">
        <v>1647</v>
      </c>
      <c r="H6" s="14">
        <f>TRUNC((H4/H5)*100, 1)</f>
        <v>97.7</v>
      </c>
      <c r="J6" s="14" t="str">
        <f>IFERROR(__xludf.DUMMYFUNCTION("""COMPUTED_VALUE"""),"びっくり")</f>
        <v>びっくり</v>
      </c>
      <c r="K6" s="14"/>
      <c r="L6" s="14" t="str">
        <f>IFERROR(__xludf.DUMMYFUNCTION("""COMPUTED_VALUE"""),"to be surprised")</f>
        <v>to be surprised</v>
      </c>
    </row>
    <row r="7">
      <c r="A7" s="20">
        <v>6.0</v>
      </c>
      <c r="B7" s="20" t="s">
        <v>1648</v>
      </c>
      <c r="C7" s="59" t="s">
        <v>1649</v>
      </c>
      <c r="D7" s="59" t="s">
        <v>1650</v>
      </c>
      <c r="G7" s="20" t="s">
        <v>31</v>
      </c>
      <c r="H7" s="14">
        <f>100-H6</f>
        <v>2.3</v>
      </c>
      <c r="J7" s="14" t="str">
        <f>IFERROR(__xludf.DUMMYFUNCTION("""COMPUTED_VALUE"""),"大分")</f>
        <v>大分</v>
      </c>
      <c r="K7" s="14" t="str">
        <f>IFERROR(__xludf.DUMMYFUNCTION("""COMPUTED_VALUE"""),"だいぶ")</f>
        <v>だいぶ</v>
      </c>
      <c r="L7" s="14" t="str">
        <f>IFERROR(__xludf.DUMMYFUNCTION("""COMPUTED_VALUE"""),"considerably; greatly; a lot")</f>
        <v>considerably; greatly; a lot</v>
      </c>
    </row>
    <row r="8">
      <c r="A8" s="20">
        <v>7.0</v>
      </c>
      <c r="B8" s="20" t="s">
        <v>1651</v>
      </c>
      <c r="C8" s="60"/>
      <c r="D8" s="59" t="s">
        <v>1652</v>
      </c>
      <c r="G8" s="20" t="s">
        <v>35</v>
      </c>
      <c r="J8" s="14" t="str">
        <f>IFERROR(__xludf.DUMMYFUNCTION("""COMPUTED_VALUE"""),"できるだけ")</f>
        <v>できるだけ</v>
      </c>
      <c r="K8" s="14"/>
      <c r="L8" s="14" t="str">
        <f>IFERROR(__xludf.DUMMYFUNCTION("""COMPUTED_VALUE"""),"as much as possible")</f>
        <v>as much as possible</v>
      </c>
    </row>
    <row r="9">
      <c r="A9" s="20">
        <v>8.0</v>
      </c>
      <c r="B9" s="20" t="s">
        <v>1653</v>
      </c>
      <c r="C9" s="60"/>
      <c r="D9" s="59" t="s">
        <v>1654</v>
      </c>
      <c r="J9" s="14" t="str">
        <f>IFERROR(__xludf.DUMMYFUNCTION("""COMPUTED_VALUE"""),"どんどん")</f>
        <v>どんどん</v>
      </c>
      <c r="K9" s="14"/>
      <c r="L9" s="14" t="str">
        <f>IFERROR(__xludf.DUMMYFUNCTION("""COMPUTED_VALUE"""),"rapidly; more and more")</f>
        <v>rapidly; more and more</v>
      </c>
    </row>
    <row r="10">
      <c r="A10" s="20">
        <v>9.0</v>
      </c>
      <c r="B10" s="20" t="s">
        <v>210</v>
      </c>
      <c r="C10" s="59" t="s">
        <v>211</v>
      </c>
      <c r="D10" s="59" t="s">
        <v>213</v>
      </c>
      <c r="J10" s="14" t="str">
        <f>IFERROR(__xludf.DUMMYFUNCTION("""COMPUTED_VALUE"""),"普通")</f>
        <v>普通</v>
      </c>
      <c r="K10" s="14" t="str">
        <f>IFERROR(__xludf.DUMMYFUNCTION("""COMPUTED_VALUE"""),"ふつう")</f>
        <v>ふつう</v>
      </c>
      <c r="L10" s="14" t="str">
        <f>IFERROR(__xludf.DUMMYFUNCTION("""COMPUTED_VALUE"""),"usually")</f>
        <v>usually</v>
      </c>
    </row>
    <row r="11">
      <c r="A11" s="20">
        <v>10.0</v>
      </c>
      <c r="B11" s="20" t="s">
        <v>1655</v>
      </c>
      <c r="C11" s="59"/>
      <c r="D11" s="59" t="s">
        <v>1656</v>
      </c>
      <c r="J11" s="14" t="str">
        <f>IFERROR(__xludf.DUMMYFUNCTION("""COMPUTED_VALUE"""),"はっきり")</f>
        <v>はっきり</v>
      </c>
      <c r="K11" s="14"/>
      <c r="L11" s="14" t="str">
        <f>IFERROR(__xludf.DUMMYFUNCTION("""COMPUTED_VALUE"""),"clearly")</f>
        <v>clearly</v>
      </c>
    </row>
    <row r="12">
      <c r="A12" s="20">
        <v>11.0</v>
      </c>
      <c r="B12" s="20" t="s">
        <v>1657</v>
      </c>
      <c r="C12" s="59" t="s">
        <v>1658</v>
      </c>
      <c r="D12" s="59" t="s">
        <v>1659</v>
      </c>
      <c r="J12" s="14" t="str">
        <f>IFERROR(__xludf.DUMMYFUNCTION("""COMPUTED_VALUE"""),"非常に")</f>
        <v>非常に</v>
      </c>
      <c r="K12" s="14" t="str">
        <f>IFERROR(__xludf.DUMMYFUNCTION("""COMPUTED_VALUE"""),"ひじょうに")</f>
        <v>ひじょうに</v>
      </c>
      <c r="L12" s="14" t="str">
        <f>IFERROR(__xludf.DUMMYFUNCTION("""COMPUTED_VALUE"""),"extremely")</f>
        <v>extremely</v>
      </c>
    </row>
    <row r="13">
      <c r="A13" s="20">
        <v>12.0</v>
      </c>
      <c r="B13" s="20" t="s">
        <v>382</v>
      </c>
      <c r="C13" s="60"/>
      <c r="D13" s="59" t="s">
        <v>384</v>
      </c>
      <c r="J13" s="14" t="str">
        <f>IFERROR(__xludf.DUMMYFUNCTION("""COMPUTED_VALUE"""),"いっぱい")</f>
        <v>いっぱい</v>
      </c>
      <c r="K13" s="14"/>
      <c r="L13" s="14" t="str">
        <f>IFERROR(__xludf.DUMMYFUNCTION("""COMPUTED_VALUE"""),"full")</f>
        <v>full</v>
      </c>
    </row>
    <row r="14">
      <c r="A14" s="20">
        <v>13.0</v>
      </c>
      <c r="B14" s="20" t="s">
        <v>448</v>
      </c>
      <c r="C14" s="59" t="s">
        <v>449</v>
      </c>
      <c r="D14" s="59" t="s">
        <v>451</v>
      </c>
      <c r="J14" s="14" t="str">
        <f>IFERROR(__xludf.DUMMYFUNCTION("""COMPUTED_VALUE"""),"十分")</f>
        <v>十分</v>
      </c>
      <c r="K14" s="14" t="str">
        <f>IFERROR(__xludf.DUMMYFUNCTION("""COMPUTED_VALUE"""),"じゅうぶん")</f>
        <v>じゅうぶん</v>
      </c>
      <c r="L14" s="14" t="str">
        <f>IFERROR(__xludf.DUMMYFUNCTION("""COMPUTED_VALUE"""),"enough; sufficient; plenty")</f>
        <v>enough; sufficient; plenty</v>
      </c>
    </row>
    <row r="15">
      <c r="A15" s="20">
        <v>14.0</v>
      </c>
      <c r="B15" s="20" t="s">
        <v>1660</v>
      </c>
      <c r="C15" s="60"/>
      <c r="D15" s="59" t="s">
        <v>1661</v>
      </c>
      <c r="J15" s="14" t="str">
        <f>IFERROR(__xludf.DUMMYFUNCTION("""COMPUTED_VALUE"""),"かどうか")</f>
        <v>かどうか</v>
      </c>
      <c r="K15" s="14"/>
      <c r="L15" s="14" t="str">
        <f>IFERROR(__xludf.DUMMYFUNCTION("""COMPUTED_VALUE"""),"whether or not~")</f>
        <v>whether or not~</v>
      </c>
    </row>
    <row r="16">
      <c r="A16" s="20">
        <v>15.0</v>
      </c>
      <c r="B16" s="20" t="s">
        <v>1662</v>
      </c>
      <c r="C16" s="59" t="s">
        <v>1663</v>
      </c>
      <c r="D16" s="59" t="s">
        <v>1664</v>
      </c>
      <c r="J16" s="14" t="str">
        <f>IFERROR(__xludf.DUMMYFUNCTION("""COMPUTED_VALUE"""),"必ず")</f>
        <v>必ず</v>
      </c>
      <c r="K16" s="14" t="str">
        <f>IFERROR(__xludf.DUMMYFUNCTION("""COMPUTED_VALUE"""),"かならず")</f>
        <v>かならず</v>
      </c>
      <c r="L16" s="14" t="str">
        <f>IFERROR(__xludf.DUMMYFUNCTION("""COMPUTED_VALUE"""),"always; certainly")</f>
        <v>always; certainly</v>
      </c>
    </row>
    <row r="17">
      <c r="A17" s="20">
        <v>16.0</v>
      </c>
      <c r="B17" s="20" t="s">
        <v>1665</v>
      </c>
      <c r="C17" s="59"/>
      <c r="D17" s="59" t="s">
        <v>1666</v>
      </c>
      <c r="J17" s="14" t="str">
        <f>IFERROR(__xludf.DUMMYFUNCTION("""COMPUTED_VALUE"""),"きっと")</f>
        <v>きっと</v>
      </c>
      <c r="K17" s="14"/>
      <c r="L17" s="14" t="str">
        <f>IFERROR(__xludf.DUMMYFUNCTION("""COMPUTED_VALUE"""),"surely; undoubtedly; most likely")</f>
        <v>surely; undoubtedly; most likely</v>
      </c>
    </row>
    <row r="18">
      <c r="A18" s="20">
        <v>17.0</v>
      </c>
      <c r="B18" s="20" t="s">
        <v>1667</v>
      </c>
      <c r="C18" s="60"/>
      <c r="D18" s="59" t="s">
        <v>1668</v>
      </c>
      <c r="J18" s="14" t="str">
        <f>IFERROR(__xludf.DUMMYFUNCTION("""COMPUTED_VALUE"""),"こう")</f>
        <v>こう</v>
      </c>
      <c r="K18" s="14"/>
      <c r="L18" s="14" t="str">
        <f>IFERROR(__xludf.DUMMYFUNCTION("""COMPUTED_VALUE"""),"this way")</f>
        <v>this way</v>
      </c>
    </row>
    <row r="19">
      <c r="A19" s="20">
        <v>18.0</v>
      </c>
      <c r="B19" s="20" t="s">
        <v>1669</v>
      </c>
      <c r="C19" s="59"/>
      <c r="D19" s="59" t="s">
        <v>1670</v>
      </c>
      <c r="J19" s="14" t="str">
        <f>IFERROR(__xludf.DUMMYFUNCTION("""COMPUTED_VALUE"""),"くする")</f>
        <v>くする</v>
      </c>
      <c r="K19" s="14"/>
      <c r="L19" s="14" t="str">
        <f>IFERROR(__xludf.DUMMYFUNCTION("""COMPUTED_VALUE"""),"to make something ~")</f>
        <v>to make something ~</v>
      </c>
    </row>
    <row r="20">
      <c r="A20" s="20">
        <v>19.0</v>
      </c>
      <c r="B20" s="20" t="s">
        <v>1671</v>
      </c>
      <c r="C20" s="59" t="s">
        <v>1672</v>
      </c>
      <c r="D20" s="59" t="s">
        <v>1673</v>
      </c>
      <c r="J20" s="14" t="str">
        <f>IFERROR(__xludf.DUMMYFUNCTION("""COMPUTED_VALUE"""),"急に")</f>
        <v>急に</v>
      </c>
      <c r="K20" s="14" t="str">
        <f>IFERROR(__xludf.DUMMYFUNCTION("""COMPUTED_VALUE"""),"きゅうに")</f>
        <v>きゅうに</v>
      </c>
      <c r="L20" s="14" t="str">
        <f>IFERROR(__xludf.DUMMYFUNCTION("""COMPUTED_VALUE"""),"quickly; immediately; abruptly")</f>
        <v>quickly; immediately; abruptly</v>
      </c>
    </row>
    <row r="21">
      <c r="A21" s="20">
        <v>20.0</v>
      </c>
      <c r="B21" s="20" t="s">
        <v>1674</v>
      </c>
      <c r="C21" s="60"/>
      <c r="D21" s="59" t="s">
        <v>1675</v>
      </c>
      <c r="J21" s="14" t="str">
        <f>IFERROR(__xludf.DUMMYFUNCTION("""COMPUTED_VALUE"""),"までに")</f>
        <v>までに</v>
      </c>
      <c r="K21" s="14"/>
      <c r="L21" s="14" t="str">
        <f>IFERROR(__xludf.DUMMYFUNCTION("""COMPUTED_VALUE"""),"by; by the time")</f>
        <v>by; by the time</v>
      </c>
    </row>
    <row r="22">
      <c r="A22" s="20">
        <v>21.0</v>
      </c>
      <c r="B22" s="20" t="s">
        <v>1676</v>
      </c>
      <c r="C22" s="59"/>
      <c r="D22" s="59" t="s">
        <v>1677</v>
      </c>
      <c r="J22" s="14" t="str">
        <f>IFERROR(__xludf.DUMMYFUNCTION("""COMPUTED_VALUE"""),"まず")</f>
        <v>まず</v>
      </c>
      <c r="K22" s="14"/>
      <c r="L22" s="14" t="str">
        <f>IFERROR(__xludf.DUMMYFUNCTION("""COMPUTED_VALUE"""),"first of all")</f>
        <v>first of all</v>
      </c>
    </row>
    <row r="23">
      <c r="A23" s="20">
        <v>22.0</v>
      </c>
      <c r="B23" s="20" t="s">
        <v>1678</v>
      </c>
      <c r="C23" s="59"/>
      <c r="D23" s="59" t="s">
        <v>1679</v>
      </c>
      <c r="J23" s="14" t="str">
        <f>IFERROR(__xludf.DUMMYFUNCTION("""COMPUTED_VALUE"""),"みたいに")</f>
        <v>みたいに</v>
      </c>
      <c r="K23" s="14"/>
      <c r="L23" s="14" t="str">
        <f>IFERROR(__xludf.DUMMYFUNCTION("""COMPUTED_VALUE"""),"like; similar to~")</f>
        <v>like; similar to~</v>
      </c>
    </row>
    <row r="24">
      <c r="A24" s="20">
        <v>23.0</v>
      </c>
      <c r="B24" s="20" t="s">
        <v>1680</v>
      </c>
      <c r="C24" s="60"/>
      <c r="D24" s="59" t="s">
        <v>1681</v>
      </c>
      <c r="J24" s="14" t="str">
        <f>IFERROR(__xludf.DUMMYFUNCTION("""COMPUTED_VALUE"""),"もし")</f>
        <v>もし</v>
      </c>
      <c r="K24" s="14"/>
      <c r="L24" s="14" t="str">
        <f>IFERROR(__xludf.DUMMYFUNCTION("""COMPUTED_VALUE"""),"if; in case; supposing")</f>
        <v>if; in case; supposing</v>
      </c>
    </row>
    <row r="25">
      <c r="A25" s="20">
        <v>24.0</v>
      </c>
      <c r="B25" s="20" t="s">
        <v>1682</v>
      </c>
      <c r="C25" s="60"/>
      <c r="D25" s="59" t="s">
        <v>1683</v>
      </c>
      <c r="J25" s="14" t="str">
        <f>IFERROR(__xludf.DUMMYFUNCTION("""COMPUTED_VALUE"""),"もうすぐ")</f>
        <v>もうすぐ</v>
      </c>
      <c r="K25" s="14"/>
      <c r="L25" s="14" t="str">
        <f>IFERROR(__xludf.DUMMYFUNCTION("""COMPUTED_VALUE"""),"soon")</f>
        <v>soon</v>
      </c>
    </row>
    <row r="26">
      <c r="A26" s="20">
        <v>25.0</v>
      </c>
      <c r="B26" s="20" t="s">
        <v>1684</v>
      </c>
      <c r="C26" s="60"/>
      <c r="D26" s="59" t="s">
        <v>1685</v>
      </c>
      <c r="J26" s="14" t="str">
        <f>IFERROR(__xludf.DUMMYFUNCTION("""COMPUTED_VALUE"""),"なかなか～ない")</f>
        <v>なかなか～ない</v>
      </c>
      <c r="K26" s="14"/>
      <c r="L26" s="14" t="str">
        <f>IFERROR(__xludf.DUMMYFUNCTION("""COMPUTED_VALUE"""),"not easy to; struggling to~")</f>
        <v>not easy to; struggling to~</v>
      </c>
    </row>
    <row r="27">
      <c r="A27" s="20">
        <v>26.0</v>
      </c>
      <c r="B27" s="20" t="s">
        <v>1686</v>
      </c>
      <c r="C27" s="59"/>
      <c r="D27" s="59" t="s">
        <v>1687</v>
      </c>
      <c r="J27" s="14" t="str">
        <f>IFERROR(__xludf.DUMMYFUNCTION("""COMPUTED_VALUE"""),"なるほど")</f>
        <v>なるほど</v>
      </c>
      <c r="K27" s="14"/>
      <c r="L27" s="14" t="str">
        <f>IFERROR(__xludf.DUMMYFUNCTION("""COMPUTED_VALUE"""),"that’s right; indeed")</f>
        <v>that’s right; indeed</v>
      </c>
    </row>
    <row r="28">
      <c r="A28" s="20">
        <v>27.0</v>
      </c>
      <c r="B28" s="20" t="s">
        <v>1688</v>
      </c>
      <c r="C28" s="59" t="s">
        <v>1689</v>
      </c>
      <c r="D28" s="59" t="s">
        <v>1690</v>
      </c>
      <c r="J28" s="14" t="str">
        <f>IFERROR(__xludf.DUMMYFUNCTION("""COMPUTED_VALUE"""),"の中で")</f>
        <v>の中で</v>
      </c>
      <c r="K28" s="14" t="str">
        <f>IFERROR(__xludf.DUMMYFUNCTION("""COMPUTED_VALUE"""),"のなかで")</f>
        <v>のなかで</v>
      </c>
      <c r="L28" s="14" t="str">
        <f>IFERROR(__xludf.DUMMYFUNCTION("""COMPUTED_VALUE"""),"in; among~")</f>
        <v>in; among~</v>
      </c>
    </row>
    <row r="29">
      <c r="A29" s="20">
        <v>28.0</v>
      </c>
      <c r="B29" s="20" t="s">
        <v>1691</v>
      </c>
      <c r="C29" s="59"/>
      <c r="D29" s="59" t="s">
        <v>1692</v>
      </c>
      <c r="J29" s="14" t="str">
        <f>IFERROR(__xludf.DUMMYFUNCTION("""COMPUTED_VALUE"""),"さすが")</f>
        <v>さすが</v>
      </c>
      <c r="K29" s="14"/>
      <c r="L29" s="14" t="str">
        <f>IFERROR(__xludf.DUMMYFUNCTION("""COMPUTED_VALUE"""),"as is to be expected; even~")</f>
        <v>as is to be expected; even~</v>
      </c>
    </row>
    <row r="30">
      <c r="A30" s="20">
        <v>29.0</v>
      </c>
      <c r="B30" s="20" t="s">
        <v>1693</v>
      </c>
      <c r="C30" s="59"/>
      <c r="D30" s="59" t="s">
        <v>1694</v>
      </c>
      <c r="J30" s="14" t="str">
        <f>IFERROR(__xludf.DUMMYFUNCTION("""COMPUTED_VALUE"""),"しっかり")</f>
        <v>しっかり</v>
      </c>
      <c r="K30" s="14"/>
      <c r="L30" s="14" t="str">
        <f>IFERROR(__xludf.DUMMYFUNCTION("""COMPUTED_VALUE"""),"firmly; steadily")</f>
        <v>firmly; steadily</v>
      </c>
    </row>
    <row r="31">
      <c r="A31" s="20">
        <v>30.0</v>
      </c>
      <c r="B31" s="20" t="s">
        <v>1695</v>
      </c>
      <c r="C31" s="59"/>
      <c r="D31" s="59" t="s">
        <v>1696</v>
      </c>
      <c r="J31" s="14" t="str">
        <f>IFERROR(__xludf.DUMMYFUNCTION("""COMPUTED_VALUE"""),"そんなに")</f>
        <v>そんなに</v>
      </c>
      <c r="K31" s="14"/>
      <c r="L31" s="14" t="str">
        <f>IFERROR(__xludf.DUMMYFUNCTION("""COMPUTED_VALUE"""),"so much; so; like that")</f>
        <v>so much; so; like that</v>
      </c>
    </row>
    <row r="32">
      <c r="A32" s="20">
        <v>31.0</v>
      </c>
      <c r="B32" s="20" t="s">
        <v>1697</v>
      </c>
      <c r="C32" s="59"/>
      <c r="D32" s="59" t="s">
        <v>1698</v>
      </c>
      <c r="J32" s="14" t="str">
        <f>IFERROR(__xludf.DUMMYFUNCTION("""COMPUTED_VALUE"""),"それほど")</f>
        <v>それほど</v>
      </c>
      <c r="K32" s="14"/>
      <c r="L32" s="14" t="str">
        <f>IFERROR(__xludf.DUMMYFUNCTION("""COMPUTED_VALUE"""),"to that extent")</f>
        <v>to that extent</v>
      </c>
    </row>
    <row r="33">
      <c r="A33" s="20">
        <v>32.0</v>
      </c>
      <c r="B33" s="20" t="s">
        <v>1699</v>
      </c>
      <c r="C33" s="59"/>
      <c r="D33" s="59" t="s">
        <v>1700</v>
      </c>
      <c r="J33" s="14" t="str">
        <f>IFERROR(__xludf.DUMMYFUNCTION("""COMPUTED_VALUE"""),"そろそろ")</f>
        <v>そろそろ</v>
      </c>
      <c r="K33" s="14"/>
      <c r="L33" s="14" t="str">
        <f>IFERROR(__xludf.DUMMYFUNCTION("""COMPUTED_VALUE"""),"gradually; soon")</f>
        <v>gradually; soon</v>
      </c>
    </row>
    <row r="34">
      <c r="A34" s="20">
        <v>33.0</v>
      </c>
      <c r="B34" s="20" t="s">
        <v>1701</v>
      </c>
      <c r="C34" s="60"/>
      <c r="D34" s="59" t="s">
        <v>1702</v>
      </c>
      <c r="J34" s="14" t="str">
        <f>IFERROR(__xludf.DUMMYFUNCTION("""COMPUTED_VALUE"""),"そうだ")</f>
        <v>そうだ</v>
      </c>
      <c r="K34" s="14"/>
      <c r="L34" s="14" t="str">
        <f>IFERROR(__xludf.DUMMYFUNCTION("""COMPUTED_VALUE"""),"looks like; appears like; seeming~")</f>
        <v>looks like; appears like; seeming~</v>
      </c>
    </row>
    <row r="35">
      <c r="A35" s="20">
        <v>34.0</v>
      </c>
      <c r="B35" s="20" t="s">
        <v>1703</v>
      </c>
      <c r="C35" s="60"/>
      <c r="D35" s="59" t="s">
        <v>1704</v>
      </c>
      <c r="J35" s="14" t="str">
        <f>IFERROR(__xludf.DUMMYFUNCTION("""COMPUTED_VALUE"""),"すっかり")</f>
        <v>すっかり</v>
      </c>
      <c r="K35" s="14"/>
      <c r="L35" s="14" t="str">
        <f>IFERROR(__xludf.DUMMYFUNCTION("""COMPUTED_VALUE"""),"completely")</f>
        <v>completely</v>
      </c>
    </row>
    <row r="36">
      <c r="A36" s="20">
        <v>35.0</v>
      </c>
      <c r="B36" s="20" t="s">
        <v>1229</v>
      </c>
      <c r="C36" s="60"/>
      <c r="D36" s="59" t="s">
        <v>213</v>
      </c>
      <c r="J36" s="14" t="str">
        <f>IFERROR(__xludf.DUMMYFUNCTION("""COMPUTED_VALUE"""),"たいてい")</f>
        <v>たいてい</v>
      </c>
      <c r="K36" s="14"/>
      <c r="L36" s="14" t="str">
        <f>IFERROR(__xludf.DUMMYFUNCTION("""COMPUTED_VALUE"""),"usually")</f>
        <v>usually</v>
      </c>
    </row>
    <row r="37">
      <c r="A37" s="20">
        <v>36.0</v>
      </c>
      <c r="B37" s="20" t="s">
        <v>1705</v>
      </c>
      <c r="C37" s="60"/>
      <c r="D37" s="59" t="s">
        <v>1706</v>
      </c>
      <c r="J37" s="14" t="str">
        <f>IFERROR(__xludf.DUMMYFUNCTION("""COMPUTED_VALUE"""),"たまに")</f>
        <v>たまに</v>
      </c>
      <c r="K37" s="14"/>
      <c r="L37" s="14" t="str">
        <f>IFERROR(__xludf.DUMMYFUNCTION("""COMPUTED_VALUE"""),"occasionally")</f>
        <v>occasionally</v>
      </c>
    </row>
    <row r="38">
      <c r="A38" s="20">
        <v>37.0</v>
      </c>
      <c r="B38" s="20" t="s">
        <v>1707</v>
      </c>
      <c r="C38" s="59" t="s">
        <v>1708</v>
      </c>
      <c r="D38" s="59" t="s">
        <v>1709</v>
      </c>
      <c r="J38" s="14" t="str">
        <f>IFERROR(__xludf.DUMMYFUNCTION("""COMPUTED_VALUE"""),"特に")</f>
        <v>特に</v>
      </c>
      <c r="K38" s="14" t="str">
        <f>IFERROR(__xludf.DUMMYFUNCTION("""COMPUTED_VALUE"""),"とくに")</f>
        <v>とくに</v>
      </c>
      <c r="L38" s="14" t="str">
        <f>IFERROR(__xludf.DUMMYFUNCTION("""COMPUTED_VALUE"""),"particularly; especially")</f>
        <v>particularly; especially</v>
      </c>
    </row>
    <row r="39">
      <c r="A39" s="20">
        <v>38.0</v>
      </c>
      <c r="B39" s="20" t="s">
        <v>1710</v>
      </c>
      <c r="C39" s="59" t="s">
        <v>1711</v>
      </c>
      <c r="D39" s="59" t="s">
        <v>1712</v>
      </c>
      <c r="J39" s="14" t="str">
        <f>IFERROR(__xludf.DUMMYFUNCTION("""COMPUTED_VALUE"""),"到頭")</f>
        <v>到頭</v>
      </c>
      <c r="K39" s="14" t="str">
        <f>IFERROR(__xludf.DUMMYFUNCTION("""COMPUTED_VALUE"""),"とうとう")</f>
        <v>とうとう</v>
      </c>
      <c r="L39" s="14" t="str">
        <f>IFERROR(__xludf.DUMMYFUNCTION("""COMPUTED_VALUE"""),"finally, after all")</f>
        <v>finally, after all</v>
      </c>
    </row>
    <row r="40">
      <c r="A40" s="20">
        <v>39.0</v>
      </c>
      <c r="B40" s="20" t="s">
        <v>1305</v>
      </c>
      <c r="C40" s="59" t="s">
        <v>1306</v>
      </c>
      <c r="D40" s="59" t="s">
        <v>1308</v>
      </c>
      <c r="J40" s="14" t="str">
        <f>IFERROR(__xludf.DUMMYFUNCTION("""COMPUTED_VALUE"""),"都合")</f>
        <v>都合</v>
      </c>
      <c r="K40" s="14" t="str">
        <f>IFERROR(__xludf.DUMMYFUNCTION("""COMPUTED_VALUE"""),"つごう")</f>
        <v>つごう</v>
      </c>
      <c r="L40" s="14" t="str">
        <f>IFERROR(__xludf.DUMMYFUNCTION("""COMPUTED_VALUE"""),"convenience")</f>
        <v>convenience</v>
      </c>
    </row>
    <row r="41">
      <c r="A41" s="20">
        <v>40.0</v>
      </c>
      <c r="B41" s="20" t="s">
        <v>1713</v>
      </c>
      <c r="C41" s="60"/>
      <c r="D41" s="59" t="s">
        <v>1714</v>
      </c>
      <c r="J41" s="14" t="str">
        <f>IFERROR(__xludf.DUMMYFUNCTION("""COMPUTED_VALUE"""),"やっぱり")</f>
        <v>やっぱり</v>
      </c>
      <c r="K41" s="14"/>
      <c r="L41" s="14" t="str">
        <f>IFERROR(__xludf.DUMMYFUNCTION("""COMPUTED_VALUE"""),"as I thought")</f>
        <v>as I thought</v>
      </c>
    </row>
    <row r="42">
      <c r="A42" s="20">
        <v>41.0</v>
      </c>
      <c r="B42" s="20" t="s">
        <v>1715</v>
      </c>
      <c r="C42" s="60"/>
      <c r="D42" s="59" t="s">
        <v>1716</v>
      </c>
      <c r="J42" s="14" t="str">
        <f>IFERROR(__xludf.DUMMYFUNCTION("""COMPUTED_VALUE"""),"やっと")</f>
        <v>やっと</v>
      </c>
      <c r="K42" s="14"/>
      <c r="L42" s="14" t="str">
        <f>IFERROR(__xludf.DUMMYFUNCTION("""COMPUTED_VALUE"""),"at last; finally; barely; narrowly~")</f>
        <v>at last; finally; barely; narrowly~</v>
      </c>
    </row>
    <row r="43">
      <c r="A43" s="20">
        <v>42.0</v>
      </c>
      <c r="B43" s="20" t="s">
        <v>1632</v>
      </c>
      <c r="C43" s="60"/>
      <c r="D43" s="59" t="s">
        <v>1717</v>
      </c>
      <c r="J43" s="14" t="str">
        <f>IFERROR(__xludf.DUMMYFUNCTION("""COMPUTED_VALUE"""),"より")</f>
        <v>より</v>
      </c>
      <c r="K43" s="14"/>
      <c r="L43" s="14" t="str">
        <f>IFERROR(__xludf.DUMMYFUNCTION("""COMPUTED_VALUE"""),"more")</f>
        <v>more</v>
      </c>
    </row>
    <row r="44">
      <c r="A44" s="20">
        <v>43.0</v>
      </c>
      <c r="B44" s="20" t="s">
        <v>1718</v>
      </c>
      <c r="C44" s="60"/>
      <c r="D44" s="59" t="s">
        <v>1719</v>
      </c>
      <c r="J44" s="14" t="str">
        <f>IFERROR(__xludf.DUMMYFUNCTION("""COMPUTED_VALUE"""),"ぜひ")</f>
        <v>ぜひ</v>
      </c>
      <c r="K44" s="14"/>
      <c r="L44" s="14" t="str">
        <f>IFERROR(__xludf.DUMMYFUNCTION("""COMPUTED_VALUE"""),"by all means; certainly; definitely~")</f>
        <v>by all means; certainly; definitely~</v>
      </c>
    </row>
    <row r="45">
      <c r="A45" s="20">
        <v>44.0</v>
      </c>
      <c r="B45" s="20" t="s">
        <v>1720</v>
      </c>
      <c r="C45" s="59" t="s">
        <v>1721</v>
      </c>
      <c r="D45" s="59" t="s">
        <v>1722</v>
      </c>
      <c r="J45" s="14" t="str">
        <f>IFERROR(__xludf.DUMMYFUNCTION("""COMPUTED_VALUE"""),"全然")</f>
        <v>全然</v>
      </c>
      <c r="K45" s="14" t="str">
        <f>IFERROR(__xludf.DUMMYFUNCTION("""COMPUTED_VALUE"""),"ぜんぜん")</f>
        <v>ぜんぜん</v>
      </c>
      <c r="L45" s="14" t="str">
        <f>IFERROR(__xludf.DUMMYFUNCTION("""COMPUTED_VALUE"""),"not entirely (used in neg. sentence)")</f>
        <v>not entirely (used in neg. sentence)</v>
      </c>
    </row>
    <row r="46">
      <c r="A46" s="20">
        <v>45.0</v>
      </c>
      <c r="B46" s="20" t="s">
        <v>1723</v>
      </c>
      <c r="C46" s="59" t="s">
        <v>1724</v>
      </c>
      <c r="D46" s="59" t="s">
        <v>1725</v>
      </c>
      <c r="J46" s="14" t="str">
        <f>IFERROR(__xludf.DUMMYFUNCTION("""COMPUTED_VALUE"""),"全然～ない")</f>
        <v>全然～ない</v>
      </c>
      <c r="K46" s="14" t="str">
        <f>IFERROR(__xludf.DUMMYFUNCTION("""COMPUTED_VALUE"""),"ぜんぜん～ない")</f>
        <v>ぜんぜん～ない</v>
      </c>
      <c r="L46" s="14" t="str">
        <f>IFERROR(__xludf.DUMMYFUNCTION("""COMPUTED_VALUE"""),"(not) at all")</f>
        <v>(not) at all</v>
      </c>
    </row>
    <row r="47">
      <c r="C47" s="60"/>
      <c r="D47" s="60"/>
      <c r="J47" s="14"/>
      <c r="K47" s="14"/>
      <c r="L47" s="14"/>
    </row>
    <row r="48">
      <c r="C48" s="60"/>
      <c r="D48" s="60"/>
      <c r="J48" s="14"/>
      <c r="K48" s="14"/>
      <c r="L48" s="14"/>
    </row>
    <row r="49">
      <c r="C49" s="60"/>
      <c r="D49" s="60"/>
      <c r="J49" s="14"/>
      <c r="K49" s="14"/>
      <c r="L49" s="14"/>
    </row>
    <row r="50">
      <c r="C50" s="60"/>
      <c r="D50" s="60"/>
      <c r="J50" s="14"/>
      <c r="K50" s="14"/>
      <c r="L50" s="14"/>
    </row>
    <row r="51">
      <c r="C51" s="60"/>
      <c r="D51" s="60"/>
      <c r="J51" s="14"/>
      <c r="K51" s="14"/>
      <c r="L51" s="14"/>
    </row>
    <row r="52">
      <c r="C52" s="60"/>
      <c r="D52" s="60"/>
      <c r="J52" s="14"/>
      <c r="K52" s="14"/>
      <c r="L52" s="14"/>
    </row>
    <row r="53">
      <c r="C53" s="60"/>
      <c r="D53" s="60"/>
      <c r="J53" s="14"/>
      <c r="K53" s="14"/>
      <c r="L53" s="14"/>
    </row>
    <row r="54">
      <c r="C54" s="60"/>
      <c r="D54" s="60"/>
      <c r="J54" s="14"/>
      <c r="K54" s="14"/>
      <c r="L54" s="14"/>
    </row>
    <row r="55">
      <c r="C55" s="60"/>
      <c r="D55" s="60"/>
      <c r="J55" s="14"/>
      <c r="K55" s="14"/>
      <c r="L55" s="14"/>
    </row>
    <row r="56">
      <c r="C56" s="60"/>
      <c r="D56" s="60"/>
      <c r="J56" s="14"/>
      <c r="K56" s="14"/>
      <c r="L56" s="14"/>
    </row>
    <row r="57">
      <c r="C57" s="60"/>
      <c r="D57" s="60"/>
      <c r="J57" s="14"/>
      <c r="K57" s="14"/>
      <c r="L57" s="14"/>
    </row>
    <row r="58">
      <c r="C58" s="60"/>
      <c r="D58" s="60"/>
      <c r="J58" s="14"/>
      <c r="K58" s="14"/>
      <c r="L58" s="14"/>
    </row>
    <row r="59">
      <c r="C59" s="60"/>
      <c r="D59" s="60"/>
      <c r="J59" s="14"/>
      <c r="K59" s="14"/>
      <c r="L59" s="14"/>
    </row>
    <row r="60">
      <c r="C60" s="60"/>
      <c r="D60" s="60"/>
      <c r="J60" s="14"/>
      <c r="K60" s="14"/>
      <c r="L60" s="14"/>
    </row>
    <row r="61">
      <c r="C61" s="60"/>
      <c r="D61" s="60"/>
      <c r="J61" s="14"/>
      <c r="K61" s="14"/>
      <c r="L61" s="14"/>
    </row>
    <row r="62">
      <c r="C62" s="60"/>
      <c r="D62" s="60"/>
      <c r="J62" s="14"/>
      <c r="K62" s="14"/>
      <c r="L62" s="14"/>
    </row>
    <row r="63">
      <c r="C63" s="60"/>
      <c r="D63" s="60"/>
      <c r="J63" s="14"/>
      <c r="K63" s="14"/>
      <c r="L63" s="14"/>
    </row>
    <row r="64">
      <c r="C64" s="60"/>
      <c r="D64" s="60"/>
      <c r="J64" s="14"/>
      <c r="K64" s="14"/>
      <c r="L64" s="14"/>
    </row>
    <row r="65">
      <c r="C65" s="60"/>
      <c r="D65" s="60"/>
      <c r="J65" s="14"/>
      <c r="K65" s="14"/>
      <c r="L65" s="14"/>
    </row>
    <row r="66">
      <c r="C66" s="60"/>
      <c r="D66" s="60"/>
      <c r="J66" s="14"/>
      <c r="K66" s="14"/>
      <c r="L66" s="14"/>
    </row>
    <row r="67">
      <c r="C67" s="60"/>
      <c r="D67" s="60"/>
      <c r="J67" s="14"/>
      <c r="K67" s="14"/>
      <c r="L67" s="14"/>
    </row>
    <row r="68">
      <c r="C68" s="60"/>
      <c r="D68" s="60"/>
      <c r="J68" s="14"/>
      <c r="K68" s="14"/>
      <c r="L68" s="14"/>
    </row>
    <row r="69">
      <c r="C69" s="60"/>
      <c r="D69" s="60"/>
      <c r="J69" s="14"/>
      <c r="K69" s="14"/>
      <c r="L69" s="14"/>
    </row>
    <row r="70">
      <c r="C70" s="60"/>
      <c r="D70" s="60"/>
      <c r="J70" s="14"/>
      <c r="K70" s="14"/>
      <c r="L70" s="14"/>
    </row>
    <row r="71">
      <c r="C71" s="60"/>
      <c r="D71" s="60"/>
      <c r="J71" s="14"/>
      <c r="K71" s="14"/>
      <c r="L71" s="14"/>
    </row>
    <row r="72">
      <c r="C72" s="60"/>
      <c r="D72" s="60"/>
      <c r="J72" s="14"/>
      <c r="K72" s="14"/>
      <c r="L72" s="14"/>
    </row>
    <row r="73">
      <c r="C73" s="60"/>
      <c r="D73" s="60"/>
      <c r="J73" s="14"/>
      <c r="K73" s="14"/>
      <c r="L73" s="14"/>
    </row>
    <row r="74">
      <c r="C74" s="60"/>
      <c r="D74" s="60"/>
      <c r="J74" s="14"/>
      <c r="K74" s="14"/>
      <c r="L74" s="14"/>
    </row>
    <row r="75">
      <c r="C75" s="60"/>
      <c r="D75" s="60"/>
      <c r="J75" s="14"/>
      <c r="K75" s="14"/>
      <c r="L75" s="14"/>
    </row>
    <row r="76">
      <c r="C76" s="60"/>
      <c r="D76" s="60"/>
      <c r="J76" s="14"/>
      <c r="K76" s="14"/>
      <c r="L76" s="14"/>
    </row>
    <row r="77">
      <c r="C77" s="60"/>
      <c r="D77" s="60"/>
      <c r="J77" s="14"/>
      <c r="K77" s="14"/>
      <c r="L77" s="14"/>
    </row>
    <row r="78">
      <c r="C78" s="60"/>
      <c r="D78" s="60"/>
      <c r="J78" s="14"/>
      <c r="K78" s="14"/>
      <c r="L78" s="14"/>
    </row>
    <row r="79">
      <c r="C79" s="60"/>
      <c r="D79" s="60"/>
      <c r="J79" s="14"/>
      <c r="K79" s="14"/>
      <c r="L79" s="14"/>
    </row>
    <row r="80">
      <c r="C80" s="60"/>
      <c r="D80" s="60"/>
      <c r="J80" s="14"/>
      <c r="K80" s="14"/>
      <c r="L80" s="14"/>
    </row>
    <row r="81">
      <c r="C81" s="60"/>
      <c r="D81" s="60"/>
      <c r="J81" s="14"/>
      <c r="K81" s="14"/>
      <c r="L81" s="14"/>
    </row>
    <row r="82">
      <c r="C82" s="60"/>
      <c r="D82" s="60"/>
      <c r="J82" s="14"/>
      <c r="K82" s="14"/>
      <c r="L82" s="14"/>
    </row>
    <row r="83">
      <c r="C83" s="60"/>
      <c r="D83" s="60"/>
      <c r="J83" s="14"/>
      <c r="K83" s="14"/>
      <c r="L83" s="14"/>
    </row>
    <row r="84">
      <c r="C84" s="60"/>
      <c r="D84" s="60"/>
      <c r="J84" s="14"/>
      <c r="K84" s="14"/>
      <c r="L84" s="14"/>
    </row>
    <row r="85">
      <c r="C85" s="60"/>
      <c r="D85" s="60"/>
      <c r="J85" s="14"/>
      <c r="K85" s="14"/>
      <c r="L85" s="14"/>
    </row>
    <row r="86">
      <c r="C86" s="60"/>
      <c r="D86" s="60"/>
      <c r="J86" s="14"/>
      <c r="K86" s="14"/>
      <c r="L86" s="14"/>
    </row>
    <row r="87">
      <c r="C87" s="60"/>
      <c r="D87" s="60"/>
      <c r="J87" s="14"/>
      <c r="K87" s="14"/>
      <c r="L87" s="14"/>
    </row>
    <row r="88">
      <c r="C88" s="60"/>
      <c r="D88" s="60"/>
      <c r="J88" s="14"/>
      <c r="K88" s="14"/>
      <c r="L88" s="14"/>
    </row>
    <row r="89">
      <c r="C89" s="60"/>
      <c r="D89" s="60"/>
      <c r="J89" s="14"/>
      <c r="K89" s="14"/>
      <c r="L89" s="14"/>
    </row>
    <row r="90">
      <c r="C90" s="60"/>
      <c r="D90" s="60"/>
      <c r="J90" s="14"/>
      <c r="K90" s="14"/>
      <c r="L90" s="14"/>
    </row>
    <row r="91">
      <c r="C91" s="60"/>
      <c r="D91" s="60"/>
      <c r="J91" s="14"/>
      <c r="K91" s="14"/>
      <c r="L91" s="14"/>
    </row>
    <row r="92">
      <c r="C92" s="60"/>
      <c r="D92" s="60"/>
      <c r="J92" s="14"/>
      <c r="K92" s="14"/>
      <c r="L92" s="14"/>
    </row>
    <row r="93">
      <c r="C93" s="60"/>
      <c r="D93" s="60"/>
      <c r="J93" s="14"/>
      <c r="K93" s="14"/>
      <c r="L93" s="14"/>
    </row>
    <row r="94">
      <c r="C94" s="60"/>
      <c r="D94" s="60"/>
      <c r="J94" s="14"/>
      <c r="K94" s="14"/>
      <c r="L94" s="14"/>
    </row>
    <row r="95">
      <c r="C95" s="60"/>
      <c r="D95" s="60"/>
      <c r="J95" s="14"/>
      <c r="K95" s="14"/>
      <c r="L95" s="14"/>
    </row>
    <row r="96">
      <c r="C96" s="60"/>
      <c r="D96" s="60"/>
      <c r="J96" s="14"/>
      <c r="K96" s="14"/>
      <c r="L96" s="14"/>
    </row>
    <row r="97">
      <c r="C97" s="60"/>
      <c r="D97" s="60"/>
      <c r="J97" s="14"/>
      <c r="K97" s="14"/>
      <c r="L97" s="14"/>
    </row>
    <row r="98">
      <c r="C98" s="60"/>
      <c r="D98" s="60"/>
      <c r="J98" s="14"/>
      <c r="K98" s="14"/>
      <c r="L98" s="14"/>
    </row>
    <row r="99">
      <c r="C99" s="60"/>
      <c r="D99" s="60"/>
      <c r="J99" s="14"/>
      <c r="K99" s="14"/>
      <c r="L99" s="14"/>
    </row>
    <row r="100">
      <c r="C100" s="60"/>
      <c r="D100" s="60"/>
      <c r="J100" s="14"/>
      <c r="K100" s="14"/>
      <c r="L100" s="14"/>
    </row>
    <row r="101">
      <c r="C101" s="60"/>
      <c r="D101" s="60"/>
      <c r="J101" s="14"/>
      <c r="K101" s="14"/>
      <c r="L101" s="14"/>
    </row>
    <row r="102">
      <c r="C102" s="60"/>
      <c r="D102" s="60"/>
      <c r="J102" s="14"/>
      <c r="K102" s="14"/>
      <c r="L102" s="14"/>
    </row>
    <row r="103">
      <c r="C103" s="60"/>
      <c r="D103" s="60"/>
      <c r="J103" s="14"/>
      <c r="K103" s="14"/>
      <c r="L103" s="14"/>
    </row>
    <row r="104">
      <c r="C104" s="60"/>
      <c r="D104" s="60"/>
      <c r="J104" s="14"/>
      <c r="K104" s="14"/>
      <c r="L104" s="14"/>
    </row>
    <row r="105">
      <c r="C105" s="60"/>
      <c r="D105" s="60"/>
      <c r="J105" s="14"/>
      <c r="K105" s="14"/>
      <c r="L105" s="14"/>
    </row>
    <row r="106">
      <c r="C106" s="60"/>
      <c r="D106" s="60"/>
      <c r="J106" s="14"/>
      <c r="K106" s="14"/>
      <c r="L106" s="14"/>
    </row>
    <row r="107">
      <c r="C107" s="60"/>
      <c r="D107" s="60"/>
      <c r="J107" s="14"/>
      <c r="K107" s="14"/>
      <c r="L107" s="14"/>
    </row>
    <row r="108">
      <c r="C108" s="60"/>
      <c r="D108" s="60"/>
      <c r="J108" s="14"/>
      <c r="K108" s="14"/>
      <c r="L108" s="14"/>
    </row>
    <row r="109">
      <c r="C109" s="60"/>
      <c r="D109" s="60"/>
      <c r="J109" s="14"/>
      <c r="K109" s="14"/>
      <c r="L109" s="14"/>
    </row>
    <row r="110">
      <c r="C110" s="60"/>
      <c r="D110" s="60"/>
      <c r="J110" s="14"/>
      <c r="K110" s="14"/>
      <c r="L110" s="14"/>
    </row>
    <row r="111">
      <c r="C111" s="60"/>
      <c r="D111" s="60"/>
      <c r="J111" s="14"/>
      <c r="K111" s="14"/>
      <c r="L111" s="14"/>
    </row>
    <row r="112">
      <c r="C112" s="60"/>
      <c r="D112" s="60"/>
      <c r="J112" s="14"/>
      <c r="K112" s="14"/>
      <c r="L112" s="14"/>
    </row>
    <row r="113">
      <c r="C113" s="60"/>
      <c r="D113" s="60"/>
      <c r="J113" s="14"/>
      <c r="K113" s="14"/>
      <c r="L113" s="14"/>
    </row>
    <row r="114">
      <c r="C114" s="60"/>
      <c r="D114" s="60"/>
      <c r="J114" s="14"/>
      <c r="K114" s="14"/>
      <c r="L114" s="14"/>
    </row>
    <row r="115">
      <c r="C115" s="60"/>
      <c r="D115" s="60"/>
      <c r="J115" s="14"/>
      <c r="K115" s="14"/>
      <c r="L115" s="14"/>
    </row>
    <row r="116">
      <c r="C116" s="60"/>
      <c r="D116" s="60"/>
      <c r="J116" s="14"/>
      <c r="K116" s="14"/>
      <c r="L116" s="14"/>
    </row>
    <row r="117">
      <c r="C117" s="60"/>
      <c r="D117" s="60"/>
      <c r="J117" s="14"/>
      <c r="K117" s="14"/>
      <c r="L117" s="14"/>
    </row>
    <row r="118">
      <c r="C118" s="60"/>
      <c r="D118" s="60"/>
      <c r="J118" s="14"/>
      <c r="K118" s="14"/>
      <c r="L118" s="14"/>
    </row>
    <row r="119">
      <c r="C119" s="60"/>
      <c r="D119" s="60"/>
      <c r="J119" s="14"/>
      <c r="K119" s="14"/>
      <c r="L119" s="14"/>
    </row>
    <row r="120">
      <c r="C120" s="60"/>
      <c r="D120" s="60"/>
      <c r="J120" s="14"/>
      <c r="K120" s="14"/>
      <c r="L120" s="14"/>
    </row>
    <row r="121">
      <c r="C121" s="60"/>
      <c r="D121" s="60"/>
      <c r="J121" s="14"/>
      <c r="K121" s="14"/>
      <c r="L121" s="14"/>
    </row>
    <row r="122">
      <c r="C122" s="60"/>
      <c r="D122" s="60"/>
      <c r="J122" s="14"/>
      <c r="K122" s="14"/>
      <c r="L122" s="14"/>
    </row>
    <row r="123">
      <c r="C123" s="60"/>
      <c r="D123" s="60"/>
      <c r="J123" s="14"/>
      <c r="K123" s="14"/>
      <c r="L123" s="14"/>
    </row>
    <row r="124">
      <c r="C124" s="60"/>
      <c r="D124" s="60"/>
      <c r="J124" s="14"/>
      <c r="K124" s="14"/>
      <c r="L124" s="14"/>
    </row>
    <row r="125">
      <c r="C125" s="60"/>
      <c r="D125" s="60"/>
      <c r="J125" s="14"/>
      <c r="K125" s="14"/>
      <c r="L125" s="14"/>
    </row>
    <row r="126">
      <c r="C126" s="60"/>
      <c r="D126" s="60"/>
      <c r="J126" s="14"/>
      <c r="K126" s="14"/>
      <c r="L126" s="14"/>
    </row>
    <row r="127">
      <c r="C127" s="60"/>
      <c r="D127" s="60"/>
      <c r="J127" s="14"/>
      <c r="K127" s="14"/>
      <c r="L127" s="14"/>
    </row>
    <row r="128">
      <c r="C128" s="60"/>
      <c r="D128" s="60"/>
      <c r="J128" s="14"/>
      <c r="K128" s="14"/>
      <c r="L128" s="14"/>
    </row>
    <row r="129">
      <c r="C129" s="60"/>
      <c r="D129" s="60"/>
      <c r="J129" s="14"/>
      <c r="K129" s="14"/>
      <c r="L129" s="14"/>
    </row>
    <row r="130">
      <c r="C130" s="60"/>
      <c r="D130" s="60"/>
      <c r="J130" s="14"/>
      <c r="K130" s="14"/>
      <c r="L130" s="14"/>
    </row>
    <row r="131">
      <c r="C131" s="60"/>
      <c r="D131" s="60"/>
      <c r="J131" s="14"/>
      <c r="K131" s="14"/>
      <c r="L131" s="14"/>
    </row>
    <row r="132">
      <c r="C132" s="60"/>
      <c r="D132" s="60"/>
      <c r="J132" s="14"/>
      <c r="K132" s="14"/>
      <c r="L132" s="14"/>
    </row>
    <row r="133">
      <c r="C133" s="60"/>
      <c r="D133" s="60"/>
      <c r="J133" s="14"/>
      <c r="K133" s="14"/>
      <c r="L133" s="14"/>
    </row>
    <row r="134">
      <c r="C134" s="60"/>
      <c r="D134" s="60"/>
      <c r="J134" s="14"/>
      <c r="K134" s="14"/>
      <c r="L134" s="14"/>
    </row>
    <row r="135">
      <c r="C135" s="60"/>
      <c r="D135" s="60"/>
      <c r="J135" s="14"/>
      <c r="K135" s="14"/>
      <c r="L135" s="14"/>
    </row>
    <row r="136">
      <c r="C136" s="60"/>
      <c r="D136" s="60"/>
      <c r="J136" s="14"/>
      <c r="K136" s="14"/>
      <c r="L136" s="14"/>
    </row>
    <row r="137">
      <c r="C137" s="60"/>
      <c r="D137" s="60"/>
      <c r="J137" s="14"/>
      <c r="K137" s="14"/>
      <c r="L137" s="14"/>
    </row>
    <row r="138">
      <c r="C138" s="60"/>
      <c r="D138" s="60"/>
      <c r="J138" s="14"/>
      <c r="K138" s="14"/>
      <c r="L138" s="14"/>
    </row>
    <row r="139">
      <c r="C139" s="60"/>
      <c r="D139" s="60"/>
      <c r="J139" s="14"/>
      <c r="K139" s="14"/>
      <c r="L139" s="14"/>
    </row>
    <row r="140">
      <c r="C140" s="60"/>
      <c r="D140" s="60"/>
      <c r="J140" s="14"/>
      <c r="K140" s="14"/>
      <c r="L140" s="14"/>
    </row>
    <row r="141">
      <c r="C141" s="60"/>
      <c r="D141" s="60"/>
      <c r="J141" s="14"/>
      <c r="K141" s="14"/>
      <c r="L141" s="14"/>
    </row>
    <row r="142">
      <c r="C142" s="60"/>
      <c r="D142" s="60"/>
      <c r="J142" s="14"/>
      <c r="K142" s="14"/>
      <c r="L142" s="14"/>
    </row>
    <row r="143">
      <c r="C143" s="60"/>
      <c r="D143" s="60"/>
      <c r="J143" s="14"/>
      <c r="K143" s="14"/>
      <c r="L143" s="14"/>
    </row>
    <row r="144">
      <c r="C144" s="60"/>
      <c r="D144" s="60"/>
      <c r="J144" s="14"/>
      <c r="K144" s="14"/>
      <c r="L144" s="14"/>
    </row>
    <row r="145">
      <c r="C145" s="60"/>
      <c r="D145" s="60"/>
      <c r="J145" s="14"/>
      <c r="K145" s="14"/>
      <c r="L145" s="14"/>
    </row>
    <row r="146">
      <c r="C146" s="60"/>
      <c r="D146" s="60"/>
      <c r="J146" s="14"/>
      <c r="K146" s="14"/>
      <c r="L146" s="14"/>
    </row>
    <row r="147">
      <c r="C147" s="60"/>
      <c r="D147" s="60"/>
      <c r="J147" s="14"/>
      <c r="K147" s="14"/>
      <c r="L147" s="14"/>
    </row>
    <row r="148">
      <c r="C148" s="60"/>
      <c r="D148" s="60"/>
      <c r="J148" s="14"/>
      <c r="K148" s="14"/>
      <c r="L148" s="14"/>
    </row>
    <row r="149">
      <c r="C149" s="60"/>
      <c r="D149" s="60"/>
      <c r="J149" s="14"/>
      <c r="K149" s="14"/>
      <c r="L149" s="14"/>
    </row>
    <row r="150">
      <c r="C150" s="60"/>
      <c r="D150" s="60"/>
      <c r="J150" s="14"/>
      <c r="K150" s="14"/>
      <c r="L150" s="14"/>
    </row>
    <row r="151">
      <c r="C151" s="60"/>
      <c r="D151" s="60"/>
      <c r="J151" s="14"/>
      <c r="K151" s="14"/>
      <c r="L151" s="14"/>
    </row>
    <row r="152">
      <c r="C152" s="60"/>
      <c r="D152" s="60"/>
      <c r="J152" s="14"/>
      <c r="K152" s="14"/>
      <c r="L152" s="14"/>
    </row>
    <row r="153">
      <c r="C153" s="60"/>
      <c r="D153" s="60"/>
      <c r="J153" s="14"/>
      <c r="K153" s="14"/>
      <c r="L153" s="14"/>
    </row>
    <row r="154">
      <c r="C154" s="60"/>
      <c r="D154" s="60"/>
      <c r="J154" s="14"/>
      <c r="K154" s="14"/>
      <c r="L154" s="14"/>
    </row>
    <row r="155">
      <c r="C155" s="60"/>
      <c r="D155" s="60"/>
      <c r="J155" s="14"/>
      <c r="K155" s="14"/>
      <c r="L155" s="14"/>
    </row>
    <row r="156">
      <c r="C156" s="60"/>
      <c r="D156" s="60"/>
      <c r="J156" s="14"/>
      <c r="K156" s="14"/>
      <c r="L156" s="14"/>
    </row>
    <row r="157">
      <c r="C157" s="60"/>
      <c r="D157" s="60"/>
      <c r="J157" s="14"/>
      <c r="K157" s="14"/>
      <c r="L157" s="14"/>
    </row>
    <row r="158">
      <c r="C158" s="60"/>
      <c r="D158" s="60"/>
      <c r="J158" s="14"/>
      <c r="K158" s="14"/>
      <c r="L158" s="14"/>
    </row>
    <row r="159">
      <c r="C159" s="60"/>
      <c r="D159" s="60"/>
      <c r="J159" s="14"/>
      <c r="K159" s="14"/>
      <c r="L159" s="14"/>
    </row>
    <row r="160">
      <c r="C160" s="60"/>
      <c r="D160" s="60"/>
      <c r="J160" s="14"/>
      <c r="K160" s="14"/>
      <c r="L160" s="14"/>
    </row>
    <row r="161">
      <c r="C161" s="60"/>
      <c r="D161" s="60"/>
      <c r="J161" s="14"/>
      <c r="K161" s="14"/>
      <c r="L161" s="14"/>
    </row>
    <row r="162">
      <c r="C162" s="60"/>
      <c r="D162" s="60"/>
      <c r="J162" s="14"/>
      <c r="K162" s="14"/>
      <c r="L162" s="14"/>
    </row>
    <row r="163">
      <c r="C163" s="60"/>
      <c r="D163" s="60"/>
      <c r="J163" s="14"/>
      <c r="K163" s="14"/>
      <c r="L163" s="14"/>
    </row>
    <row r="164">
      <c r="C164" s="60"/>
      <c r="D164" s="60"/>
      <c r="J164" s="14"/>
      <c r="K164" s="14"/>
      <c r="L164" s="14"/>
    </row>
    <row r="165">
      <c r="C165" s="60"/>
      <c r="D165" s="60"/>
      <c r="J165" s="14"/>
      <c r="K165" s="14"/>
      <c r="L165" s="14"/>
    </row>
    <row r="166">
      <c r="C166" s="60"/>
      <c r="D166" s="60"/>
      <c r="J166" s="14"/>
      <c r="K166" s="14"/>
      <c r="L166" s="14"/>
    </row>
    <row r="167">
      <c r="C167" s="60"/>
      <c r="D167" s="60"/>
      <c r="J167" s="14"/>
      <c r="K167" s="14"/>
      <c r="L167" s="14"/>
    </row>
    <row r="168">
      <c r="C168" s="60"/>
      <c r="D168" s="60"/>
      <c r="J168" s="14"/>
      <c r="K168" s="14"/>
      <c r="L168" s="14"/>
    </row>
    <row r="169">
      <c r="C169" s="60"/>
      <c r="D169" s="60"/>
      <c r="J169" s="14"/>
      <c r="K169" s="14"/>
      <c r="L169" s="14"/>
    </row>
    <row r="170">
      <c r="C170" s="60"/>
      <c r="D170" s="60"/>
      <c r="J170" s="14"/>
      <c r="K170" s="14"/>
      <c r="L170" s="14"/>
    </row>
    <row r="171">
      <c r="C171" s="60"/>
      <c r="D171" s="60"/>
      <c r="J171" s="14"/>
      <c r="K171" s="14"/>
      <c r="L171" s="14"/>
    </row>
    <row r="172">
      <c r="C172" s="60"/>
      <c r="D172" s="60"/>
      <c r="J172" s="14"/>
      <c r="K172" s="14"/>
      <c r="L172" s="14"/>
    </row>
    <row r="173">
      <c r="C173" s="60"/>
      <c r="D173" s="60"/>
      <c r="J173" s="14"/>
      <c r="K173" s="14"/>
      <c r="L173" s="14"/>
    </row>
    <row r="174">
      <c r="C174" s="60"/>
      <c r="D174" s="60"/>
      <c r="J174" s="14"/>
      <c r="K174" s="14"/>
      <c r="L174" s="14"/>
    </row>
    <row r="175">
      <c r="C175" s="60"/>
      <c r="D175" s="60"/>
      <c r="J175" s="14"/>
      <c r="K175" s="14"/>
      <c r="L175" s="14"/>
    </row>
    <row r="176">
      <c r="C176" s="60"/>
      <c r="D176" s="60"/>
      <c r="J176" s="14"/>
      <c r="K176" s="14"/>
      <c r="L176" s="14"/>
    </row>
    <row r="177">
      <c r="C177" s="60"/>
      <c r="D177" s="60"/>
      <c r="J177" s="14"/>
      <c r="K177" s="14"/>
      <c r="L177" s="14"/>
    </row>
    <row r="178">
      <c r="C178" s="60"/>
      <c r="D178" s="60"/>
      <c r="J178" s="14"/>
      <c r="K178" s="14"/>
      <c r="L178" s="14"/>
    </row>
    <row r="179">
      <c r="C179" s="60"/>
      <c r="D179" s="60"/>
      <c r="J179" s="14"/>
      <c r="K179" s="14"/>
      <c r="L179" s="14"/>
    </row>
    <row r="180">
      <c r="C180" s="60"/>
      <c r="D180" s="60"/>
      <c r="J180" s="14"/>
      <c r="K180" s="14"/>
      <c r="L180" s="14"/>
    </row>
    <row r="181">
      <c r="C181" s="60"/>
      <c r="D181" s="60"/>
      <c r="J181" s="14"/>
      <c r="K181" s="14"/>
      <c r="L181" s="14"/>
    </row>
    <row r="182">
      <c r="C182" s="60"/>
      <c r="D182" s="60"/>
      <c r="J182" s="14"/>
      <c r="K182" s="14"/>
      <c r="L182" s="14"/>
    </row>
    <row r="183">
      <c r="C183" s="60"/>
      <c r="D183" s="60"/>
      <c r="J183" s="14"/>
      <c r="K183" s="14"/>
      <c r="L183" s="14"/>
    </row>
    <row r="184">
      <c r="C184" s="60"/>
      <c r="D184" s="60"/>
      <c r="J184" s="14"/>
      <c r="K184" s="14"/>
      <c r="L184" s="14"/>
    </row>
    <row r="185">
      <c r="C185" s="60"/>
      <c r="D185" s="60"/>
      <c r="J185" s="14"/>
      <c r="K185" s="14"/>
      <c r="L185" s="14"/>
    </row>
    <row r="186">
      <c r="C186" s="60"/>
      <c r="D186" s="60"/>
      <c r="J186" s="14"/>
      <c r="K186" s="14"/>
      <c r="L186" s="14"/>
    </row>
    <row r="187">
      <c r="C187" s="60"/>
      <c r="D187" s="60"/>
      <c r="J187" s="14"/>
      <c r="K187" s="14"/>
      <c r="L187" s="14"/>
    </row>
    <row r="188">
      <c r="C188" s="60"/>
      <c r="D188" s="60"/>
      <c r="J188" s="14"/>
      <c r="K188" s="14"/>
      <c r="L188" s="14"/>
    </row>
    <row r="189">
      <c r="C189" s="60"/>
      <c r="D189" s="60"/>
      <c r="J189" s="14"/>
      <c r="K189" s="14"/>
      <c r="L189" s="14"/>
    </row>
    <row r="190">
      <c r="C190" s="60"/>
      <c r="D190" s="60"/>
      <c r="J190" s="14"/>
      <c r="K190" s="14"/>
      <c r="L190" s="14"/>
    </row>
    <row r="191">
      <c r="C191" s="60"/>
      <c r="D191" s="60"/>
      <c r="J191" s="14"/>
      <c r="K191" s="14"/>
      <c r="L191" s="14"/>
    </row>
    <row r="192">
      <c r="C192" s="60"/>
      <c r="D192" s="60"/>
      <c r="J192" s="14"/>
      <c r="K192" s="14"/>
      <c r="L192" s="14"/>
    </row>
    <row r="193">
      <c r="C193" s="60"/>
      <c r="D193" s="60"/>
      <c r="J193" s="14"/>
      <c r="K193" s="14"/>
      <c r="L193" s="14"/>
    </row>
    <row r="194">
      <c r="C194" s="60"/>
      <c r="D194" s="60"/>
      <c r="J194" s="14"/>
      <c r="K194" s="14"/>
      <c r="L194" s="14"/>
    </row>
    <row r="195">
      <c r="C195" s="60"/>
      <c r="D195" s="60"/>
      <c r="J195" s="14"/>
      <c r="K195" s="14"/>
      <c r="L195" s="14"/>
    </row>
    <row r="196">
      <c r="C196" s="60"/>
      <c r="D196" s="60"/>
      <c r="J196" s="14"/>
      <c r="K196" s="14"/>
      <c r="L196" s="14"/>
    </row>
    <row r="197">
      <c r="C197" s="60"/>
      <c r="D197" s="60"/>
      <c r="J197" s="14"/>
      <c r="K197" s="14"/>
      <c r="L197" s="14"/>
    </row>
    <row r="198">
      <c r="C198" s="60"/>
      <c r="D198" s="60"/>
      <c r="J198" s="14"/>
      <c r="K198" s="14"/>
      <c r="L198" s="14"/>
    </row>
    <row r="199">
      <c r="C199" s="60"/>
      <c r="D199" s="60"/>
      <c r="J199" s="14"/>
      <c r="K199" s="14"/>
      <c r="L199" s="14"/>
    </row>
    <row r="200">
      <c r="C200" s="60"/>
      <c r="D200" s="60"/>
      <c r="J200" s="14"/>
      <c r="K200" s="14"/>
      <c r="L200" s="14"/>
    </row>
    <row r="201">
      <c r="C201" s="60"/>
      <c r="D201" s="60"/>
      <c r="J201" s="14"/>
      <c r="K201" s="14"/>
      <c r="L201" s="14"/>
    </row>
    <row r="202">
      <c r="C202" s="60"/>
      <c r="D202" s="60"/>
      <c r="J202" s="14"/>
      <c r="K202" s="14"/>
      <c r="L202" s="14"/>
    </row>
    <row r="203">
      <c r="C203" s="60"/>
      <c r="D203" s="60"/>
      <c r="J203" s="14"/>
      <c r="K203" s="14"/>
      <c r="L203" s="14"/>
    </row>
    <row r="204">
      <c r="C204" s="60"/>
      <c r="D204" s="60"/>
      <c r="J204" s="14"/>
      <c r="K204" s="14"/>
      <c r="L204" s="14"/>
    </row>
    <row r="205">
      <c r="C205" s="60"/>
      <c r="D205" s="60"/>
      <c r="J205" s="14"/>
      <c r="K205" s="14"/>
      <c r="L205" s="14"/>
    </row>
    <row r="206">
      <c r="C206" s="60"/>
      <c r="D206" s="60"/>
      <c r="J206" s="14"/>
      <c r="K206" s="14"/>
      <c r="L206" s="14"/>
    </row>
    <row r="207">
      <c r="C207" s="60"/>
      <c r="D207" s="60"/>
      <c r="J207" s="14"/>
      <c r="K207" s="14"/>
      <c r="L207" s="14"/>
    </row>
    <row r="208">
      <c r="C208" s="60"/>
      <c r="D208" s="60"/>
      <c r="J208" s="14"/>
      <c r="K208" s="14"/>
      <c r="L208" s="14"/>
    </row>
    <row r="209">
      <c r="C209" s="60"/>
      <c r="D209" s="60"/>
      <c r="J209" s="14"/>
      <c r="K209" s="14"/>
      <c r="L209" s="14"/>
    </row>
    <row r="210">
      <c r="C210" s="60"/>
      <c r="D210" s="60"/>
      <c r="J210" s="14"/>
      <c r="K210" s="14"/>
      <c r="L210" s="14"/>
    </row>
    <row r="211">
      <c r="C211" s="60"/>
      <c r="D211" s="60"/>
      <c r="J211" s="14"/>
      <c r="K211" s="14"/>
      <c r="L211" s="14"/>
    </row>
    <row r="212">
      <c r="C212" s="60"/>
      <c r="D212" s="60"/>
      <c r="J212" s="14"/>
      <c r="K212" s="14"/>
      <c r="L212" s="14"/>
    </row>
    <row r="213">
      <c r="C213" s="60"/>
      <c r="D213" s="60"/>
      <c r="J213" s="14"/>
      <c r="K213" s="14"/>
      <c r="L213" s="14"/>
    </row>
    <row r="214">
      <c r="C214" s="60"/>
      <c r="D214" s="60"/>
      <c r="J214" s="14"/>
      <c r="K214" s="14"/>
      <c r="L214" s="14"/>
    </row>
    <row r="215">
      <c r="C215" s="60"/>
      <c r="D215" s="60"/>
      <c r="J215" s="14"/>
      <c r="K215" s="14"/>
      <c r="L215" s="14"/>
    </row>
    <row r="216">
      <c r="C216" s="60"/>
      <c r="D216" s="60"/>
      <c r="J216" s="14"/>
      <c r="K216" s="14"/>
      <c r="L216" s="14"/>
    </row>
    <row r="217">
      <c r="C217" s="60"/>
      <c r="D217" s="60"/>
      <c r="J217" s="14"/>
      <c r="K217" s="14"/>
      <c r="L217" s="14"/>
    </row>
    <row r="218">
      <c r="C218" s="60"/>
      <c r="D218" s="60"/>
      <c r="J218" s="14"/>
      <c r="K218" s="14"/>
      <c r="L218" s="14"/>
    </row>
    <row r="219">
      <c r="C219" s="60"/>
      <c r="D219" s="60"/>
      <c r="J219" s="14"/>
      <c r="K219" s="14"/>
      <c r="L219" s="14"/>
    </row>
    <row r="220">
      <c r="C220" s="60"/>
      <c r="D220" s="60"/>
      <c r="J220" s="14"/>
      <c r="K220" s="14"/>
      <c r="L220" s="14"/>
    </row>
    <row r="221">
      <c r="C221" s="60"/>
      <c r="D221" s="60"/>
      <c r="J221" s="14"/>
      <c r="K221" s="14"/>
      <c r="L221" s="14"/>
    </row>
    <row r="222">
      <c r="C222" s="60"/>
      <c r="D222" s="60"/>
      <c r="J222" s="14"/>
      <c r="K222" s="14"/>
      <c r="L222" s="14"/>
    </row>
    <row r="223">
      <c r="C223" s="60"/>
      <c r="D223" s="60"/>
      <c r="J223" s="14"/>
      <c r="K223" s="14"/>
      <c r="L223" s="14"/>
    </row>
    <row r="224">
      <c r="C224" s="60"/>
      <c r="D224" s="60"/>
      <c r="J224" s="14"/>
      <c r="K224" s="14"/>
      <c r="L224" s="14"/>
    </row>
    <row r="225">
      <c r="C225" s="60"/>
      <c r="D225" s="60"/>
      <c r="J225" s="14"/>
      <c r="K225" s="14"/>
      <c r="L225" s="14"/>
    </row>
    <row r="226">
      <c r="C226" s="60"/>
      <c r="D226" s="60"/>
      <c r="J226" s="14"/>
      <c r="K226" s="14"/>
      <c r="L226" s="14"/>
    </row>
    <row r="227">
      <c r="C227" s="60"/>
      <c r="D227" s="60"/>
      <c r="J227" s="14"/>
      <c r="K227" s="14"/>
      <c r="L227" s="14"/>
    </row>
    <row r="228">
      <c r="C228" s="60"/>
      <c r="D228" s="60"/>
      <c r="J228" s="14"/>
      <c r="K228" s="14"/>
      <c r="L228" s="14"/>
    </row>
    <row r="229">
      <c r="C229" s="60"/>
      <c r="D229" s="60"/>
      <c r="J229" s="14"/>
      <c r="K229" s="14"/>
      <c r="L229" s="14"/>
    </row>
    <row r="230">
      <c r="C230" s="60"/>
      <c r="D230" s="60"/>
      <c r="J230" s="14"/>
      <c r="K230" s="14"/>
      <c r="L230" s="14"/>
    </row>
    <row r="231">
      <c r="C231" s="60"/>
      <c r="D231" s="60"/>
      <c r="J231" s="14"/>
      <c r="K231" s="14"/>
      <c r="L231" s="14"/>
    </row>
    <row r="232">
      <c r="C232" s="60"/>
      <c r="D232" s="60"/>
      <c r="J232" s="14"/>
      <c r="K232" s="14"/>
      <c r="L232" s="14"/>
    </row>
    <row r="233">
      <c r="C233" s="60"/>
      <c r="D233" s="60"/>
      <c r="J233" s="14"/>
      <c r="K233" s="14"/>
      <c r="L233" s="14"/>
    </row>
    <row r="234">
      <c r="C234" s="60"/>
      <c r="D234" s="60"/>
      <c r="J234" s="14"/>
      <c r="K234" s="14"/>
      <c r="L234" s="14"/>
    </row>
    <row r="235">
      <c r="C235" s="60"/>
      <c r="D235" s="60"/>
      <c r="J235" s="14"/>
      <c r="K235" s="14"/>
      <c r="L235" s="14"/>
    </row>
    <row r="236">
      <c r="C236" s="60"/>
      <c r="D236" s="60"/>
      <c r="J236" s="14"/>
      <c r="K236" s="14"/>
      <c r="L236" s="14"/>
    </row>
    <row r="237">
      <c r="C237" s="60"/>
      <c r="D237" s="60"/>
      <c r="J237" s="14"/>
      <c r="K237" s="14"/>
      <c r="L237" s="14"/>
    </row>
    <row r="238">
      <c r="C238" s="60"/>
      <c r="D238" s="60"/>
      <c r="J238" s="14"/>
      <c r="K238" s="14"/>
      <c r="L238" s="14"/>
    </row>
    <row r="239">
      <c r="C239" s="60"/>
      <c r="D239" s="60"/>
      <c r="J239" s="14"/>
      <c r="K239" s="14"/>
      <c r="L239" s="14"/>
    </row>
    <row r="240">
      <c r="C240" s="60"/>
      <c r="D240" s="60"/>
      <c r="J240" s="14"/>
      <c r="K240" s="14"/>
      <c r="L240" s="14"/>
    </row>
    <row r="241">
      <c r="C241" s="60"/>
      <c r="D241" s="60"/>
      <c r="J241" s="14"/>
      <c r="K241" s="14"/>
      <c r="L241" s="14"/>
    </row>
    <row r="242">
      <c r="C242" s="60"/>
      <c r="D242" s="60"/>
      <c r="J242" s="14"/>
      <c r="K242" s="14"/>
      <c r="L242" s="14"/>
    </row>
    <row r="243">
      <c r="C243" s="60"/>
      <c r="D243" s="60"/>
      <c r="J243" s="14"/>
      <c r="K243" s="14"/>
      <c r="L243" s="14"/>
    </row>
    <row r="244">
      <c r="C244" s="60"/>
      <c r="D244" s="60"/>
      <c r="J244" s="14"/>
      <c r="K244" s="14"/>
      <c r="L244" s="14"/>
    </row>
    <row r="245">
      <c r="C245" s="60"/>
      <c r="D245" s="60"/>
      <c r="J245" s="14"/>
      <c r="K245" s="14"/>
      <c r="L245" s="14"/>
    </row>
    <row r="246">
      <c r="C246" s="60"/>
      <c r="D246" s="60"/>
      <c r="J246" s="14"/>
      <c r="K246" s="14"/>
      <c r="L246" s="14"/>
    </row>
    <row r="247">
      <c r="C247" s="60"/>
      <c r="D247" s="60"/>
      <c r="J247" s="14"/>
      <c r="K247" s="14"/>
      <c r="L247" s="14"/>
    </row>
    <row r="248">
      <c r="C248" s="60"/>
      <c r="D248" s="60"/>
      <c r="J248" s="14"/>
      <c r="K248" s="14"/>
      <c r="L248" s="14"/>
    </row>
    <row r="249">
      <c r="C249" s="60"/>
      <c r="D249" s="60"/>
      <c r="J249" s="14"/>
      <c r="K249" s="14"/>
      <c r="L249" s="14"/>
    </row>
    <row r="250">
      <c r="C250" s="60"/>
      <c r="D250" s="60"/>
      <c r="J250" s="14"/>
      <c r="K250" s="14"/>
      <c r="L250" s="14"/>
    </row>
    <row r="251">
      <c r="C251" s="60"/>
      <c r="D251" s="60"/>
      <c r="J251" s="14"/>
      <c r="K251" s="14"/>
      <c r="L251" s="14"/>
    </row>
    <row r="252">
      <c r="C252" s="60"/>
      <c r="D252" s="60"/>
      <c r="J252" s="14"/>
      <c r="K252" s="14"/>
      <c r="L252" s="14"/>
    </row>
    <row r="253">
      <c r="C253" s="60"/>
      <c r="D253" s="60"/>
      <c r="J253" s="14"/>
      <c r="K253" s="14"/>
      <c r="L253" s="14"/>
    </row>
    <row r="254">
      <c r="C254" s="60"/>
      <c r="D254" s="60"/>
      <c r="J254" s="14"/>
      <c r="K254" s="14"/>
      <c r="L254" s="14"/>
    </row>
    <row r="255">
      <c r="C255" s="60"/>
      <c r="D255" s="60"/>
      <c r="J255" s="14"/>
      <c r="K255" s="14"/>
      <c r="L255" s="14"/>
    </row>
    <row r="256">
      <c r="C256" s="60"/>
      <c r="D256" s="60"/>
      <c r="J256" s="14"/>
      <c r="K256" s="14"/>
      <c r="L256" s="14"/>
    </row>
    <row r="257">
      <c r="C257" s="60"/>
      <c r="D257" s="60"/>
      <c r="J257" s="14"/>
      <c r="K257" s="14"/>
      <c r="L257" s="14"/>
    </row>
    <row r="258">
      <c r="C258" s="60"/>
      <c r="D258" s="60"/>
      <c r="J258" s="14"/>
      <c r="K258" s="14"/>
      <c r="L258" s="14"/>
    </row>
    <row r="259">
      <c r="C259" s="60"/>
      <c r="D259" s="60"/>
      <c r="J259" s="14"/>
      <c r="K259" s="14"/>
      <c r="L259" s="14"/>
    </row>
    <row r="260">
      <c r="C260" s="60"/>
      <c r="D260" s="60"/>
      <c r="J260" s="14"/>
      <c r="K260" s="14"/>
      <c r="L260" s="14"/>
    </row>
    <row r="261">
      <c r="C261" s="60"/>
      <c r="D261" s="60"/>
      <c r="J261" s="14"/>
      <c r="K261" s="14"/>
      <c r="L261" s="14"/>
    </row>
    <row r="262">
      <c r="C262" s="60"/>
      <c r="D262" s="60"/>
      <c r="J262" s="14"/>
      <c r="K262" s="14"/>
      <c r="L262" s="14"/>
    </row>
    <row r="263">
      <c r="C263" s="60"/>
      <c r="D263" s="60"/>
      <c r="J263" s="14"/>
      <c r="K263" s="14"/>
      <c r="L263" s="14"/>
    </row>
    <row r="264">
      <c r="C264" s="60"/>
      <c r="D264" s="60"/>
      <c r="J264" s="14"/>
      <c r="K264" s="14"/>
      <c r="L264" s="14"/>
    </row>
    <row r="265">
      <c r="C265" s="60"/>
      <c r="D265" s="60"/>
      <c r="J265" s="14"/>
      <c r="K265" s="14"/>
      <c r="L265" s="14"/>
    </row>
    <row r="266">
      <c r="C266" s="60"/>
      <c r="D266" s="60"/>
      <c r="J266" s="14"/>
      <c r="K266" s="14"/>
      <c r="L266" s="14"/>
    </row>
    <row r="267">
      <c r="C267" s="60"/>
      <c r="D267" s="60"/>
      <c r="J267" s="14"/>
      <c r="K267" s="14"/>
      <c r="L267" s="14"/>
    </row>
    <row r="268">
      <c r="C268" s="60"/>
      <c r="D268" s="60"/>
      <c r="J268" s="14"/>
      <c r="K268" s="14"/>
      <c r="L268" s="14"/>
    </row>
    <row r="269">
      <c r="C269" s="60"/>
      <c r="D269" s="60"/>
      <c r="J269" s="14"/>
      <c r="K269" s="14"/>
      <c r="L269" s="14"/>
    </row>
    <row r="270">
      <c r="C270" s="60"/>
      <c r="D270" s="60"/>
      <c r="J270" s="14"/>
      <c r="K270" s="14"/>
      <c r="L270" s="14"/>
    </row>
    <row r="271">
      <c r="C271" s="60"/>
      <c r="D271" s="60"/>
      <c r="J271" s="14"/>
      <c r="K271" s="14"/>
      <c r="L271" s="14"/>
    </row>
    <row r="272">
      <c r="C272" s="60"/>
      <c r="D272" s="60"/>
      <c r="J272" s="14"/>
      <c r="K272" s="14"/>
      <c r="L272" s="14"/>
    </row>
    <row r="273">
      <c r="C273" s="60"/>
      <c r="D273" s="60"/>
      <c r="J273" s="14"/>
      <c r="K273" s="14"/>
      <c r="L273" s="14"/>
    </row>
    <row r="274">
      <c r="C274" s="60"/>
      <c r="D274" s="60"/>
      <c r="J274" s="14"/>
      <c r="K274" s="14"/>
      <c r="L274" s="14"/>
    </row>
    <row r="275">
      <c r="C275" s="60"/>
      <c r="D275" s="60"/>
      <c r="J275" s="14"/>
      <c r="K275" s="14"/>
      <c r="L275" s="14"/>
    </row>
    <row r="276">
      <c r="C276" s="60"/>
      <c r="D276" s="60"/>
      <c r="J276" s="14"/>
      <c r="K276" s="14"/>
      <c r="L276" s="14"/>
    </row>
    <row r="277">
      <c r="C277" s="60"/>
      <c r="D277" s="60"/>
      <c r="J277" s="14"/>
      <c r="K277" s="14"/>
      <c r="L277" s="14"/>
    </row>
    <row r="278">
      <c r="C278" s="60"/>
      <c r="D278" s="60"/>
      <c r="J278" s="14"/>
      <c r="K278" s="14"/>
      <c r="L278" s="14"/>
    </row>
    <row r="279">
      <c r="C279" s="60"/>
      <c r="D279" s="60"/>
      <c r="J279" s="14"/>
      <c r="K279" s="14"/>
      <c r="L279" s="14"/>
    </row>
    <row r="280">
      <c r="C280" s="60"/>
      <c r="D280" s="60"/>
      <c r="J280" s="14"/>
      <c r="K280" s="14"/>
      <c r="L280" s="14"/>
    </row>
    <row r="281">
      <c r="C281" s="60"/>
      <c r="D281" s="60"/>
      <c r="J281" s="14"/>
      <c r="K281" s="14"/>
      <c r="L281" s="14"/>
    </row>
    <row r="282">
      <c r="C282" s="60"/>
      <c r="D282" s="60"/>
      <c r="J282" s="14"/>
      <c r="K282" s="14"/>
      <c r="L282" s="14"/>
    </row>
    <row r="283">
      <c r="C283" s="60"/>
      <c r="D283" s="60"/>
      <c r="J283" s="14"/>
      <c r="K283" s="14"/>
      <c r="L283" s="14"/>
    </row>
    <row r="284">
      <c r="C284" s="60"/>
      <c r="D284" s="60"/>
      <c r="J284" s="14"/>
      <c r="K284" s="14"/>
      <c r="L284" s="14"/>
    </row>
    <row r="285">
      <c r="C285" s="60"/>
      <c r="D285" s="60"/>
      <c r="J285" s="14"/>
      <c r="K285" s="14"/>
      <c r="L285" s="14"/>
    </row>
    <row r="286">
      <c r="C286" s="60"/>
      <c r="D286" s="60"/>
      <c r="J286" s="14"/>
      <c r="K286" s="14"/>
      <c r="L286" s="14"/>
    </row>
    <row r="287">
      <c r="C287" s="60"/>
      <c r="D287" s="60"/>
      <c r="J287" s="14"/>
      <c r="K287" s="14"/>
      <c r="L287" s="14"/>
    </row>
    <row r="288">
      <c r="C288" s="60"/>
      <c r="D288" s="60"/>
      <c r="J288" s="14"/>
      <c r="K288" s="14"/>
      <c r="L288" s="14"/>
    </row>
    <row r="289">
      <c r="C289" s="60"/>
      <c r="D289" s="60"/>
      <c r="J289" s="14"/>
      <c r="K289" s="14"/>
      <c r="L289" s="14"/>
    </row>
    <row r="290">
      <c r="C290" s="60"/>
      <c r="D290" s="60"/>
      <c r="J290" s="14"/>
      <c r="K290" s="14"/>
      <c r="L290" s="14"/>
    </row>
    <row r="291">
      <c r="C291" s="60"/>
      <c r="D291" s="60"/>
      <c r="J291" s="14"/>
      <c r="K291" s="14"/>
      <c r="L291" s="14"/>
    </row>
    <row r="292">
      <c r="C292" s="60"/>
      <c r="D292" s="60"/>
      <c r="J292" s="14"/>
      <c r="K292" s="14"/>
      <c r="L292" s="14"/>
    </row>
    <row r="293">
      <c r="C293" s="60"/>
      <c r="D293" s="60"/>
      <c r="J293" s="14"/>
      <c r="K293" s="14"/>
      <c r="L293" s="14"/>
    </row>
    <row r="294">
      <c r="C294" s="60"/>
      <c r="D294" s="60"/>
      <c r="J294" s="14"/>
      <c r="K294" s="14"/>
      <c r="L294" s="14"/>
    </row>
    <row r="295">
      <c r="C295" s="60"/>
      <c r="D295" s="60"/>
      <c r="J295" s="14"/>
      <c r="K295" s="14"/>
      <c r="L295" s="14"/>
    </row>
    <row r="296">
      <c r="C296" s="60"/>
      <c r="D296" s="60"/>
      <c r="J296" s="14"/>
      <c r="K296" s="14"/>
      <c r="L296" s="14"/>
    </row>
    <row r="297">
      <c r="C297" s="60"/>
      <c r="D297" s="60"/>
      <c r="J297" s="14"/>
      <c r="K297" s="14"/>
      <c r="L297" s="14"/>
    </row>
    <row r="298">
      <c r="C298" s="60"/>
      <c r="D298" s="60"/>
      <c r="J298" s="14"/>
      <c r="K298" s="14"/>
      <c r="L298" s="14"/>
    </row>
    <row r="299">
      <c r="C299" s="60"/>
      <c r="D299" s="60"/>
      <c r="J299" s="14"/>
      <c r="K299" s="14"/>
      <c r="L299" s="14"/>
    </row>
    <row r="300">
      <c r="C300" s="60"/>
      <c r="D300" s="60"/>
      <c r="J300" s="14"/>
      <c r="K300" s="14"/>
      <c r="L300" s="14"/>
    </row>
    <row r="301">
      <c r="C301" s="60"/>
      <c r="D301" s="60"/>
      <c r="J301" s="14"/>
      <c r="K301" s="14"/>
      <c r="L301" s="14"/>
    </row>
    <row r="302">
      <c r="C302" s="60"/>
      <c r="D302" s="60"/>
      <c r="J302" s="14"/>
      <c r="K302" s="14"/>
      <c r="L302" s="14"/>
    </row>
    <row r="303">
      <c r="C303" s="60"/>
      <c r="D303" s="60"/>
      <c r="J303" s="14"/>
      <c r="K303" s="14"/>
      <c r="L303" s="14"/>
    </row>
    <row r="304">
      <c r="C304" s="60"/>
      <c r="D304" s="60"/>
      <c r="J304" s="14"/>
      <c r="K304" s="14"/>
      <c r="L304" s="14"/>
    </row>
    <row r="305">
      <c r="C305" s="60"/>
      <c r="D305" s="60"/>
      <c r="J305" s="14"/>
      <c r="K305" s="14"/>
      <c r="L305" s="14"/>
    </row>
    <row r="306">
      <c r="C306" s="60"/>
      <c r="D306" s="60"/>
      <c r="J306" s="14"/>
      <c r="K306" s="14"/>
      <c r="L306" s="14"/>
    </row>
    <row r="307">
      <c r="C307" s="60"/>
      <c r="D307" s="60"/>
      <c r="J307" s="14"/>
      <c r="K307" s="14"/>
      <c r="L307" s="14"/>
    </row>
    <row r="308">
      <c r="C308" s="60"/>
      <c r="D308" s="60"/>
      <c r="J308" s="14"/>
      <c r="K308" s="14"/>
      <c r="L308" s="14"/>
    </row>
    <row r="309">
      <c r="C309" s="60"/>
      <c r="D309" s="60"/>
      <c r="J309" s="14"/>
      <c r="K309" s="14"/>
      <c r="L309" s="14"/>
    </row>
    <row r="310">
      <c r="C310" s="60"/>
      <c r="D310" s="60"/>
      <c r="J310" s="14"/>
      <c r="K310" s="14"/>
      <c r="L310" s="14"/>
    </row>
    <row r="311">
      <c r="C311" s="60"/>
      <c r="D311" s="60"/>
      <c r="J311" s="14"/>
      <c r="K311" s="14"/>
      <c r="L311" s="14"/>
    </row>
    <row r="312">
      <c r="C312" s="60"/>
      <c r="D312" s="60"/>
      <c r="J312" s="14"/>
      <c r="K312" s="14"/>
      <c r="L312" s="14"/>
    </row>
    <row r="313">
      <c r="C313" s="60"/>
      <c r="D313" s="60"/>
      <c r="J313" s="14"/>
      <c r="K313" s="14"/>
      <c r="L313" s="14"/>
    </row>
    <row r="314">
      <c r="C314" s="60"/>
      <c r="D314" s="60"/>
      <c r="J314" s="14"/>
      <c r="K314" s="14"/>
      <c r="L314" s="14"/>
    </row>
    <row r="315">
      <c r="C315" s="60"/>
      <c r="D315" s="60"/>
      <c r="J315" s="14"/>
      <c r="K315" s="14"/>
      <c r="L315" s="14"/>
    </row>
    <row r="316">
      <c r="C316" s="60"/>
      <c r="D316" s="60"/>
      <c r="J316" s="14"/>
      <c r="K316" s="14"/>
      <c r="L316" s="14"/>
    </row>
    <row r="317">
      <c r="C317" s="60"/>
      <c r="D317" s="60"/>
      <c r="J317" s="14"/>
      <c r="K317" s="14"/>
      <c r="L317" s="14"/>
    </row>
    <row r="318">
      <c r="C318" s="60"/>
      <c r="D318" s="60"/>
      <c r="J318" s="14"/>
      <c r="K318" s="14"/>
      <c r="L318" s="14"/>
    </row>
    <row r="319">
      <c r="C319" s="60"/>
      <c r="D319" s="60"/>
      <c r="J319" s="14"/>
      <c r="K319" s="14"/>
      <c r="L319" s="14"/>
    </row>
    <row r="320">
      <c r="C320" s="60"/>
      <c r="D320" s="60"/>
      <c r="J320" s="14"/>
      <c r="K320" s="14"/>
      <c r="L320" s="14"/>
    </row>
    <row r="321">
      <c r="C321" s="60"/>
      <c r="D321" s="60"/>
      <c r="J321" s="14"/>
      <c r="K321" s="14"/>
      <c r="L321" s="14"/>
    </row>
    <row r="322">
      <c r="C322" s="60"/>
      <c r="D322" s="60"/>
      <c r="J322" s="14"/>
      <c r="K322" s="14"/>
      <c r="L322" s="14"/>
    </row>
    <row r="323">
      <c r="C323" s="60"/>
      <c r="D323" s="60"/>
      <c r="J323" s="14"/>
      <c r="K323" s="14"/>
      <c r="L323" s="14"/>
    </row>
    <row r="324">
      <c r="C324" s="60"/>
      <c r="D324" s="60"/>
      <c r="J324" s="14"/>
      <c r="K324" s="14"/>
      <c r="L324" s="14"/>
    </row>
    <row r="325">
      <c r="C325" s="60"/>
      <c r="D325" s="60"/>
      <c r="J325" s="14"/>
      <c r="K325" s="14"/>
      <c r="L325" s="14"/>
    </row>
    <row r="326">
      <c r="C326" s="60"/>
      <c r="D326" s="60"/>
      <c r="J326" s="14"/>
      <c r="K326" s="14"/>
      <c r="L326" s="14"/>
    </row>
    <row r="327">
      <c r="C327" s="60"/>
      <c r="D327" s="60"/>
      <c r="J327" s="14"/>
      <c r="K327" s="14"/>
      <c r="L327" s="14"/>
    </row>
    <row r="328">
      <c r="C328" s="60"/>
      <c r="D328" s="60"/>
      <c r="J328" s="14"/>
      <c r="K328" s="14"/>
      <c r="L328" s="14"/>
    </row>
    <row r="329">
      <c r="C329" s="60"/>
      <c r="D329" s="60"/>
      <c r="J329" s="14"/>
      <c r="K329" s="14"/>
      <c r="L329" s="14"/>
    </row>
    <row r="330">
      <c r="C330" s="60"/>
      <c r="D330" s="60"/>
      <c r="J330" s="14"/>
      <c r="K330" s="14"/>
      <c r="L330" s="14"/>
    </row>
    <row r="331">
      <c r="C331" s="60"/>
      <c r="D331" s="60"/>
      <c r="J331" s="14"/>
      <c r="K331" s="14"/>
      <c r="L331" s="14"/>
    </row>
    <row r="332">
      <c r="C332" s="60"/>
      <c r="D332" s="60"/>
      <c r="J332" s="14"/>
      <c r="K332" s="14"/>
      <c r="L332" s="14"/>
    </row>
    <row r="333">
      <c r="C333" s="60"/>
      <c r="D333" s="60"/>
      <c r="J333" s="14"/>
      <c r="K333" s="14"/>
      <c r="L333" s="14"/>
    </row>
    <row r="334">
      <c r="C334" s="60"/>
      <c r="D334" s="60"/>
      <c r="J334" s="14"/>
      <c r="K334" s="14"/>
      <c r="L334" s="14"/>
    </row>
    <row r="335">
      <c r="C335" s="60"/>
      <c r="D335" s="60"/>
      <c r="J335" s="14"/>
      <c r="K335" s="14"/>
      <c r="L335" s="14"/>
    </row>
    <row r="336">
      <c r="C336" s="60"/>
      <c r="D336" s="60"/>
      <c r="J336" s="14"/>
      <c r="K336" s="14"/>
      <c r="L336" s="14"/>
    </row>
    <row r="337">
      <c r="C337" s="60"/>
      <c r="D337" s="60"/>
      <c r="J337" s="14"/>
      <c r="K337" s="14"/>
      <c r="L337" s="14"/>
    </row>
    <row r="338">
      <c r="C338" s="60"/>
      <c r="D338" s="60"/>
      <c r="J338" s="14"/>
      <c r="K338" s="14"/>
      <c r="L338" s="14"/>
    </row>
    <row r="339">
      <c r="C339" s="60"/>
      <c r="D339" s="60"/>
      <c r="J339" s="14"/>
      <c r="K339" s="14"/>
      <c r="L339" s="14"/>
    </row>
    <row r="340">
      <c r="C340" s="60"/>
      <c r="D340" s="60"/>
      <c r="J340" s="14"/>
      <c r="K340" s="14"/>
      <c r="L340" s="14"/>
    </row>
    <row r="341">
      <c r="C341" s="60"/>
      <c r="D341" s="60"/>
      <c r="J341" s="14"/>
      <c r="K341" s="14"/>
      <c r="L341" s="14"/>
    </row>
    <row r="342">
      <c r="C342" s="60"/>
      <c r="D342" s="60"/>
      <c r="J342" s="14"/>
      <c r="K342" s="14"/>
      <c r="L342" s="14"/>
    </row>
    <row r="343">
      <c r="C343" s="60"/>
      <c r="D343" s="60"/>
      <c r="J343" s="14"/>
      <c r="K343" s="14"/>
      <c r="L343" s="14"/>
    </row>
    <row r="344">
      <c r="C344" s="60"/>
      <c r="D344" s="60"/>
      <c r="J344" s="14"/>
      <c r="K344" s="14"/>
      <c r="L344" s="14"/>
    </row>
    <row r="345">
      <c r="C345" s="60"/>
      <c r="D345" s="60"/>
      <c r="J345" s="14"/>
      <c r="K345" s="14"/>
      <c r="L345" s="14"/>
    </row>
    <row r="346">
      <c r="C346" s="60"/>
      <c r="D346" s="60"/>
      <c r="J346" s="14"/>
      <c r="K346" s="14"/>
      <c r="L346" s="14"/>
    </row>
    <row r="347">
      <c r="C347" s="60"/>
      <c r="D347" s="60"/>
      <c r="J347" s="14"/>
      <c r="K347" s="14"/>
      <c r="L347" s="14"/>
    </row>
    <row r="348">
      <c r="C348" s="60"/>
      <c r="D348" s="60"/>
      <c r="J348" s="14"/>
      <c r="K348" s="14"/>
      <c r="L348" s="14"/>
    </row>
    <row r="349">
      <c r="C349" s="60"/>
      <c r="D349" s="60"/>
      <c r="J349" s="14"/>
      <c r="K349" s="14"/>
      <c r="L349" s="14"/>
    </row>
    <row r="350">
      <c r="C350" s="60"/>
      <c r="D350" s="60"/>
      <c r="J350" s="14"/>
      <c r="K350" s="14"/>
      <c r="L350" s="14"/>
    </row>
    <row r="351">
      <c r="C351" s="60"/>
      <c r="D351" s="60"/>
      <c r="J351" s="14"/>
      <c r="K351" s="14"/>
      <c r="L351" s="14"/>
    </row>
    <row r="352">
      <c r="C352" s="60"/>
      <c r="D352" s="60"/>
      <c r="J352" s="14"/>
      <c r="K352" s="14"/>
      <c r="L352" s="14"/>
    </row>
    <row r="353">
      <c r="C353" s="60"/>
      <c r="D353" s="60"/>
      <c r="J353" s="14"/>
      <c r="K353" s="14"/>
      <c r="L353" s="14"/>
    </row>
    <row r="354">
      <c r="C354" s="60"/>
      <c r="D354" s="60"/>
      <c r="J354" s="14"/>
      <c r="K354" s="14"/>
      <c r="L354" s="14"/>
    </row>
    <row r="355">
      <c r="C355" s="60"/>
      <c r="D355" s="60"/>
      <c r="J355" s="14"/>
      <c r="K355" s="14"/>
      <c r="L355" s="14"/>
    </row>
    <row r="356">
      <c r="C356" s="60"/>
      <c r="D356" s="60"/>
      <c r="J356" s="14"/>
      <c r="K356" s="14"/>
      <c r="L356" s="14"/>
    </row>
    <row r="357">
      <c r="C357" s="60"/>
      <c r="D357" s="60"/>
      <c r="J357" s="14"/>
      <c r="K357" s="14"/>
      <c r="L357" s="14"/>
    </row>
    <row r="358">
      <c r="C358" s="60"/>
      <c r="D358" s="60"/>
      <c r="J358" s="14"/>
      <c r="K358" s="14"/>
      <c r="L358" s="14"/>
    </row>
    <row r="359">
      <c r="C359" s="60"/>
      <c r="D359" s="60"/>
      <c r="J359" s="14"/>
      <c r="K359" s="14"/>
      <c r="L359" s="14"/>
    </row>
    <row r="360">
      <c r="C360" s="60"/>
      <c r="D360" s="60"/>
      <c r="J360" s="14"/>
      <c r="K360" s="14"/>
      <c r="L360" s="14"/>
    </row>
    <row r="361">
      <c r="C361" s="60"/>
      <c r="D361" s="60"/>
      <c r="J361" s="14"/>
      <c r="K361" s="14"/>
      <c r="L361" s="14"/>
    </row>
    <row r="362">
      <c r="C362" s="60"/>
      <c r="D362" s="60"/>
      <c r="J362" s="14"/>
      <c r="K362" s="14"/>
      <c r="L362" s="14"/>
    </row>
    <row r="363">
      <c r="C363" s="60"/>
      <c r="D363" s="60"/>
      <c r="J363" s="14"/>
      <c r="K363" s="14"/>
      <c r="L363" s="14"/>
    </row>
    <row r="364">
      <c r="C364" s="60"/>
      <c r="D364" s="60"/>
      <c r="J364" s="14"/>
      <c r="K364" s="14"/>
      <c r="L364" s="14"/>
    </row>
    <row r="365">
      <c r="C365" s="60"/>
      <c r="D365" s="60"/>
      <c r="J365" s="14"/>
      <c r="K365" s="14"/>
      <c r="L365" s="14"/>
    </row>
    <row r="366">
      <c r="C366" s="60"/>
      <c r="D366" s="60"/>
      <c r="J366" s="14"/>
      <c r="K366" s="14"/>
      <c r="L366" s="14"/>
    </row>
    <row r="367">
      <c r="C367" s="60"/>
      <c r="D367" s="60"/>
      <c r="J367" s="14"/>
      <c r="K367" s="14"/>
      <c r="L367" s="14"/>
    </row>
    <row r="368">
      <c r="C368" s="60"/>
      <c r="D368" s="60"/>
      <c r="J368" s="14"/>
      <c r="K368" s="14"/>
      <c r="L368" s="14"/>
    </row>
    <row r="369">
      <c r="C369" s="60"/>
      <c r="D369" s="60"/>
      <c r="J369" s="14"/>
      <c r="K369" s="14"/>
      <c r="L369" s="14"/>
    </row>
    <row r="370">
      <c r="C370" s="60"/>
      <c r="D370" s="60"/>
      <c r="J370" s="14"/>
      <c r="K370" s="14"/>
      <c r="L370" s="14"/>
    </row>
    <row r="371">
      <c r="C371" s="60"/>
      <c r="D371" s="60"/>
      <c r="J371" s="14"/>
      <c r="K371" s="14"/>
      <c r="L371" s="14"/>
    </row>
    <row r="372">
      <c r="C372" s="60"/>
      <c r="D372" s="60"/>
      <c r="J372" s="14"/>
      <c r="K372" s="14"/>
      <c r="L372" s="14"/>
    </row>
    <row r="373">
      <c r="C373" s="60"/>
      <c r="D373" s="60"/>
      <c r="J373" s="14"/>
      <c r="K373" s="14"/>
      <c r="L373" s="14"/>
    </row>
    <row r="374">
      <c r="C374" s="60"/>
      <c r="D374" s="60"/>
      <c r="J374" s="14"/>
      <c r="K374" s="14"/>
      <c r="L374" s="14"/>
    </row>
    <row r="375">
      <c r="C375" s="60"/>
      <c r="D375" s="60"/>
      <c r="J375" s="14"/>
      <c r="K375" s="14"/>
      <c r="L375" s="14"/>
    </row>
    <row r="376">
      <c r="C376" s="60"/>
      <c r="D376" s="60"/>
      <c r="J376" s="14"/>
      <c r="K376" s="14"/>
      <c r="L376" s="14"/>
    </row>
    <row r="377">
      <c r="C377" s="60"/>
      <c r="D377" s="60"/>
      <c r="J377" s="14"/>
      <c r="K377" s="14"/>
      <c r="L377" s="14"/>
    </row>
    <row r="378">
      <c r="C378" s="60"/>
      <c r="D378" s="60"/>
      <c r="J378" s="14"/>
      <c r="K378" s="14"/>
      <c r="L378" s="14"/>
    </row>
    <row r="379">
      <c r="C379" s="60"/>
      <c r="D379" s="60"/>
      <c r="J379" s="14"/>
      <c r="K379" s="14"/>
      <c r="L379" s="14"/>
    </row>
    <row r="380">
      <c r="C380" s="60"/>
      <c r="D380" s="60"/>
      <c r="J380" s="14"/>
      <c r="K380" s="14"/>
      <c r="L380" s="14"/>
    </row>
    <row r="381">
      <c r="C381" s="60"/>
      <c r="D381" s="60"/>
      <c r="J381" s="14"/>
      <c r="K381" s="14"/>
      <c r="L381" s="14"/>
    </row>
    <row r="382">
      <c r="C382" s="60"/>
      <c r="D382" s="60"/>
      <c r="J382" s="14"/>
      <c r="K382" s="14"/>
      <c r="L382" s="14"/>
    </row>
    <row r="383">
      <c r="C383" s="60"/>
      <c r="D383" s="60"/>
      <c r="J383" s="14"/>
      <c r="K383" s="14"/>
      <c r="L383" s="14"/>
    </row>
    <row r="384">
      <c r="C384" s="60"/>
      <c r="D384" s="60"/>
      <c r="J384" s="14"/>
      <c r="K384" s="14"/>
      <c r="L384" s="14"/>
    </row>
    <row r="385">
      <c r="C385" s="60"/>
      <c r="D385" s="60"/>
      <c r="J385" s="14"/>
      <c r="K385" s="14"/>
      <c r="L385" s="14"/>
    </row>
    <row r="386">
      <c r="C386" s="60"/>
      <c r="D386" s="60"/>
      <c r="J386" s="14"/>
      <c r="K386" s="14"/>
      <c r="L386" s="14"/>
    </row>
    <row r="387">
      <c r="C387" s="60"/>
      <c r="D387" s="60"/>
      <c r="J387" s="14"/>
      <c r="K387" s="14"/>
      <c r="L387" s="14"/>
    </row>
    <row r="388">
      <c r="C388" s="60"/>
      <c r="D388" s="60"/>
      <c r="J388" s="14"/>
      <c r="K388" s="14"/>
      <c r="L388" s="14"/>
    </row>
    <row r="389">
      <c r="C389" s="60"/>
      <c r="D389" s="60"/>
      <c r="J389" s="14"/>
      <c r="K389" s="14"/>
      <c r="L389" s="14"/>
    </row>
    <row r="390">
      <c r="C390" s="60"/>
      <c r="D390" s="60"/>
      <c r="J390" s="14"/>
      <c r="K390" s="14"/>
      <c r="L390" s="14"/>
    </row>
    <row r="391">
      <c r="C391" s="60"/>
      <c r="D391" s="60"/>
      <c r="J391" s="14"/>
      <c r="K391" s="14"/>
      <c r="L391" s="14"/>
    </row>
    <row r="392">
      <c r="C392" s="60"/>
      <c r="D392" s="60"/>
      <c r="J392" s="14"/>
      <c r="K392" s="14"/>
      <c r="L392" s="14"/>
    </row>
    <row r="393">
      <c r="C393" s="60"/>
      <c r="D393" s="60"/>
      <c r="J393" s="14"/>
      <c r="K393" s="14"/>
      <c r="L393" s="14"/>
    </row>
    <row r="394">
      <c r="C394" s="60"/>
      <c r="D394" s="60"/>
      <c r="J394" s="14"/>
      <c r="K394" s="14"/>
      <c r="L394" s="14"/>
    </row>
    <row r="395">
      <c r="C395" s="60"/>
      <c r="D395" s="60"/>
      <c r="J395" s="14"/>
      <c r="K395" s="14"/>
      <c r="L395" s="14"/>
    </row>
    <row r="396">
      <c r="C396" s="60"/>
      <c r="D396" s="60"/>
      <c r="J396" s="14"/>
      <c r="K396" s="14"/>
      <c r="L396" s="14"/>
    </row>
    <row r="397">
      <c r="C397" s="60"/>
      <c r="D397" s="60"/>
      <c r="J397" s="14"/>
      <c r="K397" s="14"/>
      <c r="L397" s="14"/>
    </row>
    <row r="398">
      <c r="C398" s="60"/>
      <c r="D398" s="60"/>
      <c r="J398" s="14"/>
      <c r="K398" s="14"/>
      <c r="L398" s="14"/>
    </row>
    <row r="399">
      <c r="C399" s="60"/>
      <c r="D399" s="60"/>
      <c r="J399" s="14"/>
      <c r="K399" s="14"/>
      <c r="L399" s="14"/>
    </row>
    <row r="400">
      <c r="C400" s="60"/>
      <c r="D400" s="60"/>
      <c r="J400" s="14"/>
      <c r="K400" s="14"/>
      <c r="L400" s="14"/>
    </row>
    <row r="401">
      <c r="C401" s="60"/>
      <c r="D401" s="60"/>
      <c r="J401" s="14"/>
      <c r="K401" s="14"/>
      <c r="L401" s="14"/>
    </row>
    <row r="402">
      <c r="C402" s="60"/>
      <c r="D402" s="60"/>
      <c r="J402" s="14"/>
      <c r="K402" s="14"/>
      <c r="L402" s="14"/>
    </row>
    <row r="403">
      <c r="C403" s="60"/>
      <c r="D403" s="60"/>
      <c r="J403" s="14"/>
      <c r="K403" s="14"/>
      <c r="L403" s="14"/>
    </row>
    <row r="404">
      <c r="C404" s="60"/>
      <c r="D404" s="60"/>
      <c r="J404" s="14"/>
      <c r="K404" s="14"/>
      <c r="L404" s="14"/>
    </row>
    <row r="405">
      <c r="C405" s="60"/>
      <c r="D405" s="60"/>
      <c r="J405" s="14"/>
      <c r="K405" s="14"/>
      <c r="L405" s="14"/>
    </row>
    <row r="406">
      <c r="C406" s="60"/>
      <c r="D406" s="60"/>
      <c r="J406" s="14"/>
      <c r="K406" s="14"/>
      <c r="L406" s="14"/>
    </row>
    <row r="407">
      <c r="C407" s="60"/>
      <c r="D407" s="60"/>
      <c r="J407" s="14"/>
      <c r="K407" s="14"/>
      <c r="L407" s="14"/>
    </row>
    <row r="408">
      <c r="C408" s="60"/>
      <c r="D408" s="60"/>
      <c r="J408" s="14"/>
      <c r="K408" s="14"/>
      <c r="L408" s="14"/>
    </row>
    <row r="409">
      <c r="C409" s="60"/>
      <c r="D409" s="60"/>
      <c r="J409" s="14"/>
      <c r="K409" s="14"/>
      <c r="L409" s="14"/>
    </row>
    <row r="410">
      <c r="C410" s="60"/>
      <c r="D410" s="60"/>
      <c r="J410" s="14"/>
      <c r="K410" s="14"/>
      <c r="L410" s="14"/>
    </row>
    <row r="411">
      <c r="C411" s="60"/>
      <c r="D411" s="60"/>
      <c r="J411" s="14"/>
      <c r="K411" s="14"/>
      <c r="L411" s="14"/>
    </row>
    <row r="412">
      <c r="C412" s="60"/>
      <c r="D412" s="60"/>
      <c r="J412" s="14"/>
      <c r="K412" s="14"/>
      <c r="L412" s="14"/>
    </row>
    <row r="413">
      <c r="C413" s="60"/>
      <c r="D413" s="60"/>
      <c r="J413" s="14"/>
      <c r="K413" s="14"/>
      <c r="L413" s="14"/>
    </row>
    <row r="414">
      <c r="C414" s="60"/>
      <c r="D414" s="60"/>
      <c r="J414" s="14"/>
      <c r="K414" s="14"/>
      <c r="L414" s="14"/>
    </row>
    <row r="415">
      <c r="C415" s="60"/>
      <c r="D415" s="60"/>
      <c r="J415" s="14"/>
      <c r="K415" s="14"/>
      <c r="L415" s="14"/>
    </row>
    <row r="416">
      <c r="C416" s="60"/>
      <c r="D416" s="60"/>
      <c r="J416" s="14"/>
      <c r="K416" s="14"/>
      <c r="L416" s="14"/>
    </row>
    <row r="417">
      <c r="C417" s="60"/>
      <c r="D417" s="60"/>
      <c r="J417" s="14"/>
      <c r="K417" s="14"/>
      <c r="L417" s="14"/>
    </row>
    <row r="418">
      <c r="C418" s="60"/>
      <c r="D418" s="60"/>
      <c r="J418" s="14"/>
      <c r="K418" s="14"/>
      <c r="L418" s="14"/>
    </row>
    <row r="419">
      <c r="C419" s="60"/>
      <c r="D419" s="60"/>
      <c r="J419" s="14"/>
      <c r="K419" s="14"/>
      <c r="L419" s="14"/>
    </row>
    <row r="420">
      <c r="C420" s="60"/>
      <c r="D420" s="60"/>
      <c r="J420" s="14"/>
      <c r="K420" s="14"/>
      <c r="L420" s="14"/>
    </row>
    <row r="421">
      <c r="C421" s="60"/>
      <c r="D421" s="60"/>
      <c r="J421" s="14"/>
      <c r="K421" s="14"/>
      <c r="L421" s="14"/>
    </row>
    <row r="422">
      <c r="C422" s="60"/>
      <c r="D422" s="60"/>
      <c r="J422" s="14"/>
      <c r="K422" s="14"/>
      <c r="L422" s="14"/>
    </row>
    <row r="423">
      <c r="C423" s="60"/>
      <c r="D423" s="60"/>
      <c r="J423" s="14"/>
      <c r="K423" s="14"/>
      <c r="L423" s="14"/>
    </row>
    <row r="424">
      <c r="C424" s="60"/>
      <c r="D424" s="60"/>
      <c r="J424" s="14"/>
      <c r="K424" s="14"/>
      <c r="L424" s="14"/>
    </row>
    <row r="425">
      <c r="C425" s="60"/>
      <c r="D425" s="60"/>
      <c r="J425" s="14"/>
      <c r="K425" s="14"/>
      <c r="L425" s="14"/>
    </row>
    <row r="426">
      <c r="C426" s="60"/>
      <c r="D426" s="60"/>
      <c r="J426" s="14"/>
      <c r="K426" s="14"/>
      <c r="L426" s="14"/>
    </row>
    <row r="427">
      <c r="C427" s="60"/>
      <c r="D427" s="60"/>
      <c r="J427" s="14"/>
      <c r="K427" s="14"/>
      <c r="L427" s="14"/>
    </row>
    <row r="428">
      <c r="C428" s="60"/>
      <c r="D428" s="60"/>
      <c r="J428" s="14"/>
      <c r="K428" s="14"/>
      <c r="L428" s="14"/>
    </row>
    <row r="429">
      <c r="C429" s="60"/>
      <c r="D429" s="60"/>
      <c r="J429" s="14"/>
      <c r="K429" s="14"/>
      <c r="L429" s="14"/>
    </row>
    <row r="430">
      <c r="C430" s="60"/>
      <c r="D430" s="60"/>
      <c r="J430" s="14"/>
      <c r="K430" s="14"/>
      <c r="L430" s="14"/>
    </row>
    <row r="431">
      <c r="C431" s="60"/>
      <c r="D431" s="60"/>
      <c r="J431" s="14"/>
      <c r="K431" s="14"/>
      <c r="L431" s="14"/>
    </row>
    <row r="432">
      <c r="C432" s="60"/>
      <c r="D432" s="60"/>
      <c r="J432" s="14"/>
      <c r="K432" s="14"/>
      <c r="L432" s="14"/>
    </row>
    <row r="433">
      <c r="C433" s="60"/>
      <c r="D433" s="60"/>
      <c r="J433" s="14"/>
      <c r="K433" s="14"/>
      <c r="L433" s="14"/>
    </row>
    <row r="434">
      <c r="C434" s="60"/>
      <c r="D434" s="60"/>
      <c r="J434" s="14"/>
      <c r="K434" s="14"/>
      <c r="L434" s="14"/>
    </row>
    <row r="435">
      <c r="C435" s="60"/>
      <c r="D435" s="60"/>
      <c r="J435" s="14"/>
      <c r="K435" s="14"/>
      <c r="L435" s="14"/>
    </row>
    <row r="436">
      <c r="C436" s="60"/>
      <c r="D436" s="60"/>
      <c r="J436" s="14"/>
      <c r="K436" s="14"/>
      <c r="L436" s="14"/>
    </row>
    <row r="437">
      <c r="C437" s="60"/>
      <c r="D437" s="60"/>
      <c r="J437" s="14"/>
      <c r="K437" s="14"/>
      <c r="L437" s="14"/>
    </row>
    <row r="438">
      <c r="C438" s="60"/>
      <c r="D438" s="60"/>
      <c r="J438" s="14"/>
      <c r="K438" s="14"/>
      <c r="L438" s="14"/>
    </row>
    <row r="439">
      <c r="C439" s="60"/>
      <c r="D439" s="60"/>
      <c r="J439" s="14"/>
      <c r="K439" s="14"/>
      <c r="L439" s="14"/>
    </row>
    <row r="440">
      <c r="C440" s="60"/>
      <c r="D440" s="60"/>
      <c r="J440" s="14"/>
      <c r="K440" s="14"/>
      <c r="L440" s="14"/>
    </row>
    <row r="441">
      <c r="C441" s="60"/>
      <c r="D441" s="60"/>
      <c r="J441" s="14"/>
      <c r="K441" s="14"/>
      <c r="L441" s="14"/>
    </row>
    <row r="442">
      <c r="C442" s="60"/>
      <c r="D442" s="60"/>
      <c r="J442" s="14"/>
      <c r="K442" s="14"/>
      <c r="L442" s="14"/>
    </row>
    <row r="443">
      <c r="C443" s="60"/>
      <c r="D443" s="60"/>
      <c r="J443" s="14"/>
      <c r="K443" s="14"/>
      <c r="L443" s="14"/>
    </row>
    <row r="444">
      <c r="C444" s="60"/>
      <c r="D444" s="60"/>
      <c r="J444" s="14"/>
      <c r="K444" s="14"/>
      <c r="L444" s="14"/>
    </row>
    <row r="445">
      <c r="C445" s="60"/>
      <c r="D445" s="60"/>
      <c r="J445" s="14"/>
      <c r="K445" s="14"/>
      <c r="L445" s="14"/>
    </row>
    <row r="446">
      <c r="C446" s="60"/>
      <c r="D446" s="60"/>
      <c r="J446" s="14"/>
      <c r="K446" s="14"/>
      <c r="L446" s="14"/>
    </row>
    <row r="447">
      <c r="C447" s="60"/>
      <c r="D447" s="60"/>
      <c r="J447" s="14"/>
      <c r="K447" s="14"/>
      <c r="L447" s="14"/>
    </row>
    <row r="448">
      <c r="C448" s="60"/>
      <c r="D448" s="60"/>
      <c r="J448" s="14"/>
      <c r="K448" s="14"/>
      <c r="L448" s="14"/>
    </row>
    <row r="449">
      <c r="C449" s="60"/>
      <c r="D449" s="60"/>
      <c r="J449" s="14"/>
      <c r="K449" s="14"/>
      <c r="L449" s="14"/>
    </row>
    <row r="450">
      <c r="C450" s="60"/>
      <c r="D450" s="60"/>
      <c r="J450" s="14"/>
      <c r="K450" s="14"/>
      <c r="L450" s="14"/>
    </row>
    <row r="451">
      <c r="C451" s="60"/>
      <c r="D451" s="60"/>
      <c r="J451" s="14"/>
      <c r="K451" s="14"/>
      <c r="L451" s="14"/>
    </row>
    <row r="452">
      <c r="C452" s="60"/>
      <c r="D452" s="60"/>
      <c r="J452" s="14"/>
      <c r="K452" s="14"/>
      <c r="L452" s="14"/>
    </row>
    <row r="453">
      <c r="C453" s="60"/>
      <c r="D453" s="60"/>
      <c r="J453" s="14"/>
      <c r="K453" s="14"/>
      <c r="L453" s="14"/>
    </row>
    <row r="454">
      <c r="C454" s="60"/>
      <c r="D454" s="60"/>
      <c r="J454" s="14"/>
      <c r="K454" s="14"/>
      <c r="L454" s="14"/>
    </row>
    <row r="455">
      <c r="C455" s="60"/>
      <c r="D455" s="60"/>
      <c r="J455" s="14"/>
      <c r="K455" s="14"/>
      <c r="L455" s="14"/>
    </row>
    <row r="456">
      <c r="C456" s="60"/>
      <c r="D456" s="60"/>
      <c r="J456" s="14"/>
      <c r="K456" s="14"/>
      <c r="L456" s="14"/>
    </row>
    <row r="457">
      <c r="C457" s="60"/>
      <c r="D457" s="60"/>
      <c r="J457" s="14"/>
      <c r="K457" s="14"/>
      <c r="L457" s="14"/>
    </row>
    <row r="458">
      <c r="C458" s="60"/>
      <c r="D458" s="60"/>
      <c r="J458" s="14"/>
      <c r="K458" s="14"/>
      <c r="L458" s="14"/>
    </row>
    <row r="459">
      <c r="C459" s="60"/>
      <c r="D459" s="60"/>
      <c r="J459" s="14"/>
      <c r="K459" s="14"/>
      <c r="L459" s="14"/>
    </row>
    <row r="460">
      <c r="C460" s="60"/>
      <c r="D460" s="60"/>
      <c r="J460" s="14"/>
      <c r="K460" s="14"/>
      <c r="L460" s="14"/>
    </row>
    <row r="461">
      <c r="C461" s="60"/>
      <c r="D461" s="60"/>
      <c r="J461" s="14"/>
      <c r="K461" s="14"/>
      <c r="L461" s="14"/>
    </row>
    <row r="462">
      <c r="C462" s="60"/>
      <c r="D462" s="60"/>
      <c r="J462" s="14"/>
      <c r="K462" s="14"/>
      <c r="L462" s="14"/>
    </row>
    <row r="463">
      <c r="C463" s="60"/>
      <c r="D463" s="60"/>
      <c r="J463" s="14"/>
      <c r="K463" s="14"/>
      <c r="L463" s="14"/>
    </row>
    <row r="464">
      <c r="C464" s="60"/>
      <c r="D464" s="60"/>
      <c r="J464" s="14"/>
      <c r="K464" s="14"/>
      <c r="L464" s="14"/>
    </row>
    <row r="465">
      <c r="C465" s="60"/>
      <c r="D465" s="60"/>
      <c r="J465" s="14"/>
      <c r="K465" s="14"/>
      <c r="L465" s="14"/>
    </row>
    <row r="466">
      <c r="C466" s="60"/>
      <c r="D466" s="60"/>
      <c r="J466" s="14"/>
      <c r="K466" s="14"/>
      <c r="L466" s="14"/>
    </row>
    <row r="467">
      <c r="C467" s="60"/>
      <c r="D467" s="60"/>
      <c r="J467" s="14"/>
      <c r="K467" s="14"/>
      <c r="L467" s="14"/>
    </row>
    <row r="468">
      <c r="C468" s="60"/>
      <c r="D468" s="60"/>
      <c r="J468" s="14"/>
      <c r="K468" s="14"/>
      <c r="L468" s="14"/>
    </row>
    <row r="469">
      <c r="C469" s="60"/>
      <c r="D469" s="60"/>
      <c r="J469" s="14"/>
      <c r="K469" s="14"/>
      <c r="L469" s="14"/>
    </row>
    <row r="470">
      <c r="C470" s="60"/>
      <c r="D470" s="60"/>
      <c r="J470" s="14"/>
      <c r="K470" s="14"/>
      <c r="L470" s="14"/>
    </row>
    <row r="471">
      <c r="C471" s="60"/>
      <c r="D471" s="60"/>
      <c r="J471" s="14"/>
      <c r="K471" s="14"/>
      <c r="L471" s="14"/>
    </row>
    <row r="472">
      <c r="C472" s="60"/>
      <c r="D472" s="60"/>
      <c r="J472" s="14"/>
      <c r="K472" s="14"/>
      <c r="L472" s="14"/>
    </row>
    <row r="473">
      <c r="C473" s="60"/>
      <c r="D473" s="60"/>
      <c r="J473" s="14"/>
      <c r="K473" s="14"/>
      <c r="L473" s="14"/>
    </row>
    <row r="474">
      <c r="C474" s="60"/>
      <c r="D474" s="60"/>
      <c r="J474" s="14"/>
      <c r="K474" s="14"/>
      <c r="L474" s="14"/>
    </row>
    <row r="475">
      <c r="C475" s="60"/>
      <c r="D475" s="60"/>
      <c r="J475" s="14"/>
      <c r="K475" s="14"/>
      <c r="L475" s="14"/>
    </row>
    <row r="476">
      <c r="C476" s="60"/>
      <c r="D476" s="60"/>
      <c r="J476" s="14"/>
      <c r="K476" s="14"/>
      <c r="L476" s="14"/>
    </row>
    <row r="477">
      <c r="C477" s="60"/>
      <c r="D477" s="60"/>
      <c r="J477" s="14"/>
      <c r="K477" s="14"/>
      <c r="L477" s="14"/>
    </row>
    <row r="478">
      <c r="C478" s="60"/>
      <c r="D478" s="60"/>
      <c r="J478" s="14"/>
      <c r="K478" s="14"/>
      <c r="L478" s="14"/>
    </row>
    <row r="479">
      <c r="C479" s="60"/>
      <c r="D479" s="60"/>
      <c r="J479" s="14"/>
      <c r="K479" s="14"/>
      <c r="L479" s="14"/>
    </row>
    <row r="480">
      <c r="C480" s="60"/>
      <c r="D480" s="60"/>
      <c r="J480" s="14"/>
      <c r="K480" s="14"/>
      <c r="L480" s="14"/>
    </row>
    <row r="481">
      <c r="C481" s="60"/>
      <c r="D481" s="60"/>
      <c r="J481" s="14"/>
      <c r="K481" s="14"/>
      <c r="L481" s="14"/>
    </row>
    <row r="482">
      <c r="C482" s="60"/>
      <c r="D482" s="60"/>
      <c r="J482" s="14"/>
      <c r="K482" s="14"/>
      <c r="L482" s="14"/>
    </row>
    <row r="483">
      <c r="C483" s="60"/>
      <c r="D483" s="60"/>
      <c r="J483" s="14"/>
      <c r="K483" s="14"/>
      <c r="L483" s="14"/>
    </row>
    <row r="484">
      <c r="C484" s="60"/>
      <c r="D484" s="60"/>
      <c r="J484" s="14"/>
      <c r="K484" s="14"/>
      <c r="L484" s="14"/>
    </row>
    <row r="485">
      <c r="C485" s="60"/>
      <c r="D485" s="60"/>
      <c r="J485" s="14"/>
      <c r="K485" s="14"/>
      <c r="L485" s="14"/>
    </row>
    <row r="486">
      <c r="C486" s="60"/>
      <c r="D486" s="60"/>
      <c r="J486" s="14"/>
      <c r="K486" s="14"/>
      <c r="L486" s="14"/>
    </row>
    <row r="487">
      <c r="C487" s="60"/>
      <c r="D487" s="60"/>
      <c r="J487" s="14"/>
      <c r="K487" s="14"/>
      <c r="L487" s="14"/>
    </row>
    <row r="488">
      <c r="C488" s="60"/>
      <c r="D488" s="60"/>
      <c r="J488" s="14"/>
      <c r="K488" s="14"/>
      <c r="L488" s="14"/>
    </row>
    <row r="489">
      <c r="C489" s="60"/>
      <c r="D489" s="60"/>
      <c r="J489" s="14"/>
      <c r="K489" s="14"/>
      <c r="L489" s="14"/>
    </row>
    <row r="490">
      <c r="C490" s="60"/>
      <c r="D490" s="60"/>
      <c r="J490" s="14"/>
      <c r="K490" s="14"/>
      <c r="L490" s="14"/>
    </row>
    <row r="491">
      <c r="C491" s="60"/>
      <c r="D491" s="60"/>
      <c r="J491" s="14"/>
      <c r="K491" s="14"/>
      <c r="L491" s="14"/>
    </row>
    <row r="492">
      <c r="C492" s="60"/>
      <c r="D492" s="60"/>
      <c r="J492" s="14"/>
      <c r="K492" s="14"/>
      <c r="L492" s="14"/>
    </row>
    <row r="493">
      <c r="C493" s="60"/>
      <c r="D493" s="60"/>
      <c r="J493" s="14"/>
      <c r="K493" s="14"/>
      <c r="L493" s="14"/>
    </row>
    <row r="494">
      <c r="C494" s="60"/>
      <c r="D494" s="60"/>
      <c r="J494" s="14"/>
      <c r="K494" s="14"/>
      <c r="L494" s="14"/>
    </row>
    <row r="495">
      <c r="C495" s="60"/>
      <c r="D495" s="60"/>
      <c r="J495" s="14"/>
      <c r="K495" s="14"/>
      <c r="L495" s="14"/>
    </row>
    <row r="496">
      <c r="C496" s="60"/>
      <c r="D496" s="60"/>
      <c r="J496" s="14"/>
      <c r="K496" s="14"/>
      <c r="L496" s="14"/>
    </row>
    <row r="497">
      <c r="C497" s="60"/>
      <c r="D497" s="60"/>
      <c r="J497" s="14"/>
      <c r="K497" s="14"/>
      <c r="L497" s="14"/>
    </row>
    <row r="498">
      <c r="C498" s="60"/>
      <c r="D498" s="60"/>
      <c r="J498" s="14"/>
      <c r="K498" s="14"/>
      <c r="L498" s="14"/>
    </row>
    <row r="499">
      <c r="C499" s="60"/>
      <c r="D499" s="60"/>
      <c r="J499" s="14"/>
      <c r="K499" s="14"/>
      <c r="L499" s="14"/>
    </row>
    <row r="500">
      <c r="C500" s="60"/>
      <c r="D500" s="60"/>
      <c r="J500" s="14"/>
      <c r="K500" s="14"/>
      <c r="L500" s="14"/>
    </row>
    <row r="501">
      <c r="C501" s="60"/>
      <c r="D501" s="60"/>
      <c r="J501" s="14"/>
      <c r="K501" s="14"/>
      <c r="L501" s="14"/>
    </row>
    <row r="502">
      <c r="C502" s="60"/>
      <c r="D502" s="60"/>
      <c r="J502" s="14"/>
      <c r="K502" s="14"/>
      <c r="L502" s="14"/>
    </row>
    <row r="503">
      <c r="C503" s="60"/>
      <c r="D503" s="60"/>
      <c r="J503" s="14"/>
      <c r="K503" s="14"/>
      <c r="L503" s="14"/>
    </row>
    <row r="504">
      <c r="C504" s="60"/>
      <c r="D504" s="60"/>
      <c r="J504" s="14"/>
      <c r="K504" s="14"/>
      <c r="L504" s="14"/>
    </row>
    <row r="505">
      <c r="C505" s="60"/>
      <c r="D505" s="60"/>
      <c r="J505" s="14"/>
      <c r="K505" s="14"/>
      <c r="L505" s="14"/>
    </row>
    <row r="506">
      <c r="C506" s="60"/>
      <c r="D506" s="60"/>
      <c r="J506" s="14"/>
      <c r="K506" s="14"/>
      <c r="L506" s="14"/>
    </row>
    <row r="507">
      <c r="C507" s="60"/>
      <c r="D507" s="60"/>
      <c r="J507" s="14"/>
      <c r="K507" s="14"/>
      <c r="L507" s="14"/>
    </row>
    <row r="508">
      <c r="C508" s="60"/>
      <c r="D508" s="60"/>
      <c r="J508" s="14"/>
      <c r="K508" s="14"/>
      <c r="L508" s="14"/>
    </row>
    <row r="509">
      <c r="C509" s="60"/>
      <c r="D509" s="60"/>
      <c r="J509" s="14"/>
      <c r="K509" s="14"/>
      <c r="L509" s="14"/>
    </row>
    <row r="510">
      <c r="C510" s="60"/>
      <c r="D510" s="60"/>
      <c r="J510" s="14"/>
      <c r="K510" s="14"/>
      <c r="L510" s="14"/>
    </row>
    <row r="511">
      <c r="C511" s="60"/>
      <c r="D511" s="60"/>
      <c r="J511" s="14"/>
      <c r="K511" s="14"/>
      <c r="L511" s="14"/>
    </row>
    <row r="512">
      <c r="C512" s="60"/>
      <c r="D512" s="60"/>
      <c r="J512" s="14"/>
      <c r="K512" s="14"/>
      <c r="L512" s="14"/>
    </row>
    <row r="513">
      <c r="C513" s="60"/>
      <c r="D513" s="60"/>
      <c r="J513" s="14"/>
      <c r="K513" s="14"/>
      <c r="L513" s="14"/>
    </row>
    <row r="514">
      <c r="C514" s="60"/>
      <c r="D514" s="60"/>
      <c r="J514" s="14"/>
      <c r="K514" s="14"/>
      <c r="L514" s="14"/>
    </row>
    <row r="515">
      <c r="C515" s="60"/>
      <c r="D515" s="60"/>
      <c r="J515" s="14"/>
      <c r="K515" s="14"/>
      <c r="L515" s="14"/>
    </row>
    <row r="516">
      <c r="C516" s="60"/>
      <c r="D516" s="60"/>
      <c r="J516" s="14"/>
      <c r="K516" s="14"/>
      <c r="L516" s="14"/>
    </row>
    <row r="517">
      <c r="C517" s="60"/>
      <c r="D517" s="60"/>
      <c r="J517" s="14"/>
      <c r="K517" s="14"/>
      <c r="L517" s="14"/>
    </row>
    <row r="518">
      <c r="C518" s="60"/>
      <c r="D518" s="60"/>
      <c r="J518" s="14"/>
      <c r="K518" s="14"/>
      <c r="L518" s="14"/>
    </row>
    <row r="519">
      <c r="C519" s="60"/>
      <c r="D519" s="60"/>
      <c r="J519" s="14"/>
      <c r="K519" s="14"/>
      <c r="L519" s="14"/>
    </row>
    <row r="520">
      <c r="C520" s="60"/>
      <c r="D520" s="60"/>
      <c r="J520" s="14"/>
      <c r="K520" s="14"/>
      <c r="L520" s="14"/>
    </row>
    <row r="521">
      <c r="C521" s="60"/>
      <c r="D521" s="60"/>
      <c r="J521" s="14"/>
      <c r="K521" s="14"/>
      <c r="L521" s="14"/>
    </row>
    <row r="522">
      <c r="C522" s="60"/>
      <c r="D522" s="60"/>
      <c r="J522" s="14"/>
      <c r="K522" s="14"/>
      <c r="L522" s="14"/>
    </row>
    <row r="523">
      <c r="C523" s="60"/>
      <c r="D523" s="60"/>
      <c r="J523" s="14"/>
      <c r="K523" s="14"/>
      <c r="L523" s="14"/>
    </row>
    <row r="524">
      <c r="C524" s="60"/>
      <c r="D524" s="60"/>
      <c r="J524" s="14"/>
      <c r="K524" s="14"/>
      <c r="L524" s="14"/>
    </row>
    <row r="525">
      <c r="C525" s="60"/>
      <c r="D525" s="60"/>
      <c r="J525" s="14"/>
      <c r="K525" s="14"/>
      <c r="L525" s="14"/>
    </row>
    <row r="526">
      <c r="C526" s="60"/>
      <c r="D526" s="60"/>
      <c r="J526" s="14"/>
      <c r="K526" s="14"/>
      <c r="L526" s="14"/>
    </row>
    <row r="527">
      <c r="C527" s="60"/>
      <c r="D527" s="60"/>
      <c r="J527" s="14"/>
      <c r="K527" s="14"/>
      <c r="L527" s="14"/>
    </row>
    <row r="528">
      <c r="C528" s="60"/>
      <c r="D528" s="60"/>
      <c r="J528" s="14"/>
      <c r="K528" s="14"/>
      <c r="L528" s="14"/>
    </row>
    <row r="529">
      <c r="C529" s="60"/>
      <c r="D529" s="60"/>
      <c r="J529" s="14"/>
      <c r="K529" s="14"/>
      <c r="L529" s="14"/>
    </row>
    <row r="530">
      <c r="C530" s="60"/>
      <c r="D530" s="60"/>
      <c r="J530" s="14"/>
      <c r="K530" s="14"/>
      <c r="L530" s="14"/>
    </row>
    <row r="531">
      <c r="C531" s="60"/>
      <c r="D531" s="60"/>
      <c r="J531" s="14"/>
      <c r="K531" s="14"/>
      <c r="L531" s="14"/>
    </row>
    <row r="532">
      <c r="C532" s="60"/>
      <c r="D532" s="60"/>
      <c r="J532" s="14"/>
      <c r="K532" s="14"/>
      <c r="L532" s="14"/>
    </row>
    <row r="533">
      <c r="C533" s="60"/>
      <c r="D533" s="60"/>
      <c r="J533" s="14"/>
      <c r="K533" s="14"/>
      <c r="L533" s="14"/>
    </row>
    <row r="534">
      <c r="C534" s="60"/>
      <c r="D534" s="60"/>
      <c r="J534" s="14"/>
      <c r="K534" s="14"/>
      <c r="L534" s="14"/>
    </row>
    <row r="535">
      <c r="C535" s="60"/>
      <c r="D535" s="60"/>
      <c r="J535" s="14"/>
      <c r="K535" s="14"/>
      <c r="L535" s="14"/>
    </row>
    <row r="536">
      <c r="C536" s="60"/>
      <c r="D536" s="60"/>
      <c r="J536" s="14"/>
      <c r="K536" s="14"/>
      <c r="L536" s="14"/>
    </row>
    <row r="537">
      <c r="C537" s="60"/>
      <c r="D537" s="60"/>
      <c r="J537" s="14"/>
      <c r="K537" s="14"/>
      <c r="L537" s="14"/>
    </row>
    <row r="538">
      <c r="C538" s="60"/>
      <c r="D538" s="60"/>
      <c r="J538" s="14"/>
      <c r="K538" s="14"/>
      <c r="L538" s="14"/>
    </row>
    <row r="539">
      <c r="C539" s="60"/>
      <c r="D539" s="60"/>
      <c r="J539" s="14"/>
      <c r="K539" s="14"/>
      <c r="L539" s="14"/>
    </row>
    <row r="540">
      <c r="C540" s="60"/>
      <c r="D540" s="60"/>
      <c r="J540" s="14"/>
      <c r="K540" s="14"/>
      <c r="L540" s="14"/>
    </row>
    <row r="541">
      <c r="C541" s="60"/>
      <c r="D541" s="60"/>
      <c r="J541" s="14"/>
      <c r="K541" s="14"/>
      <c r="L541" s="14"/>
    </row>
    <row r="542">
      <c r="C542" s="60"/>
      <c r="D542" s="60"/>
      <c r="J542" s="14"/>
      <c r="K542" s="14"/>
      <c r="L542" s="14"/>
    </row>
    <row r="543">
      <c r="C543" s="60"/>
      <c r="D543" s="60"/>
      <c r="J543" s="14"/>
      <c r="K543" s="14"/>
      <c r="L543" s="14"/>
    </row>
    <row r="544">
      <c r="C544" s="60"/>
      <c r="D544" s="60"/>
      <c r="J544" s="14"/>
      <c r="K544" s="14"/>
      <c r="L544" s="14"/>
    </row>
    <row r="545">
      <c r="C545" s="60"/>
      <c r="D545" s="60"/>
      <c r="J545" s="14"/>
      <c r="K545" s="14"/>
      <c r="L545" s="14"/>
    </row>
    <row r="546">
      <c r="C546" s="60"/>
      <c r="D546" s="60"/>
      <c r="J546" s="14"/>
      <c r="K546" s="14"/>
      <c r="L546" s="14"/>
    </row>
    <row r="547">
      <c r="C547" s="60"/>
      <c r="D547" s="60"/>
      <c r="J547" s="14"/>
      <c r="K547" s="14"/>
      <c r="L547" s="14"/>
    </row>
    <row r="548">
      <c r="C548" s="60"/>
      <c r="D548" s="60"/>
      <c r="J548" s="14"/>
      <c r="K548" s="14"/>
      <c r="L548" s="14"/>
    </row>
    <row r="549">
      <c r="C549" s="60"/>
      <c r="D549" s="60"/>
      <c r="J549" s="14"/>
      <c r="K549" s="14"/>
      <c r="L549" s="14"/>
    </row>
    <row r="550">
      <c r="C550" s="60"/>
      <c r="D550" s="60"/>
      <c r="J550" s="14"/>
      <c r="K550" s="14"/>
      <c r="L550" s="14"/>
    </row>
    <row r="551">
      <c r="C551" s="60"/>
      <c r="D551" s="60"/>
      <c r="J551" s="14"/>
      <c r="K551" s="14"/>
      <c r="L551" s="14"/>
    </row>
    <row r="552">
      <c r="C552" s="60"/>
      <c r="D552" s="60"/>
      <c r="J552" s="14"/>
      <c r="K552" s="14"/>
      <c r="L552" s="14"/>
    </row>
    <row r="553">
      <c r="C553" s="60"/>
      <c r="D553" s="60"/>
      <c r="J553" s="14"/>
      <c r="K553" s="14"/>
      <c r="L553" s="14"/>
    </row>
    <row r="554">
      <c r="C554" s="60"/>
      <c r="D554" s="60"/>
      <c r="J554" s="14"/>
      <c r="K554" s="14"/>
      <c r="L554" s="14"/>
    </row>
    <row r="555">
      <c r="C555" s="60"/>
      <c r="D555" s="60"/>
      <c r="J555" s="14"/>
      <c r="K555" s="14"/>
      <c r="L555" s="14"/>
    </row>
    <row r="556">
      <c r="C556" s="60"/>
      <c r="D556" s="60"/>
      <c r="J556" s="14"/>
      <c r="K556" s="14"/>
      <c r="L556" s="14"/>
    </row>
    <row r="557">
      <c r="C557" s="60"/>
      <c r="D557" s="60"/>
      <c r="J557" s="14"/>
      <c r="K557" s="14"/>
      <c r="L557" s="14"/>
    </row>
    <row r="558">
      <c r="C558" s="60"/>
      <c r="D558" s="60"/>
      <c r="J558" s="14"/>
      <c r="K558" s="14"/>
      <c r="L558" s="14"/>
    </row>
    <row r="559">
      <c r="C559" s="60"/>
      <c r="D559" s="60"/>
      <c r="J559" s="14"/>
      <c r="K559" s="14"/>
      <c r="L559" s="14"/>
    </row>
    <row r="560">
      <c r="C560" s="60"/>
      <c r="D560" s="60"/>
      <c r="J560" s="14"/>
      <c r="K560" s="14"/>
      <c r="L560" s="14"/>
    </row>
    <row r="561">
      <c r="C561" s="60"/>
      <c r="D561" s="60"/>
      <c r="J561" s="14"/>
      <c r="K561" s="14"/>
      <c r="L561" s="14"/>
    </row>
    <row r="562">
      <c r="C562" s="60"/>
      <c r="D562" s="60"/>
      <c r="J562" s="14"/>
      <c r="K562" s="14"/>
      <c r="L562" s="14"/>
    </row>
    <row r="563">
      <c r="C563" s="60"/>
      <c r="D563" s="60"/>
      <c r="J563" s="14"/>
      <c r="K563" s="14"/>
      <c r="L563" s="14"/>
    </row>
    <row r="564">
      <c r="C564" s="60"/>
      <c r="D564" s="60"/>
      <c r="J564" s="14"/>
      <c r="K564" s="14"/>
      <c r="L564" s="14"/>
    </row>
    <row r="565">
      <c r="C565" s="60"/>
      <c r="D565" s="60"/>
      <c r="J565" s="14"/>
      <c r="K565" s="14"/>
      <c r="L565" s="14"/>
    </row>
    <row r="566">
      <c r="C566" s="60"/>
      <c r="D566" s="60"/>
      <c r="J566" s="14"/>
      <c r="K566" s="14"/>
      <c r="L566" s="14"/>
    </row>
    <row r="567">
      <c r="C567" s="60"/>
      <c r="D567" s="60"/>
      <c r="J567" s="14"/>
      <c r="K567" s="14"/>
      <c r="L567" s="14"/>
    </row>
    <row r="568">
      <c r="C568" s="60"/>
      <c r="D568" s="60"/>
      <c r="J568" s="14"/>
      <c r="K568" s="14"/>
      <c r="L568" s="14"/>
    </row>
    <row r="569">
      <c r="C569" s="60"/>
      <c r="D569" s="60"/>
      <c r="J569" s="14"/>
      <c r="K569" s="14"/>
      <c r="L569" s="14"/>
    </row>
    <row r="570">
      <c r="C570" s="60"/>
      <c r="D570" s="60"/>
      <c r="J570" s="14"/>
      <c r="K570" s="14"/>
      <c r="L570" s="14"/>
    </row>
    <row r="571">
      <c r="C571" s="60"/>
      <c r="D571" s="60"/>
      <c r="J571" s="14"/>
      <c r="K571" s="14"/>
      <c r="L571" s="14"/>
    </row>
    <row r="572">
      <c r="C572" s="60"/>
      <c r="D572" s="60"/>
      <c r="J572" s="14"/>
      <c r="K572" s="14"/>
      <c r="L572" s="14"/>
    </row>
    <row r="573">
      <c r="C573" s="60"/>
      <c r="D573" s="60"/>
      <c r="J573" s="14"/>
      <c r="K573" s="14"/>
      <c r="L573" s="14"/>
    </row>
    <row r="574">
      <c r="C574" s="60"/>
      <c r="D574" s="60"/>
      <c r="J574" s="14"/>
      <c r="K574" s="14"/>
      <c r="L574" s="14"/>
    </row>
    <row r="575">
      <c r="C575" s="60"/>
      <c r="D575" s="60"/>
      <c r="J575" s="14"/>
      <c r="K575" s="14"/>
      <c r="L575" s="14"/>
    </row>
    <row r="576">
      <c r="C576" s="60"/>
      <c r="D576" s="60"/>
      <c r="J576" s="14"/>
      <c r="K576" s="14"/>
      <c r="L576" s="14"/>
    </row>
    <row r="577">
      <c r="C577" s="60"/>
      <c r="D577" s="60"/>
      <c r="J577" s="14"/>
      <c r="K577" s="14"/>
      <c r="L577" s="14"/>
    </row>
    <row r="578">
      <c r="C578" s="60"/>
      <c r="D578" s="60"/>
      <c r="J578" s="14"/>
      <c r="K578" s="14"/>
      <c r="L578" s="14"/>
    </row>
    <row r="579">
      <c r="C579" s="60"/>
      <c r="D579" s="60"/>
      <c r="J579" s="14"/>
      <c r="K579" s="14"/>
      <c r="L579" s="14"/>
    </row>
    <row r="580">
      <c r="C580" s="60"/>
      <c r="D580" s="60"/>
      <c r="J580" s="14"/>
      <c r="K580" s="14"/>
      <c r="L580" s="14"/>
    </row>
    <row r="581">
      <c r="C581" s="60"/>
      <c r="D581" s="60"/>
      <c r="J581" s="14"/>
      <c r="K581" s="14"/>
      <c r="L581" s="14"/>
    </row>
    <row r="582">
      <c r="C582" s="60"/>
      <c r="D582" s="60"/>
      <c r="J582" s="14"/>
      <c r="K582" s="14"/>
      <c r="L582" s="14"/>
    </row>
    <row r="583">
      <c r="C583" s="60"/>
      <c r="D583" s="60"/>
      <c r="J583" s="14"/>
      <c r="K583" s="14"/>
      <c r="L583" s="14"/>
    </row>
    <row r="584">
      <c r="C584" s="60"/>
      <c r="D584" s="60"/>
      <c r="J584" s="14"/>
      <c r="K584" s="14"/>
      <c r="L584" s="14"/>
    </row>
    <row r="585">
      <c r="C585" s="60"/>
      <c r="D585" s="60"/>
      <c r="J585" s="14"/>
      <c r="K585" s="14"/>
      <c r="L585" s="14"/>
    </row>
    <row r="586">
      <c r="C586" s="60"/>
      <c r="D586" s="60"/>
      <c r="J586" s="14"/>
      <c r="K586" s="14"/>
      <c r="L586" s="14"/>
    </row>
    <row r="587">
      <c r="C587" s="60"/>
      <c r="D587" s="60"/>
      <c r="J587" s="14"/>
      <c r="K587" s="14"/>
      <c r="L587" s="14"/>
    </row>
    <row r="588">
      <c r="C588" s="60"/>
      <c r="D588" s="60"/>
      <c r="J588" s="14"/>
      <c r="K588" s="14"/>
      <c r="L588" s="14"/>
    </row>
    <row r="589">
      <c r="C589" s="60"/>
      <c r="D589" s="60"/>
      <c r="J589" s="14"/>
      <c r="K589" s="14"/>
      <c r="L589" s="14"/>
    </row>
    <row r="590">
      <c r="C590" s="60"/>
      <c r="D590" s="60"/>
      <c r="J590" s="14"/>
      <c r="K590" s="14"/>
      <c r="L590" s="14"/>
    </row>
    <row r="591">
      <c r="C591" s="60"/>
      <c r="D591" s="60"/>
      <c r="J591" s="14"/>
      <c r="K591" s="14"/>
      <c r="L591" s="14"/>
    </row>
    <row r="592">
      <c r="C592" s="60"/>
      <c r="D592" s="60"/>
      <c r="J592" s="14"/>
      <c r="K592" s="14"/>
      <c r="L592" s="14"/>
    </row>
    <row r="593">
      <c r="C593" s="60"/>
      <c r="D593" s="60"/>
      <c r="J593" s="14"/>
      <c r="K593" s="14"/>
      <c r="L593" s="14"/>
    </row>
    <row r="594">
      <c r="C594" s="60"/>
      <c r="D594" s="60"/>
      <c r="J594" s="14"/>
      <c r="K594" s="14"/>
      <c r="L594" s="14"/>
    </row>
    <row r="595">
      <c r="C595" s="60"/>
      <c r="D595" s="60"/>
      <c r="J595" s="14"/>
      <c r="K595" s="14"/>
      <c r="L595" s="14"/>
    </row>
    <row r="596">
      <c r="C596" s="60"/>
      <c r="D596" s="60"/>
      <c r="J596" s="14"/>
      <c r="K596" s="14"/>
      <c r="L596" s="14"/>
    </row>
    <row r="597">
      <c r="C597" s="60"/>
      <c r="D597" s="60"/>
      <c r="J597" s="14"/>
      <c r="K597" s="14"/>
      <c r="L597" s="14"/>
    </row>
    <row r="598">
      <c r="C598" s="60"/>
      <c r="D598" s="60"/>
      <c r="J598" s="14"/>
      <c r="K598" s="14"/>
      <c r="L598" s="14"/>
    </row>
    <row r="599">
      <c r="C599" s="60"/>
      <c r="D599" s="60"/>
      <c r="J599" s="14"/>
      <c r="K599" s="14"/>
      <c r="L599" s="14"/>
    </row>
    <row r="600">
      <c r="C600" s="60"/>
      <c r="D600" s="60"/>
      <c r="J600" s="14"/>
      <c r="K600" s="14"/>
      <c r="L600" s="14"/>
    </row>
    <row r="601">
      <c r="C601" s="60"/>
      <c r="D601" s="60"/>
      <c r="J601" s="14"/>
      <c r="K601" s="14"/>
      <c r="L601" s="14"/>
    </row>
    <row r="602">
      <c r="C602" s="60"/>
      <c r="D602" s="60"/>
      <c r="J602" s="14"/>
      <c r="K602" s="14"/>
      <c r="L602" s="14"/>
    </row>
    <row r="603">
      <c r="C603" s="60"/>
      <c r="D603" s="60"/>
      <c r="J603" s="14"/>
      <c r="K603" s="14"/>
      <c r="L603" s="14"/>
    </row>
    <row r="604">
      <c r="C604" s="60"/>
      <c r="D604" s="60"/>
      <c r="J604" s="14"/>
      <c r="K604" s="14"/>
      <c r="L604" s="14"/>
    </row>
    <row r="605">
      <c r="C605" s="60"/>
      <c r="D605" s="60"/>
      <c r="J605" s="14"/>
      <c r="K605" s="14"/>
      <c r="L605" s="14"/>
    </row>
    <row r="606">
      <c r="C606" s="60"/>
      <c r="D606" s="60"/>
      <c r="J606" s="14"/>
      <c r="K606" s="14"/>
      <c r="L606" s="14"/>
    </row>
    <row r="607">
      <c r="C607" s="60"/>
      <c r="D607" s="60"/>
      <c r="J607" s="14"/>
      <c r="K607" s="14"/>
      <c r="L607" s="14"/>
    </row>
    <row r="608">
      <c r="C608" s="60"/>
      <c r="D608" s="60"/>
      <c r="J608" s="14"/>
      <c r="K608" s="14"/>
      <c r="L608" s="14"/>
    </row>
    <row r="609">
      <c r="C609" s="60"/>
      <c r="D609" s="60"/>
      <c r="J609" s="14"/>
      <c r="K609" s="14"/>
      <c r="L609" s="14"/>
    </row>
    <row r="610">
      <c r="C610" s="60"/>
      <c r="D610" s="60"/>
      <c r="J610" s="14"/>
      <c r="K610" s="14"/>
      <c r="L610" s="14"/>
    </row>
    <row r="611">
      <c r="C611" s="60"/>
      <c r="D611" s="60"/>
      <c r="J611" s="14"/>
      <c r="K611" s="14"/>
      <c r="L611" s="14"/>
    </row>
    <row r="612">
      <c r="C612" s="60"/>
      <c r="D612" s="60"/>
      <c r="J612" s="14"/>
      <c r="K612" s="14"/>
      <c r="L612" s="14"/>
    </row>
    <row r="613">
      <c r="C613" s="60"/>
      <c r="D613" s="60"/>
      <c r="J613" s="14"/>
      <c r="K613" s="14"/>
      <c r="L613" s="14"/>
    </row>
    <row r="614">
      <c r="C614" s="60"/>
      <c r="D614" s="60"/>
      <c r="J614" s="14"/>
      <c r="K614" s="14"/>
      <c r="L614" s="14"/>
    </row>
    <row r="615">
      <c r="C615" s="60"/>
      <c r="D615" s="60"/>
      <c r="J615" s="14"/>
      <c r="K615" s="14"/>
      <c r="L615" s="14"/>
    </row>
    <row r="616">
      <c r="C616" s="60"/>
      <c r="D616" s="60"/>
      <c r="J616" s="14"/>
      <c r="K616" s="14"/>
      <c r="L616" s="14"/>
    </row>
    <row r="617">
      <c r="C617" s="60"/>
      <c r="D617" s="60"/>
      <c r="J617" s="14"/>
      <c r="K617" s="14"/>
      <c r="L617" s="14"/>
    </row>
    <row r="618">
      <c r="C618" s="60"/>
      <c r="D618" s="60"/>
      <c r="J618" s="14"/>
      <c r="K618" s="14"/>
      <c r="L618" s="14"/>
    </row>
    <row r="619">
      <c r="C619" s="60"/>
      <c r="D619" s="60"/>
      <c r="J619" s="14"/>
      <c r="K619" s="14"/>
      <c r="L619" s="14"/>
    </row>
    <row r="620">
      <c r="C620" s="60"/>
      <c r="D620" s="60"/>
      <c r="J620" s="14"/>
      <c r="K620" s="14"/>
      <c r="L620" s="14"/>
    </row>
    <row r="621">
      <c r="C621" s="60"/>
      <c r="D621" s="60"/>
      <c r="J621" s="14"/>
      <c r="K621" s="14"/>
      <c r="L621" s="14"/>
    </row>
    <row r="622">
      <c r="C622" s="60"/>
      <c r="D622" s="60"/>
      <c r="J622" s="14"/>
      <c r="K622" s="14"/>
      <c r="L622" s="14"/>
    </row>
    <row r="623">
      <c r="C623" s="60"/>
      <c r="D623" s="60"/>
      <c r="J623" s="14"/>
      <c r="K623" s="14"/>
      <c r="L623" s="14"/>
    </row>
    <row r="624">
      <c r="C624" s="60"/>
      <c r="D624" s="60"/>
      <c r="J624" s="14"/>
      <c r="K624" s="14"/>
      <c r="L624" s="14"/>
    </row>
    <row r="625">
      <c r="C625" s="60"/>
      <c r="D625" s="60"/>
      <c r="J625" s="14"/>
      <c r="K625" s="14"/>
      <c r="L625" s="14"/>
    </row>
    <row r="626">
      <c r="C626" s="60"/>
      <c r="D626" s="60"/>
      <c r="J626" s="14"/>
      <c r="K626" s="14"/>
      <c r="L626" s="14"/>
    </row>
    <row r="627">
      <c r="C627" s="60"/>
      <c r="D627" s="60"/>
      <c r="J627" s="14"/>
      <c r="K627" s="14"/>
      <c r="L627" s="14"/>
    </row>
    <row r="628">
      <c r="C628" s="60"/>
      <c r="D628" s="60"/>
      <c r="J628" s="14"/>
      <c r="K628" s="14"/>
      <c r="L628" s="14"/>
    </row>
    <row r="629">
      <c r="C629" s="60"/>
      <c r="D629" s="60"/>
      <c r="J629" s="14"/>
      <c r="K629" s="14"/>
      <c r="L629" s="14"/>
    </row>
    <row r="630">
      <c r="C630" s="60"/>
      <c r="D630" s="60"/>
      <c r="J630" s="14"/>
      <c r="K630" s="14"/>
      <c r="L630" s="14"/>
    </row>
    <row r="631">
      <c r="C631" s="60"/>
      <c r="D631" s="60"/>
      <c r="J631" s="14"/>
      <c r="K631" s="14"/>
      <c r="L631" s="14"/>
    </row>
    <row r="632">
      <c r="C632" s="60"/>
      <c r="D632" s="60"/>
      <c r="J632" s="14"/>
      <c r="K632" s="14"/>
      <c r="L632" s="14"/>
    </row>
    <row r="633">
      <c r="C633" s="60"/>
      <c r="D633" s="60"/>
      <c r="J633" s="14"/>
      <c r="K633" s="14"/>
      <c r="L633" s="14"/>
    </row>
    <row r="634">
      <c r="C634" s="60"/>
      <c r="D634" s="60"/>
      <c r="J634" s="14"/>
      <c r="K634" s="14"/>
      <c r="L634" s="14"/>
    </row>
    <row r="635">
      <c r="C635" s="60"/>
      <c r="D635" s="60"/>
      <c r="J635" s="14"/>
      <c r="K635" s="14"/>
      <c r="L635" s="14"/>
    </row>
    <row r="636">
      <c r="C636" s="60"/>
      <c r="D636" s="60"/>
      <c r="J636" s="14"/>
      <c r="K636" s="14"/>
      <c r="L636" s="14"/>
    </row>
    <row r="637">
      <c r="C637" s="60"/>
      <c r="D637" s="60"/>
      <c r="J637" s="14"/>
      <c r="K637" s="14"/>
      <c r="L637" s="14"/>
    </row>
    <row r="638">
      <c r="C638" s="60"/>
      <c r="D638" s="60"/>
      <c r="J638" s="14"/>
      <c r="K638" s="14"/>
      <c r="L638" s="14"/>
    </row>
    <row r="639">
      <c r="C639" s="60"/>
      <c r="D639" s="60"/>
      <c r="J639" s="14"/>
      <c r="K639" s="14"/>
      <c r="L639" s="14"/>
    </row>
    <row r="640">
      <c r="C640" s="60"/>
      <c r="D640" s="60"/>
      <c r="J640" s="14"/>
      <c r="K640" s="14"/>
      <c r="L640" s="14"/>
    </row>
    <row r="641">
      <c r="C641" s="60"/>
      <c r="D641" s="60"/>
      <c r="J641" s="14"/>
      <c r="K641" s="14"/>
      <c r="L641" s="14"/>
    </row>
    <row r="642">
      <c r="C642" s="60"/>
      <c r="D642" s="60"/>
      <c r="J642" s="14"/>
      <c r="K642" s="14"/>
      <c r="L642" s="14"/>
    </row>
    <row r="643">
      <c r="C643" s="60"/>
      <c r="D643" s="60"/>
      <c r="J643" s="14"/>
      <c r="K643" s="14"/>
      <c r="L643" s="14"/>
    </row>
    <row r="644">
      <c r="C644" s="60"/>
      <c r="D644" s="60"/>
      <c r="J644" s="14"/>
      <c r="K644" s="14"/>
      <c r="L644" s="14"/>
    </row>
    <row r="645">
      <c r="C645" s="60"/>
      <c r="D645" s="60"/>
      <c r="J645" s="14"/>
      <c r="K645" s="14"/>
      <c r="L645" s="14"/>
    </row>
    <row r="646">
      <c r="C646" s="60"/>
      <c r="D646" s="60"/>
      <c r="J646" s="14"/>
      <c r="K646" s="14"/>
      <c r="L646" s="14"/>
    </row>
    <row r="647">
      <c r="C647" s="60"/>
      <c r="D647" s="60"/>
      <c r="J647" s="14"/>
      <c r="K647" s="14"/>
      <c r="L647" s="14"/>
    </row>
    <row r="648">
      <c r="C648" s="60"/>
      <c r="D648" s="60"/>
      <c r="J648" s="14"/>
      <c r="K648" s="14"/>
      <c r="L648" s="14"/>
    </row>
    <row r="649">
      <c r="C649" s="60"/>
      <c r="D649" s="60"/>
      <c r="J649" s="14"/>
      <c r="K649" s="14"/>
      <c r="L649" s="14"/>
    </row>
    <row r="650">
      <c r="C650" s="60"/>
      <c r="D650" s="60"/>
      <c r="J650" s="14"/>
      <c r="K650" s="14"/>
      <c r="L650" s="14"/>
    </row>
    <row r="651">
      <c r="C651" s="60"/>
      <c r="D651" s="60"/>
      <c r="J651" s="14"/>
      <c r="K651" s="14"/>
      <c r="L651" s="14"/>
    </row>
    <row r="652">
      <c r="C652" s="60"/>
      <c r="D652" s="60"/>
      <c r="J652" s="14"/>
      <c r="K652" s="14"/>
      <c r="L652" s="14"/>
    </row>
    <row r="653">
      <c r="C653" s="60"/>
      <c r="D653" s="60"/>
      <c r="J653" s="14"/>
      <c r="K653" s="14"/>
      <c r="L653" s="14"/>
    </row>
    <row r="654">
      <c r="C654" s="60"/>
      <c r="D654" s="60"/>
      <c r="J654" s="14"/>
      <c r="K654" s="14"/>
      <c r="L654" s="14"/>
    </row>
    <row r="655">
      <c r="C655" s="60"/>
      <c r="D655" s="60"/>
      <c r="J655" s="14"/>
      <c r="K655" s="14"/>
      <c r="L655" s="14"/>
    </row>
    <row r="656">
      <c r="C656" s="60"/>
      <c r="D656" s="60"/>
      <c r="J656" s="14"/>
      <c r="K656" s="14"/>
      <c r="L656" s="14"/>
    </row>
    <row r="657">
      <c r="C657" s="60"/>
      <c r="D657" s="60"/>
      <c r="J657" s="14"/>
      <c r="K657" s="14"/>
      <c r="L657" s="14"/>
    </row>
    <row r="658">
      <c r="C658" s="60"/>
      <c r="D658" s="60"/>
      <c r="J658" s="14"/>
      <c r="K658" s="14"/>
      <c r="L658" s="14"/>
    </row>
    <row r="659">
      <c r="C659" s="60"/>
      <c r="D659" s="60"/>
      <c r="J659" s="14"/>
      <c r="K659" s="14"/>
      <c r="L659" s="14"/>
    </row>
    <row r="660">
      <c r="C660" s="60"/>
      <c r="D660" s="60"/>
      <c r="J660" s="14"/>
      <c r="K660" s="14"/>
      <c r="L660" s="14"/>
    </row>
    <row r="661">
      <c r="C661" s="60"/>
      <c r="D661" s="60"/>
      <c r="J661" s="14"/>
      <c r="K661" s="14"/>
      <c r="L661" s="14"/>
    </row>
    <row r="662">
      <c r="C662" s="60"/>
      <c r="D662" s="60"/>
      <c r="J662" s="14"/>
      <c r="K662" s="14"/>
      <c r="L662" s="14"/>
    </row>
    <row r="663">
      <c r="C663" s="60"/>
      <c r="D663" s="60"/>
      <c r="J663" s="14"/>
      <c r="K663" s="14"/>
      <c r="L663" s="14"/>
    </row>
    <row r="664">
      <c r="C664" s="60"/>
      <c r="D664" s="60"/>
      <c r="J664" s="14"/>
      <c r="K664" s="14"/>
      <c r="L664" s="14"/>
    </row>
    <row r="665">
      <c r="C665" s="60"/>
      <c r="D665" s="60"/>
      <c r="J665" s="14"/>
      <c r="K665" s="14"/>
      <c r="L665" s="14"/>
    </row>
    <row r="666">
      <c r="C666" s="60"/>
      <c r="D666" s="60"/>
      <c r="J666" s="14"/>
      <c r="K666" s="14"/>
      <c r="L666" s="14"/>
    </row>
    <row r="667">
      <c r="C667" s="60"/>
      <c r="D667" s="60"/>
      <c r="J667" s="14"/>
      <c r="K667" s="14"/>
      <c r="L667" s="14"/>
    </row>
    <row r="668">
      <c r="C668" s="60"/>
      <c r="D668" s="60"/>
      <c r="J668" s="14"/>
      <c r="K668" s="14"/>
      <c r="L668" s="14"/>
    </row>
    <row r="669">
      <c r="C669" s="60"/>
      <c r="D669" s="60"/>
      <c r="J669" s="14"/>
      <c r="K669" s="14"/>
      <c r="L669" s="14"/>
    </row>
    <row r="670">
      <c r="C670" s="60"/>
      <c r="D670" s="60"/>
      <c r="J670" s="14"/>
      <c r="K670" s="14"/>
      <c r="L670" s="14"/>
    </row>
    <row r="671">
      <c r="C671" s="60"/>
      <c r="D671" s="60"/>
      <c r="J671" s="14"/>
      <c r="K671" s="14"/>
      <c r="L671" s="14"/>
    </row>
    <row r="672">
      <c r="C672" s="60"/>
      <c r="D672" s="60"/>
      <c r="J672" s="14"/>
      <c r="K672" s="14"/>
      <c r="L672" s="14"/>
    </row>
    <row r="673">
      <c r="C673" s="60"/>
      <c r="D673" s="60"/>
      <c r="J673" s="14"/>
      <c r="K673" s="14"/>
      <c r="L673" s="14"/>
    </row>
    <row r="674">
      <c r="C674" s="60"/>
      <c r="D674" s="60"/>
      <c r="J674" s="14"/>
      <c r="K674" s="14"/>
      <c r="L674" s="14"/>
    </row>
    <row r="675">
      <c r="C675" s="60"/>
      <c r="D675" s="60"/>
      <c r="J675" s="14"/>
      <c r="K675" s="14"/>
      <c r="L675" s="14"/>
    </row>
    <row r="676">
      <c r="C676" s="60"/>
      <c r="D676" s="60"/>
      <c r="J676" s="14"/>
      <c r="K676" s="14"/>
      <c r="L676" s="14"/>
    </row>
    <row r="677">
      <c r="C677" s="60"/>
      <c r="D677" s="60"/>
      <c r="J677" s="14"/>
      <c r="K677" s="14"/>
      <c r="L677" s="14"/>
    </row>
    <row r="678">
      <c r="C678" s="60"/>
      <c r="D678" s="60"/>
      <c r="J678" s="14"/>
      <c r="K678" s="14"/>
      <c r="L678" s="14"/>
    </row>
    <row r="679">
      <c r="C679" s="60"/>
      <c r="D679" s="60"/>
      <c r="J679" s="14"/>
      <c r="K679" s="14"/>
      <c r="L679" s="14"/>
    </row>
    <row r="680">
      <c r="C680" s="60"/>
      <c r="D680" s="60"/>
      <c r="J680" s="14"/>
      <c r="K680" s="14"/>
      <c r="L680" s="14"/>
    </row>
    <row r="681">
      <c r="C681" s="60"/>
      <c r="D681" s="60"/>
      <c r="J681" s="14"/>
      <c r="K681" s="14"/>
      <c r="L681" s="14"/>
    </row>
    <row r="682">
      <c r="C682" s="60"/>
      <c r="D682" s="60"/>
      <c r="J682" s="14"/>
      <c r="K682" s="14"/>
      <c r="L682" s="14"/>
    </row>
    <row r="683">
      <c r="C683" s="60"/>
      <c r="D683" s="60"/>
      <c r="J683" s="14"/>
      <c r="K683" s="14"/>
      <c r="L683" s="14"/>
    </row>
    <row r="684">
      <c r="C684" s="60"/>
      <c r="D684" s="60"/>
      <c r="J684" s="14"/>
      <c r="K684" s="14"/>
      <c r="L684" s="14"/>
    </row>
    <row r="685">
      <c r="C685" s="60"/>
      <c r="D685" s="60"/>
      <c r="J685" s="14"/>
      <c r="K685" s="14"/>
      <c r="L685" s="14"/>
    </row>
    <row r="686">
      <c r="C686" s="60"/>
      <c r="D686" s="60"/>
      <c r="J686" s="14"/>
      <c r="K686" s="14"/>
      <c r="L686" s="14"/>
    </row>
    <row r="687">
      <c r="C687" s="60"/>
      <c r="D687" s="60"/>
      <c r="J687" s="14"/>
      <c r="K687" s="14"/>
      <c r="L687" s="14"/>
    </row>
    <row r="688">
      <c r="C688" s="60"/>
      <c r="D688" s="60"/>
      <c r="J688" s="14"/>
      <c r="K688" s="14"/>
      <c r="L688" s="14"/>
    </row>
    <row r="689">
      <c r="C689" s="60"/>
      <c r="D689" s="60"/>
      <c r="J689" s="14"/>
      <c r="K689" s="14"/>
      <c r="L689" s="14"/>
    </row>
    <row r="690">
      <c r="C690" s="60"/>
      <c r="D690" s="60"/>
      <c r="J690" s="14"/>
      <c r="K690" s="14"/>
      <c r="L690" s="14"/>
    </row>
    <row r="691">
      <c r="C691" s="60"/>
      <c r="D691" s="60"/>
      <c r="J691" s="14"/>
      <c r="K691" s="14"/>
      <c r="L691" s="14"/>
    </row>
    <row r="692">
      <c r="C692" s="60"/>
      <c r="D692" s="60"/>
      <c r="J692" s="14"/>
      <c r="K692" s="14"/>
      <c r="L692" s="14"/>
    </row>
    <row r="693">
      <c r="C693" s="60"/>
      <c r="D693" s="60"/>
      <c r="J693" s="14"/>
      <c r="K693" s="14"/>
      <c r="L693" s="14"/>
    </row>
    <row r="694">
      <c r="C694" s="60"/>
      <c r="D694" s="60"/>
      <c r="J694" s="14"/>
      <c r="K694" s="14"/>
      <c r="L694" s="14"/>
    </row>
    <row r="695">
      <c r="C695" s="60"/>
      <c r="D695" s="60"/>
      <c r="J695" s="14"/>
      <c r="K695" s="14"/>
      <c r="L695" s="14"/>
    </row>
    <row r="696">
      <c r="C696" s="60"/>
      <c r="D696" s="60"/>
      <c r="J696" s="14"/>
      <c r="K696" s="14"/>
      <c r="L696" s="14"/>
    </row>
    <row r="697">
      <c r="C697" s="60"/>
      <c r="D697" s="60"/>
      <c r="J697" s="14"/>
      <c r="K697" s="14"/>
      <c r="L697" s="14"/>
    </row>
    <row r="698">
      <c r="C698" s="60"/>
      <c r="D698" s="60"/>
      <c r="J698" s="14"/>
      <c r="K698" s="14"/>
      <c r="L698" s="14"/>
    </row>
    <row r="699">
      <c r="C699" s="60"/>
      <c r="D699" s="60"/>
      <c r="J699" s="14"/>
      <c r="K699" s="14"/>
      <c r="L699" s="14"/>
    </row>
    <row r="700">
      <c r="C700" s="60"/>
      <c r="D700" s="60"/>
      <c r="J700" s="14"/>
      <c r="K700" s="14"/>
      <c r="L700" s="14"/>
    </row>
    <row r="701">
      <c r="C701" s="60"/>
      <c r="D701" s="60"/>
      <c r="J701" s="14"/>
      <c r="K701" s="14"/>
      <c r="L701" s="14"/>
    </row>
    <row r="702">
      <c r="C702" s="60"/>
      <c r="D702" s="60"/>
      <c r="J702" s="14"/>
      <c r="K702" s="14"/>
      <c r="L702" s="14"/>
    </row>
    <row r="703">
      <c r="C703" s="60"/>
      <c r="D703" s="60"/>
      <c r="J703" s="14"/>
      <c r="K703" s="14"/>
      <c r="L703" s="14"/>
    </row>
    <row r="704">
      <c r="C704" s="60"/>
      <c r="D704" s="60"/>
      <c r="J704" s="14"/>
      <c r="K704" s="14"/>
      <c r="L704" s="14"/>
    </row>
    <row r="705">
      <c r="C705" s="60"/>
      <c r="D705" s="60"/>
      <c r="J705" s="14"/>
      <c r="K705" s="14"/>
      <c r="L705" s="14"/>
    </row>
    <row r="706">
      <c r="C706" s="60"/>
      <c r="D706" s="60"/>
      <c r="J706" s="14"/>
      <c r="K706" s="14"/>
      <c r="L706" s="14"/>
    </row>
    <row r="707">
      <c r="C707" s="60"/>
      <c r="D707" s="60"/>
      <c r="J707" s="14"/>
      <c r="K707" s="14"/>
      <c r="L707" s="14"/>
    </row>
    <row r="708">
      <c r="C708" s="60"/>
      <c r="D708" s="60"/>
      <c r="J708" s="14"/>
      <c r="K708" s="14"/>
      <c r="L708" s="14"/>
    </row>
    <row r="709">
      <c r="C709" s="60"/>
      <c r="D709" s="60"/>
      <c r="J709" s="14"/>
      <c r="K709" s="14"/>
      <c r="L709" s="14"/>
    </row>
    <row r="710">
      <c r="C710" s="60"/>
      <c r="D710" s="60"/>
      <c r="J710" s="14"/>
      <c r="K710" s="14"/>
      <c r="L710" s="14"/>
    </row>
    <row r="711">
      <c r="C711" s="60"/>
      <c r="D711" s="60"/>
      <c r="J711" s="14"/>
      <c r="K711" s="14"/>
      <c r="L711" s="14"/>
    </row>
    <row r="712">
      <c r="C712" s="60"/>
      <c r="D712" s="60"/>
      <c r="J712" s="14"/>
      <c r="K712" s="14"/>
      <c r="L712" s="14"/>
    </row>
    <row r="713">
      <c r="C713" s="60"/>
      <c r="D713" s="60"/>
      <c r="J713" s="14"/>
      <c r="K713" s="14"/>
      <c r="L713" s="14"/>
    </row>
    <row r="714">
      <c r="C714" s="60"/>
      <c r="D714" s="60"/>
      <c r="J714" s="14"/>
      <c r="K714" s="14"/>
      <c r="L714" s="14"/>
    </row>
    <row r="715">
      <c r="C715" s="60"/>
      <c r="D715" s="60"/>
      <c r="J715" s="14"/>
      <c r="K715" s="14"/>
      <c r="L715" s="14"/>
    </row>
    <row r="716">
      <c r="C716" s="60"/>
      <c r="D716" s="60"/>
      <c r="J716" s="14"/>
      <c r="K716" s="14"/>
      <c r="L716" s="14"/>
    </row>
    <row r="717">
      <c r="C717" s="60"/>
      <c r="D717" s="60"/>
      <c r="J717" s="14"/>
      <c r="K717" s="14"/>
      <c r="L717" s="14"/>
    </row>
    <row r="718">
      <c r="C718" s="60"/>
      <c r="D718" s="60"/>
      <c r="J718" s="14"/>
      <c r="K718" s="14"/>
      <c r="L718" s="14"/>
    </row>
    <row r="719">
      <c r="C719" s="60"/>
      <c r="D719" s="60"/>
      <c r="J719" s="14"/>
      <c r="K719" s="14"/>
      <c r="L719" s="14"/>
    </row>
    <row r="720">
      <c r="C720" s="60"/>
      <c r="D720" s="60"/>
      <c r="J720" s="14"/>
      <c r="K720" s="14"/>
      <c r="L720" s="14"/>
    </row>
    <row r="721">
      <c r="C721" s="60"/>
      <c r="D721" s="60"/>
      <c r="J721" s="14"/>
      <c r="K721" s="14"/>
      <c r="L721" s="14"/>
    </row>
    <row r="722">
      <c r="C722" s="60"/>
      <c r="D722" s="60"/>
      <c r="J722" s="14"/>
      <c r="K722" s="14"/>
      <c r="L722" s="14"/>
    </row>
    <row r="723">
      <c r="C723" s="60"/>
      <c r="D723" s="60"/>
      <c r="J723" s="14"/>
      <c r="K723" s="14"/>
      <c r="L723" s="14"/>
    </row>
    <row r="724">
      <c r="C724" s="60"/>
      <c r="D724" s="60"/>
      <c r="J724" s="14"/>
      <c r="K724" s="14"/>
      <c r="L724" s="14"/>
    </row>
    <row r="725">
      <c r="C725" s="60"/>
      <c r="D725" s="60"/>
      <c r="J725" s="14"/>
      <c r="K725" s="14"/>
      <c r="L725" s="14"/>
    </row>
    <row r="726">
      <c r="C726" s="60"/>
      <c r="D726" s="60"/>
      <c r="J726" s="14"/>
      <c r="K726" s="14"/>
      <c r="L726" s="14"/>
    </row>
    <row r="727">
      <c r="C727" s="60"/>
      <c r="D727" s="60"/>
      <c r="J727" s="14"/>
      <c r="K727" s="14"/>
      <c r="L727" s="14"/>
    </row>
    <row r="728">
      <c r="C728" s="60"/>
      <c r="D728" s="60"/>
      <c r="J728" s="14"/>
      <c r="K728" s="14"/>
      <c r="L728" s="14"/>
    </row>
    <row r="729">
      <c r="C729" s="60"/>
      <c r="D729" s="60"/>
      <c r="J729" s="14"/>
      <c r="K729" s="14"/>
      <c r="L729" s="14"/>
    </row>
    <row r="730">
      <c r="C730" s="60"/>
      <c r="D730" s="60"/>
      <c r="J730" s="14"/>
      <c r="K730" s="14"/>
      <c r="L730" s="14"/>
    </row>
    <row r="731">
      <c r="C731" s="60"/>
      <c r="D731" s="60"/>
      <c r="J731" s="14"/>
      <c r="K731" s="14"/>
      <c r="L731" s="14"/>
    </row>
    <row r="732">
      <c r="C732" s="60"/>
      <c r="D732" s="60"/>
      <c r="J732" s="14"/>
      <c r="K732" s="14"/>
      <c r="L732" s="14"/>
    </row>
    <row r="733">
      <c r="C733" s="60"/>
      <c r="D733" s="60"/>
      <c r="J733" s="14"/>
      <c r="K733" s="14"/>
      <c r="L733" s="14"/>
    </row>
    <row r="734">
      <c r="C734" s="60"/>
      <c r="D734" s="60"/>
      <c r="J734" s="14"/>
      <c r="K734" s="14"/>
      <c r="L734" s="14"/>
    </row>
    <row r="735">
      <c r="C735" s="60"/>
      <c r="D735" s="60"/>
      <c r="J735" s="14"/>
      <c r="K735" s="14"/>
      <c r="L735" s="14"/>
    </row>
    <row r="736">
      <c r="C736" s="60"/>
      <c r="D736" s="60"/>
      <c r="J736" s="14"/>
      <c r="K736" s="14"/>
      <c r="L736" s="14"/>
    </row>
    <row r="737">
      <c r="C737" s="60"/>
      <c r="D737" s="60"/>
      <c r="J737" s="14"/>
      <c r="K737" s="14"/>
      <c r="L737" s="14"/>
    </row>
    <row r="738">
      <c r="C738" s="60"/>
      <c r="D738" s="60"/>
      <c r="J738" s="14"/>
      <c r="K738" s="14"/>
      <c r="L738" s="14"/>
    </row>
    <row r="739">
      <c r="C739" s="60"/>
      <c r="D739" s="60"/>
      <c r="J739" s="14"/>
      <c r="K739" s="14"/>
      <c r="L739" s="14"/>
    </row>
    <row r="740">
      <c r="C740" s="60"/>
      <c r="D740" s="60"/>
      <c r="J740" s="14"/>
      <c r="K740" s="14"/>
      <c r="L740" s="14"/>
    </row>
    <row r="741">
      <c r="C741" s="60"/>
      <c r="D741" s="60"/>
      <c r="J741" s="14"/>
      <c r="K741" s="14"/>
      <c r="L741" s="14"/>
    </row>
    <row r="742">
      <c r="C742" s="60"/>
      <c r="D742" s="60"/>
      <c r="J742" s="14"/>
      <c r="K742" s="14"/>
      <c r="L742" s="14"/>
    </row>
    <row r="743">
      <c r="C743" s="60"/>
      <c r="D743" s="60"/>
      <c r="J743" s="14"/>
      <c r="K743" s="14"/>
      <c r="L743" s="14"/>
    </row>
    <row r="744">
      <c r="C744" s="60"/>
      <c r="D744" s="60"/>
      <c r="J744" s="14"/>
      <c r="K744" s="14"/>
      <c r="L744" s="14"/>
    </row>
    <row r="745">
      <c r="C745" s="60"/>
      <c r="D745" s="60"/>
      <c r="J745" s="14"/>
      <c r="K745" s="14"/>
      <c r="L745" s="14"/>
    </row>
    <row r="746">
      <c r="C746" s="60"/>
      <c r="D746" s="60"/>
      <c r="J746" s="14"/>
      <c r="K746" s="14"/>
      <c r="L746" s="14"/>
    </row>
    <row r="747">
      <c r="C747" s="60"/>
      <c r="D747" s="60"/>
      <c r="J747" s="14"/>
      <c r="K747" s="14"/>
      <c r="L747" s="14"/>
    </row>
    <row r="748">
      <c r="C748" s="60"/>
      <c r="D748" s="60"/>
      <c r="J748" s="14"/>
      <c r="K748" s="14"/>
      <c r="L748" s="14"/>
    </row>
    <row r="749">
      <c r="C749" s="60"/>
      <c r="D749" s="60"/>
      <c r="J749" s="14"/>
      <c r="K749" s="14"/>
      <c r="L749" s="14"/>
    </row>
    <row r="750">
      <c r="C750" s="60"/>
      <c r="D750" s="60"/>
      <c r="J750" s="14"/>
      <c r="K750" s="14"/>
      <c r="L750" s="14"/>
    </row>
    <row r="751">
      <c r="C751" s="60"/>
      <c r="D751" s="60"/>
      <c r="J751" s="14"/>
      <c r="K751" s="14"/>
      <c r="L751" s="14"/>
    </row>
    <row r="752">
      <c r="C752" s="60"/>
      <c r="D752" s="60"/>
      <c r="J752" s="14"/>
      <c r="K752" s="14"/>
      <c r="L752" s="14"/>
    </row>
    <row r="753">
      <c r="C753" s="60"/>
      <c r="D753" s="60"/>
      <c r="J753" s="14"/>
      <c r="K753" s="14"/>
      <c r="L753" s="14"/>
    </row>
    <row r="754">
      <c r="C754" s="60"/>
      <c r="D754" s="60"/>
      <c r="J754" s="14"/>
      <c r="K754" s="14"/>
      <c r="L754" s="14"/>
    </row>
    <row r="755">
      <c r="C755" s="60"/>
      <c r="D755" s="60"/>
      <c r="J755" s="14"/>
      <c r="K755" s="14"/>
      <c r="L755" s="14"/>
    </row>
    <row r="756">
      <c r="C756" s="60"/>
      <c r="D756" s="60"/>
      <c r="J756" s="14"/>
      <c r="K756" s="14"/>
      <c r="L756" s="14"/>
    </row>
    <row r="757">
      <c r="C757" s="60"/>
      <c r="D757" s="60"/>
      <c r="J757" s="14"/>
      <c r="K757" s="14"/>
      <c r="L757" s="14"/>
    </row>
    <row r="758">
      <c r="C758" s="60"/>
      <c r="D758" s="60"/>
      <c r="J758" s="14"/>
      <c r="K758" s="14"/>
      <c r="L758" s="14"/>
    </row>
    <row r="759">
      <c r="C759" s="60"/>
      <c r="D759" s="60"/>
      <c r="J759" s="14"/>
      <c r="K759" s="14"/>
      <c r="L759" s="14"/>
    </row>
    <row r="760">
      <c r="C760" s="60"/>
      <c r="D760" s="60"/>
      <c r="J760" s="14"/>
      <c r="K760" s="14"/>
      <c r="L760" s="14"/>
    </row>
    <row r="761">
      <c r="C761" s="60"/>
      <c r="D761" s="60"/>
      <c r="J761" s="14"/>
      <c r="K761" s="14"/>
      <c r="L761" s="14"/>
    </row>
    <row r="762">
      <c r="C762" s="60"/>
      <c r="D762" s="60"/>
      <c r="J762" s="14"/>
      <c r="K762" s="14"/>
      <c r="L762" s="14"/>
    </row>
    <row r="763">
      <c r="C763" s="60"/>
      <c r="D763" s="60"/>
      <c r="J763" s="14"/>
      <c r="K763" s="14"/>
      <c r="L763" s="14"/>
    </row>
    <row r="764">
      <c r="C764" s="60"/>
      <c r="D764" s="60"/>
      <c r="J764" s="14"/>
      <c r="K764" s="14"/>
      <c r="L764" s="14"/>
    </row>
    <row r="765">
      <c r="C765" s="60"/>
      <c r="D765" s="60"/>
      <c r="J765" s="14"/>
      <c r="K765" s="14"/>
      <c r="L765" s="14"/>
    </row>
    <row r="766">
      <c r="C766" s="60"/>
      <c r="D766" s="60"/>
      <c r="J766" s="14"/>
      <c r="K766" s="14"/>
      <c r="L766" s="14"/>
    </row>
    <row r="767">
      <c r="C767" s="60"/>
      <c r="D767" s="60"/>
      <c r="J767" s="14"/>
      <c r="K767" s="14"/>
      <c r="L767" s="14"/>
    </row>
    <row r="768">
      <c r="C768" s="60"/>
      <c r="D768" s="60"/>
      <c r="J768" s="14"/>
      <c r="K768" s="14"/>
      <c r="L768" s="14"/>
    </row>
    <row r="769">
      <c r="C769" s="60"/>
      <c r="D769" s="60"/>
      <c r="J769" s="14"/>
      <c r="K769" s="14"/>
      <c r="L769" s="14"/>
    </row>
    <row r="770">
      <c r="C770" s="60"/>
      <c r="D770" s="60"/>
      <c r="J770" s="14"/>
      <c r="K770" s="14"/>
      <c r="L770" s="14"/>
    </row>
    <row r="771">
      <c r="C771" s="60"/>
      <c r="D771" s="60"/>
      <c r="J771" s="14"/>
      <c r="K771" s="14"/>
      <c r="L771" s="14"/>
    </row>
    <row r="772">
      <c r="C772" s="60"/>
      <c r="D772" s="60"/>
      <c r="J772" s="14"/>
      <c r="K772" s="14"/>
      <c r="L772" s="14"/>
    </row>
    <row r="773">
      <c r="C773" s="60"/>
      <c r="D773" s="60"/>
      <c r="J773" s="14"/>
      <c r="K773" s="14"/>
      <c r="L773" s="14"/>
    </row>
    <row r="774">
      <c r="C774" s="60"/>
      <c r="D774" s="60"/>
      <c r="J774" s="14"/>
      <c r="K774" s="14"/>
      <c r="L774" s="14"/>
    </row>
    <row r="775">
      <c r="C775" s="60"/>
      <c r="D775" s="60"/>
      <c r="J775" s="14"/>
      <c r="K775" s="14"/>
      <c r="L775" s="14"/>
    </row>
    <row r="776">
      <c r="C776" s="60"/>
      <c r="D776" s="60"/>
      <c r="J776" s="14"/>
      <c r="K776" s="14"/>
      <c r="L776" s="14"/>
    </row>
    <row r="777">
      <c r="C777" s="60"/>
      <c r="D777" s="60"/>
      <c r="J777" s="14"/>
      <c r="K777" s="14"/>
      <c r="L777" s="14"/>
    </row>
    <row r="778">
      <c r="C778" s="60"/>
      <c r="D778" s="60"/>
      <c r="J778" s="14"/>
      <c r="K778" s="14"/>
      <c r="L778" s="14"/>
    </row>
    <row r="779">
      <c r="C779" s="60"/>
      <c r="D779" s="60"/>
      <c r="J779" s="14"/>
      <c r="K779" s="14"/>
      <c r="L779" s="14"/>
    </row>
    <row r="780">
      <c r="C780" s="60"/>
      <c r="D780" s="60"/>
      <c r="J780" s="14"/>
      <c r="K780" s="14"/>
      <c r="L780" s="14"/>
    </row>
    <row r="781">
      <c r="C781" s="60"/>
      <c r="D781" s="60"/>
      <c r="J781" s="14"/>
      <c r="K781" s="14"/>
      <c r="L781" s="14"/>
    </row>
    <row r="782">
      <c r="C782" s="60"/>
      <c r="D782" s="60"/>
      <c r="J782" s="14"/>
      <c r="K782" s="14"/>
      <c r="L782" s="14"/>
    </row>
    <row r="783">
      <c r="C783" s="60"/>
      <c r="D783" s="60"/>
      <c r="J783" s="14"/>
      <c r="K783" s="14"/>
      <c r="L783" s="14"/>
    </row>
    <row r="784">
      <c r="C784" s="60"/>
      <c r="D784" s="60"/>
      <c r="J784" s="14"/>
      <c r="K784" s="14"/>
      <c r="L784" s="14"/>
    </row>
    <row r="785">
      <c r="C785" s="60"/>
      <c r="D785" s="60"/>
      <c r="J785" s="14"/>
      <c r="K785" s="14"/>
      <c r="L785" s="14"/>
    </row>
    <row r="786">
      <c r="C786" s="60"/>
      <c r="D786" s="60"/>
      <c r="J786" s="14"/>
      <c r="K786" s="14"/>
      <c r="L786" s="14"/>
    </row>
    <row r="787">
      <c r="C787" s="60"/>
      <c r="D787" s="60"/>
      <c r="J787" s="14"/>
      <c r="K787" s="14"/>
      <c r="L787" s="14"/>
    </row>
    <row r="788">
      <c r="C788" s="60"/>
      <c r="D788" s="60"/>
      <c r="J788" s="14"/>
      <c r="K788" s="14"/>
      <c r="L788" s="14"/>
    </row>
    <row r="789">
      <c r="C789" s="60"/>
      <c r="D789" s="60"/>
      <c r="J789" s="14"/>
      <c r="K789" s="14"/>
      <c r="L789" s="14"/>
    </row>
    <row r="790">
      <c r="C790" s="60"/>
      <c r="D790" s="60"/>
      <c r="J790" s="14"/>
      <c r="K790" s="14"/>
      <c r="L790" s="14"/>
    </row>
    <row r="791">
      <c r="C791" s="60"/>
      <c r="D791" s="60"/>
      <c r="J791" s="14"/>
      <c r="K791" s="14"/>
      <c r="L791" s="14"/>
    </row>
    <row r="792">
      <c r="C792" s="60"/>
      <c r="D792" s="60"/>
      <c r="J792" s="14"/>
      <c r="K792" s="14"/>
      <c r="L792" s="14"/>
    </row>
    <row r="793">
      <c r="C793" s="60"/>
      <c r="D793" s="60"/>
      <c r="J793" s="14"/>
      <c r="K793" s="14"/>
      <c r="L793" s="14"/>
    </row>
    <row r="794">
      <c r="C794" s="60"/>
      <c r="D794" s="60"/>
      <c r="J794" s="14"/>
      <c r="K794" s="14"/>
      <c r="L794" s="14"/>
    </row>
    <row r="795">
      <c r="C795" s="60"/>
      <c r="D795" s="60"/>
      <c r="J795" s="14"/>
      <c r="K795" s="14"/>
      <c r="L795" s="14"/>
    </row>
    <row r="796">
      <c r="C796" s="60"/>
      <c r="D796" s="60"/>
      <c r="J796" s="14"/>
      <c r="K796" s="14"/>
      <c r="L796" s="14"/>
    </row>
    <row r="797">
      <c r="C797" s="60"/>
      <c r="D797" s="60"/>
      <c r="J797" s="14"/>
      <c r="K797" s="14"/>
      <c r="L797" s="14"/>
    </row>
    <row r="798">
      <c r="C798" s="60"/>
      <c r="D798" s="60"/>
      <c r="J798" s="14"/>
      <c r="K798" s="14"/>
      <c r="L798" s="14"/>
    </row>
    <row r="799">
      <c r="C799" s="60"/>
      <c r="D799" s="60"/>
      <c r="J799" s="14"/>
      <c r="K799" s="14"/>
      <c r="L799" s="14"/>
    </row>
    <row r="800">
      <c r="C800" s="60"/>
      <c r="D800" s="60"/>
      <c r="J800" s="14"/>
      <c r="K800" s="14"/>
      <c r="L800" s="14"/>
    </row>
    <row r="801">
      <c r="C801" s="60"/>
      <c r="D801" s="60"/>
      <c r="J801" s="14"/>
      <c r="K801" s="14"/>
      <c r="L801" s="14"/>
    </row>
    <row r="802">
      <c r="C802" s="60"/>
      <c r="D802" s="60"/>
      <c r="J802" s="14"/>
      <c r="K802" s="14"/>
      <c r="L802" s="14"/>
    </row>
    <row r="803">
      <c r="C803" s="60"/>
      <c r="D803" s="60"/>
      <c r="J803" s="14"/>
      <c r="K803" s="14"/>
      <c r="L803" s="14"/>
    </row>
    <row r="804">
      <c r="C804" s="60"/>
      <c r="D804" s="60"/>
      <c r="J804" s="14"/>
      <c r="K804" s="14"/>
      <c r="L804" s="14"/>
    </row>
    <row r="805">
      <c r="C805" s="60"/>
      <c r="D805" s="60"/>
      <c r="J805" s="14"/>
      <c r="K805" s="14"/>
      <c r="L805" s="14"/>
    </row>
    <row r="806">
      <c r="C806" s="60"/>
      <c r="D806" s="60"/>
      <c r="J806" s="14"/>
      <c r="K806" s="14"/>
      <c r="L806" s="14"/>
    </row>
    <row r="807">
      <c r="C807" s="60"/>
      <c r="D807" s="60"/>
      <c r="J807" s="14"/>
      <c r="K807" s="14"/>
      <c r="L807" s="14"/>
    </row>
    <row r="808">
      <c r="C808" s="60"/>
      <c r="D808" s="60"/>
      <c r="J808" s="14"/>
      <c r="K808" s="14"/>
      <c r="L808" s="14"/>
    </row>
    <row r="809">
      <c r="C809" s="60"/>
      <c r="D809" s="60"/>
      <c r="J809" s="14"/>
      <c r="K809" s="14"/>
      <c r="L809" s="14"/>
    </row>
    <row r="810">
      <c r="C810" s="60"/>
      <c r="D810" s="60"/>
      <c r="J810" s="14"/>
      <c r="K810" s="14"/>
      <c r="L810" s="14"/>
    </row>
    <row r="811">
      <c r="C811" s="60"/>
      <c r="D811" s="60"/>
      <c r="J811" s="14"/>
      <c r="K811" s="14"/>
      <c r="L811" s="14"/>
    </row>
    <row r="812">
      <c r="C812" s="60"/>
      <c r="D812" s="60"/>
      <c r="J812" s="14"/>
      <c r="K812" s="14"/>
      <c r="L812" s="14"/>
    </row>
    <row r="813">
      <c r="C813" s="60"/>
      <c r="D813" s="60"/>
      <c r="J813" s="14"/>
      <c r="K813" s="14"/>
      <c r="L813" s="14"/>
    </row>
    <row r="814">
      <c r="C814" s="60"/>
      <c r="D814" s="60"/>
      <c r="J814" s="14"/>
      <c r="K814" s="14"/>
      <c r="L814" s="14"/>
    </row>
    <row r="815">
      <c r="C815" s="60"/>
      <c r="D815" s="60"/>
      <c r="J815" s="14"/>
      <c r="K815" s="14"/>
      <c r="L815" s="14"/>
    </row>
    <row r="816">
      <c r="C816" s="60"/>
      <c r="D816" s="60"/>
      <c r="J816" s="14"/>
      <c r="K816" s="14"/>
      <c r="L816" s="14"/>
    </row>
    <row r="817">
      <c r="C817" s="60"/>
      <c r="D817" s="60"/>
      <c r="J817" s="14"/>
      <c r="K817" s="14"/>
      <c r="L817" s="14"/>
    </row>
    <row r="818">
      <c r="C818" s="60"/>
      <c r="D818" s="60"/>
      <c r="J818" s="14"/>
      <c r="K818" s="14"/>
      <c r="L818" s="14"/>
    </row>
    <row r="819">
      <c r="C819" s="60"/>
      <c r="D819" s="60"/>
      <c r="J819" s="14"/>
      <c r="K819" s="14"/>
      <c r="L819" s="14"/>
    </row>
    <row r="820">
      <c r="C820" s="60"/>
      <c r="D820" s="60"/>
      <c r="J820" s="14"/>
      <c r="K820" s="14"/>
      <c r="L820" s="14"/>
    </row>
    <row r="821">
      <c r="C821" s="60"/>
      <c r="D821" s="60"/>
      <c r="J821" s="14"/>
      <c r="K821" s="14"/>
      <c r="L821" s="14"/>
    </row>
    <row r="822">
      <c r="C822" s="60"/>
      <c r="D822" s="60"/>
      <c r="J822" s="14"/>
      <c r="K822" s="14"/>
      <c r="L822" s="14"/>
    </row>
    <row r="823">
      <c r="C823" s="60"/>
      <c r="D823" s="60"/>
      <c r="J823" s="14"/>
      <c r="K823" s="14"/>
      <c r="L823" s="14"/>
    </row>
    <row r="824">
      <c r="C824" s="60"/>
      <c r="D824" s="60"/>
      <c r="J824" s="14"/>
      <c r="K824" s="14"/>
      <c r="L824" s="14"/>
    </row>
    <row r="825">
      <c r="C825" s="60"/>
      <c r="D825" s="60"/>
      <c r="J825" s="14"/>
      <c r="K825" s="14"/>
      <c r="L825" s="14"/>
    </row>
    <row r="826">
      <c r="C826" s="60"/>
      <c r="D826" s="60"/>
      <c r="J826" s="14"/>
      <c r="K826" s="14"/>
      <c r="L826" s="14"/>
    </row>
    <row r="827">
      <c r="C827" s="60"/>
      <c r="D827" s="60"/>
      <c r="J827" s="14"/>
      <c r="K827" s="14"/>
      <c r="L827" s="14"/>
    </row>
    <row r="828">
      <c r="C828" s="60"/>
      <c r="D828" s="60"/>
      <c r="J828" s="14"/>
      <c r="K828" s="14"/>
      <c r="L828" s="14"/>
    </row>
    <row r="829">
      <c r="C829" s="60"/>
      <c r="D829" s="60"/>
      <c r="J829" s="14"/>
      <c r="K829" s="14"/>
      <c r="L829" s="14"/>
    </row>
    <row r="830">
      <c r="C830" s="60"/>
      <c r="D830" s="60"/>
      <c r="J830" s="14"/>
      <c r="K830" s="14"/>
      <c r="L830" s="14"/>
    </row>
    <row r="831">
      <c r="C831" s="60"/>
      <c r="D831" s="60"/>
      <c r="J831" s="14"/>
      <c r="K831" s="14"/>
      <c r="L831" s="14"/>
    </row>
    <row r="832">
      <c r="C832" s="60"/>
      <c r="D832" s="60"/>
      <c r="J832" s="14"/>
      <c r="K832" s="14"/>
      <c r="L832" s="14"/>
    </row>
    <row r="833">
      <c r="C833" s="60"/>
      <c r="D833" s="60"/>
      <c r="J833" s="14"/>
      <c r="K833" s="14"/>
      <c r="L833" s="14"/>
    </row>
    <row r="834">
      <c r="C834" s="60"/>
      <c r="D834" s="60"/>
      <c r="J834" s="14"/>
      <c r="K834" s="14"/>
      <c r="L834" s="14"/>
    </row>
    <row r="835">
      <c r="C835" s="60"/>
      <c r="D835" s="60"/>
      <c r="J835" s="14"/>
      <c r="K835" s="14"/>
      <c r="L835" s="14"/>
    </row>
    <row r="836">
      <c r="C836" s="60"/>
      <c r="D836" s="60"/>
      <c r="J836" s="14"/>
      <c r="K836" s="14"/>
      <c r="L836" s="14"/>
    </row>
    <row r="837">
      <c r="C837" s="60"/>
      <c r="D837" s="60"/>
      <c r="J837" s="14"/>
      <c r="K837" s="14"/>
      <c r="L837" s="14"/>
    </row>
    <row r="838">
      <c r="C838" s="60"/>
      <c r="D838" s="60"/>
      <c r="J838" s="14"/>
      <c r="K838" s="14"/>
      <c r="L838" s="14"/>
    </row>
    <row r="839">
      <c r="C839" s="60"/>
      <c r="D839" s="60"/>
      <c r="J839" s="14"/>
      <c r="K839" s="14"/>
      <c r="L839" s="14"/>
    </row>
    <row r="840">
      <c r="C840" s="60"/>
      <c r="D840" s="60"/>
      <c r="J840" s="14"/>
      <c r="K840" s="14"/>
      <c r="L840" s="14"/>
    </row>
    <row r="841">
      <c r="C841" s="60"/>
      <c r="D841" s="60"/>
      <c r="J841" s="14"/>
      <c r="K841" s="14"/>
      <c r="L841" s="14"/>
    </row>
    <row r="842">
      <c r="C842" s="60"/>
      <c r="D842" s="60"/>
      <c r="J842" s="14"/>
      <c r="K842" s="14"/>
      <c r="L842" s="14"/>
    </row>
    <row r="843">
      <c r="C843" s="60"/>
      <c r="D843" s="60"/>
      <c r="J843" s="14"/>
      <c r="K843" s="14"/>
      <c r="L843" s="14"/>
    </row>
    <row r="844">
      <c r="C844" s="60"/>
      <c r="D844" s="60"/>
      <c r="J844" s="14"/>
      <c r="K844" s="14"/>
      <c r="L844" s="14"/>
    </row>
    <row r="845">
      <c r="C845" s="60"/>
      <c r="D845" s="60"/>
      <c r="J845" s="14"/>
      <c r="K845" s="14"/>
      <c r="L845" s="14"/>
    </row>
    <row r="846">
      <c r="C846" s="60"/>
      <c r="D846" s="60"/>
      <c r="J846" s="14"/>
      <c r="K846" s="14"/>
      <c r="L846" s="14"/>
    </row>
    <row r="847">
      <c r="C847" s="60"/>
      <c r="D847" s="60"/>
      <c r="J847" s="14"/>
      <c r="K847" s="14"/>
      <c r="L847" s="14"/>
    </row>
    <row r="848">
      <c r="C848" s="60"/>
      <c r="D848" s="60"/>
      <c r="J848" s="14"/>
      <c r="K848" s="14"/>
      <c r="L848" s="14"/>
    </row>
    <row r="849">
      <c r="C849" s="60"/>
      <c r="D849" s="60"/>
      <c r="J849" s="14"/>
      <c r="K849" s="14"/>
      <c r="L849" s="14"/>
    </row>
    <row r="850">
      <c r="C850" s="60"/>
      <c r="D850" s="60"/>
      <c r="J850" s="14"/>
      <c r="K850" s="14"/>
      <c r="L850" s="14"/>
    </row>
    <row r="851">
      <c r="C851" s="60"/>
      <c r="D851" s="60"/>
      <c r="J851" s="14"/>
      <c r="K851" s="14"/>
      <c r="L851" s="14"/>
    </row>
    <row r="852">
      <c r="C852" s="60"/>
      <c r="D852" s="60"/>
      <c r="J852" s="14"/>
      <c r="K852" s="14"/>
      <c r="L852" s="14"/>
    </row>
    <row r="853">
      <c r="C853" s="60"/>
      <c r="D853" s="60"/>
      <c r="J853" s="14"/>
      <c r="K853" s="14"/>
      <c r="L853" s="14"/>
    </row>
    <row r="854">
      <c r="C854" s="60"/>
      <c r="D854" s="60"/>
      <c r="J854" s="14"/>
      <c r="K854" s="14"/>
      <c r="L854" s="14"/>
    </row>
    <row r="855">
      <c r="C855" s="60"/>
      <c r="D855" s="60"/>
      <c r="J855" s="14"/>
      <c r="K855" s="14"/>
      <c r="L855" s="14"/>
    </row>
    <row r="856">
      <c r="C856" s="60"/>
      <c r="D856" s="60"/>
      <c r="J856" s="14"/>
      <c r="K856" s="14"/>
      <c r="L856" s="14"/>
    </row>
    <row r="857">
      <c r="C857" s="60"/>
      <c r="D857" s="60"/>
      <c r="J857" s="14"/>
      <c r="K857" s="14"/>
      <c r="L857" s="14"/>
    </row>
    <row r="858">
      <c r="C858" s="60"/>
      <c r="D858" s="60"/>
      <c r="J858" s="14"/>
      <c r="K858" s="14"/>
      <c r="L858" s="14"/>
    </row>
    <row r="859">
      <c r="C859" s="60"/>
      <c r="D859" s="60"/>
      <c r="J859" s="14"/>
      <c r="K859" s="14"/>
      <c r="L859" s="14"/>
    </row>
    <row r="860">
      <c r="C860" s="60"/>
      <c r="D860" s="60"/>
      <c r="J860" s="14"/>
      <c r="K860" s="14"/>
      <c r="L860" s="14"/>
    </row>
    <row r="861">
      <c r="C861" s="60"/>
      <c r="D861" s="60"/>
      <c r="J861" s="14"/>
      <c r="K861" s="14"/>
      <c r="L861" s="14"/>
    </row>
    <row r="862">
      <c r="C862" s="60"/>
      <c r="D862" s="60"/>
      <c r="J862" s="14"/>
      <c r="K862" s="14"/>
      <c r="L862" s="14"/>
    </row>
    <row r="863">
      <c r="C863" s="60"/>
      <c r="D863" s="60"/>
      <c r="J863" s="14"/>
      <c r="K863" s="14"/>
      <c r="L863" s="14"/>
    </row>
    <row r="864">
      <c r="C864" s="60"/>
      <c r="D864" s="60"/>
      <c r="J864" s="14"/>
      <c r="K864" s="14"/>
      <c r="L864" s="14"/>
    </row>
    <row r="865">
      <c r="C865" s="60"/>
      <c r="D865" s="60"/>
      <c r="J865" s="14"/>
      <c r="K865" s="14"/>
      <c r="L865" s="14"/>
    </row>
    <row r="866">
      <c r="C866" s="60"/>
      <c r="D866" s="60"/>
      <c r="J866" s="14"/>
      <c r="K866" s="14"/>
      <c r="L866" s="14"/>
    </row>
    <row r="867">
      <c r="C867" s="60"/>
      <c r="D867" s="60"/>
      <c r="J867" s="14"/>
      <c r="K867" s="14"/>
      <c r="L867" s="14"/>
    </row>
    <row r="868">
      <c r="C868" s="60"/>
      <c r="D868" s="60"/>
      <c r="J868" s="14"/>
      <c r="K868" s="14"/>
      <c r="L868" s="14"/>
    </row>
    <row r="869">
      <c r="C869" s="60"/>
      <c r="D869" s="60"/>
      <c r="J869" s="14"/>
      <c r="K869" s="14"/>
      <c r="L869" s="14"/>
    </row>
    <row r="870">
      <c r="C870" s="60"/>
      <c r="D870" s="60"/>
      <c r="J870" s="14"/>
      <c r="K870" s="14"/>
      <c r="L870" s="14"/>
    </row>
    <row r="871">
      <c r="C871" s="60"/>
      <c r="D871" s="60"/>
      <c r="J871" s="14"/>
      <c r="K871" s="14"/>
      <c r="L871" s="14"/>
    </row>
    <row r="872">
      <c r="C872" s="60"/>
      <c r="D872" s="60"/>
      <c r="J872" s="14"/>
      <c r="K872" s="14"/>
      <c r="L872" s="14"/>
    </row>
    <row r="873">
      <c r="C873" s="60"/>
      <c r="D873" s="60"/>
      <c r="J873" s="14"/>
      <c r="K873" s="14"/>
      <c r="L873" s="14"/>
    </row>
    <row r="874">
      <c r="C874" s="60"/>
      <c r="D874" s="60"/>
      <c r="J874" s="14"/>
      <c r="K874" s="14"/>
      <c r="L874" s="14"/>
    </row>
    <row r="875">
      <c r="C875" s="60"/>
      <c r="D875" s="60"/>
      <c r="J875" s="14"/>
      <c r="K875" s="14"/>
      <c r="L875" s="14"/>
    </row>
    <row r="876">
      <c r="C876" s="60"/>
      <c r="D876" s="60"/>
      <c r="J876" s="14"/>
      <c r="K876" s="14"/>
      <c r="L876" s="14"/>
    </row>
    <row r="877">
      <c r="C877" s="60"/>
      <c r="D877" s="60"/>
      <c r="J877" s="14"/>
      <c r="K877" s="14"/>
      <c r="L877" s="14"/>
    </row>
    <row r="878">
      <c r="C878" s="60"/>
      <c r="D878" s="60"/>
      <c r="J878" s="14"/>
      <c r="K878" s="14"/>
      <c r="L878" s="14"/>
    </row>
    <row r="879">
      <c r="C879" s="60"/>
      <c r="D879" s="60"/>
      <c r="J879" s="14"/>
      <c r="K879" s="14"/>
      <c r="L879" s="14"/>
    </row>
    <row r="880">
      <c r="C880" s="60"/>
      <c r="D880" s="60"/>
      <c r="J880" s="14"/>
      <c r="K880" s="14"/>
      <c r="L880" s="14"/>
    </row>
    <row r="881">
      <c r="C881" s="60"/>
      <c r="D881" s="60"/>
      <c r="J881" s="14"/>
      <c r="K881" s="14"/>
      <c r="L881" s="14"/>
    </row>
    <row r="882">
      <c r="C882" s="60"/>
      <c r="D882" s="60"/>
      <c r="J882" s="14"/>
      <c r="K882" s="14"/>
      <c r="L882" s="14"/>
    </row>
    <row r="883">
      <c r="C883" s="60"/>
      <c r="D883" s="60"/>
      <c r="J883" s="14"/>
      <c r="K883" s="14"/>
      <c r="L883" s="14"/>
    </row>
    <row r="884">
      <c r="C884" s="60"/>
      <c r="D884" s="60"/>
      <c r="J884" s="14"/>
      <c r="K884" s="14"/>
      <c r="L884" s="14"/>
    </row>
    <row r="885">
      <c r="C885" s="60"/>
      <c r="D885" s="60"/>
      <c r="J885" s="14"/>
      <c r="K885" s="14"/>
      <c r="L885" s="14"/>
    </row>
    <row r="886">
      <c r="C886" s="60"/>
      <c r="D886" s="60"/>
      <c r="J886" s="14"/>
      <c r="K886" s="14"/>
      <c r="L886" s="14"/>
    </row>
    <row r="887">
      <c r="C887" s="60"/>
      <c r="D887" s="60"/>
      <c r="J887" s="14"/>
      <c r="K887" s="14"/>
      <c r="L887" s="14"/>
    </row>
    <row r="888">
      <c r="C888" s="60"/>
      <c r="D888" s="60"/>
      <c r="J888" s="14"/>
      <c r="K888" s="14"/>
      <c r="L888" s="14"/>
    </row>
    <row r="889">
      <c r="C889" s="60"/>
      <c r="D889" s="60"/>
      <c r="J889" s="14"/>
      <c r="K889" s="14"/>
      <c r="L889" s="14"/>
    </row>
    <row r="890">
      <c r="C890" s="60"/>
      <c r="D890" s="60"/>
      <c r="J890" s="14"/>
      <c r="K890" s="14"/>
      <c r="L890" s="14"/>
    </row>
    <row r="891">
      <c r="C891" s="60"/>
      <c r="D891" s="60"/>
      <c r="J891" s="14"/>
      <c r="K891" s="14"/>
      <c r="L891" s="14"/>
    </row>
    <row r="892">
      <c r="C892" s="60"/>
      <c r="D892" s="60"/>
      <c r="J892" s="14"/>
      <c r="K892" s="14"/>
      <c r="L892" s="14"/>
    </row>
    <row r="893">
      <c r="C893" s="60"/>
      <c r="D893" s="60"/>
      <c r="J893" s="14"/>
      <c r="K893" s="14"/>
      <c r="L893" s="14"/>
    </row>
    <row r="894">
      <c r="C894" s="60"/>
      <c r="D894" s="60"/>
      <c r="J894" s="14"/>
      <c r="K894" s="14"/>
      <c r="L894" s="14"/>
    </row>
    <row r="895">
      <c r="C895" s="60"/>
      <c r="D895" s="60"/>
      <c r="J895" s="14"/>
      <c r="K895" s="14"/>
      <c r="L895" s="14"/>
    </row>
    <row r="896">
      <c r="C896" s="60"/>
      <c r="D896" s="60"/>
      <c r="J896" s="14"/>
      <c r="K896" s="14"/>
      <c r="L896" s="14"/>
    </row>
    <row r="897">
      <c r="C897" s="60"/>
      <c r="D897" s="60"/>
      <c r="J897" s="14"/>
      <c r="K897" s="14"/>
      <c r="L897" s="14"/>
    </row>
    <row r="898">
      <c r="C898" s="60"/>
      <c r="D898" s="60"/>
      <c r="J898" s="14"/>
      <c r="K898" s="14"/>
      <c r="L898" s="14"/>
    </row>
    <row r="899">
      <c r="C899" s="60"/>
      <c r="D899" s="60"/>
      <c r="J899" s="14"/>
      <c r="K899" s="14"/>
      <c r="L899" s="14"/>
    </row>
    <row r="900">
      <c r="C900" s="60"/>
      <c r="D900" s="60"/>
      <c r="J900" s="14"/>
      <c r="K900" s="14"/>
      <c r="L900" s="14"/>
    </row>
    <row r="901">
      <c r="C901" s="60"/>
      <c r="D901" s="60"/>
      <c r="J901" s="14"/>
      <c r="K901" s="14"/>
      <c r="L901" s="14"/>
    </row>
    <row r="902">
      <c r="C902" s="60"/>
      <c r="D902" s="60"/>
      <c r="J902" s="14"/>
      <c r="K902" s="14"/>
      <c r="L902" s="14"/>
    </row>
    <row r="903">
      <c r="C903" s="60"/>
      <c r="D903" s="60"/>
      <c r="J903" s="14"/>
      <c r="K903" s="14"/>
      <c r="L903" s="14"/>
    </row>
    <row r="904">
      <c r="C904" s="60"/>
      <c r="D904" s="60"/>
      <c r="J904" s="14"/>
      <c r="K904" s="14"/>
      <c r="L904" s="14"/>
    </row>
    <row r="905">
      <c r="C905" s="60"/>
      <c r="D905" s="60"/>
      <c r="J905" s="14"/>
      <c r="K905" s="14"/>
      <c r="L905" s="14"/>
    </row>
    <row r="906">
      <c r="C906" s="60"/>
      <c r="D906" s="60"/>
      <c r="J906" s="14"/>
      <c r="K906" s="14"/>
      <c r="L906" s="14"/>
    </row>
    <row r="907">
      <c r="C907" s="60"/>
      <c r="D907" s="60"/>
      <c r="J907" s="14"/>
      <c r="K907" s="14"/>
      <c r="L907" s="14"/>
    </row>
    <row r="908">
      <c r="C908" s="60"/>
      <c r="D908" s="60"/>
      <c r="J908" s="14"/>
      <c r="K908" s="14"/>
      <c r="L908" s="14"/>
    </row>
    <row r="909">
      <c r="C909" s="60"/>
      <c r="D909" s="60"/>
      <c r="J909" s="14"/>
      <c r="K909" s="14"/>
      <c r="L909" s="14"/>
    </row>
    <row r="910">
      <c r="C910" s="60"/>
      <c r="D910" s="60"/>
      <c r="J910" s="14"/>
      <c r="K910" s="14"/>
      <c r="L910" s="14"/>
    </row>
    <row r="911">
      <c r="C911" s="60"/>
      <c r="D911" s="60"/>
      <c r="J911" s="14"/>
      <c r="K911" s="14"/>
      <c r="L911" s="14"/>
    </row>
    <row r="912">
      <c r="C912" s="60"/>
      <c r="D912" s="60"/>
      <c r="J912" s="14"/>
      <c r="K912" s="14"/>
      <c r="L912" s="14"/>
    </row>
    <row r="913">
      <c r="C913" s="60"/>
      <c r="D913" s="60"/>
      <c r="J913" s="14"/>
      <c r="K913" s="14"/>
      <c r="L913" s="14"/>
    </row>
    <row r="914">
      <c r="C914" s="60"/>
      <c r="D914" s="60"/>
      <c r="J914" s="14"/>
      <c r="K914" s="14"/>
      <c r="L914" s="14"/>
    </row>
    <row r="915">
      <c r="C915" s="60"/>
      <c r="D915" s="60"/>
      <c r="J915" s="14"/>
      <c r="K915" s="14"/>
      <c r="L915" s="14"/>
    </row>
    <row r="916">
      <c r="C916" s="60"/>
      <c r="D916" s="60"/>
      <c r="J916" s="14"/>
      <c r="K916" s="14"/>
      <c r="L916" s="14"/>
    </row>
    <row r="917">
      <c r="C917" s="60"/>
      <c r="D917" s="60"/>
      <c r="J917" s="14"/>
      <c r="K917" s="14"/>
      <c r="L917" s="14"/>
    </row>
    <row r="918">
      <c r="C918" s="60"/>
      <c r="D918" s="60"/>
      <c r="J918" s="14"/>
      <c r="K918" s="14"/>
      <c r="L918" s="14"/>
    </row>
    <row r="919">
      <c r="C919" s="60"/>
      <c r="D919" s="60"/>
      <c r="J919" s="14"/>
      <c r="K919" s="14"/>
      <c r="L919" s="14"/>
    </row>
    <row r="920">
      <c r="C920" s="60"/>
      <c r="D920" s="60"/>
      <c r="J920" s="14"/>
      <c r="K920" s="14"/>
      <c r="L920" s="14"/>
    </row>
    <row r="921">
      <c r="C921" s="60"/>
      <c r="D921" s="60"/>
      <c r="J921" s="14"/>
      <c r="K921" s="14"/>
      <c r="L921" s="14"/>
    </row>
    <row r="922">
      <c r="C922" s="60"/>
      <c r="D922" s="60"/>
      <c r="J922" s="14"/>
      <c r="K922" s="14"/>
      <c r="L922" s="14"/>
    </row>
    <row r="923">
      <c r="C923" s="60"/>
      <c r="D923" s="60"/>
      <c r="J923" s="14"/>
      <c r="K923" s="14"/>
      <c r="L923" s="14"/>
    </row>
    <row r="924">
      <c r="C924" s="60"/>
      <c r="D924" s="60"/>
      <c r="J924" s="14"/>
      <c r="K924" s="14"/>
      <c r="L924" s="14"/>
    </row>
    <row r="925">
      <c r="C925" s="60"/>
      <c r="D925" s="60"/>
      <c r="J925" s="14"/>
      <c r="K925" s="14"/>
      <c r="L925" s="14"/>
    </row>
    <row r="926">
      <c r="C926" s="60"/>
      <c r="D926" s="60"/>
      <c r="J926" s="14"/>
      <c r="K926" s="14"/>
      <c r="L926" s="14"/>
    </row>
    <row r="927">
      <c r="C927" s="60"/>
      <c r="D927" s="60"/>
      <c r="J927" s="14"/>
      <c r="K927" s="14"/>
      <c r="L927" s="14"/>
    </row>
    <row r="928">
      <c r="C928" s="60"/>
      <c r="D928" s="60"/>
      <c r="J928" s="14"/>
      <c r="K928" s="14"/>
      <c r="L928" s="14"/>
    </row>
    <row r="929">
      <c r="C929" s="60"/>
      <c r="D929" s="60"/>
      <c r="J929" s="14"/>
      <c r="K929" s="14"/>
      <c r="L929" s="14"/>
    </row>
    <row r="930">
      <c r="C930" s="60"/>
      <c r="D930" s="60"/>
      <c r="J930" s="14"/>
      <c r="K930" s="14"/>
      <c r="L930" s="14"/>
    </row>
    <row r="931">
      <c r="C931" s="60"/>
      <c r="D931" s="60"/>
      <c r="J931" s="14"/>
      <c r="K931" s="14"/>
      <c r="L931" s="14"/>
    </row>
    <row r="932">
      <c r="C932" s="60"/>
      <c r="D932" s="60"/>
      <c r="J932" s="14"/>
      <c r="K932" s="14"/>
      <c r="L932" s="14"/>
    </row>
    <row r="933">
      <c r="C933" s="60"/>
      <c r="D933" s="60"/>
      <c r="J933" s="14"/>
      <c r="K933" s="14"/>
      <c r="L933" s="14"/>
    </row>
    <row r="934">
      <c r="C934" s="60"/>
      <c r="D934" s="60"/>
      <c r="J934" s="14"/>
      <c r="K934" s="14"/>
      <c r="L934" s="14"/>
    </row>
    <row r="935">
      <c r="C935" s="60"/>
      <c r="D935" s="60"/>
      <c r="J935" s="14"/>
      <c r="K935" s="14"/>
      <c r="L935" s="14"/>
    </row>
    <row r="936">
      <c r="C936" s="60"/>
      <c r="D936" s="60"/>
      <c r="J936" s="14"/>
      <c r="K936" s="14"/>
      <c r="L936" s="14"/>
    </row>
    <row r="937">
      <c r="C937" s="60"/>
      <c r="D937" s="60"/>
      <c r="J937" s="14"/>
      <c r="K937" s="14"/>
      <c r="L937" s="14"/>
    </row>
    <row r="938">
      <c r="C938" s="60"/>
      <c r="D938" s="60"/>
      <c r="J938" s="14"/>
      <c r="K938" s="14"/>
      <c r="L938" s="14"/>
    </row>
    <row r="939">
      <c r="C939" s="60"/>
      <c r="D939" s="60"/>
      <c r="J939" s="14"/>
      <c r="K939" s="14"/>
      <c r="L939" s="14"/>
    </row>
    <row r="940">
      <c r="C940" s="60"/>
      <c r="D940" s="60"/>
      <c r="J940" s="14"/>
      <c r="K940" s="14"/>
      <c r="L940" s="14"/>
    </row>
    <row r="941">
      <c r="C941" s="60"/>
      <c r="D941" s="60"/>
      <c r="J941" s="14"/>
      <c r="K941" s="14"/>
      <c r="L941" s="14"/>
    </row>
    <row r="942">
      <c r="C942" s="60"/>
      <c r="D942" s="60"/>
      <c r="J942" s="14"/>
      <c r="K942" s="14"/>
      <c r="L942" s="14"/>
    </row>
    <row r="943">
      <c r="C943" s="60"/>
      <c r="D943" s="60"/>
      <c r="J943" s="14"/>
      <c r="K943" s="14"/>
      <c r="L943" s="14"/>
    </row>
    <row r="944">
      <c r="C944" s="60"/>
      <c r="D944" s="60"/>
      <c r="J944" s="14"/>
      <c r="K944" s="14"/>
      <c r="L944" s="14"/>
    </row>
    <row r="945">
      <c r="C945" s="60"/>
      <c r="D945" s="60"/>
      <c r="J945" s="14"/>
      <c r="K945" s="14"/>
      <c r="L945" s="14"/>
    </row>
    <row r="946">
      <c r="C946" s="60"/>
      <c r="D946" s="60"/>
      <c r="J946" s="14"/>
      <c r="K946" s="14"/>
      <c r="L946" s="14"/>
    </row>
    <row r="947">
      <c r="C947" s="60"/>
      <c r="D947" s="60"/>
      <c r="J947" s="14"/>
      <c r="K947" s="14"/>
      <c r="L947" s="14"/>
    </row>
    <row r="948">
      <c r="C948" s="60"/>
      <c r="D948" s="60"/>
      <c r="J948" s="14"/>
      <c r="K948" s="14"/>
      <c r="L948" s="14"/>
    </row>
    <row r="949">
      <c r="C949" s="60"/>
      <c r="D949" s="60"/>
      <c r="J949" s="14"/>
      <c r="K949" s="14"/>
      <c r="L949" s="14"/>
    </row>
    <row r="950">
      <c r="C950" s="60"/>
      <c r="D950" s="60"/>
      <c r="J950" s="14"/>
      <c r="K950" s="14"/>
      <c r="L950" s="14"/>
    </row>
    <row r="951">
      <c r="C951" s="60"/>
      <c r="D951" s="60"/>
      <c r="J951" s="14"/>
      <c r="K951" s="14"/>
      <c r="L951" s="14"/>
    </row>
    <row r="952">
      <c r="C952" s="60"/>
      <c r="D952" s="60"/>
      <c r="J952" s="14"/>
      <c r="K952" s="14"/>
      <c r="L952" s="14"/>
    </row>
    <row r="953">
      <c r="C953" s="60"/>
      <c r="D953" s="60"/>
      <c r="J953" s="14"/>
      <c r="K953" s="14"/>
      <c r="L953" s="14"/>
    </row>
    <row r="954">
      <c r="C954" s="60"/>
      <c r="D954" s="60"/>
      <c r="J954" s="14"/>
      <c r="K954" s="14"/>
      <c r="L954" s="14"/>
    </row>
    <row r="955">
      <c r="C955" s="60"/>
      <c r="D955" s="60"/>
      <c r="J955" s="14"/>
      <c r="K955" s="14"/>
      <c r="L955" s="14"/>
    </row>
    <row r="956">
      <c r="C956" s="60"/>
      <c r="D956" s="60"/>
      <c r="J956" s="14"/>
      <c r="K956" s="14"/>
      <c r="L956" s="14"/>
    </row>
    <row r="957">
      <c r="C957" s="60"/>
      <c r="D957" s="60"/>
      <c r="J957" s="14"/>
      <c r="K957" s="14"/>
      <c r="L957" s="14"/>
    </row>
    <row r="958">
      <c r="C958" s="60"/>
      <c r="D958" s="60"/>
      <c r="J958" s="14"/>
      <c r="K958" s="14"/>
      <c r="L958" s="14"/>
    </row>
    <row r="959">
      <c r="C959" s="60"/>
      <c r="D959" s="60"/>
      <c r="J959" s="14"/>
      <c r="K959" s="14"/>
      <c r="L959" s="14"/>
    </row>
    <row r="960">
      <c r="C960" s="60"/>
      <c r="D960" s="60"/>
      <c r="J960" s="14"/>
      <c r="K960" s="14"/>
      <c r="L960" s="14"/>
    </row>
    <row r="961">
      <c r="C961" s="60"/>
      <c r="D961" s="60"/>
      <c r="J961" s="14"/>
      <c r="K961" s="14"/>
      <c r="L961" s="14"/>
    </row>
    <row r="962">
      <c r="C962" s="60"/>
      <c r="D962" s="60"/>
      <c r="J962" s="14"/>
      <c r="K962" s="14"/>
      <c r="L962" s="14"/>
    </row>
    <row r="963">
      <c r="C963" s="60"/>
      <c r="D963" s="60"/>
      <c r="J963" s="14"/>
      <c r="K963" s="14"/>
      <c r="L963" s="14"/>
    </row>
    <row r="964">
      <c r="C964" s="60"/>
      <c r="D964" s="60"/>
      <c r="J964" s="14"/>
      <c r="K964" s="14"/>
      <c r="L964" s="14"/>
    </row>
    <row r="965">
      <c r="C965" s="60"/>
      <c r="D965" s="60"/>
      <c r="J965" s="14"/>
      <c r="K965" s="14"/>
      <c r="L965" s="14"/>
    </row>
    <row r="966">
      <c r="C966" s="60"/>
      <c r="D966" s="60"/>
      <c r="J966" s="14"/>
      <c r="K966" s="14"/>
      <c r="L966" s="14"/>
    </row>
    <row r="967">
      <c r="C967" s="60"/>
      <c r="D967" s="60"/>
      <c r="J967" s="14"/>
      <c r="K967" s="14"/>
      <c r="L967" s="14"/>
    </row>
    <row r="968">
      <c r="C968" s="60"/>
      <c r="D968" s="60"/>
      <c r="J968" s="14"/>
      <c r="K968" s="14"/>
      <c r="L968" s="14"/>
    </row>
    <row r="969">
      <c r="C969" s="60"/>
      <c r="D969" s="60"/>
      <c r="J969" s="14"/>
      <c r="K969" s="14"/>
      <c r="L969" s="14"/>
    </row>
    <row r="970">
      <c r="C970" s="60"/>
      <c r="D970" s="60"/>
      <c r="J970" s="14"/>
      <c r="K970" s="14"/>
      <c r="L970" s="14"/>
    </row>
    <row r="971">
      <c r="C971" s="60"/>
      <c r="D971" s="60"/>
      <c r="J971" s="14"/>
      <c r="K971" s="14"/>
      <c r="L971" s="14"/>
    </row>
    <row r="972">
      <c r="C972" s="60"/>
      <c r="D972" s="60"/>
      <c r="J972" s="14"/>
      <c r="K972" s="14"/>
      <c r="L972" s="14"/>
    </row>
    <row r="973">
      <c r="C973" s="60"/>
      <c r="D973" s="60"/>
      <c r="J973" s="14"/>
      <c r="K973" s="14"/>
      <c r="L973" s="14"/>
    </row>
    <row r="974">
      <c r="C974" s="60"/>
      <c r="D974" s="60"/>
      <c r="J974" s="14"/>
      <c r="K974" s="14"/>
      <c r="L974" s="14"/>
    </row>
    <row r="975">
      <c r="C975" s="60"/>
      <c r="D975" s="60"/>
      <c r="J975" s="14"/>
      <c r="K975" s="14"/>
      <c r="L975" s="14"/>
    </row>
    <row r="976">
      <c r="C976" s="60"/>
      <c r="D976" s="60"/>
      <c r="J976" s="14"/>
      <c r="K976" s="14"/>
      <c r="L976" s="14"/>
    </row>
    <row r="977">
      <c r="C977" s="60"/>
      <c r="D977" s="60"/>
      <c r="J977" s="14"/>
      <c r="K977" s="14"/>
      <c r="L977" s="14"/>
    </row>
    <row r="978">
      <c r="C978" s="60"/>
      <c r="D978" s="60"/>
      <c r="J978" s="14"/>
      <c r="K978" s="14"/>
      <c r="L978" s="14"/>
    </row>
    <row r="979">
      <c r="C979" s="60"/>
      <c r="D979" s="60"/>
      <c r="J979" s="14"/>
      <c r="K979" s="14"/>
      <c r="L979" s="14"/>
    </row>
    <row r="980">
      <c r="C980" s="60"/>
      <c r="D980" s="60"/>
      <c r="J980" s="14"/>
      <c r="K980" s="14"/>
      <c r="L980" s="14"/>
    </row>
    <row r="981">
      <c r="C981" s="60"/>
      <c r="D981" s="60"/>
      <c r="J981" s="14"/>
      <c r="K981" s="14"/>
      <c r="L981" s="14"/>
    </row>
    <row r="982">
      <c r="C982" s="60"/>
      <c r="D982" s="60"/>
      <c r="J982" s="14"/>
      <c r="K982" s="14"/>
      <c r="L982" s="14"/>
    </row>
    <row r="983">
      <c r="C983" s="60"/>
      <c r="D983" s="60"/>
      <c r="J983" s="14"/>
      <c r="K983" s="14"/>
      <c r="L983" s="14"/>
    </row>
    <row r="984">
      <c r="C984" s="60"/>
      <c r="D984" s="60"/>
      <c r="J984" s="14"/>
      <c r="K984" s="14"/>
      <c r="L984" s="14"/>
    </row>
    <row r="985">
      <c r="C985" s="60"/>
      <c r="D985" s="60"/>
      <c r="J985" s="14"/>
      <c r="K985" s="14"/>
      <c r="L985" s="14"/>
    </row>
    <row r="986">
      <c r="C986" s="60"/>
      <c r="D986" s="60"/>
      <c r="J986" s="14"/>
      <c r="K986" s="14"/>
      <c r="L986" s="14"/>
    </row>
    <row r="987">
      <c r="C987" s="60"/>
      <c r="D987" s="60"/>
      <c r="J987" s="14"/>
      <c r="K987" s="14"/>
      <c r="L987" s="14"/>
    </row>
    <row r="988">
      <c r="C988" s="60"/>
      <c r="D988" s="60"/>
      <c r="J988" s="14"/>
      <c r="K988" s="14"/>
      <c r="L988" s="14"/>
    </row>
    <row r="989">
      <c r="C989" s="60"/>
      <c r="D989" s="60"/>
      <c r="J989" s="14"/>
      <c r="K989" s="14"/>
      <c r="L989" s="14"/>
    </row>
  </sheetData>
  <mergeCells count="1">
    <mergeCell ref="J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4" max="4" width="25.0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1726</v>
      </c>
      <c r="C2" s="20" t="s">
        <v>1727</v>
      </c>
      <c r="D2" s="20" t="s">
        <v>1728</v>
      </c>
      <c r="E2" s="51"/>
      <c r="J2" s="14" t="str">
        <f>IFERROR(__xludf.DUMMYFUNCTION("FILTER(B2:B998, E2:E998&lt;&gt;""✅"")"),"浅い")</f>
        <v>浅い</v>
      </c>
      <c r="K2" s="14" t="str">
        <f>IFERROR(__xludf.DUMMYFUNCTION("FILTER(C2:C998, E2:E998&lt;&gt;""✅"")"),"あさい")</f>
        <v>あさい</v>
      </c>
      <c r="L2" s="14" t="str">
        <f>IFERROR(__xludf.DUMMYFUNCTION("FILTER(D2:D998, E2:E998&lt;&gt;""✅"")"),"shallow")</f>
        <v>shallow</v>
      </c>
    </row>
    <row r="3">
      <c r="A3" s="20">
        <v>2.0</v>
      </c>
      <c r="B3" s="20" t="s">
        <v>1729</v>
      </c>
      <c r="C3" s="20" t="s">
        <v>1730</v>
      </c>
      <c r="D3" s="20" t="s">
        <v>1731</v>
      </c>
      <c r="E3" s="51"/>
      <c r="G3" s="20" t="s">
        <v>14</v>
      </c>
      <c r="J3" s="14" t="str">
        <f>IFERROR(__xludf.DUMMYFUNCTION("""COMPUTED_VALUE"""),"深い")</f>
        <v>深い</v>
      </c>
      <c r="K3" s="14" t="str">
        <f>IFERROR(__xludf.DUMMYFUNCTION("""COMPUTED_VALUE"""),"ふかい")</f>
        <v>ふかい</v>
      </c>
      <c r="L3" s="14" t="str">
        <f>IFERROR(__xludf.DUMMYFUNCTION("""COMPUTED_VALUE"""),"deep")</f>
        <v>deep</v>
      </c>
    </row>
    <row r="4">
      <c r="A4" s="20">
        <v>3.0</v>
      </c>
      <c r="B4" s="20" t="s">
        <v>1732</v>
      </c>
      <c r="C4" s="20" t="s">
        <v>1733</v>
      </c>
      <c r="D4" s="20" t="s">
        <v>1734</v>
      </c>
      <c r="E4" s="51"/>
      <c r="G4" s="20" t="s">
        <v>19</v>
      </c>
      <c r="H4" s="20">
        <f>COUNTIF(J3:J998, "&lt;&gt;")</f>
        <v>20</v>
      </c>
      <c r="J4" s="14" t="str">
        <f>IFERROR(__xludf.DUMMYFUNCTION("""COMPUTED_VALUE"""),"恥ずかしい")</f>
        <v>恥ずかしい</v>
      </c>
      <c r="K4" s="14" t="str">
        <f>IFERROR(__xludf.DUMMYFUNCTION("""COMPUTED_VALUE"""),"はずかしい")</f>
        <v>はずかしい</v>
      </c>
      <c r="L4" s="14" t="str">
        <f>IFERROR(__xludf.DUMMYFUNCTION("""COMPUTED_VALUE"""),"embarrassed")</f>
        <v>embarrassed</v>
      </c>
    </row>
    <row r="5">
      <c r="A5" s="20">
        <v>4.0</v>
      </c>
      <c r="B5" s="20" t="s">
        <v>1735</v>
      </c>
      <c r="C5" s="20" t="s">
        <v>1736</v>
      </c>
      <c r="D5" s="20" t="s">
        <v>1737</v>
      </c>
      <c r="E5" s="51"/>
      <c r="G5" s="20" t="s">
        <v>23</v>
      </c>
      <c r="H5" s="14">
        <f>COUNTIF(B2:B998, "&lt;&gt;")</f>
        <v>21</v>
      </c>
      <c r="J5" s="14" t="str">
        <f>IFERROR(__xludf.DUMMYFUNCTION("""COMPUTED_VALUE"""),"酷い")</f>
        <v>酷い</v>
      </c>
      <c r="K5" s="14" t="str">
        <f>IFERROR(__xludf.DUMMYFUNCTION("""COMPUTED_VALUE"""),"ひどい")</f>
        <v>ひどい</v>
      </c>
      <c r="L5" s="14" t="str">
        <f>IFERROR(__xludf.DUMMYFUNCTION("""COMPUTED_VALUE"""),"terrible; awful​")</f>
        <v>terrible; awful​</v>
      </c>
    </row>
    <row r="6">
      <c r="A6" s="20">
        <v>5.0</v>
      </c>
      <c r="B6" s="20" t="s">
        <v>1738</v>
      </c>
      <c r="C6" s="20" t="s">
        <v>1739</v>
      </c>
      <c r="D6" s="20" t="s">
        <v>1740</v>
      </c>
      <c r="E6" s="51"/>
      <c r="H6" s="14">
        <f>TRUNC((H4/H5)*100, 1)</f>
        <v>95.2</v>
      </c>
      <c r="J6" s="14" t="str">
        <f>IFERROR(__xludf.DUMMYFUNCTION("""COMPUTED_VALUE"""),"悲しい")</f>
        <v>悲しい</v>
      </c>
      <c r="K6" s="14" t="str">
        <f>IFERROR(__xludf.DUMMYFUNCTION("""COMPUTED_VALUE"""),"かなしい")</f>
        <v>かなしい</v>
      </c>
      <c r="L6" s="14" t="str">
        <f>IFERROR(__xludf.DUMMYFUNCTION("""COMPUTED_VALUE"""),"sad")</f>
        <v>sad</v>
      </c>
    </row>
    <row r="7">
      <c r="A7" s="20">
        <v>6.0</v>
      </c>
      <c r="B7" s="20" t="s">
        <v>1741</v>
      </c>
      <c r="C7" s="20" t="s">
        <v>1742</v>
      </c>
      <c r="D7" s="20" t="s">
        <v>1743</v>
      </c>
      <c r="E7" s="51"/>
      <c r="G7" s="20" t="s">
        <v>31</v>
      </c>
      <c r="H7" s="14">
        <f>100-H6</f>
        <v>4.8</v>
      </c>
      <c r="J7" s="14" t="str">
        <f>IFERROR(__xludf.DUMMYFUNCTION("""COMPUTED_VALUE"""),"硬い")</f>
        <v>硬い</v>
      </c>
      <c r="K7" s="14" t="str">
        <f>IFERROR(__xludf.DUMMYFUNCTION("""COMPUTED_VALUE"""),"かたい")</f>
        <v>かたい</v>
      </c>
      <c r="L7" s="14" t="str">
        <f>IFERROR(__xludf.DUMMYFUNCTION("""COMPUTED_VALUE"""),"hard")</f>
        <v>hard</v>
      </c>
    </row>
    <row r="8">
      <c r="A8" s="20">
        <v>7.0</v>
      </c>
      <c r="B8" s="20" t="s">
        <v>1744</v>
      </c>
      <c r="C8" s="20" t="s">
        <v>1745</v>
      </c>
      <c r="D8" s="20" t="s">
        <v>1746</v>
      </c>
      <c r="E8" s="51"/>
      <c r="G8" s="20" t="s">
        <v>35</v>
      </c>
      <c r="J8" s="14" t="str">
        <f>IFERROR(__xludf.DUMMYFUNCTION("""COMPUTED_VALUE"""),"厳しい")</f>
        <v>厳しい</v>
      </c>
      <c r="K8" s="14" t="str">
        <f>IFERROR(__xludf.DUMMYFUNCTION("""COMPUTED_VALUE"""),"きびしい")</f>
        <v>きびしい</v>
      </c>
      <c r="L8" s="14" t="str">
        <f>IFERROR(__xludf.DUMMYFUNCTION("""COMPUTED_VALUE"""),"strict")</f>
        <v>strict</v>
      </c>
    </row>
    <row r="9">
      <c r="A9" s="20">
        <v>8.0</v>
      </c>
      <c r="B9" s="20" t="s">
        <v>1747</v>
      </c>
      <c r="C9" s="20" t="s">
        <v>1748</v>
      </c>
      <c r="D9" s="20" t="s">
        <v>1749</v>
      </c>
      <c r="E9" s="51"/>
      <c r="J9" s="14" t="str">
        <f>IFERROR(__xludf.DUMMYFUNCTION("""COMPUTED_VALUE"""),"細かい")</f>
        <v>細かい</v>
      </c>
      <c r="K9" s="14" t="str">
        <f>IFERROR(__xludf.DUMMYFUNCTION("""COMPUTED_VALUE"""),"こまかい")</f>
        <v>こまかい</v>
      </c>
      <c r="L9" s="14" t="str">
        <f>IFERROR(__xludf.DUMMYFUNCTION("""COMPUTED_VALUE"""),"small, fine")</f>
        <v>small, fine</v>
      </c>
    </row>
    <row r="10">
      <c r="A10" s="20">
        <v>9.0</v>
      </c>
      <c r="B10" s="20" t="s">
        <v>1750</v>
      </c>
      <c r="C10" s="20" t="s">
        <v>1751</v>
      </c>
      <c r="D10" s="20" t="s">
        <v>1752</v>
      </c>
      <c r="E10" s="51"/>
      <c r="J10" s="14" t="str">
        <f>IFERROR(__xludf.DUMMYFUNCTION("""COMPUTED_VALUE"""),"怖い")</f>
        <v>怖い</v>
      </c>
      <c r="K10" s="14" t="str">
        <f>IFERROR(__xludf.DUMMYFUNCTION("""COMPUTED_VALUE"""),"こわい")</f>
        <v>こわい</v>
      </c>
      <c r="L10" s="14" t="str">
        <f>IFERROR(__xludf.DUMMYFUNCTION("""COMPUTED_VALUE"""),"frightening")</f>
        <v>frightening</v>
      </c>
    </row>
    <row r="11">
      <c r="A11" s="20">
        <v>10.0</v>
      </c>
      <c r="B11" s="20" t="s">
        <v>1753</v>
      </c>
      <c r="C11" s="20" t="s">
        <v>1754</v>
      </c>
      <c r="D11" s="20" t="s">
        <v>1755</v>
      </c>
      <c r="E11" s="51"/>
      <c r="J11" s="14" t="str">
        <f>IFERROR(__xludf.DUMMYFUNCTION("""COMPUTED_VALUE"""),"珍しい")</f>
        <v>珍しい</v>
      </c>
      <c r="K11" s="14" t="str">
        <f>IFERROR(__xludf.DUMMYFUNCTION("""COMPUTED_VALUE"""),"めずらしい")</f>
        <v>めずらしい</v>
      </c>
      <c r="L11" s="14" t="str">
        <f>IFERROR(__xludf.DUMMYFUNCTION("""COMPUTED_VALUE"""),"unusual; rare")</f>
        <v>unusual; rare</v>
      </c>
    </row>
    <row r="12">
      <c r="A12" s="20">
        <v>11.0</v>
      </c>
      <c r="B12" s="20" t="s">
        <v>1756</v>
      </c>
      <c r="C12" s="20" t="s">
        <v>1757</v>
      </c>
      <c r="D12" s="20" t="s">
        <v>1758</v>
      </c>
      <c r="E12" s="51"/>
      <c r="J12" s="14" t="str">
        <f>IFERROR(__xludf.DUMMYFUNCTION("""COMPUTED_VALUE"""),"眠い")</f>
        <v>眠い</v>
      </c>
      <c r="K12" s="14" t="str">
        <f>IFERROR(__xludf.DUMMYFUNCTION("""COMPUTED_VALUE"""),"ねむい")</f>
        <v>ねむい</v>
      </c>
      <c r="L12" s="14" t="str">
        <f>IFERROR(__xludf.DUMMYFUNCTION("""COMPUTED_VALUE"""),"sleepy")</f>
        <v>sleepy</v>
      </c>
    </row>
    <row r="13">
      <c r="A13" s="20">
        <v>12.0</v>
      </c>
      <c r="B13" s="20" t="s">
        <v>1759</v>
      </c>
      <c r="C13" s="20" t="s">
        <v>1760</v>
      </c>
      <c r="D13" s="20" t="s">
        <v>1761</v>
      </c>
      <c r="E13" s="51"/>
      <c r="J13" s="14" t="str">
        <f>IFERROR(__xludf.DUMMYFUNCTION("""COMPUTED_VALUE"""),"苦い")</f>
        <v>苦い</v>
      </c>
      <c r="K13" s="14" t="str">
        <f>IFERROR(__xludf.DUMMYFUNCTION("""COMPUTED_VALUE"""),"にがい")</f>
        <v>にがい</v>
      </c>
      <c r="L13" s="14" t="str">
        <f>IFERROR(__xludf.DUMMYFUNCTION("""COMPUTED_VALUE"""),"bitter")</f>
        <v>bitter</v>
      </c>
    </row>
    <row r="14">
      <c r="A14" s="20">
        <v>13.0</v>
      </c>
      <c r="B14" s="20" t="s">
        <v>1762</v>
      </c>
      <c r="C14" s="20" t="s">
        <v>1763</v>
      </c>
      <c r="D14" s="20" t="s">
        <v>1764</v>
      </c>
      <c r="E14" s="51"/>
      <c r="J14" s="14" t="str">
        <f>IFERROR(__xludf.DUMMYFUNCTION("""COMPUTED_VALUE"""),"可笑しい")</f>
        <v>可笑しい</v>
      </c>
      <c r="K14" s="14" t="str">
        <f>IFERROR(__xludf.DUMMYFUNCTION("""COMPUTED_VALUE"""),"おかしい")</f>
        <v>おかしい</v>
      </c>
      <c r="L14" s="14" t="str">
        <f>IFERROR(__xludf.DUMMYFUNCTION("""COMPUTED_VALUE"""),"strange or funny")</f>
        <v>strange or funny</v>
      </c>
    </row>
    <row r="15">
      <c r="A15" s="20">
        <v>14.0</v>
      </c>
      <c r="B15" s="20" t="s">
        <v>1765</v>
      </c>
      <c r="C15" s="20" t="s">
        <v>1766</v>
      </c>
      <c r="D15" s="20" t="s">
        <v>1767</v>
      </c>
      <c r="E15" s="51"/>
      <c r="J15" s="14" t="str">
        <f>IFERROR(__xludf.DUMMYFUNCTION("""COMPUTED_VALUE"""),"寂しい")</f>
        <v>寂しい</v>
      </c>
      <c r="K15" s="14" t="str">
        <f>IFERROR(__xludf.DUMMYFUNCTION("""COMPUTED_VALUE"""),"さびしい")</f>
        <v>さびしい</v>
      </c>
      <c r="L15" s="14" t="str">
        <f>IFERROR(__xludf.DUMMYFUNCTION("""COMPUTED_VALUE"""),"lonely")</f>
        <v>lonely</v>
      </c>
    </row>
    <row r="16">
      <c r="A16" s="20">
        <v>15.0</v>
      </c>
      <c r="B16" s="20" t="s">
        <v>1768</v>
      </c>
      <c r="C16" s="20" t="s">
        <v>1769</v>
      </c>
      <c r="D16" s="20" t="s">
        <v>1770</v>
      </c>
      <c r="E16" s="51"/>
      <c r="J16" s="14" t="str">
        <f>IFERROR(__xludf.DUMMYFUNCTION("""COMPUTED_VALUE"""),"素晴らしい")</f>
        <v>素晴らしい</v>
      </c>
      <c r="K16" s="14" t="str">
        <f>IFERROR(__xludf.DUMMYFUNCTION("""COMPUTED_VALUE"""),"すばらしい")</f>
        <v>すばらしい</v>
      </c>
      <c r="L16" s="14" t="str">
        <f>IFERROR(__xludf.DUMMYFUNCTION("""COMPUTED_VALUE"""),"wonderful")</f>
        <v>wonderful</v>
      </c>
    </row>
    <row r="17">
      <c r="A17" s="20">
        <v>16.0</v>
      </c>
      <c r="B17" s="20" t="s">
        <v>1771</v>
      </c>
      <c r="C17" s="20" t="s">
        <v>1772</v>
      </c>
      <c r="D17" s="20" t="s">
        <v>1773</v>
      </c>
      <c r="E17" s="51"/>
      <c r="J17" s="14" t="str">
        <f>IFERROR(__xludf.DUMMYFUNCTION("""COMPUTED_VALUE"""),"凄い")</f>
        <v>凄い</v>
      </c>
      <c r="K17" s="14" t="str">
        <f>IFERROR(__xludf.DUMMYFUNCTION("""COMPUTED_VALUE"""),"すごい")</f>
        <v>すごい</v>
      </c>
      <c r="L17" s="14" t="str">
        <f>IFERROR(__xludf.DUMMYFUNCTION("""COMPUTED_VALUE"""),"terrific")</f>
        <v>terrific</v>
      </c>
    </row>
    <row r="18">
      <c r="A18" s="20">
        <v>17.0</v>
      </c>
      <c r="B18" s="20" t="s">
        <v>1774</v>
      </c>
      <c r="C18" s="20" t="s">
        <v>1775</v>
      </c>
      <c r="D18" s="20" t="s">
        <v>1776</v>
      </c>
      <c r="E18" s="51"/>
      <c r="J18" s="14" t="str">
        <f>IFERROR(__xludf.DUMMYFUNCTION("""COMPUTED_VALUE"""),"正しい")</f>
        <v>正しい</v>
      </c>
      <c r="K18" s="14" t="str">
        <f>IFERROR(__xludf.DUMMYFUNCTION("""COMPUTED_VALUE"""),"ただしい")</f>
        <v>ただしい</v>
      </c>
      <c r="L18" s="14" t="str">
        <f>IFERROR(__xludf.DUMMYFUNCTION("""COMPUTED_VALUE"""),"right; correct")</f>
        <v>right; correct</v>
      </c>
    </row>
    <row r="19">
      <c r="A19" s="20">
        <v>18.0</v>
      </c>
      <c r="B19" s="20" t="s">
        <v>1777</v>
      </c>
      <c r="C19" s="20" t="s">
        <v>1778</v>
      </c>
      <c r="D19" s="20" t="s">
        <v>1779</v>
      </c>
      <c r="E19" s="51"/>
      <c r="J19" s="14" t="str">
        <f>IFERROR(__xludf.DUMMYFUNCTION("""COMPUTED_VALUE"""),"嬉しい")</f>
        <v>嬉しい</v>
      </c>
      <c r="K19" s="14" t="str">
        <f>IFERROR(__xludf.DUMMYFUNCTION("""COMPUTED_VALUE"""),"うれしい")</f>
        <v>うれしい</v>
      </c>
      <c r="L19" s="14" t="str">
        <f>IFERROR(__xludf.DUMMYFUNCTION("""COMPUTED_VALUE"""),"happy")</f>
        <v>happy</v>
      </c>
    </row>
    <row r="20">
      <c r="A20" s="20">
        <v>19.0</v>
      </c>
      <c r="B20" s="20" t="s">
        <v>1780</v>
      </c>
      <c r="C20" s="20" t="s">
        <v>1781</v>
      </c>
      <c r="D20" s="20" t="s">
        <v>1782</v>
      </c>
      <c r="E20" s="51"/>
      <c r="J20" s="14" t="str">
        <f>IFERROR(__xludf.DUMMYFUNCTION("""COMPUTED_VALUE"""),"美しい")</f>
        <v>美しい</v>
      </c>
      <c r="K20" s="14" t="str">
        <f>IFERROR(__xludf.DUMMYFUNCTION("""COMPUTED_VALUE"""),"うつくしい")</f>
        <v>うつくしい</v>
      </c>
      <c r="L20" s="14" t="str">
        <f>IFERROR(__xludf.DUMMYFUNCTION("""COMPUTED_VALUE"""),"beautiful")</f>
        <v>beautiful</v>
      </c>
    </row>
    <row r="21">
      <c r="A21" s="20">
        <v>20.0</v>
      </c>
      <c r="B21" s="20" t="s">
        <v>1783</v>
      </c>
      <c r="C21" s="20" t="s">
        <v>1784</v>
      </c>
      <c r="D21" s="20" t="s">
        <v>1785</v>
      </c>
      <c r="E21" s="51"/>
      <c r="J21" s="14" t="str">
        <f>IFERROR(__xludf.DUMMYFUNCTION("""COMPUTED_VALUE"""),"優しい")</f>
        <v>優しい</v>
      </c>
      <c r="K21" s="14" t="str">
        <f>IFERROR(__xludf.DUMMYFUNCTION("""COMPUTED_VALUE"""),"やさしい")</f>
        <v>やさしい</v>
      </c>
      <c r="L21" s="14" t="str">
        <f>IFERROR(__xludf.DUMMYFUNCTION("""COMPUTED_VALUE"""),"kind")</f>
        <v>kind</v>
      </c>
    </row>
    <row r="22">
      <c r="A22" s="20">
        <v>21.0</v>
      </c>
      <c r="B22" s="20" t="s">
        <v>1786</v>
      </c>
      <c r="C22" s="20" t="s">
        <v>1787</v>
      </c>
      <c r="D22" s="20" t="s">
        <v>1171</v>
      </c>
      <c r="E22" s="51"/>
      <c r="J22" s="14" t="str">
        <f>IFERROR(__xludf.DUMMYFUNCTION("""COMPUTED_VALUE"""),"柔らかい")</f>
        <v>柔らかい</v>
      </c>
      <c r="K22" s="14" t="str">
        <f>IFERROR(__xludf.DUMMYFUNCTION("""COMPUTED_VALUE"""),"やわらかい")</f>
        <v>やわらかい</v>
      </c>
      <c r="L22" s="14" t="str">
        <f>IFERROR(__xludf.DUMMYFUNCTION("""COMPUTED_VALUE"""),"soft")</f>
        <v>soft</v>
      </c>
    </row>
    <row r="23">
      <c r="A23" s="51"/>
      <c r="B23" s="51"/>
      <c r="C23" s="51"/>
      <c r="D23" s="51"/>
      <c r="E23" s="51"/>
      <c r="J23" s="14"/>
      <c r="K23" s="14"/>
      <c r="L23" s="14"/>
    </row>
    <row r="24">
      <c r="A24" s="51"/>
      <c r="B24" s="51"/>
      <c r="C24" s="51"/>
      <c r="D24" s="51"/>
      <c r="E24" s="51"/>
      <c r="J24" s="14"/>
      <c r="K24" s="14"/>
      <c r="L24" s="14"/>
    </row>
    <row r="25">
      <c r="A25" s="51"/>
      <c r="B25" s="51"/>
      <c r="C25" s="51"/>
      <c r="D25" s="51"/>
      <c r="E25" s="51"/>
      <c r="J25" s="14"/>
      <c r="K25" s="14"/>
      <c r="L25" s="14"/>
    </row>
    <row r="26">
      <c r="A26" s="51"/>
      <c r="B26" s="51"/>
      <c r="C26" s="51"/>
      <c r="D26" s="51"/>
      <c r="E26" s="51"/>
      <c r="J26" s="14"/>
      <c r="K26" s="14"/>
      <c r="L26" s="14"/>
    </row>
    <row r="27">
      <c r="A27" s="51"/>
      <c r="B27" s="51"/>
      <c r="C27" s="51"/>
      <c r="D27" s="51"/>
      <c r="E27" s="51"/>
      <c r="J27" s="14"/>
      <c r="K27" s="14"/>
      <c r="L27" s="14"/>
    </row>
    <row r="28">
      <c r="A28" s="51"/>
      <c r="B28" s="51"/>
      <c r="C28" s="51"/>
      <c r="D28" s="51"/>
      <c r="E28" s="51"/>
      <c r="J28" s="14"/>
      <c r="K28" s="14"/>
      <c r="L28" s="14"/>
    </row>
    <row r="29">
      <c r="A29" s="51"/>
      <c r="B29" s="51"/>
      <c r="C29" s="51"/>
      <c r="D29" s="51"/>
      <c r="E29" s="51"/>
      <c r="J29" s="14"/>
      <c r="K29" s="14"/>
      <c r="L29" s="14"/>
    </row>
    <row r="30">
      <c r="A30" s="51"/>
      <c r="B30" s="51"/>
      <c r="C30" s="51"/>
      <c r="D30" s="51"/>
      <c r="E30" s="51"/>
      <c r="J30" s="14"/>
      <c r="K30" s="14"/>
      <c r="L30" s="14"/>
    </row>
    <row r="31">
      <c r="A31" s="51"/>
      <c r="B31" s="51"/>
      <c r="C31" s="51"/>
      <c r="D31" s="51"/>
      <c r="E31" s="51"/>
      <c r="J31" s="14"/>
      <c r="K31" s="14"/>
      <c r="L31" s="14"/>
    </row>
    <row r="32">
      <c r="A32" s="51"/>
      <c r="B32" s="51"/>
      <c r="C32" s="51"/>
      <c r="D32" s="51"/>
      <c r="E32" s="51"/>
      <c r="J32" s="14"/>
      <c r="K32" s="14"/>
      <c r="L32" s="14"/>
    </row>
    <row r="33">
      <c r="A33" s="51"/>
      <c r="B33" s="51"/>
      <c r="C33" s="51"/>
      <c r="D33" s="51"/>
      <c r="E33" s="51"/>
      <c r="J33" s="14"/>
      <c r="K33" s="14"/>
      <c r="L33" s="14"/>
    </row>
    <row r="34">
      <c r="A34" s="51"/>
      <c r="B34" s="51"/>
      <c r="C34" s="51"/>
      <c r="D34" s="51"/>
      <c r="E34" s="51"/>
      <c r="J34" s="14"/>
      <c r="K34" s="14"/>
      <c r="L34" s="14"/>
    </row>
    <row r="35">
      <c r="A35" s="51"/>
      <c r="B35" s="51"/>
      <c r="C35" s="51"/>
      <c r="D35" s="51"/>
      <c r="E35" s="51"/>
      <c r="J35" s="14"/>
      <c r="K35" s="14"/>
      <c r="L35" s="14"/>
    </row>
    <row r="36">
      <c r="A36" s="51"/>
      <c r="B36" s="51"/>
      <c r="C36" s="51"/>
      <c r="D36" s="51"/>
      <c r="E36" s="51"/>
      <c r="J36" s="14"/>
      <c r="K36" s="14"/>
      <c r="L36" s="14"/>
    </row>
    <row r="37">
      <c r="A37" s="51"/>
      <c r="B37" s="51"/>
      <c r="C37" s="51"/>
      <c r="D37" s="51"/>
      <c r="E37" s="51"/>
      <c r="J37" s="14"/>
      <c r="K37" s="14"/>
      <c r="L37" s="14"/>
    </row>
    <row r="38">
      <c r="A38" s="51"/>
      <c r="B38" s="51"/>
      <c r="C38" s="51"/>
      <c r="D38" s="51"/>
      <c r="E38" s="51"/>
      <c r="J38" s="14"/>
      <c r="K38" s="14"/>
      <c r="L38" s="14"/>
    </row>
    <row r="39">
      <c r="A39" s="51"/>
      <c r="B39" s="51"/>
      <c r="C39" s="51"/>
      <c r="D39" s="51"/>
      <c r="E39" s="51"/>
      <c r="J39" s="14"/>
      <c r="K39" s="14"/>
      <c r="L39" s="14"/>
    </row>
    <row r="40">
      <c r="A40" s="51"/>
      <c r="B40" s="51"/>
      <c r="C40" s="51"/>
      <c r="D40" s="51"/>
      <c r="E40" s="51"/>
      <c r="J40" s="14"/>
      <c r="K40" s="14"/>
      <c r="L40" s="14"/>
    </row>
    <row r="41">
      <c r="A41" s="51"/>
      <c r="B41" s="51"/>
      <c r="C41" s="51"/>
      <c r="D41" s="51"/>
      <c r="E41" s="51"/>
      <c r="J41" s="14"/>
      <c r="K41" s="14"/>
      <c r="L41" s="14"/>
    </row>
    <row r="42">
      <c r="A42" s="51"/>
      <c r="B42" s="51"/>
      <c r="C42" s="51"/>
      <c r="D42" s="51"/>
      <c r="E42" s="51"/>
      <c r="J42" s="14"/>
      <c r="K42" s="14"/>
      <c r="L42" s="14"/>
    </row>
    <row r="43">
      <c r="A43" s="51"/>
      <c r="B43" s="51"/>
      <c r="C43" s="51"/>
      <c r="D43" s="51"/>
      <c r="E43" s="51"/>
      <c r="J43" s="14"/>
      <c r="K43" s="14"/>
      <c r="L43" s="14"/>
    </row>
    <row r="44">
      <c r="A44" s="51"/>
      <c r="B44" s="51"/>
      <c r="C44" s="51"/>
      <c r="D44" s="51"/>
      <c r="E44" s="51"/>
      <c r="J44" s="14"/>
      <c r="K44" s="14"/>
      <c r="L44" s="14"/>
    </row>
    <row r="45">
      <c r="A45" s="51"/>
      <c r="B45" s="51"/>
      <c r="C45" s="51"/>
      <c r="D45" s="51"/>
      <c r="E45" s="51"/>
      <c r="J45" s="14"/>
      <c r="K45" s="14"/>
      <c r="L45" s="14"/>
    </row>
    <row r="46">
      <c r="A46" s="51"/>
      <c r="B46" s="51"/>
      <c r="C46" s="51"/>
      <c r="D46" s="51"/>
      <c r="E46" s="51"/>
      <c r="J46" s="14"/>
      <c r="K46" s="14"/>
      <c r="L46" s="14"/>
    </row>
    <row r="47">
      <c r="A47" s="51"/>
      <c r="B47" s="51"/>
      <c r="C47" s="51"/>
      <c r="D47" s="51"/>
      <c r="E47" s="51"/>
      <c r="J47" s="14"/>
      <c r="K47" s="14"/>
      <c r="L47" s="14"/>
    </row>
    <row r="48">
      <c r="A48" s="51"/>
      <c r="B48" s="51"/>
      <c r="C48" s="51"/>
      <c r="D48" s="51"/>
      <c r="E48" s="51"/>
      <c r="J48" s="14"/>
      <c r="K48" s="14"/>
      <c r="L48" s="14"/>
    </row>
    <row r="49">
      <c r="A49" s="51"/>
      <c r="B49" s="51"/>
      <c r="C49" s="51"/>
      <c r="D49" s="51"/>
      <c r="E49" s="51"/>
      <c r="J49" s="14"/>
      <c r="K49" s="14"/>
      <c r="L49" s="14"/>
    </row>
    <row r="50">
      <c r="A50" s="51"/>
      <c r="B50" s="51"/>
      <c r="C50" s="51"/>
      <c r="D50" s="51"/>
      <c r="E50" s="51"/>
      <c r="J50" s="14"/>
      <c r="K50" s="14"/>
      <c r="L50" s="14"/>
    </row>
    <row r="51">
      <c r="A51" s="51"/>
      <c r="B51" s="51"/>
      <c r="C51" s="51"/>
      <c r="D51" s="51"/>
      <c r="E51" s="51"/>
      <c r="J51" s="14"/>
      <c r="K51" s="14"/>
      <c r="L51" s="14"/>
    </row>
    <row r="52">
      <c r="A52" s="51"/>
      <c r="B52" s="51"/>
      <c r="C52" s="51"/>
      <c r="D52" s="51"/>
      <c r="E52" s="51"/>
      <c r="J52" s="14"/>
      <c r="K52" s="14"/>
      <c r="L52" s="14"/>
    </row>
    <row r="53">
      <c r="A53" s="51"/>
      <c r="B53" s="51"/>
      <c r="C53" s="51"/>
      <c r="D53" s="51"/>
      <c r="E53" s="51"/>
      <c r="J53" s="14"/>
      <c r="K53" s="14"/>
      <c r="L53" s="14"/>
    </row>
    <row r="54">
      <c r="A54" s="51"/>
      <c r="B54" s="51"/>
      <c r="C54" s="51"/>
      <c r="D54" s="51"/>
      <c r="E54" s="51"/>
      <c r="J54" s="14"/>
      <c r="K54" s="14"/>
      <c r="L54" s="14"/>
    </row>
    <row r="55">
      <c r="A55" s="51"/>
      <c r="B55" s="51"/>
      <c r="C55" s="51"/>
      <c r="D55" s="51"/>
      <c r="E55" s="51"/>
      <c r="J55" s="14"/>
      <c r="K55" s="14"/>
      <c r="L55" s="14"/>
    </row>
    <row r="56">
      <c r="A56" s="51"/>
      <c r="B56" s="51"/>
      <c r="C56" s="51"/>
      <c r="D56" s="51"/>
      <c r="E56" s="51"/>
      <c r="J56" s="14"/>
      <c r="K56" s="14"/>
      <c r="L56" s="14"/>
    </row>
    <row r="57">
      <c r="A57" s="51"/>
      <c r="B57" s="51"/>
      <c r="C57" s="51"/>
      <c r="D57" s="51"/>
      <c r="E57" s="51"/>
      <c r="J57" s="14"/>
      <c r="K57" s="14"/>
      <c r="L57" s="14"/>
    </row>
    <row r="58">
      <c r="A58" s="51"/>
      <c r="B58" s="51"/>
      <c r="C58" s="51"/>
      <c r="D58" s="51"/>
      <c r="E58" s="51"/>
      <c r="J58" s="14"/>
      <c r="K58" s="14"/>
      <c r="L58" s="14"/>
    </row>
    <row r="59">
      <c r="A59" s="51"/>
      <c r="B59" s="51"/>
      <c r="C59" s="51"/>
      <c r="D59" s="51"/>
      <c r="E59" s="51"/>
      <c r="J59" s="14"/>
      <c r="K59" s="14"/>
      <c r="L59" s="14"/>
    </row>
    <row r="60">
      <c r="A60" s="51"/>
      <c r="B60" s="51"/>
      <c r="C60" s="51"/>
      <c r="D60" s="51"/>
      <c r="E60" s="51"/>
      <c r="J60" s="14"/>
      <c r="K60" s="14"/>
      <c r="L60" s="14"/>
    </row>
    <row r="61">
      <c r="A61" s="51"/>
      <c r="B61" s="51"/>
      <c r="C61" s="51"/>
      <c r="D61" s="51"/>
      <c r="E61" s="51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  <row r="995">
      <c r="C995" s="54"/>
      <c r="D995" s="54"/>
      <c r="J995" s="14"/>
      <c r="K995" s="14"/>
      <c r="L995" s="14"/>
    </row>
    <row r="996">
      <c r="C996" s="54"/>
      <c r="D996" s="54"/>
      <c r="J996" s="14"/>
      <c r="K996" s="14"/>
      <c r="L996" s="14"/>
    </row>
    <row r="997">
      <c r="C997" s="54"/>
      <c r="D997" s="54"/>
      <c r="J997" s="14"/>
      <c r="K997" s="14"/>
      <c r="L997" s="14"/>
    </row>
    <row r="998">
      <c r="C998" s="54"/>
      <c r="D998" s="54"/>
      <c r="J998" s="14"/>
      <c r="K998" s="14"/>
      <c r="L998" s="14"/>
    </row>
  </sheetData>
  <mergeCells count="1">
    <mergeCell ref="J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4" max="4" width="24.63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46</v>
      </c>
      <c r="C2" s="20" t="s">
        <v>47</v>
      </c>
      <c r="D2" s="20" t="s">
        <v>1788</v>
      </c>
      <c r="E2" s="51"/>
      <c r="J2" s="14" t="str">
        <f>IFERROR(__xludf.DUMMYFUNCTION("FILTER(B2:B994, E2:E994&lt;&gt;""✅"")"),"安心")</f>
        <v>安心</v>
      </c>
      <c r="K2" s="14" t="str">
        <f>IFERROR(__xludf.DUMMYFUNCTION("FILTER(C2:C994, E2:E994&lt;&gt;""✅"")"),"あんしん")</f>
        <v>あんしん</v>
      </c>
      <c r="L2" s="14" t="str">
        <f>IFERROR(__xludf.DUMMYFUNCTION("FILTER(D2:D994, E2:E994&lt;&gt;""✅"")"),"relief; peace of mind")</f>
        <v>relief; peace of mind</v>
      </c>
    </row>
    <row r="3">
      <c r="A3" s="20">
        <v>2.0</v>
      </c>
      <c r="B3" s="20" t="s">
        <v>50</v>
      </c>
      <c r="C3" s="20" t="s">
        <v>51</v>
      </c>
      <c r="D3" s="20" t="s">
        <v>1789</v>
      </c>
      <c r="E3" s="51"/>
      <c r="G3" s="20" t="s">
        <v>14</v>
      </c>
      <c r="J3" s="14" t="str">
        <f>IFERROR(__xludf.DUMMYFUNCTION("""COMPUTED_VALUE"""),"安全")</f>
        <v>安全</v>
      </c>
      <c r="K3" s="14" t="str">
        <f>IFERROR(__xludf.DUMMYFUNCTION("""COMPUTED_VALUE"""),"あんぜん")</f>
        <v>あんぜん</v>
      </c>
      <c r="L3" s="14" t="str">
        <f>IFERROR(__xludf.DUMMYFUNCTION("""COMPUTED_VALUE"""),"safety; security​")</f>
        <v>safety; security​</v>
      </c>
    </row>
    <row r="4">
      <c r="A4" s="20">
        <v>3.0</v>
      </c>
      <c r="B4" s="20" t="s">
        <v>1790</v>
      </c>
      <c r="C4" s="20" t="s">
        <v>1791</v>
      </c>
      <c r="D4" s="20" t="s">
        <v>1792</v>
      </c>
      <c r="E4" s="51"/>
      <c r="G4" s="20" t="s">
        <v>19</v>
      </c>
      <c r="H4" s="20">
        <f>COUNTIF(J3:J994, "&lt;&gt;")</f>
        <v>23</v>
      </c>
      <c r="J4" s="14" t="str">
        <f>IFERROR(__xludf.DUMMYFUNCTION("""COMPUTED_VALUE"""),"大事")</f>
        <v>大事</v>
      </c>
      <c r="K4" s="14" t="str">
        <f>IFERROR(__xludf.DUMMYFUNCTION("""COMPUTED_VALUE"""),"だいじ")</f>
        <v>だいじ</v>
      </c>
      <c r="L4" s="14" t="str">
        <f>IFERROR(__xludf.DUMMYFUNCTION("""COMPUTED_VALUE"""),"important; serious; crucial")</f>
        <v>important; serious; crucial</v>
      </c>
    </row>
    <row r="5">
      <c r="A5" s="20">
        <v>4.0</v>
      </c>
      <c r="B5" s="20" t="s">
        <v>190</v>
      </c>
      <c r="C5" s="20" t="s">
        <v>191</v>
      </c>
      <c r="D5" s="20" t="s">
        <v>1793</v>
      </c>
      <c r="E5" s="51"/>
      <c r="G5" s="20" t="s">
        <v>23</v>
      </c>
      <c r="H5" s="14">
        <f>COUNTIF(B2:B994, "&lt;&gt;")</f>
        <v>24</v>
      </c>
      <c r="J5" s="14" t="str">
        <f>IFERROR(__xludf.DUMMYFUNCTION("""COMPUTED_VALUE"""),"不便")</f>
        <v>不便</v>
      </c>
      <c r="K5" s="14" t="str">
        <f>IFERROR(__xludf.DUMMYFUNCTION("""COMPUTED_VALUE"""),"ふべん")</f>
        <v>ふべん</v>
      </c>
      <c r="L5" s="14" t="str">
        <f>IFERROR(__xludf.DUMMYFUNCTION("""COMPUTED_VALUE"""),"inconvenient")</f>
        <v>inconvenient</v>
      </c>
    </row>
    <row r="6">
      <c r="A6" s="20">
        <v>5.0</v>
      </c>
      <c r="B6" s="20" t="s">
        <v>198</v>
      </c>
      <c r="C6" s="20" t="s">
        <v>199</v>
      </c>
      <c r="D6" s="20" t="s">
        <v>201</v>
      </c>
      <c r="E6" s="51"/>
      <c r="H6" s="14">
        <f>TRUNC((H4/H5)*100, 1)</f>
        <v>95.8</v>
      </c>
      <c r="J6" s="14" t="str">
        <f>IFERROR(__xludf.DUMMYFUNCTION("""COMPUTED_VALUE"""),"複雑")</f>
        <v>複雑</v>
      </c>
      <c r="K6" s="14" t="str">
        <f>IFERROR(__xludf.DUMMYFUNCTION("""COMPUTED_VALUE"""),"ふくざつ")</f>
        <v>ふくざつ</v>
      </c>
      <c r="L6" s="14" t="str">
        <f>IFERROR(__xludf.DUMMYFUNCTION("""COMPUTED_VALUE"""),"complexity; complication")</f>
        <v>complexity; complication</v>
      </c>
    </row>
    <row r="7">
      <c r="A7" s="20">
        <v>6.0</v>
      </c>
      <c r="B7" s="20" t="s">
        <v>275</v>
      </c>
      <c r="C7" s="20" t="s">
        <v>276</v>
      </c>
      <c r="D7" s="20" t="s">
        <v>278</v>
      </c>
      <c r="E7" s="51"/>
      <c r="G7" s="20" t="s">
        <v>31</v>
      </c>
      <c r="H7" s="14">
        <f>100-H6</f>
        <v>4.2</v>
      </c>
      <c r="J7" s="14" t="str">
        <f>IFERROR(__xludf.DUMMYFUNCTION("""COMPUTED_VALUE"""),"反対")</f>
        <v>反対</v>
      </c>
      <c r="K7" s="14" t="str">
        <f>IFERROR(__xludf.DUMMYFUNCTION("""COMPUTED_VALUE"""),"はんたい")</f>
        <v>はんたい</v>
      </c>
      <c r="L7" s="14" t="str">
        <f>IFERROR(__xludf.DUMMYFUNCTION("""COMPUTED_VALUE"""),"opposition")</f>
        <v>opposition</v>
      </c>
    </row>
    <row r="8">
      <c r="A8" s="20">
        <v>7.0</v>
      </c>
      <c r="B8" s="20" t="s">
        <v>287</v>
      </c>
      <c r="C8" s="20" t="s">
        <v>288</v>
      </c>
      <c r="D8" s="20" t="s">
        <v>290</v>
      </c>
      <c r="E8" s="51"/>
      <c r="G8" s="20" t="s">
        <v>35</v>
      </c>
      <c r="J8" s="14" t="str">
        <f>IFERROR(__xludf.DUMMYFUNCTION("""COMPUTED_VALUE"""),"変")</f>
        <v>変</v>
      </c>
      <c r="K8" s="14" t="str">
        <f>IFERROR(__xludf.DUMMYFUNCTION("""COMPUTED_VALUE"""),"へん")</f>
        <v>へん</v>
      </c>
      <c r="L8" s="14" t="str">
        <f>IFERROR(__xludf.DUMMYFUNCTION("""COMPUTED_VALUE"""),"strange; peculiar; weird")</f>
        <v>strange; peculiar; weird</v>
      </c>
    </row>
    <row r="9">
      <c r="A9" s="20">
        <v>8.0</v>
      </c>
      <c r="B9" s="20" t="s">
        <v>323</v>
      </c>
      <c r="C9" s="20" t="s">
        <v>324</v>
      </c>
      <c r="D9" s="20" t="s">
        <v>326</v>
      </c>
      <c r="E9" s="51"/>
      <c r="J9" s="14" t="str">
        <f>IFERROR(__xludf.DUMMYFUNCTION("""COMPUTED_VALUE"""),"久しぶり")</f>
        <v>久しぶり</v>
      </c>
      <c r="K9" s="14" t="str">
        <f>IFERROR(__xludf.DUMMYFUNCTION("""COMPUTED_VALUE"""),"ひさしぶり")</f>
        <v>ひさしぶり</v>
      </c>
      <c r="L9" s="14" t="str">
        <f>IFERROR(__xludf.DUMMYFUNCTION("""COMPUTED_VALUE"""),"after a long time")</f>
        <v>after a long time</v>
      </c>
    </row>
    <row r="10">
      <c r="A10" s="20">
        <v>9.0</v>
      </c>
      <c r="B10" s="20" t="s">
        <v>382</v>
      </c>
      <c r="C10" s="51"/>
      <c r="D10" s="20" t="s">
        <v>384</v>
      </c>
      <c r="E10" s="51"/>
      <c r="J10" s="14" t="str">
        <f>IFERROR(__xludf.DUMMYFUNCTION("""COMPUTED_VALUE"""),"いっぱい")</f>
        <v>いっぱい</v>
      </c>
      <c r="K10" s="14"/>
      <c r="L10" s="14" t="str">
        <f>IFERROR(__xludf.DUMMYFUNCTION("""COMPUTED_VALUE"""),"full")</f>
        <v>full</v>
      </c>
    </row>
    <row r="11">
      <c r="A11" s="20">
        <v>10.0</v>
      </c>
      <c r="B11" s="20" t="s">
        <v>389</v>
      </c>
      <c r="C11" s="20" t="s">
        <v>390</v>
      </c>
      <c r="D11" s="20" t="s">
        <v>392</v>
      </c>
      <c r="E11" s="51"/>
      <c r="J11" s="14" t="str">
        <f>IFERROR(__xludf.DUMMYFUNCTION("""COMPUTED_VALUE"""),"一生懸命")</f>
        <v>一生懸命</v>
      </c>
      <c r="K11" s="14" t="str">
        <f>IFERROR(__xludf.DUMMYFUNCTION("""COMPUTED_VALUE"""),"いっしょうけんめい")</f>
        <v>いっしょうけんめい</v>
      </c>
      <c r="L11" s="14" t="str">
        <f>IFERROR(__xludf.DUMMYFUNCTION("""COMPUTED_VALUE"""),"very hard; with utmost effort")</f>
        <v>very hard; with utmost effort</v>
      </c>
    </row>
    <row r="12">
      <c r="A12" s="20">
        <v>11.0</v>
      </c>
      <c r="B12" s="20" t="s">
        <v>436</v>
      </c>
      <c r="C12" s="20" t="s">
        <v>437</v>
      </c>
      <c r="D12" s="20" t="s">
        <v>439</v>
      </c>
      <c r="E12" s="51"/>
      <c r="J12" s="14" t="str">
        <f>IFERROR(__xludf.DUMMYFUNCTION("""COMPUTED_VALUE"""),"自由")</f>
        <v>自由</v>
      </c>
      <c r="K12" s="14" t="str">
        <f>IFERROR(__xludf.DUMMYFUNCTION("""COMPUTED_VALUE"""),"じゆう")</f>
        <v>じゆう</v>
      </c>
      <c r="L12" s="14" t="str">
        <f>IFERROR(__xludf.DUMMYFUNCTION("""COMPUTED_VALUE"""),"freedom")</f>
        <v>freedom</v>
      </c>
    </row>
    <row r="13">
      <c r="A13" s="20">
        <v>12.0</v>
      </c>
      <c r="B13" s="20" t="s">
        <v>448</v>
      </c>
      <c r="C13" s="20" t="s">
        <v>449</v>
      </c>
      <c r="D13" s="20" t="s">
        <v>451</v>
      </c>
      <c r="E13" s="51"/>
      <c r="J13" s="14" t="str">
        <f>IFERROR(__xludf.DUMMYFUNCTION("""COMPUTED_VALUE"""),"十分")</f>
        <v>十分</v>
      </c>
      <c r="K13" s="14" t="str">
        <f>IFERROR(__xludf.DUMMYFUNCTION("""COMPUTED_VALUE"""),"じゅうぶん")</f>
        <v>じゅうぶん</v>
      </c>
      <c r="L13" s="14" t="str">
        <f>IFERROR(__xludf.DUMMYFUNCTION("""COMPUTED_VALUE"""),"enough; sufficient; plenty")</f>
        <v>enough; sufficient; plenty</v>
      </c>
    </row>
    <row r="14">
      <c r="A14" s="20">
        <v>13.0</v>
      </c>
      <c r="B14" s="20" t="s">
        <v>526</v>
      </c>
      <c r="C14" s="20" t="s">
        <v>527</v>
      </c>
      <c r="D14" s="20" t="s">
        <v>529</v>
      </c>
      <c r="E14" s="51"/>
      <c r="J14" s="14" t="str">
        <f>IFERROR(__xludf.DUMMYFUNCTION("""COMPUTED_VALUE"""),"簡単")</f>
        <v>簡単</v>
      </c>
      <c r="K14" s="14" t="str">
        <f>IFERROR(__xludf.DUMMYFUNCTION("""COMPUTED_VALUE"""),"かんたん")</f>
        <v>かんたん</v>
      </c>
      <c r="L14" s="14" t="str">
        <f>IFERROR(__xludf.DUMMYFUNCTION("""COMPUTED_VALUE"""),"simple; easy")</f>
        <v>simple; easy</v>
      </c>
    </row>
    <row r="15">
      <c r="A15" s="20">
        <v>14.0</v>
      </c>
      <c r="B15" s="20" t="s">
        <v>601</v>
      </c>
      <c r="C15" s="20" t="s">
        <v>602</v>
      </c>
      <c r="D15" s="20" t="s">
        <v>1794</v>
      </c>
      <c r="E15" s="51"/>
      <c r="J15" s="14" t="str">
        <f>IFERROR(__xludf.DUMMYFUNCTION("""COMPUTED_VALUE"""),"危険")</f>
        <v>危険</v>
      </c>
      <c r="K15" s="14" t="str">
        <f>IFERROR(__xludf.DUMMYFUNCTION("""COMPUTED_VALUE"""),"きけん")</f>
        <v>きけん</v>
      </c>
      <c r="L15" s="14" t="str">
        <f>IFERROR(__xludf.DUMMYFUNCTION("""COMPUTED_VALUE"""),"dangerous")</f>
        <v>dangerous</v>
      </c>
    </row>
    <row r="16">
      <c r="A16" s="20">
        <v>15.0</v>
      </c>
      <c r="B16" s="20" t="s">
        <v>1795</v>
      </c>
      <c r="C16" s="20" t="s">
        <v>1796</v>
      </c>
      <c r="D16" s="20" t="s">
        <v>1797</v>
      </c>
      <c r="E16" s="51"/>
      <c r="J16" s="14" t="str">
        <f>IFERROR(__xludf.DUMMYFUNCTION("""COMPUTED_VALUE"""),"急")</f>
        <v>急</v>
      </c>
      <c r="K16" s="14" t="str">
        <f>IFERROR(__xludf.DUMMYFUNCTION("""COMPUTED_VALUE"""),"きゅう")</f>
        <v>きゅう</v>
      </c>
      <c r="L16" s="14" t="str">
        <f>IFERROR(__xludf.DUMMYFUNCTION("""COMPUTED_VALUE"""),"sudden; abrupt; unexpected")</f>
        <v>sudden; abrupt; unexpected</v>
      </c>
    </row>
    <row r="17">
      <c r="A17" s="20">
        <v>16.0</v>
      </c>
      <c r="B17" s="20" t="s">
        <v>809</v>
      </c>
      <c r="C17" s="20" t="s">
        <v>810</v>
      </c>
      <c r="D17" s="20" t="s">
        <v>812</v>
      </c>
      <c r="E17" s="51"/>
      <c r="J17" s="14" t="str">
        <f>IFERROR(__xludf.DUMMYFUNCTION("""COMPUTED_VALUE"""),"無理")</f>
        <v>無理</v>
      </c>
      <c r="K17" s="14" t="str">
        <f>IFERROR(__xludf.DUMMYFUNCTION("""COMPUTED_VALUE"""),"むり")</f>
        <v>むり</v>
      </c>
      <c r="L17" s="14" t="str">
        <f>IFERROR(__xludf.DUMMYFUNCTION("""COMPUTED_VALUE"""),"impossible")</f>
        <v>impossible</v>
      </c>
    </row>
    <row r="18">
      <c r="A18" s="20">
        <v>17.0</v>
      </c>
      <c r="B18" s="20" t="s">
        <v>1798</v>
      </c>
      <c r="C18" s="20" t="s">
        <v>1799</v>
      </c>
      <c r="D18" s="20" t="s">
        <v>1800</v>
      </c>
      <c r="E18" s="51"/>
      <c r="J18" s="14" t="str">
        <f>IFERROR(__xludf.DUMMYFUNCTION("""COMPUTED_VALUE"""),"盛ん")</f>
        <v>盛ん</v>
      </c>
      <c r="K18" s="14" t="str">
        <f>IFERROR(__xludf.DUMMYFUNCTION("""COMPUTED_VALUE"""),"さかん")</f>
        <v>さかん</v>
      </c>
      <c r="L18" s="14" t="str">
        <f>IFERROR(__xludf.DUMMYFUNCTION("""COMPUTED_VALUE"""),"popularity; prosperous")</f>
        <v>popularity; prosperous</v>
      </c>
    </row>
    <row r="19">
      <c r="A19" s="20">
        <v>18.0</v>
      </c>
      <c r="B19" s="20" t="s">
        <v>1121</v>
      </c>
      <c r="C19" s="20" t="s">
        <v>1122</v>
      </c>
      <c r="D19" s="20" t="s">
        <v>1785</v>
      </c>
      <c r="E19" s="51"/>
      <c r="J19" s="14" t="str">
        <f>IFERROR(__xludf.DUMMYFUNCTION("""COMPUTED_VALUE"""),"親切")</f>
        <v>親切</v>
      </c>
      <c r="K19" s="14" t="str">
        <f>IFERROR(__xludf.DUMMYFUNCTION("""COMPUTED_VALUE"""),"しんせつ")</f>
        <v>しんせつ</v>
      </c>
      <c r="L19" s="14" t="str">
        <f>IFERROR(__xludf.DUMMYFUNCTION("""COMPUTED_VALUE"""),"kind")</f>
        <v>kind</v>
      </c>
    </row>
    <row r="20">
      <c r="A20" s="20">
        <v>19.0</v>
      </c>
      <c r="B20" s="20" t="s">
        <v>1229</v>
      </c>
      <c r="C20" s="51"/>
      <c r="D20" s="20" t="s">
        <v>213</v>
      </c>
      <c r="E20" s="51"/>
      <c r="J20" s="14" t="str">
        <f>IFERROR(__xludf.DUMMYFUNCTION("""COMPUTED_VALUE"""),"たいてい")</f>
        <v>たいてい</v>
      </c>
      <c r="K20" s="14"/>
      <c r="L20" s="14" t="str">
        <f>IFERROR(__xludf.DUMMYFUNCTION("""COMPUTED_VALUE"""),"usually")</f>
        <v>usually</v>
      </c>
    </row>
    <row r="21">
      <c r="A21" s="20">
        <v>20.0</v>
      </c>
      <c r="B21" s="20" t="s">
        <v>1239</v>
      </c>
      <c r="C21" s="20" t="s">
        <v>1240</v>
      </c>
      <c r="D21" s="20" t="s">
        <v>1801</v>
      </c>
      <c r="E21" s="51"/>
      <c r="J21" s="14" t="str">
        <f>IFERROR(__xludf.DUMMYFUNCTION("""COMPUTED_VALUE"""),"楽しみ")</f>
        <v>楽しみ</v>
      </c>
      <c r="K21" s="14" t="str">
        <f>IFERROR(__xludf.DUMMYFUNCTION("""COMPUTED_VALUE"""),"たのしみ")</f>
        <v>たのしみ</v>
      </c>
      <c r="L21" s="14" t="str">
        <f>IFERROR(__xludf.DUMMYFUNCTION("""COMPUTED_VALUE"""),"looking forward to​")</f>
        <v>looking forward to​</v>
      </c>
    </row>
    <row r="22">
      <c r="A22" s="20">
        <v>21.0</v>
      </c>
      <c r="B22" s="20" t="s">
        <v>1251</v>
      </c>
      <c r="C22" s="20" t="s">
        <v>1252</v>
      </c>
      <c r="D22" s="20" t="s">
        <v>1254</v>
      </c>
      <c r="E22" s="51"/>
      <c r="J22" s="14" t="str">
        <f>IFERROR(__xludf.DUMMYFUNCTION("""COMPUTED_VALUE"""),"丁寧")</f>
        <v>丁寧</v>
      </c>
      <c r="K22" s="14" t="str">
        <f>IFERROR(__xludf.DUMMYFUNCTION("""COMPUTED_VALUE"""),"ていねい")</f>
        <v>ていねい</v>
      </c>
      <c r="L22" s="14" t="str">
        <f>IFERROR(__xludf.DUMMYFUNCTION("""COMPUTED_VALUE"""),"polite")</f>
        <v>polite</v>
      </c>
    </row>
    <row r="23">
      <c r="A23" s="20">
        <v>22.0</v>
      </c>
      <c r="B23" s="20" t="s">
        <v>1258</v>
      </c>
      <c r="C23" s="20" t="s">
        <v>1259</v>
      </c>
      <c r="D23" s="20" t="s">
        <v>1261</v>
      </c>
      <c r="E23" s="51"/>
      <c r="J23" s="14" t="str">
        <f>IFERROR(__xludf.DUMMYFUNCTION("""COMPUTED_VALUE"""),"適当")</f>
        <v>適当</v>
      </c>
      <c r="K23" s="14" t="str">
        <f>IFERROR(__xludf.DUMMYFUNCTION("""COMPUTED_VALUE"""),"てきとう")</f>
        <v>てきとう</v>
      </c>
      <c r="L23" s="14" t="str">
        <f>IFERROR(__xludf.DUMMYFUNCTION("""COMPUTED_VALUE"""),"suitable")</f>
        <v>suitable</v>
      </c>
    </row>
    <row r="24">
      <c r="A24" s="20">
        <v>23.0</v>
      </c>
      <c r="B24" s="20" t="s">
        <v>1297</v>
      </c>
      <c r="C24" s="20" t="s">
        <v>1298</v>
      </c>
      <c r="D24" s="20" t="s">
        <v>1802</v>
      </c>
      <c r="E24" s="51"/>
      <c r="J24" s="14" t="str">
        <f>IFERROR(__xludf.DUMMYFUNCTION("""COMPUTED_VALUE"""),"特別")</f>
        <v>特別</v>
      </c>
      <c r="K24" s="14" t="str">
        <f>IFERROR(__xludf.DUMMYFUNCTION("""COMPUTED_VALUE"""),"とくべつ")</f>
        <v>とくべつ</v>
      </c>
      <c r="L24" s="14" t="str">
        <f>IFERROR(__xludf.DUMMYFUNCTION("""COMPUTED_VALUE"""),"special; particular; extraordinary")</f>
        <v>special; particular; extraordinary</v>
      </c>
    </row>
    <row r="25">
      <c r="A25" s="20">
        <v>24.0</v>
      </c>
      <c r="B25" s="20" t="s">
        <v>1803</v>
      </c>
      <c r="C25" s="20" t="s">
        <v>1804</v>
      </c>
      <c r="D25" s="20" t="s">
        <v>1805</v>
      </c>
      <c r="E25" s="51"/>
      <c r="J25" s="14" t="str">
        <f>IFERROR(__xludf.DUMMYFUNCTION("""COMPUTED_VALUE"""),"残念")</f>
        <v>残念</v>
      </c>
      <c r="K25" s="14" t="str">
        <f>IFERROR(__xludf.DUMMYFUNCTION("""COMPUTED_VALUE"""),"ざんねん")</f>
        <v>ざんねん</v>
      </c>
      <c r="L25" s="14" t="str">
        <f>IFERROR(__xludf.DUMMYFUNCTION("""COMPUTED_VALUE"""),"regrettable; unfortunate")</f>
        <v>regrettable; unfortunate</v>
      </c>
    </row>
    <row r="26">
      <c r="C26" s="54"/>
      <c r="D26" s="54"/>
      <c r="J26" s="14"/>
      <c r="K26" s="14"/>
      <c r="L26" s="14"/>
    </row>
    <row r="27">
      <c r="C27" s="54"/>
      <c r="D27" s="54"/>
      <c r="J27" s="14"/>
      <c r="K27" s="14"/>
      <c r="L27" s="14"/>
    </row>
    <row r="28">
      <c r="C28" s="54"/>
      <c r="D28" s="54"/>
      <c r="J28" s="14"/>
      <c r="K28" s="14"/>
      <c r="L28" s="14"/>
    </row>
    <row r="29">
      <c r="C29" s="54"/>
      <c r="D29" s="54"/>
      <c r="J29" s="14"/>
      <c r="K29" s="14"/>
      <c r="L29" s="14"/>
    </row>
    <row r="30">
      <c r="C30" s="54"/>
      <c r="D30" s="54"/>
      <c r="J30" s="14"/>
      <c r="K30" s="14"/>
      <c r="L30" s="14"/>
    </row>
    <row r="31">
      <c r="C31" s="54"/>
      <c r="D31" s="54"/>
      <c r="J31" s="14"/>
      <c r="K31" s="14"/>
      <c r="L31" s="14"/>
    </row>
    <row r="32">
      <c r="C32" s="54"/>
      <c r="D32" s="54"/>
      <c r="J32" s="14"/>
      <c r="K32" s="14"/>
      <c r="L32" s="14"/>
    </row>
    <row r="33">
      <c r="C33" s="54"/>
      <c r="D33" s="54"/>
      <c r="J33" s="14"/>
      <c r="K33" s="14"/>
      <c r="L33" s="14"/>
    </row>
    <row r="34">
      <c r="C34" s="54"/>
      <c r="D34" s="54"/>
      <c r="J34" s="14"/>
      <c r="K34" s="14"/>
      <c r="L34" s="14"/>
    </row>
    <row r="35">
      <c r="C35" s="54"/>
      <c r="D35" s="54"/>
      <c r="J35" s="14"/>
      <c r="K35" s="14"/>
      <c r="L35" s="14"/>
    </row>
    <row r="36">
      <c r="C36" s="54"/>
      <c r="D36" s="54"/>
      <c r="J36" s="14"/>
      <c r="K36" s="14"/>
      <c r="L36" s="14"/>
    </row>
    <row r="37">
      <c r="C37" s="54"/>
      <c r="D37" s="54"/>
      <c r="J37" s="14"/>
      <c r="K37" s="14"/>
      <c r="L37" s="14"/>
    </row>
    <row r="38">
      <c r="C38" s="54"/>
      <c r="D38" s="54"/>
      <c r="J38" s="14"/>
      <c r="K38" s="14"/>
      <c r="L38" s="14"/>
    </row>
    <row r="39">
      <c r="C39" s="54"/>
      <c r="D39" s="54"/>
      <c r="J39" s="14"/>
      <c r="K39" s="14"/>
      <c r="L39" s="14"/>
    </row>
    <row r="40">
      <c r="C40" s="54"/>
      <c r="D40" s="54"/>
      <c r="J40" s="14"/>
      <c r="K40" s="14"/>
      <c r="L40" s="14"/>
    </row>
    <row r="41">
      <c r="C41" s="54"/>
      <c r="D41" s="54"/>
      <c r="J41" s="14"/>
      <c r="K41" s="14"/>
      <c r="L41" s="14"/>
    </row>
    <row r="42">
      <c r="C42" s="54"/>
      <c r="D42" s="54"/>
      <c r="J42" s="14"/>
      <c r="K42" s="14"/>
      <c r="L42" s="14"/>
    </row>
    <row r="43">
      <c r="C43" s="54"/>
      <c r="D43" s="54"/>
      <c r="J43" s="14"/>
      <c r="K43" s="14"/>
      <c r="L43" s="14"/>
    </row>
    <row r="44">
      <c r="C44" s="54"/>
      <c r="D44" s="54"/>
      <c r="J44" s="14"/>
      <c r="K44" s="14"/>
      <c r="L44" s="14"/>
    </row>
    <row r="45">
      <c r="C45" s="54"/>
      <c r="D45" s="54"/>
      <c r="J45" s="14"/>
      <c r="K45" s="14"/>
      <c r="L45" s="14"/>
    </row>
    <row r="46">
      <c r="C46" s="54"/>
      <c r="D46" s="54"/>
      <c r="J46" s="14"/>
      <c r="K46" s="14"/>
      <c r="L46" s="14"/>
    </row>
    <row r="47">
      <c r="C47" s="54"/>
      <c r="D47" s="54"/>
      <c r="J47" s="14"/>
      <c r="K47" s="14"/>
      <c r="L47" s="14"/>
    </row>
    <row r="48">
      <c r="C48" s="54"/>
      <c r="D48" s="54"/>
      <c r="J48" s="14"/>
      <c r="K48" s="14"/>
      <c r="L48" s="14"/>
    </row>
    <row r="49">
      <c r="C49" s="54"/>
      <c r="D49" s="54"/>
      <c r="J49" s="14"/>
      <c r="K49" s="14"/>
      <c r="L49" s="14"/>
    </row>
    <row r="50">
      <c r="C50" s="54"/>
      <c r="D50" s="54"/>
      <c r="J50" s="14"/>
      <c r="K50" s="14"/>
      <c r="L50" s="14"/>
    </row>
    <row r="51">
      <c r="C51" s="54"/>
      <c r="D51" s="54"/>
      <c r="J51" s="14"/>
      <c r="K51" s="14"/>
      <c r="L51" s="14"/>
    </row>
    <row r="52">
      <c r="C52" s="54"/>
      <c r="D52" s="54"/>
      <c r="J52" s="14"/>
      <c r="K52" s="14"/>
      <c r="L52" s="14"/>
    </row>
    <row r="53">
      <c r="C53" s="54"/>
      <c r="D53" s="54"/>
      <c r="J53" s="14"/>
      <c r="K53" s="14"/>
      <c r="L53" s="14"/>
    </row>
    <row r="54">
      <c r="C54" s="54"/>
      <c r="D54" s="54"/>
      <c r="J54" s="14"/>
      <c r="K54" s="14"/>
      <c r="L54" s="14"/>
    </row>
    <row r="55">
      <c r="C55" s="54"/>
      <c r="D55" s="54"/>
      <c r="J55" s="14"/>
      <c r="K55" s="14"/>
      <c r="L55" s="14"/>
    </row>
    <row r="56">
      <c r="C56" s="54"/>
      <c r="D56" s="54"/>
      <c r="J56" s="14"/>
      <c r="K56" s="14"/>
      <c r="L56" s="14"/>
    </row>
    <row r="57">
      <c r="C57" s="54"/>
      <c r="D57" s="54"/>
      <c r="J57" s="14"/>
      <c r="K57" s="14"/>
      <c r="L57" s="14"/>
    </row>
    <row r="58">
      <c r="C58" s="54"/>
      <c r="D58" s="54"/>
      <c r="J58" s="14"/>
      <c r="K58" s="14"/>
      <c r="L58" s="14"/>
    </row>
    <row r="59">
      <c r="C59" s="54"/>
      <c r="D59" s="54"/>
      <c r="J59" s="14"/>
      <c r="K59" s="14"/>
      <c r="L59" s="14"/>
    </row>
    <row r="60">
      <c r="C60" s="54"/>
      <c r="D60" s="54"/>
      <c r="J60" s="14"/>
      <c r="K60" s="14"/>
      <c r="L60" s="14"/>
    </row>
    <row r="61">
      <c r="C61" s="54"/>
      <c r="D61" s="54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</sheetData>
  <mergeCells count="1">
    <mergeCell ref="J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3" width="15.0"/>
    <col customWidth="1" min="4" max="4" width="21.63"/>
    <col customWidth="1" min="5" max="5" width="37.63"/>
  </cols>
  <sheetData>
    <row r="1">
      <c r="A1" s="20" t="s">
        <v>0</v>
      </c>
      <c r="B1" s="20" t="s">
        <v>1806</v>
      </c>
      <c r="C1" s="59" t="s">
        <v>1807</v>
      </c>
      <c r="D1" s="59" t="s">
        <v>1808</v>
      </c>
      <c r="E1" s="59" t="s">
        <v>1809</v>
      </c>
      <c r="F1" s="51"/>
      <c r="K1" s="61" t="s">
        <v>6</v>
      </c>
    </row>
    <row r="2">
      <c r="A2" s="20">
        <v>1.0</v>
      </c>
      <c r="B2" s="20" t="s">
        <v>1810</v>
      </c>
      <c r="C2" s="59" t="s">
        <v>1811</v>
      </c>
      <c r="D2" s="59" t="s">
        <v>1812</v>
      </c>
      <c r="E2" s="59" t="s">
        <v>1813</v>
      </c>
      <c r="F2" s="51"/>
      <c r="H2" s="20" t="s">
        <v>14</v>
      </c>
      <c r="K2" s="52" t="str">
        <f>IFERROR(__xludf.DUMMYFUNCTION("FILTER(B2:B960, F2:F960&lt;&gt;""✅"")"),"会")</f>
        <v>会</v>
      </c>
      <c r="L2" s="52" t="str">
        <f>IFERROR(__xludf.DUMMYFUNCTION("FILTER(C2:C960, F2:F960&lt;&gt;""✅"")"),"カイ")</f>
        <v>カイ</v>
      </c>
      <c r="M2" s="52" t="str">
        <f>IFERROR(__xludf.DUMMYFUNCTION("FILTER(D2:D960, F2:F960&lt;&gt;""✅"")"),"あ(う)")</f>
        <v>あ(う)</v>
      </c>
      <c r="N2" s="14" t="str">
        <f>IFERROR(__xludf.DUMMYFUNCTION("FILTER(E2:E960, F2:F960&lt;&gt;""✅"")"),"meeting; meet")</f>
        <v>meeting; meet</v>
      </c>
    </row>
    <row r="3">
      <c r="A3" s="20">
        <v>2.0</v>
      </c>
      <c r="B3" s="20" t="s">
        <v>1814</v>
      </c>
      <c r="C3" s="59" t="s">
        <v>1815</v>
      </c>
      <c r="D3" s="59" t="s">
        <v>1816</v>
      </c>
      <c r="E3" s="59" t="s">
        <v>1817</v>
      </c>
      <c r="H3" s="20" t="s">
        <v>19</v>
      </c>
      <c r="I3" s="20">
        <f>COUNTIF(K3:K960, "&lt;&gt;")</f>
        <v>166</v>
      </c>
      <c r="K3" s="14" t="str">
        <f>IFERROR(__xludf.DUMMYFUNCTION("""COMPUTED_VALUE"""),"同")</f>
        <v>同</v>
      </c>
      <c r="L3" s="14" t="str">
        <f>IFERROR(__xludf.DUMMYFUNCTION("""COMPUTED_VALUE"""),"ドウ")</f>
        <v>ドウ</v>
      </c>
      <c r="M3" s="14" t="str">
        <f>IFERROR(__xludf.DUMMYFUNCTION("""COMPUTED_VALUE"""),"おな(じ)")</f>
        <v>おな(じ)</v>
      </c>
      <c r="N3" s="14" t="str">
        <f>IFERROR(__xludf.DUMMYFUNCTION("""COMPUTED_VALUE"""),"same, agree, equal")</f>
        <v>same, agree, equal</v>
      </c>
    </row>
    <row r="4">
      <c r="A4" s="20">
        <v>3.0</v>
      </c>
      <c r="B4" s="20" t="s">
        <v>1818</v>
      </c>
      <c r="C4" s="59" t="s">
        <v>1819</v>
      </c>
      <c r="D4" s="59" t="s">
        <v>1820</v>
      </c>
      <c r="E4" s="59" t="s">
        <v>1821</v>
      </c>
      <c r="H4" s="20" t="s">
        <v>23</v>
      </c>
      <c r="I4" s="14">
        <f>COUNTIF(B1:B960, "&lt;&gt;")</f>
        <v>168</v>
      </c>
      <c r="K4" s="14" t="str">
        <f>IFERROR(__xludf.DUMMYFUNCTION("""COMPUTED_VALUE"""),"事")</f>
        <v>事</v>
      </c>
      <c r="L4" s="14" t="str">
        <f>IFERROR(__xludf.DUMMYFUNCTION("""COMPUTED_VALUE"""),"ジ")</f>
        <v>ジ</v>
      </c>
      <c r="M4" s="14" t="str">
        <f>IFERROR(__xludf.DUMMYFUNCTION("""COMPUTED_VALUE"""),"こと")</f>
        <v>こと</v>
      </c>
      <c r="N4" s="14" t="str">
        <f>IFERROR(__xludf.DUMMYFUNCTION("""COMPUTED_VALUE"""),"matter, thing, fact, business, reason, possibly")</f>
        <v>matter, thing, fact, business, reason, possibly</v>
      </c>
    </row>
    <row r="5">
      <c r="A5" s="20">
        <v>4.0</v>
      </c>
      <c r="B5" s="20" t="s">
        <v>1822</v>
      </c>
      <c r="C5" s="59" t="s">
        <v>1823</v>
      </c>
      <c r="D5" s="59" t="s">
        <v>1824</v>
      </c>
      <c r="E5" s="59" t="s">
        <v>1825</v>
      </c>
      <c r="F5" s="51"/>
      <c r="I5" s="14">
        <f>TRUNC((I3/I4)*100, 1)</f>
        <v>98.8</v>
      </c>
      <c r="K5" s="14" t="str">
        <f>IFERROR(__xludf.DUMMYFUNCTION("""COMPUTED_VALUE"""),"自")</f>
        <v>自</v>
      </c>
      <c r="L5" s="14" t="str">
        <f>IFERROR(__xludf.DUMMYFUNCTION("""COMPUTED_VALUE"""),"ジ、シ")</f>
        <v>ジ、シ</v>
      </c>
      <c r="M5" s="14" t="str">
        <f>IFERROR(__xludf.DUMMYFUNCTION("""COMPUTED_VALUE"""),"みずか(ら)")</f>
        <v>みずか(ら)</v>
      </c>
      <c r="N5" s="14" t="str">
        <f>IFERROR(__xludf.DUMMYFUNCTION("""COMPUTED_VALUE"""),"oneself")</f>
        <v>oneself</v>
      </c>
    </row>
    <row r="6">
      <c r="A6" s="20">
        <v>5.0</v>
      </c>
      <c r="B6" s="20" t="s">
        <v>1826</v>
      </c>
      <c r="C6" s="59" t="s">
        <v>1827</v>
      </c>
      <c r="D6" s="59" t="s">
        <v>1828</v>
      </c>
      <c r="E6" s="59" t="s">
        <v>1829</v>
      </c>
      <c r="F6" s="51"/>
      <c r="H6" s="20" t="s">
        <v>31</v>
      </c>
      <c r="I6" s="14">
        <f>100-I5</f>
        <v>1.2</v>
      </c>
      <c r="K6" s="14" t="str">
        <f>IFERROR(__xludf.DUMMYFUNCTION("""COMPUTED_VALUE"""),"社")</f>
        <v>社</v>
      </c>
      <c r="L6" s="14" t="str">
        <f>IFERROR(__xludf.DUMMYFUNCTION("""COMPUTED_VALUE"""),"シャ")</f>
        <v>シャ</v>
      </c>
      <c r="M6" s="14" t="str">
        <f>IFERROR(__xludf.DUMMYFUNCTION("""COMPUTED_VALUE"""),"やしろ")</f>
        <v>やしろ</v>
      </c>
      <c r="N6" s="14" t="str">
        <f>IFERROR(__xludf.DUMMYFUNCTION("""COMPUTED_VALUE"""),"company, firm, office, association, shrine")</f>
        <v>company, firm, office, association, shrine</v>
      </c>
    </row>
    <row r="7">
      <c r="A7" s="20">
        <v>6.0</v>
      </c>
      <c r="B7" s="20" t="s">
        <v>1830</v>
      </c>
      <c r="C7" s="59" t="s">
        <v>1831</v>
      </c>
      <c r="D7" s="59"/>
      <c r="E7" s="59" t="s">
        <v>1832</v>
      </c>
      <c r="F7" s="51"/>
      <c r="H7" s="20" t="s">
        <v>35</v>
      </c>
      <c r="K7" s="14" t="str">
        <f>IFERROR(__xludf.DUMMYFUNCTION("""COMPUTED_VALUE"""),"発")</f>
        <v>発</v>
      </c>
      <c r="L7" s="14" t="str">
        <f>IFERROR(__xludf.DUMMYFUNCTION("""COMPUTED_VALUE"""),"ハツ、ホツ")</f>
        <v>ハツ、ホツ</v>
      </c>
      <c r="M7" s="14"/>
      <c r="N7" s="14" t="str">
        <f>IFERROR(__xludf.DUMMYFUNCTION("""COMPUTED_VALUE"""),"departure, discharge, emit, start from")</f>
        <v>departure, discharge, emit, start from</v>
      </c>
    </row>
    <row r="8">
      <c r="A8" s="20">
        <v>7.0</v>
      </c>
      <c r="B8" s="20" t="s">
        <v>1833</v>
      </c>
      <c r="C8" s="59" t="s">
        <v>1827</v>
      </c>
      <c r="D8" s="59" t="s">
        <v>1834</v>
      </c>
      <c r="E8" s="59" t="s">
        <v>1835</v>
      </c>
      <c r="F8" s="51"/>
      <c r="K8" s="14" t="str">
        <f>IFERROR(__xludf.DUMMYFUNCTION("""COMPUTED_VALUE"""),"者")</f>
        <v>者</v>
      </c>
      <c r="L8" s="14" t="str">
        <f>IFERROR(__xludf.DUMMYFUNCTION("""COMPUTED_VALUE"""),"シャ")</f>
        <v>シャ</v>
      </c>
      <c r="M8" s="14" t="str">
        <f>IFERROR(__xludf.DUMMYFUNCTION("""COMPUTED_VALUE"""),"もの")</f>
        <v>もの</v>
      </c>
      <c r="N8" s="14" t="str">
        <f>IFERROR(__xludf.DUMMYFUNCTION("""COMPUTED_VALUE"""),"someone, person")</f>
        <v>someone, person</v>
      </c>
    </row>
    <row r="9">
      <c r="A9" s="20">
        <v>8.0</v>
      </c>
      <c r="B9" s="20" t="s">
        <v>1836</v>
      </c>
      <c r="C9" s="59" t="s">
        <v>1837</v>
      </c>
      <c r="D9" s="59"/>
      <c r="E9" s="59" t="s">
        <v>1838</v>
      </c>
      <c r="F9" s="51"/>
      <c r="K9" s="14" t="str">
        <f>IFERROR(__xludf.DUMMYFUNCTION("""COMPUTED_VALUE"""),"地")</f>
        <v>地</v>
      </c>
      <c r="L9" s="14" t="str">
        <f>IFERROR(__xludf.DUMMYFUNCTION("""COMPUTED_VALUE"""),"チ、ジ")</f>
        <v>チ、ジ</v>
      </c>
      <c r="M9" s="14"/>
      <c r="N9" s="14" t="str">
        <f>IFERROR(__xludf.DUMMYFUNCTION("""COMPUTED_VALUE"""),"ground, earth")</f>
        <v>ground, earth</v>
      </c>
    </row>
    <row r="10">
      <c r="A10" s="20">
        <v>9.0</v>
      </c>
      <c r="B10" s="20" t="s">
        <v>1839</v>
      </c>
      <c r="C10" s="59" t="s">
        <v>1840</v>
      </c>
      <c r="D10" s="59" t="s">
        <v>1841</v>
      </c>
      <c r="E10" s="59" t="s">
        <v>1842</v>
      </c>
      <c r="F10" s="51"/>
      <c r="K10" s="14" t="str">
        <f>IFERROR(__xludf.DUMMYFUNCTION("""COMPUTED_VALUE"""),"業")</f>
        <v>業</v>
      </c>
      <c r="L10" s="14" t="str">
        <f>IFERROR(__xludf.DUMMYFUNCTION("""COMPUTED_VALUE"""),"ギョウ")</f>
        <v>ギョウ</v>
      </c>
      <c r="M10" s="14" t="str">
        <f>IFERROR(__xludf.DUMMYFUNCTION("""COMPUTED_VALUE"""),"わざ")</f>
        <v>わざ</v>
      </c>
      <c r="N10" s="14" t="str">
        <f>IFERROR(__xludf.DUMMYFUNCTION("""COMPUTED_VALUE"""),"business, vocation, arts, performance")</f>
        <v>business, vocation, arts, performance</v>
      </c>
    </row>
    <row r="11">
      <c r="A11" s="20">
        <v>10.0</v>
      </c>
      <c r="B11" s="20" t="s">
        <v>1843</v>
      </c>
      <c r="C11" s="59" t="s">
        <v>1844</v>
      </c>
      <c r="D11" s="59" t="s">
        <v>1845</v>
      </c>
      <c r="E11" s="59" t="s">
        <v>1846</v>
      </c>
      <c r="F11" s="51"/>
      <c r="K11" s="14" t="str">
        <f>IFERROR(__xludf.DUMMYFUNCTION("""COMPUTED_VALUE"""),"方")</f>
        <v>方</v>
      </c>
      <c r="L11" s="14" t="str">
        <f>IFERROR(__xludf.DUMMYFUNCTION("""COMPUTED_VALUE"""),"ホウ")</f>
        <v>ホウ</v>
      </c>
      <c r="M11" s="14" t="str">
        <f>IFERROR(__xludf.DUMMYFUNCTION("""COMPUTED_VALUE"""),"かた")</f>
        <v>かた</v>
      </c>
      <c r="N11" s="14" t="str">
        <f>IFERROR(__xludf.DUMMYFUNCTION("""COMPUTED_VALUE"""),"direction, person, alternative")</f>
        <v>direction, person, alternative</v>
      </c>
    </row>
    <row r="12">
      <c r="A12" s="20">
        <v>11.0</v>
      </c>
      <c r="B12" s="20" t="s">
        <v>1847</v>
      </c>
      <c r="C12" s="59" t="s">
        <v>1848</v>
      </c>
      <c r="D12" s="59" t="s">
        <v>1849</v>
      </c>
      <c r="E12" s="59" t="s">
        <v>1850</v>
      </c>
      <c r="F12" s="51"/>
      <c r="K12" s="14" t="str">
        <f>IFERROR(__xludf.DUMMYFUNCTION("""COMPUTED_VALUE"""),"新")</f>
        <v>新</v>
      </c>
      <c r="L12" s="14" t="str">
        <f>IFERROR(__xludf.DUMMYFUNCTION("""COMPUTED_VALUE"""),"シン")</f>
        <v>シン</v>
      </c>
      <c r="M12" s="14" t="str">
        <f>IFERROR(__xludf.DUMMYFUNCTION("""COMPUTED_VALUE"""),"あたら(しい)、あら(た)")</f>
        <v>あたら(しい)、あら(た)</v>
      </c>
      <c r="N12" s="14" t="str">
        <f>IFERROR(__xludf.DUMMYFUNCTION("""COMPUTED_VALUE"""),"new")</f>
        <v>new</v>
      </c>
    </row>
    <row r="13">
      <c r="A13" s="20">
        <v>12.0</v>
      </c>
      <c r="B13" s="20" t="s">
        <v>1851</v>
      </c>
      <c r="C13" s="59" t="s">
        <v>1852</v>
      </c>
      <c r="D13" s="59" t="s">
        <v>1570</v>
      </c>
      <c r="E13" s="59" t="s">
        <v>1853</v>
      </c>
      <c r="F13" s="51"/>
      <c r="K13" s="14" t="str">
        <f>IFERROR(__xludf.DUMMYFUNCTION("""COMPUTED_VALUE"""),"場")</f>
        <v>場</v>
      </c>
      <c r="L13" s="14" t="str">
        <f>IFERROR(__xludf.DUMMYFUNCTION("""COMPUTED_VALUE"""),"ジョウ")</f>
        <v>ジョウ</v>
      </c>
      <c r="M13" s="14" t="str">
        <f>IFERROR(__xludf.DUMMYFUNCTION("""COMPUTED_VALUE"""),"ば")</f>
        <v>ば</v>
      </c>
      <c r="N13" s="14" t="str">
        <f>IFERROR(__xludf.DUMMYFUNCTION("""COMPUTED_VALUE"""),"location, place")</f>
        <v>location, place</v>
      </c>
    </row>
    <row r="14">
      <c r="A14" s="20">
        <v>13.0</v>
      </c>
      <c r="B14" s="20" t="s">
        <v>1854</v>
      </c>
      <c r="C14" s="59" t="s">
        <v>1855</v>
      </c>
      <c r="D14" s="59"/>
      <c r="E14" s="59" t="s">
        <v>1856</v>
      </c>
      <c r="F14" s="51"/>
      <c r="K14" s="14" t="str">
        <f>IFERROR(__xludf.DUMMYFUNCTION("""COMPUTED_VALUE"""),"員")</f>
        <v>員</v>
      </c>
      <c r="L14" s="14" t="str">
        <f>IFERROR(__xludf.DUMMYFUNCTION("""COMPUTED_VALUE"""),"イン")</f>
        <v>イン</v>
      </c>
      <c r="M14" s="14"/>
      <c r="N14" s="14" t="str">
        <f>IFERROR(__xludf.DUMMYFUNCTION("""COMPUTED_VALUE"""),"employee, member, number, the one in charge")</f>
        <v>employee, member, number, the one in charge</v>
      </c>
    </row>
    <row r="15">
      <c r="A15" s="20">
        <v>14.0</v>
      </c>
      <c r="B15" s="20" t="s">
        <v>1857</v>
      </c>
      <c r="C15" s="59" t="s">
        <v>1858</v>
      </c>
      <c r="D15" s="59" t="s">
        <v>1859</v>
      </c>
      <c r="E15" s="59" t="s">
        <v>1860</v>
      </c>
      <c r="F15" s="51"/>
      <c r="K15" s="14" t="str">
        <f>IFERROR(__xludf.DUMMYFUNCTION("""COMPUTED_VALUE"""),"立")</f>
        <v>立</v>
      </c>
      <c r="L15" s="14" t="str">
        <f>IFERROR(__xludf.DUMMYFUNCTION("""COMPUTED_VALUE"""),"リツ")</f>
        <v>リツ</v>
      </c>
      <c r="M15" s="14" t="str">
        <f>IFERROR(__xludf.DUMMYFUNCTION("""COMPUTED_VALUE"""),"た(つ)")</f>
        <v>た(つ)</v>
      </c>
      <c r="N15" s="14" t="str">
        <f>IFERROR(__xludf.DUMMYFUNCTION("""COMPUTED_VALUE"""),"stand up, rise")</f>
        <v>stand up, rise</v>
      </c>
    </row>
    <row r="16">
      <c r="A16" s="20">
        <v>15.0</v>
      </c>
      <c r="B16" s="20" t="s">
        <v>1861</v>
      </c>
      <c r="C16" s="59" t="s">
        <v>1811</v>
      </c>
      <c r="D16" s="59" t="s">
        <v>1862</v>
      </c>
      <c r="E16" s="59" t="s">
        <v>1863</v>
      </c>
      <c r="F16" s="51"/>
      <c r="K16" s="14" t="str">
        <f>IFERROR(__xludf.DUMMYFUNCTION("""COMPUTED_VALUE"""),"開")</f>
        <v>開</v>
      </c>
      <c r="L16" s="14" t="str">
        <f>IFERROR(__xludf.DUMMYFUNCTION("""COMPUTED_VALUE"""),"カイ")</f>
        <v>カイ</v>
      </c>
      <c r="M16" s="14" t="str">
        <f>IFERROR(__xludf.DUMMYFUNCTION("""COMPUTED_VALUE"""),"ひら(く)、あ(ける)")</f>
        <v>ひら(く)、あ(ける)</v>
      </c>
      <c r="N16" s="14" t="str">
        <f>IFERROR(__xludf.DUMMYFUNCTION("""COMPUTED_VALUE"""),"open, unfold, unseal")</f>
        <v>open, unfold, unseal</v>
      </c>
    </row>
    <row r="17">
      <c r="A17" s="20">
        <v>16.0</v>
      </c>
      <c r="B17" s="20" t="s">
        <v>1864</v>
      </c>
      <c r="C17" s="59" t="s">
        <v>1865</v>
      </c>
      <c r="D17" s="59" t="s">
        <v>1866</v>
      </c>
      <c r="E17" s="59" t="s">
        <v>1867</v>
      </c>
      <c r="F17" s="51"/>
      <c r="K17" s="14" t="str">
        <f>IFERROR(__xludf.DUMMYFUNCTION("""COMPUTED_VALUE"""),"手")</f>
        <v>手</v>
      </c>
      <c r="L17" s="14" t="str">
        <f>IFERROR(__xludf.DUMMYFUNCTION("""COMPUTED_VALUE"""),"シュ")</f>
        <v>シュ</v>
      </c>
      <c r="M17" s="14" t="str">
        <f>IFERROR(__xludf.DUMMYFUNCTION("""COMPUTED_VALUE"""),"て")</f>
        <v>て</v>
      </c>
      <c r="N17" s="14" t="str">
        <f>IFERROR(__xludf.DUMMYFUNCTION("""COMPUTED_VALUE"""),"hand")</f>
        <v>hand</v>
      </c>
    </row>
    <row r="18">
      <c r="A18" s="20">
        <v>17.0</v>
      </c>
      <c r="B18" s="20" t="s">
        <v>116</v>
      </c>
      <c r="C18" s="59" t="s">
        <v>1868</v>
      </c>
      <c r="D18" s="59" t="s">
        <v>117</v>
      </c>
      <c r="E18" s="59" t="s">
        <v>1869</v>
      </c>
      <c r="F18" s="51"/>
      <c r="K18" s="14" t="str">
        <f>IFERROR(__xludf.DUMMYFUNCTION("""COMPUTED_VALUE"""),"力")</f>
        <v>力</v>
      </c>
      <c r="L18" s="14" t="str">
        <f>IFERROR(__xludf.DUMMYFUNCTION("""COMPUTED_VALUE"""),"リョク、リキ")</f>
        <v>リョク、リキ</v>
      </c>
      <c r="M18" s="14" t="str">
        <f>IFERROR(__xludf.DUMMYFUNCTION("""COMPUTED_VALUE"""),"ちから")</f>
        <v>ちから</v>
      </c>
      <c r="N18" s="14" t="str">
        <f>IFERROR(__xludf.DUMMYFUNCTION("""COMPUTED_VALUE"""),"power, strength, strong, strain, bear up, exert")</f>
        <v>power, strength, strong, strain, bear up, exert</v>
      </c>
    </row>
    <row r="19">
      <c r="A19" s="20"/>
      <c r="B19" s="20" t="s">
        <v>1870</v>
      </c>
      <c r="C19" s="59" t="s">
        <v>1871</v>
      </c>
      <c r="D19" s="59" t="s">
        <v>1872</v>
      </c>
      <c r="E19" s="59" t="s">
        <v>1873</v>
      </c>
      <c r="F19" s="51"/>
      <c r="K19" s="14" t="str">
        <f>IFERROR(__xludf.DUMMYFUNCTION("""COMPUTED_VALUE"""),"問")</f>
        <v>問</v>
      </c>
      <c r="L19" s="14" t="str">
        <f>IFERROR(__xludf.DUMMYFUNCTION("""COMPUTED_VALUE"""),"モン")</f>
        <v>モン</v>
      </c>
      <c r="M19" s="14" t="str">
        <f>IFERROR(__xludf.DUMMYFUNCTION("""COMPUTED_VALUE"""),"と(う)")</f>
        <v>と(う)</v>
      </c>
      <c r="N19" s="14" t="str">
        <f>IFERROR(__xludf.DUMMYFUNCTION("""COMPUTED_VALUE"""),"question, ask, problem")</f>
        <v>question, ask, problem</v>
      </c>
    </row>
    <row r="20">
      <c r="A20" s="20">
        <v>19.0</v>
      </c>
      <c r="B20" s="20" t="s">
        <v>1874</v>
      </c>
      <c r="C20" s="59" t="s">
        <v>1875</v>
      </c>
      <c r="D20" s="59" t="s">
        <v>1876</v>
      </c>
      <c r="E20" s="59" t="s">
        <v>1877</v>
      </c>
      <c r="F20" s="51"/>
      <c r="K20" s="14" t="str">
        <f>IFERROR(__xludf.DUMMYFUNCTION("""COMPUTED_VALUE"""),"代")</f>
        <v>代</v>
      </c>
      <c r="L20" s="14" t="str">
        <f>IFERROR(__xludf.DUMMYFUNCTION("""COMPUTED_VALUE"""),"ダイ")</f>
        <v>ダイ</v>
      </c>
      <c r="M20" s="14" t="str">
        <f>IFERROR(__xludf.DUMMYFUNCTION("""COMPUTED_VALUE"""),"か(わり)")</f>
        <v>か(わり)</v>
      </c>
      <c r="N20" s="14" t="str">
        <f>IFERROR(__xludf.DUMMYFUNCTION("""COMPUTED_VALUE"""),"substitute, change, convert, replace, period")</f>
        <v>substitute, change, convert, replace, period</v>
      </c>
    </row>
    <row r="21">
      <c r="A21" s="20">
        <v>20.0</v>
      </c>
      <c r="B21" s="20" t="s">
        <v>1878</v>
      </c>
      <c r="C21" s="59" t="s">
        <v>1879</v>
      </c>
      <c r="D21" s="59" t="s">
        <v>1880</v>
      </c>
      <c r="E21" s="59" t="s">
        <v>1881</v>
      </c>
      <c r="F21" s="51"/>
      <c r="K21" s="14" t="str">
        <f>IFERROR(__xludf.DUMMYFUNCTION("""COMPUTED_VALUE"""),"明")</f>
        <v>明</v>
      </c>
      <c r="L21" s="14" t="str">
        <f>IFERROR(__xludf.DUMMYFUNCTION("""COMPUTED_VALUE"""),"メイ、ミョウ")</f>
        <v>メイ、ミョウ</v>
      </c>
      <c r="M21" s="14" t="str">
        <f>IFERROR(__xludf.DUMMYFUNCTION("""COMPUTED_VALUE"""),"あか(るい)")</f>
        <v>あか(るい)</v>
      </c>
      <c r="N21" s="14" t="str">
        <f>IFERROR(__xludf.DUMMYFUNCTION("""COMPUTED_VALUE"""),"bright, light")</f>
        <v>bright, light</v>
      </c>
    </row>
    <row r="22">
      <c r="A22" s="20">
        <v>21.0</v>
      </c>
      <c r="B22" s="20" t="s">
        <v>1882</v>
      </c>
      <c r="C22" s="59" t="s">
        <v>1815</v>
      </c>
      <c r="D22" s="59"/>
      <c r="E22" s="59" t="s">
        <v>1883</v>
      </c>
      <c r="F22" s="51"/>
      <c r="K22" s="14" t="str">
        <f>IFERROR(__xludf.DUMMYFUNCTION("""COMPUTED_VALUE"""),"動")</f>
        <v>動</v>
      </c>
      <c r="L22" s="14" t="str">
        <f>IFERROR(__xludf.DUMMYFUNCTION("""COMPUTED_VALUE"""),"ドウ")</f>
        <v>ドウ</v>
      </c>
      <c r="M22" s="14"/>
      <c r="N22" s="14" t="str">
        <f>IFERROR(__xludf.DUMMYFUNCTION("""COMPUTED_VALUE"""),"move, motion, change")</f>
        <v>move, motion, change</v>
      </c>
    </row>
    <row r="23">
      <c r="A23" s="20">
        <v>22.0</v>
      </c>
      <c r="B23" s="20" t="s">
        <v>1884</v>
      </c>
      <c r="C23" s="59" t="s">
        <v>1885</v>
      </c>
      <c r="D23" s="59" t="s">
        <v>790</v>
      </c>
      <c r="E23" s="59" t="s">
        <v>792</v>
      </c>
      <c r="F23" s="51"/>
      <c r="K23" s="14" t="str">
        <f>IFERROR(__xludf.DUMMYFUNCTION("""COMPUTED_VALUE"""),"京")</f>
        <v>京</v>
      </c>
      <c r="L23" s="14" t="str">
        <f>IFERROR(__xludf.DUMMYFUNCTION("""COMPUTED_VALUE"""),"キョウ、ケイ、キン")</f>
        <v>キョウ、ケイ、キン</v>
      </c>
      <c r="M23" s="14" t="str">
        <f>IFERROR(__xludf.DUMMYFUNCTION("""COMPUTED_VALUE"""),"みやこ")</f>
        <v>みやこ</v>
      </c>
      <c r="N23" s="14" t="str">
        <f>IFERROR(__xludf.DUMMYFUNCTION("""COMPUTED_VALUE"""),"capital")</f>
        <v>capital</v>
      </c>
    </row>
    <row r="24">
      <c r="A24" s="20">
        <v>23.0</v>
      </c>
      <c r="B24" s="20" t="s">
        <v>1886</v>
      </c>
      <c r="C24" s="59" t="s">
        <v>1887</v>
      </c>
      <c r="D24" s="59" t="s">
        <v>1888</v>
      </c>
      <c r="E24" s="59" t="s">
        <v>1889</v>
      </c>
      <c r="F24" s="51"/>
      <c r="K24" s="14" t="str">
        <f>IFERROR(__xludf.DUMMYFUNCTION("""COMPUTED_VALUE"""),"目")</f>
        <v>目</v>
      </c>
      <c r="L24" s="14" t="str">
        <f>IFERROR(__xludf.DUMMYFUNCTION("""COMPUTED_VALUE"""),"モク、ボク")</f>
        <v>モク、ボク</v>
      </c>
      <c r="M24" s="14" t="str">
        <f>IFERROR(__xludf.DUMMYFUNCTION("""COMPUTED_VALUE"""),"め")</f>
        <v>め</v>
      </c>
      <c r="N24" s="14" t="str">
        <f>IFERROR(__xludf.DUMMYFUNCTION("""COMPUTED_VALUE"""),"eye, class, look, insight, experience")</f>
        <v>eye, class, look, insight, experience</v>
      </c>
    </row>
    <row r="25">
      <c r="A25" s="20">
        <v>24.0</v>
      </c>
      <c r="B25" s="20" t="s">
        <v>1890</v>
      </c>
      <c r="C25" s="59" t="s">
        <v>1891</v>
      </c>
      <c r="D25" s="59" t="s">
        <v>1892</v>
      </c>
      <c r="E25" s="59" t="s">
        <v>1893</v>
      </c>
      <c r="F25" s="51"/>
      <c r="K25" s="14" t="str">
        <f>IFERROR(__xludf.DUMMYFUNCTION("""COMPUTED_VALUE"""),"通")</f>
        <v>通</v>
      </c>
      <c r="L25" s="14" t="str">
        <f>IFERROR(__xludf.DUMMYFUNCTION("""COMPUTED_VALUE"""),"ツウ")</f>
        <v>ツウ</v>
      </c>
      <c r="M25" s="14" t="str">
        <f>IFERROR(__xludf.DUMMYFUNCTION("""COMPUTED_VALUE"""),"とお(る)、かよ(う)")</f>
        <v>とお(る)、かよ(う)</v>
      </c>
      <c r="N25" s="14" t="str">
        <f>IFERROR(__xludf.DUMMYFUNCTION("""COMPUTED_VALUE"""),"traffic, pass through, avenue, commute")</f>
        <v>traffic, pass through, avenue, commute</v>
      </c>
    </row>
    <row r="26">
      <c r="A26" s="20">
        <v>25.0</v>
      </c>
      <c r="B26" s="20" t="s">
        <v>1894</v>
      </c>
      <c r="C26" s="59" t="s">
        <v>1895</v>
      </c>
      <c r="D26" s="59" t="s">
        <v>1896</v>
      </c>
      <c r="E26" s="59" t="s">
        <v>1897</v>
      </c>
      <c r="F26" s="51"/>
      <c r="K26" s="14" t="str">
        <f>IFERROR(__xludf.DUMMYFUNCTION("""COMPUTED_VALUE"""),"言")</f>
        <v>言</v>
      </c>
      <c r="L26" s="14" t="str">
        <f>IFERROR(__xludf.DUMMYFUNCTION("""COMPUTED_VALUE"""),"ゲン、ゴン")</f>
        <v>ゲン、ゴン</v>
      </c>
      <c r="M26" s="14" t="str">
        <f>IFERROR(__xludf.DUMMYFUNCTION("""COMPUTED_VALUE"""),"い（う）、こと")</f>
        <v>い（う）、こと</v>
      </c>
      <c r="N26" s="14" t="str">
        <f>IFERROR(__xludf.DUMMYFUNCTION("""COMPUTED_VALUE"""),"say, word")</f>
        <v>say, word</v>
      </c>
    </row>
    <row r="27">
      <c r="A27" s="20">
        <v>26.0</v>
      </c>
      <c r="B27" s="20" t="s">
        <v>1898</v>
      </c>
      <c r="C27" s="59" t="s">
        <v>1899</v>
      </c>
      <c r="D27" s="62"/>
      <c r="E27" s="59" t="s">
        <v>1900</v>
      </c>
      <c r="F27" s="51"/>
      <c r="K27" s="14" t="str">
        <f>IFERROR(__xludf.DUMMYFUNCTION("""COMPUTED_VALUE"""),"理")</f>
        <v>理</v>
      </c>
      <c r="L27" s="14" t="str">
        <f>IFERROR(__xludf.DUMMYFUNCTION("""COMPUTED_VALUE"""),"リ")</f>
        <v>リ</v>
      </c>
      <c r="M27" s="14"/>
      <c r="N27" s="14" t="str">
        <f>IFERROR(__xludf.DUMMYFUNCTION("""COMPUTED_VALUE"""),"logic, arrangement, reason, justice, truth")</f>
        <v>logic, arrangement, reason, justice, truth</v>
      </c>
    </row>
    <row r="28">
      <c r="A28" s="20">
        <v>27.0</v>
      </c>
      <c r="B28" s="20" t="s">
        <v>1901</v>
      </c>
      <c r="C28" s="59" t="s">
        <v>1902</v>
      </c>
      <c r="D28" s="59" t="s">
        <v>1903</v>
      </c>
      <c r="E28" s="59" t="s">
        <v>1904</v>
      </c>
      <c r="F28" s="51"/>
      <c r="K28" s="14" t="str">
        <f>IFERROR(__xludf.DUMMYFUNCTION("""COMPUTED_VALUE"""),"体")</f>
        <v>体</v>
      </c>
      <c r="L28" s="14" t="str">
        <f>IFERROR(__xludf.DUMMYFUNCTION("""COMPUTED_VALUE"""),"タイ")</f>
        <v>タイ</v>
      </c>
      <c r="M28" s="14" t="str">
        <f>IFERROR(__xludf.DUMMYFUNCTION("""COMPUTED_VALUE"""),"からだ")</f>
        <v>からだ</v>
      </c>
      <c r="N28" s="14" t="str">
        <f>IFERROR(__xludf.DUMMYFUNCTION("""COMPUTED_VALUE"""),"body, substance, object, reality")</f>
        <v>body, substance, object, reality</v>
      </c>
    </row>
    <row r="29">
      <c r="A29" s="20">
        <v>28.0</v>
      </c>
      <c r="B29" s="20" t="s">
        <v>1905</v>
      </c>
      <c r="C29" s="59" t="s">
        <v>1906</v>
      </c>
      <c r="D29" s="59" t="s">
        <v>1907</v>
      </c>
      <c r="E29" s="59" t="s">
        <v>1908</v>
      </c>
      <c r="F29" s="51"/>
      <c r="K29" s="14" t="str">
        <f>IFERROR(__xludf.DUMMYFUNCTION("""COMPUTED_VALUE"""),"田")</f>
        <v>田</v>
      </c>
      <c r="L29" s="14" t="str">
        <f>IFERROR(__xludf.DUMMYFUNCTION("""COMPUTED_VALUE"""),"デン")</f>
        <v>デン</v>
      </c>
      <c r="M29" s="14" t="str">
        <f>IFERROR(__xludf.DUMMYFUNCTION("""COMPUTED_VALUE"""),"た")</f>
        <v>た</v>
      </c>
      <c r="N29" s="14" t="str">
        <f>IFERROR(__xludf.DUMMYFUNCTION("""COMPUTED_VALUE"""),"rice field, rice paddy")</f>
        <v>rice field, rice paddy</v>
      </c>
    </row>
    <row r="30">
      <c r="A30" s="20">
        <v>29.0</v>
      </c>
      <c r="B30" s="20" t="s">
        <v>1909</v>
      </c>
      <c r="C30" s="59" t="s">
        <v>1865</v>
      </c>
      <c r="D30" s="59" t="s">
        <v>1910</v>
      </c>
      <c r="E30" s="59" t="s">
        <v>1911</v>
      </c>
      <c r="F30" s="51"/>
      <c r="K30" s="14" t="str">
        <f>IFERROR(__xludf.DUMMYFUNCTION("""COMPUTED_VALUE"""),"主")</f>
        <v>主</v>
      </c>
      <c r="L30" s="14" t="str">
        <f>IFERROR(__xludf.DUMMYFUNCTION("""COMPUTED_VALUE"""),"シュ")</f>
        <v>シュ</v>
      </c>
      <c r="M30" s="14" t="str">
        <f>IFERROR(__xludf.DUMMYFUNCTION("""COMPUTED_VALUE"""),"ぬし、おも")</f>
        <v>ぬし、おも</v>
      </c>
      <c r="N30" s="14" t="str">
        <f>IFERROR(__xludf.DUMMYFUNCTION("""COMPUTED_VALUE"""),"lord, chief, master, main thing, principal")</f>
        <v>lord, chief, master, main thing, principal</v>
      </c>
    </row>
    <row r="31">
      <c r="A31" s="20">
        <v>30.0</v>
      </c>
      <c r="B31" s="20" t="s">
        <v>1912</v>
      </c>
      <c r="C31" s="59" t="s">
        <v>1875</v>
      </c>
      <c r="D31" s="59"/>
      <c r="E31" s="59" t="s">
        <v>1913</v>
      </c>
      <c r="F31" s="51"/>
      <c r="K31" s="14" t="str">
        <f>IFERROR(__xludf.DUMMYFUNCTION("""COMPUTED_VALUE"""),"題")</f>
        <v>題</v>
      </c>
      <c r="L31" s="14" t="str">
        <f>IFERROR(__xludf.DUMMYFUNCTION("""COMPUTED_VALUE"""),"ダイ")</f>
        <v>ダイ</v>
      </c>
      <c r="M31" s="14"/>
      <c r="N31" s="14" t="str">
        <f>IFERROR(__xludf.DUMMYFUNCTION("""COMPUTED_VALUE"""),"topic, subject")</f>
        <v>topic, subject</v>
      </c>
    </row>
    <row r="32">
      <c r="A32" s="20">
        <v>31.0</v>
      </c>
      <c r="B32" s="20" t="s">
        <v>1914</v>
      </c>
      <c r="C32" s="59" t="s">
        <v>1915</v>
      </c>
      <c r="D32" s="59"/>
      <c r="E32" s="59" t="s">
        <v>1916</v>
      </c>
      <c r="F32" s="51"/>
      <c r="K32" s="14" t="str">
        <f>IFERROR(__xludf.DUMMYFUNCTION("""COMPUTED_VALUE"""),"意")</f>
        <v>意</v>
      </c>
      <c r="L32" s="14" t="str">
        <f>IFERROR(__xludf.DUMMYFUNCTION("""COMPUTED_VALUE"""),"イ")</f>
        <v>イ</v>
      </c>
      <c r="M32" s="14"/>
      <c r="N32" s="14" t="str">
        <f>IFERROR(__xludf.DUMMYFUNCTION("""COMPUTED_VALUE"""),"idea, mind, heart, taste, thought")</f>
        <v>idea, mind, heart, taste, thought</v>
      </c>
    </row>
    <row r="33">
      <c r="A33" s="20">
        <v>32.0</v>
      </c>
      <c r="B33" s="20" t="s">
        <v>1917</v>
      </c>
      <c r="C33" s="59" t="s">
        <v>1918</v>
      </c>
      <c r="D33" s="59"/>
      <c r="E33" s="59" t="s">
        <v>1919</v>
      </c>
      <c r="F33" s="51"/>
      <c r="K33" s="14" t="str">
        <f>IFERROR(__xludf.DUMMYFUNCTION("""COMPUTED_VALUE"""),"不")</f>
        <v>不</v>
      </c>
      <c r="L33" s="14" t="str">
        <f>IFERROR(__xludf.DUMMYFUNCTION("""COMPUTED_VALUE"""),"フ、ブ")</f>
        <v>フ、ブ</v>
      </c>
      <c r="M33" s="14"/>
      <c r="N33" s="14" t="str">
        <f>IFERROR(__xludf.DUMMYFUNCTION("""COMPUTED_VALUE"""),"negative, non-, bad")</f>
        <v>negative, non-, bad</v>
      </c>
    </row>
    <row r="34">
      <c r="A34" s="20">
        <v>33.0</v>
      </c>
      <c r="B34" s="20" t="s">
        <v>1920</v>
      </c>
      <c r="C34" s="59" t="s">
        <v>1921</v>
      </c>
      <c r="D34" s="59" t="s">
        <v>1922</v>
      </c>
      <c r="E34" s="59" t="s">
        <v>1923</v>
      </c>
      <c r="F34" s="51"/>
      <c r="K34" s="14" t="str">
        <f>IFERROR(__xludf.DUMMYFUNCTION("""COMPUTED_VALUE"""),"作")</f>
        <v>作</v>
      </c>
      <c r="L34" s="14" t="str">
        <f>IFERROR(__xludf.DUMMYFUNCTION("""COMPUTED_VALUE"""),"サク、サ")</f>
        <v>サク、サ</v>
      </c>
      <c r="M34" s="14" t="str">
        <f>IFERROR(__xludf.DUMMYFUNCTION("""COMPUTED_VALUE"""),"つく(る)")</f>
        <v>つく(る)</v>
      </c>
      <c r="N34" s="14" t="str">
        <f>IFERROR(__xludf.DUMMYFUNCTION("""COMPUTED_VALUE"""),"make, production, prepare, build")</f>
        <v>make, production, prepare, build</v>
      </c>
    </row>
    <row r="35">
      <c r="A35" s="20">
        <v>34.0</v>
      </c>
      <c r="B35" s="20" t="s">
        <v>1367</v>
      </c>
      <c r="C35" s="59" t="s">
        <v>1924</v>
      </c>
      <c r="D35" s="59" t="s">
        <v>1925</v>
      </c>
      <c r="E35" s="59" t="s">
        <v>1926</v>
      </c>
      <c r="F35" s="51"/>
      <c r="K35" s="14" t="str">
        <f>IFERROR(__xludf.DUMMYFUNCTION("""COMPUTED_VALUE"""),"用")</f>
        <v>用</v>
      </c>
      <c r="L35" s="14" t="str">
        <f>IFERROR(__xludf.DUMMYFUNCTION("""COMPUTED_VALUE"""),"ヨウ")</f>
        <v>ヨウ</v>
      </c>
      <c r="M35" s="14" t="str">
        <f>IFERROR(__xludf.DUMMYFUNCTION("""COMPUTED_VALUE"""),"もち(いる)")</f>
        <v>もち(いる)</v>
      </c>
      <c r="N35" s="14" t="str">
        <f>IFERROR(__xludf.DUMMYFUNCTION("""COMPUTED_VALUE"""),"utilize, business, service, use, employ")</f>
        <v>utilize, business, service, use, employ</v>
      </c>
    </row>
    <row r="36">
      <c r="A36" s="20">
        <v>35.0</v>
      </c>
      <c r="B36" s="20" t="s">
        <v>1927</v>
      </c>
      <c r="C36" s="59" t="s">
        <v>1928</v>
      </c>
      <c r="D36" s="59" t="s">
        <v>1929</v>
      </c>
      <c r="E36" s="59" t="s">
        <v>1930</v>
      </c>
      <c r="F36" s="51"/>
      <c r="K36" s="14" t="str">
        <f>IFERROR(__xludf.DUMMYFUNCTION("""COMPUTED_VALUE"""),"度")</f>
        <v>度</v>
      </c>
      <c r="L36" s="14" t="str">
        <f>IFERROR(__xludf.DUMMYFUNCTION("""COMPUTED_VALUE"""),"ド、タク")</f>
        <v>ド、タク</v>
      </c>
      <c r="M36" s="14" t="str">
        <f>IFERROR(__xludf.DUMMYFUNCTION("""COMPUTED_VALUE"""),"たび、た(い)")</f>
        <v>たび、た(い)</v>
      </c>
      <c r="N36" s="14" t="str">
        <f>IFERROR(__xludf.DUMMYFUNCTION("""COMPUTED_VALUE"""),"degrees, occurrence, time, counter for occurrences")</f>
        <v>degrees, occurrence, time, counter for occurrences</v>
      </c>
    </row>
    <row r="37">
      <c r="A37" s="20">
        <v>36.0</v>
      </c>
      <c r="B37" s="20" t="s">
        <v>1931</v>
      </c>
      <c r="C37" s="59" t="s">
        <v>1932</v>
      </c>
      <c r="D37" s="59" t="s">
        <v>1933</v>
      </c>
      <c r="E37" s="59" t="s">
        <v>1934</v>
      </c>
      <c r="F37" s="51"/>
      <c r="K37" s="14" t="str">
        <f>IFERROR(__xludf.DUMMYFUNCTION("""COMPUTED_VALUE"""),"強")</f>
        <v>強</v>
      </c>
      <c r="L37" s="14" t="str">
        <f>IFERROR(__xludf.DUMMYFUNCTION("""COMPUTED_VALUE"""),"キョウ、ゴウ")</f>
        <v>キョウ、ゴウ</v>
      </c>
      <c r="M37" s="14" t="str">
        <f>IFERROR(__xludf.DUMMYFUNCTION("""COMPUTED_VALUE"""),"つよ(い)")</f>
        <v>つよ(い)</v>
      </c>
      <c r="N37" s="14" t="str">
        <f>IFERROR(__xludf.DUMMYFUNCTION("""COMPUTED_VALUE"""),"strong")</f>
        <v>strong</v>
      </c>
    </row>
    <row r="38">
      <c r="A38" s="20">
        <v>37.0</v>
      </c>
      <c r="B38" s="20" t="s">
        <v>1935</v>
      </c>
      <c r="C38" s="59" t="s">
        <v>1936</v>
      </c>
      <c r="D38" s="59"/>
      <c r="E38" s="59" t="s">
        <v>1937</v>
      </c>
      <c r="F38" s="51"/>
      <c r="K38" s="14" t="str">
        <f>IFERROR(__xludf.DUMMYFUNCTION("""COMPUTED_VALUE"""),"公")</f>
        <v>公</v>
      </c>
      <c r="L38" s="14" t="str">
        <f>IFERROR(__xludf.DUMMYFUNCTION("""COMPUTED_VALUE"""),"コウ")</f>
        <v>コウ</v>
      </c>
      <c r="M38" s="14"/>
      <c r="N38" s="14" t="str">
        <f>IFERROR(__xludf.DUMMYFUNCTION("""COMPUTED_VALUE"""),"public, prince, official, governmental")</f>
        <v>public, prince, official, governmental</v>
      </c>
    </row>
    <row r="39">
      <c r="A39" s="20">
        <v>38.0</v>
      </c>
      <c r="B39" s="20" t="s">
        <v>1938</v>
      </c>
      <c r="C39" s="59" t="s">
        <v>1819</v>
      </c>
      <c r="D39" s="59"/>
      <c r="E39" s="59" t="s">
        <v>1939</v>
      </c>
      <c r="F39" s="51"/>
      <c r="K39" s="14" t="str">
        <f>IFERROR(__xludf.DUMMYFUNCTION("""COMPUTED_VALUE"""),"持")</f>
        <v>持</v>
      </c>
      <c r="L39" s="14" t="str">
        <f>IFERROR(__xludf.DUMMYFUNCTION("""COMPUTED_VALUE"""),"ジ")</f>
        <v>ジ</v>
      </c>
      <c r="M39" s="14"/>
      <c r="N39" s="14" t="str">
        <f>IFERROR(__xludf.DUMMYFUNCTION("""COMPUTED_VALUE"""),"hold, have")</f>
        <v>hold, have</v>
      </c>
    </row>
    <row r="40">
      <c r="A40" s="20">
        <v>39.0</v>
      </c>
      <c r="B40" s="20" t="s">
        <v>1940</v>
      </c>
      <c r="C40" s="59" t="s">
        <v>1941</v>
      </c>
      <c r="D40" s="59" t="s">
        <v>1942</v>
      </c>
      <c r="E40" s="59" t="s">
        <v>1943</v>
      </c>
      <c r="F40" s="51"/>
      <c r="K40" s="14" t="str">
        <f>IFERROR(__xludf.DUMMYFUNCTION("""COMPUTED_VALUE"""),"野")</f>
        <v>野</v>
      </c>
      <c r="L40" s="14" t="str">
        <f>IFERROR(__xludf.DUMMYFUNCTION("""COMPUTED_VALUE"""),"ヤ")</f>
        <v>ヤ</v>
      </c>
      <c r="M40" s="14" t="str">
        <f>IFERROR(__xludf.DUMMYFUNCTION("""COMPUTED_VALUE"""),"の")</f>
        <v>の</v>
      </c>
      <c r="N40" s="14" t="str">
        <f>IFERROR(__xludf.DUMMYFUNCTION("""COMPUTED_VALUE"""),"plains, field, rustic, civilian life")</f>
        <v>plains, field, rustic, civilian life</v>
      </c>
    </row>
    <row r="41">
      <c r="A41" s="20">
        <v>40.0</v>
      </c>
      <c r="B41" s="20" t="s">
        <v>1944</v>
      </c>
      <c r="C41" s="59" t="s">
        <v>1915</v>
      </c>
      <c r="D41" s="59" t="s">
        <v>1945</v>
      </c>
      <c r="E41" s="59" t="s">
        <v>1946</v>
      </c>
      <c r="F41" s="51"/>
      <c r="K41" s="14" t="str">
        <f>IFERROR(__xludf.DUMMYFUNCTION("""COMPUTED_VALUE"""),"以")</f>
        <v>以</v>
      </c>
      <c r="L41" s="14" t="str">
        <f>IFERROR(__xludf.DUMMYFUNCTION("""COMPUTED_VALUE"""),"イ")</f>
        <v>イ</v>
      </c>
      <c r="M41" s="14" t="str">
        <f>IFERROR(__xludf.DUMMYFUNCTION("""COMPUTED_VALUE"""),"もっ(て)")</f>
        <v>もっ(て)</v>
      </c>
      <c r="N41" s="14" t="str">
        <f>IFERROR(__xludf.DUMMYFUNCTION("""COMPUTED_VALUE"""),"by means of, because, in view of, compared with")</f>
        <v>by means of, because, in view of, compared with</v>
      </c>
    </row>
    <row r="42">
      <c r="A42" s="20">
        <v>41.0</v>
      </c>
      <c r="B42" s="20" t="s">
        <v>1947</v>
      </c>
      <c r="C42" s="59" t="s">
        <v>1948</v>
      </c>
      <c r="D42" s="59"/>
      <c r="E42" s="59" t="s">
        <v>1949</v>
      </c>
      <c r="F42" s="51"/>
      <c r="K42" s="14" t="str">
        <f>IFERROR(__xludf.DUMMYFUNCTION("""COMPUTED_VALUE"""),"思")</f>
        <v>思</v>
      </c>
      <c r="L42" s="14" t="str">
        <f>IFERROR(__xludf.DUMMYFUNCTION("""COMPUTED_VALUE"""),"シ")</f>
        <v>シ</v>
      </c>
      <c r="M42" s="14"/>
      <c r="N42" s="14" t="str">
        <f>IFERROR(__xludf.DUMMYFUNCTION("""COMPUTED_VALUE"""),"think")</f>
        <v>think</v>
      </c>
    </row>
    <row r="43">
      <c r="A43" s="20">
        <v>42.0</v>
      </c>
      <c r="B43" s="20" t="s">
        <v>1950</v>
      </c>
      <c r="C43" s="59" t="s">
        <v>1951</v>
      </c>
      <c r="D43" s="59" t="s">
        <v>1952</v>
      </c>
      <c r="E43" s="59" t="s">
        <v>1953</v>
      </c>
      <c r="F43" s="51"/>
      <c r="K43" s="14" t="str">
        <f>IFERROR(__xludf.DUMMYFUNCTION("""COMPUTED_VALUE"""),"家")</f>
        <v>家</v>
      </c>
      <c r="L43" s="14" t="str">
        <f>IFERROR(__xludf.DUMMYFUNCTION("""COMPUTED_VALUE"""),"カ")</f>
        <v>カ</v>
      </c>
      <c r="M43" s="14" t="str">
        <f>IFERROR(__xludf.DUMMYFUNCTION("""COMPUTED_VALUE"""),"いえ、や、うち")</f>
        <v>いえ、や、うち</v>
      </c>
      <c r="N43" s="14" t="str">
        <f>IFERROR(__xludf.DUMMYFUNCTION("""COMPUTED_VALUE"""),"house, home, family, professional, expert")</f>
        <v>house, home, family, professional, expert</v>
      </c>
    </row>
    <row r="44">
      <c r="A44" s="20">
        <v>43.0</v>
      </c>
      <c r="B44" s="20" t="s">
        <v>1954</v>
      </c>
      <c r="C44" s="59" t="s">
        <v>1955</v>
      </c>
      <c r="D44" s="59" t="s">
        <v>1956</v>
      </c>
      <c r="E44" s="59" t="s">
        <v>1957</v>
      </c>
      <c r="F44" s="51"/>
      <c r="K44" s="14" t="str">
        <f>IFERROR(__xludf.DUMMYFUNCTION("""COMPUTED_VALUE"""),"世")</f>
        <v>世</v>
      </c>
      <c r="L44" s="14" t="str">
        <f>IFERROR(__xludf.DUMMYFUNCTION("""COMPUTED_VALUE"""),"セイ、セ")</f>
        <v>セイ、セ</v>
      </c>
      <c r="M44" s="14" t="str">
        <f>IFERROR(__xludf.DUMMYFUNCTION("""COMPUTED_VALUE"""),"よ")</f>
        <v>よ</v>
      </c>
      <c r="N44" s="14" t="str">
        <f>IFERROR(__xludf.DUMMYFUNCTION("""COMPUTED_VALUE"""),"generation, world, society, public")</f>
        <v>generation, world, society, public</v>
      </c>
    </row>
    <row r="45">
      <c r="A45" s="20">
        <v>44.0</v>
      </c>
      <c r="B45" s="20" t="s">
        <v>1958</v>
      </c>
      <c r="C45" s="59" t="s">
        <v>1959</v>
      </c>
      <c r="D45" s="59" t="s">
        <v>1960</v>
      </c>
      <c r="E45" s="59" t="s">
        <v>1961</v>
      </c>
      <c r="F45" s="51"/>
      <c r="K45" s="14" t="str">
        <f>IFERROR(__xludf.DUMMYFUNCTION("""COMPUTED_VALUE"""),"多")</f>
        <v>多</v>
      </c>
      <c r="L45" s="14" t="str">
        <f>IFERROR(__xludf.DUMMYFUNCTION("""COMPUTED_VALUE"""),"タ")</f>
        <v>タ</v>
      </c>
      <c r="M45" s="14" t="str">
        <f>IFERROR(__xludf.DUMMYFUNCTION("""COMPUTED_VALUE"""),"おお(い)")</f>
        <v>おお(い)</v>
      </c>
      <c r="N45" s="14" t="str">
        <f>IFERROR(__xludf.DUMMYFUNCTION("""COMPUTED_VALUE"""),"many, frequent, much")</f>
        <v>many, frequent, much</v>
      </c>
    </row>
    <row r="46">
      <c r="A46" s="20">
        <v>45.0</v>
      </c>
      <c r="B46" s="20" t="s">
        <v>1962</v>
      </c>
      <c r="C46" s="59" t="s">
        <v>1963</v>
      </c>
      <c r="D46" s="59" t="s">
        <v>1964</v>
      </c>
      <c r="E46" s="59" t="s">
        <v>1965</v>
      </c>
      <c r="F46" s="51"/>
      <c r="K46" s="14" t="str">
        <f>IFERROR(__xludf.DUMMYFUNCTION("""COMPUTED_VALUE"""),"正")</f>
        <v>正</v>
      </c>
      <c r="L46" s="14" t="str">
        <f>IFERROR(__xludf.DUMMYFUNCTION("""COMPUTED_VALUE"""),"セイ、ショウ")</f>
        <v>セイ、ショウ</v>
      </c>
      <c r="M46" s="14" t="str">
        <f>IFERROR(__xludf.DUMMYFUNCTION("""COMPUTED_VALUE"""),"ただ(しい)、まさ(に)")</f>
        <v>ただ(しい)、まさ(に)</v>
      </c>
      <c r="N46" s="14" t="str">
        <f>IFERROR(__xludf.DUMMYFUNCTION("""COMPUTED_VALUE"""),"correct, justice, righteous")</f>
        <v>correct, justice, righteous</v>
      </c>
    </row>
    <row r="47">
      <c r="A47" s="20">
        <v>46.0</v>
      </c>
      <c r="B47" s="20" t="s">
        <v>1966</v>
      </c>
      <c r="C47" s="59" t="s">
        <v>1967</v>
      </c>
      <c r="D47" s="59" t="s">
        <v>1968</v>
      </c>
      <c r="E47" s="59" t="s">
        <v>1969</v>
      </c>
      <c r="F47" s="51"/>
      <c r="K47" s="14" t="str">
        <f>IFERROR(__xludf.DUMMYFUNCTION("""COMPUTED_VALUE"""),"安")</f>
        <v>安</v>
      </c>
      <c r="L47" s="14" t="str">
        <f>IFERROR(__xludf.DUMMYFUNCTION("""COMPUTED_VALUE"""),"アン")</f>
        <v>アン</v>
      </c>
      <c r="M47" s="14" t="str">
        <f>IFERROR(__xludf.DUMMYFUNCTION("""COMPUTED_VALUE"""),"やす(い)")</f>
        <v>やす(い)</v>
      </c>
      <c r="N47" s="14" t="str">
        <f>IFERROR(__xludf.DUMMYFUNCTION("""COMPUTED_VALUE"""),"safe, peaceful, cheap")</f>
        <v>safe, peaceful, cheap</v>
      </c>
    </row>
    <row r="48">
      <c r="A48" s="20">
        <v>47.0</v>
      </c>
      <c r="B48" s="20" t="s">
        <v>1970</v>
      </c>
      <c r="C48" s="59" t="s">
        <v>1855</v>
      </c>
      <c r="D48" s="59"/>
      <c r="E48" s="59" t="s">
        <v>1971</v>
      </c>
      <c r="F48" s="51"/>
      <c r="K48" s="14" t="str">
        <f>IFERROR(__xludf.DUMMYFUNCTION("""COMPUTED_VALUE"""),"院")</f>
        <v>院</v>
      </c>
      <c r="L48" s="14" t="str">
        <f>IFERROR(__xludf.DUMMYFUNCTION("""COMPUTED_VALUE"""),"イン")</f>
        <v>イン</v>
      </c>
      <c r="M48" s="14"/>
      <c r="N48" s="14" t="str">
        <f>IFERROR(__xludf.DUMMYFUNCTION("""COMPUTED_VALUE"""),"institution, temple, mansion, school")</f>
        <v>institution, temple, mansion, school</v>
      </c>
    </row>
    <row r="49">
      <c r="A49" s="20">
        <v>48.0</v>
      </c>
      <c r="B49" s="20" t="s">
        <v>637</v>
      </c>
      <c r="C49" s="59" t="s">
        <v>1848</v>
      </c>
      <c r="D49" s="59" t="s">
        <v>638</v>
      </c>
      <c r="E49" s="59" t="s">
        <v>1972</v>
      </c>
      <c r="F49" s="51"/>
      <c r="K49" s="14" t="str">
        <f>IFERROR(__xludf.DUMMYFUNCTION("""COMPUTED_VALUE"""),"心")</f>
        <v>心</v>
      </c>
      <c r="L49" s="14" t="str">
        <f>IFERROR(__xludf.DUMMYFUNCTION("""COMPUTED_VALUE"""),"シン")</f>
        <v>シン</v>
      </c>
      <c r="M49" s="14" t="str">
        <f>IFERROR(__xludf.DUMMYFUNCTION("""COMPUTED_VALUE"""),"こころ")</f>
        <v>こころ</v>
      </c>
      <c r="N49" s="14" t="str">
        <f>IFERROR(__xludf.DUMMYFUNCTION("""COMPUTED_VALUE"""),"heart, mind, spirit")</f>
        <v>heart, mind, spirit</v>
      </c>
    </row>
    <row r="50">
      <c r="A50" s="20">
        <v>49.0</v>
      </c>
      <c r="B50" s="20" t="s">
        <v>1973</v>
      </c>
      <c r="C50" s="59" t="s">
        <v>1811</v>
      </c>
      <c r="D50" s="59"/>
      <c r="E50" s="59" t="s">
        <v>1974</v>
      </c>
      <c r="F50" s="51"/>
      <c r="K50" s="14" t="str">
        <f>IFERROR(__xludf.DUMMYFUNCTION("""COMPUTED_VALUE"""),"界")</f>
        <v>界</v>
      </c>
      <c r="L50" s="14" t="str">
        <f>IFERROR(__xludf.DUMMYFUNCTION("""COMPUTED_VALUE"""),"カイ")</f>
        <v>カイ</v>
      </c>
      <c r="M50" s="14"/>
      <c r="N50" s="14" t="str">
        <f>IFERROR(__xludf.DUMMYFUNCTION("""COMPUTED_VALUE"""),"world, boundary")</f>
        <v>world, boundary</v>
      </c>
    </row>
    <row r="51">
      <c r="A51" s="20">
        <v>50.0</v>
      </c>
      <c r="B51" s="20" t="s">
        <v>1975</v>
      </c>
      <c r="C51" s="59" t="s">
        <v>1976</v>
      </c>
      <c r="D51" s="59" t="s">
        <v>1977</v>
      </c>
      <c r="E51" s="59" t="s">
        <v>1978</v>
      </c>
      <c r="F51" s="51"/>
      <c r="K51" s="14" t="str">
        <f>IFERROR(__xludf.DUMMYFUNCTION("""COMPUTED_VALUE"""),"教")</f>
        <v>教</v>
      </c>
      <c r="L51" s="14" t="str">
        <f>IFERROR(__xludf.DUMMYFUNCTION("""COMPUTED_VALUE"""),"キョウ")</f>
        <v>キョウ</v>
      </c>
      <c r="M51" s="14" t="str">
        <f>IFERROR(__xludf.DUMMYFUNCTION("""COMPUTED_VALUE"""),"おし(える)、おそ(わる)")</f>
        <v>おし(える)、おそ(わる)</v>
      </c>
      <c r="N51" s="14" t="str">
        <f>IFERROR(__xludf.DUMMYFUNCTION("""COMPUTED_VALUE"""),"teach, faith, doctrine")</f>
        <v>teach, faith, doctrine</v>
      </c>
    </row>
    <row r="52">
      <c r="A52" s="20">
        <v>51.0</v>
      </c>
      <c r="B52" s="20" t="s">
        <v>1979</v>
      </c>
      <c r="C52" s="59" t="s">
        <v>1980</v>
      </c>
      <c r="D52" s="59" t="s">
        <v>1981</v>
      </c>
      <c r="E52" s="59" t="s">
        <v>1982</v>
      </c>
      <c r="F52" s="51"/>
      <c r="K52" s="14" t="str">
        <f>IFERROR(__xludf.DUMMYFUNCTION("""COMPUTED_VALUE"""),"文")</f>
        <v>文</v>
      </c>
      <c r="L52" s="14" t="str">
        <f>IFERROR(__xludf.DUMMYFUNCTION("""COMPUTED_VALUE"""),"ブン、モン")</f>
        <v>ブン、モン</v>
      </c>
      <c r="M52" s="14" t="str">
        <f>IFERROR(__xludf.DUMMYFUNCTION("""COMPUTED_VALUE"""),"ふみ")</f>
        <v>ふみ</v>
      </c>
      <c r="N52" s="14" t="str">
        <f>IFERROR(__xludf.DUMMYFUNCTION("""COMPUTED_VALUE"""),"sentence, literature, style, art")</f>
        <v>sentence, literature, style, art</v>
      </c>
    </row>
    <row r="53">
      <c r="A53" s="20">
        <v>52.0</v>
      </c>
      <c r="B53" s="20" t="s">
        <v>1983</v>
      </c>
      <c r="C53" s="59" t="s">
        <v>1984</v>
      </c>
      <c r="D53" s="59" t="s">
        <v>1985</v>
      </c>
      <c r="E53" s="59" t="s">
        <v>1986</v>
      </c>
      <c r="F53" s="51"/>
      <c r="K53" s="14" t="str">
        <f>IFERROR(__xludf.DUMMYFUNCTION("""COMPUTED_VALUE"""),"元")</f>
        <v>元</v>
      </c>
      <c r="L53" s="14" t="str">
        <f>IFERROR(__xludf.DUMMYFUNCTION("""COMPUTED_VALUE"""),"ゲン、ガン")</f>
        <v>ゲン、ガン</v>
      </c>
      <c r="M53" s="14" t="str">
        <f>IFERROR(__xludf.DUMMYFUNCTION("""COMPUTED_VALUE"""),"もと")</f>
        <v>もと</v>
      </c>
      <c r="N53" s="14" t="str">
        <f>IFERROR(__xludf.DUMMYFUNCTION("""COMPUTED_VALUE"""),"beginning, former time, origin")</f>
        <v>beginning, former time, origin</v>
      </c>
    </row>
    <row r="54">
      <c r="A54" s="20">
        <v>53.0</v>
      </c>
      <c r="B54" s="20" t="s">
        <v>1987</v>
      </c>
      <c r="C54" s="59" t="s">
        <v>1988</v>
      </c>
      <c r="D54" s="59" t="s">
        <v>1989</v>
      </c>
      <c r="E54" s="59" t="s">
        <v>1990</v>
      </c>
      <c r="F54" s="51"/>
      <c r="K54" s="14" t="str">
        <f>IFERROR(__xludf.DUMMYFUNCTION("""COMPUTED_VALUE"""),"重")</f>
        <v>重</v>
      </c>
      <c r="L54" s="14" t="str">
        <f>IFERROR(__xludf.DUMMYFUNCTION("""COMPUTED_VALUE"""),"ジュウ、チョウ")</f>
        <v>ジュウ、チョウ</v>
      </c>
      <c r="M54" s="14" t="str">
        <f>IFERROR(__xludf.DUMMYFUNCTION("""COMPUTED_VALUE"""),"おも(い)、かさ(ねる)")</f>
        <v>おも(い)、かさ(ねる)</v>
      </c>
      <c r="N54" s="14" t="str">
        <f>IFERROR(__xludf.DUMMYFUNCTION("""COMPUTED_VALUE"""),"heavy, important, esteem, respect")</f>
        <v>heavy, important, esteem, respect</v>
      </c>
    </row>
    <row r="55">
      <c r="A55" s="20">
        <v>54.0</v>
      </c>
      <c r="B55" s="20" t="s">
        <v>1991</v>
      </c>
      <c r="C55" s="59" t="s">
        <v>1992</v>
      </c>
      <c r="D55" s="59" t="s">
        <v>1993</v>
      </c>
      <c r="E55" s="59" t="s">
        <v>1994</v>
      </c>
      <c r="F55" s="51"/>
      <c r="K55" s="14" t="str">
        <f>IFERROR(__xludf.DUMMYFUNCTION("""COMPUTED_VALUE"""),"近")</f>
        <v>近</v>
      </c>
      <c r="L55" s="14" t="str">
        <f>IFERROR(__xludf.DUMMYFUNCTION("""COMPUTED_VALUE"""),"キン")</f>
        <v>キン</v>
      </c>
      <c r="M55" s="14" t="str">
        <f>IFERROR(__xludf.DUMMYFUNCTION("""COMPUTED_VALUE"""),"ちか(い)")</f>
        <v>ちか(い)</v>
      </c>
      <c r="N55" s="14" t="str">
        <f>IFERROR(__xludf.DUMMYFUNCTION("""COMPUTED_VALUE"""),"near, early, akin, tantamount")</f>
        <v>near, early, akin, tantamount</v>
      </c>
    </row>
    <row r="56">
      <c r="A56" s="20">
        <v>55.0</v>
      </c>
      <c r="B56" s="20" t="s">
        <v>1995</v>
      </c>
      <c r="C56" s="59" t="s">
        <v>1936</v>
      </c>
      <c r="D56" s="59" t="s">
        <v>1996</v>
      </c>
      <c r="E56" s="59" t="s">
        <v>1997</v>
      </c>
      <c r="F56" s="51"/>
      <c r="K56" s="14" t="str">
        <f>IFERROR(__xludf.DUMMYFUNCTION("""COMPUTED_VALUE"""),"考")</f>
        <v>考</v>
      </c>
      <c r="L56" s="14" t="str">
        <f>IFERROR(__xludf.DUMMYFUNCTION("""COMPUTED_VALUE"""),"コウ")</f>
        <v>コウ</v>
      </c>
      <c r="M56" s="14" t="str">
        <f>IFERROR(__xludf.DUMMYFUNCTION("""COMPUTED_VALUE"""),"かんが(える)")</f>
        <v>かんが(える)</v>
      </c>
      <c r="N56" s="14" t="str">
        <f>IFERROR(__xludf.DUMMYFUNCTION("""COMPUTED_VALUE"""),"consider, think over")</f>
        <v>consider, think over</v>
      </c>
    </row>
    <row r="57">
      <c r="A57" s="20">
        <v>56.0</v>
      </c>
      <c r="B57" s="20" t="s">
        <v>1998</v>
      </c>
      <c r="C57" s="59" t="s">
        <v>1999</v>
      </c>
      <c r="D57" s="59" t="s">
        <v>2000</v>
      </c>
      <c r="E57" s="59" t="s">
        <v>2001</v>
      </c>
      <c r="F57" s="51"/>
      <c r="K57" s="14" t="str">
        <f>IFERROR(__xludf.DUMMYFUNCTION("""COMPUTED_VALUE"""),"画")</f>
        <v>画</v>
      </c>
      <c r="L57" s="14" t="str">
        <f>IFERROR(__xludf.DUMMYFUNCTION("""COMPUTED_VALUE"""),"ガ、カク")</f>
        <v>ガ、カク</v>
      </c>
      <c r="M57" s="14" t="str">
        <f>IFERROR(__xludf.DUMMYFUNCTION("""COMPUTED_VALUE"""),"かく(する)")</f>
        <v>かく(する)</v>
      </c>
      <c r="N57" s="14" t="str">
        <f>IFERROR(__xludf.DUMMYFUNCTION("""COMPUTED_VALUE"""),"brush-stroke, picture")</f>
        <v>brush-stroke, picture</v>
      </c>
    </row>
    <row r="58">
      <c r="A58" s="20">
        <v>57.0</v>
      </c>
      <c r="B58" s="20" t="s">
        <v>1471</v>
      </c>
      <c r="C58" s="59" t="s">
        <v>1811</v>
      </c>
      <c r="D58" s="59" t="s">
        <v>1472</v>
      </c>
      <c r="E58" s="59" t="s">
        <v>2002</v>
      </c>
      <c r="F58" s="51"/>
      <c r="K58" s="14" t="str">
        <f>IFERROR(__xludf.DUMMYFUNCTION("""COMPUTED_VALUE"""),"海")</f>
        <v>海</v>
      </c>
      <c r="L58" s="14" t="str">
        <f>IFERROR(__xludf.DUMMYFUNCTION("""COMPUTED_VALUE"""),"カイ")</f>
        <v>カイ</v>
      </c>
      <c r="M58" s="14" t="str">
        <f>IFERROR(__xludf.DUMMYFUNCTION("""COMPUTED_VALUE"""),"うみ")</f>
        <v>うみ</v>
      </c>
      <c r="N58" s="14" t="str">
        <f>IFERROR(__xludf.DUMMYFUNCTION("""COMPUTED_VALUE"""),"sea, ocean")</f>
        <v>sea, ocean</v>
      </c>
    </row>
    <row r="59">
      <c r="A59" s="20">
        <v>58.0</v>
      </c>
      <c r="B59" s="20" t="s">
        <v>2003</v>
      </c>
      <c r="C59" s="59" t="s">
        <v>2004</v>
      </c>
      <c r="D59" s="59"/>
      <c r="E59" s="59" t="s">
        <v>2005</v>
      </c>
      <c r="F59" s="51"/>
      <c r="K59" s="14" t="str">
        <f>IFERROR(__xludf.DUMMYFUNCTION("""COMPUTED_VALUE"""),"売")</f>
        <v>売</v>
      </c>
      <c r="L59" s="14" t="str">
        <f>IFERROR(__xludf.DUMMYFUNCTION("""COMPUTED_VALUE"""),"バイ")</f>
        <v>バイ</v>
      </c>
      <c r="M59" s="14"/>
      <c r="N59" s="14" t="str">
        <f>IFERROR(__xludf.DUMMYFUNCTION("""COMPUTED_VALUE"""),"Sell")</f>
        <v>Sell</v>
      </c>
    </row>
    <row r="60">
      <c r="A60" s="20">
        <v>59.0</v>
      </c>
      <c r="B60" s="20" t="s">
        <v>2006</v>
      </c>
      <c r="C60" s="59" t="s">
        <v>2007</v>
      </c>
      <c r="D60" s="62"/>
      <c r="E60" s="59" t="s">
        <v>2008</v>
      </c>
      <c r="F60" s="51"/>
      <c r="K60" s="14" t="str">
        <f>IFERROR(__xludf.DUMMYFUNCTION("""COMPUTED_VALUE"""),"知")</f>
        <v>知</v>
      </c>
      <c r="L60" s="14" t="str">
        <f>IFERROR(__xludf.DUMMYFUNCTION("""COMPUTED_VALUE"""),"チ")</f>
        <v>チ</v>
      </c>
      <c r="M60" s="14"/>
      <c r="N60" s="14" t="str">
        <f>IFERROR(__xludf.DUMMYFUNCTION("""COMPUTED_VALUE"""),"know, wisdom")</f>
        <v>know, wisdom</v>
      </c>
    </row>
    <row r="61">
      <c r="A61" s="20">
        <v>60.0</v>
      </c>
      <c r="B61" s="20" t="s">
        <v>2009</v>
      </c>
      <c r="C61" s="59" t="s">
        <v>1815</v>
      </c>
      <c r="D61" s="59" t="s">
        <v>2010</v>
      </c>
      <c r="E61" s="59" t="s">
        <v>2011</v>
      </c>
      <c r="F61" s="51"/>
      <c r="K61" s="14" t="str">
        <f>IFERROR(__xludf.DUMMYFUNCTION("""COMPUTED_VALUE"""),"道")</f>
        <v>道</v>
      </c>
      <c r="L61" s="14" t="str">
        <f>IFERROR(__xludf.DUMMYFUNCTION("""COMPUTED_VALUE"""),"ドウ")</f>
        <v>ドウ</v>
      </c>
      <c r="M61" s="14" t="str">
        <f>IFERROR(__xludf.DUMMYFUNCTION("""COMPUTED_VALUE"""),"みち")</f>
        <v>みち</v>
      </c>
      <c r="N61" s="14" t="str">
        <f>IFERROR(__xludf.DUMMYFUNCTION("""COMPUTED_VALUE"""),"road-way, street, district, journey, course")</f>
        <v>road-way, street, district, journey, course</v>
      </c>
    </row>
    <row r="62">
      <c r="A62" s="20">
        <v>61.0</v>
      </c>
      <c r="B62" s="20" t="s">
        <v>2012</v>
      </c>
      <c r="C62" s="59" t="s">
        <v>2013</v>
      </c>
      <c r="D62" s="59" t="s">
        <v>2014</v>
      </c>
      <c r="E62" s="59" t="s">
        <v>2015</v>
      </c>
      <c r="F62" s="51"/>
      <c r="K62" s="14" t="str">
        <f>IFERROR(__xludf.DUMMYFUNCTION("""COMPUTED_VALUE"""),"集")</f>
        <v>集</v>
      </c>
      <c r="L62" s="14" t="str">
        <f>IFERROR(__xludf.DUMMYFUNCTION("""COMPUTED_VALUE"""),"シュウ")</f>
        <v>シュウ</v>
      </c>
      <c r="M62" s="14" t="str">
        <f>IFERROR(__xludf.DUMMYFUNCTION("""COMPUTED_VALUE"""),"あつ(める)")</f>
        <v>あつ(める)</v>
      </c>
      <c r="N62" s="14" t="str">
        <f>IFERROR(__xludf.DUMMYFUNCTION("""COMPUTED_VALUE"""),"gather, meet")</f>
        <v>gather, meet</v>
      </c>
    </row>
    <row r="63">
      <c r="A63" s="20">
        <v>62.0</v>
      </c>
      <c r="B63" s="20" t="s">
        <v>2016</v>
      </c>
      <c r="C63" s="59" t="s">
        <v>2017</v>
      </c>
      <c r="D63" s="59" t="s">
        <v>2018</v>
      </c>
      <c r="E63" s="59" t="s">
        <v>2019</v>
      </c>
      <c r="F63" s="51"/>
      <c r="K63" s="14" t="str">
        <f>IFERROR(__xludf.DUMMYFUNCTION("""COMPUTED_VALUE"""),"別")</f>
        <v>別</v>
      </c>
      <c r="L63" s="14" t="str">
        <f>IFERROR(__xludf.DUMMYFUNCTION("""COMPUTED_VALUE"""),"ベツ")</f>
        <v>ベツ</v>
      </c>
      <c r="M63" s="14" t="str">
        <f>IFERROR(__xludf.DUMMYFUNCTION("""COMPUTED_VALUE"""),"わか(れる)、わ(ける)")</f>
        <v>わか(れる)、わ(ける)</v>
      </c>
      <c r="N63" s="14" t="str">
        <f>IFERROR(__xludf.DUMMYFUNCTION("""COMPUTED_VALUE"""),"separate, branch off, diverge")</f>
        <v>separate, branch off, diverge</v>
      </c>
    </row>
    <row r="64">
      <c r="A64" s="20">
        <v>63.0</v>
      </c>
      <c r="B64" s="20" t="s">
        <v>2020</v>
      </c>
      <c r="C64" s="59" t="s">
        <v>2021</v>
      </c>
      <c r="D64" s="59" t="s">
        <v>1834</v>
      </c>
      <c r="E64" s="59" t="s">
        <v>2022</v>
      </c>
      <c r="F64" s="51"/>
      <c r="K64" s="14" t="str">
        <f>IFERROR(__xludf.DUMMYFUNCTION("""COMPUTED_VALUE"""),"物")</f>
        <v>物</v>
      </c>
      <c r="L64" s="14" t="str">
        <f>IFERROR(__xludf.DUMMYFUNCTION("""COMPUTED_VALUE"""),"ブツ、モツ")</f>
        <v>ブツ、モツ</v>
      </c>
      <c r="M64" s="14" t="str">
        <f>IFERROR(__xludf.DUMMYFUNCTION("""COMPUTED_VALUE"""),"もの")</f>
        <v>もの</v>
      </c>
      <c r="N64" s="14" t="str">
        <f>IFERROR(__xludf.DUMMYFUNCTION("""COMPUTED_VALUE"""),"thing, object, matter")</f>
        <v>thing, object, matter</v>
      </c>
    </row>
    <row r="65">
      <c r="A65" s="20">
        <v>64.0</v>
      </c>
      <c r="B65" s="20" t="s">
        <v>2023</v>
      </c>
      <c r="C65" s="59" t="s">
        <v>1948</v>
      </c>
      <c r="D65" s="59" t="s">
        <v>2024</v>
      </c>
      <c r="E65" s="59" t="s">
        <v>2025</v>
      </c>
      <c r="F65" s="51"/>
      <c r="K65" s="14" t="str">
        <f>IFERROR(__xludf.DUMMYFUNCTION("""COMPUTED_VALUE"""),"使")</f>
        <v>使</v>
      </c>
      <c r="L65" s="14" t="str">
        <f>IFERROR(__xludf.DUMMYFUNCTION("""COMPUTED_VALUE"""),"シ")</f>
        <v>シ</v>
      </c>
      <c r="M65" s="14" t="str">
        <f>IFERROR(__xludf.DUMMYFUNCTION("""COMPUTED_VALUE"""),"つか(う)")</f>
        <v>つか(う)</v>
      </c>
      <c r="N65" s="14" t="str">
        <f>IFERROR(__xludf.DUMMYFUNCTION("""COMPUTED_VALUE"""),"use, order, messenger, ambassador")</f>
        <v>use, order, messenger, ambassador</v>
      </c>
    </row>
    <row r="66">
      <c r="A66" s="20">
        <v>65.0</v>
      </c>
      <c r="B66" s="20" t="s">
        <v>2026</v>
      </c>
      <c r="C66" s="59" t="s">
        <v>2027</v>
      </c>
      <c r="D66" s="59" t="s">
        <v>2028</v>
      </c>
      <c r="E66" s="59" t="s">
        <v>2029</v>
      </c>
      <c r="F66" s="51"/>
      <c r="K66" s="14" t="str">
        <f>IFERROR(__xludf.DUMMYFUNCTION("""COMPUTED_VALUE"""),"品")</f>
        <v>品</v>
      </c>
      <c r="L66" s="14" t="str">
        <f>IFERROR(__xludf.DUMMYFUNCTION("""COMPUTED_VALUE"""),"ヒン")</f>
        <v>ヒン</v>
      </c>
      <c r="M66" s="14" t="str">
        <f>IFERROR(__xludf.DUMMYFUNCTION("""COMPUTED_VALUE"""),"しな")</f>
        <v>しな</v>
      </c>
      <c r="N66" s="14" t="str">
        <f>IFERROR(__xludf.DUMMYFUNCTION("""COMPUTED_VALUE"""),"goods, refinement, dignity, article")</f>
        <v>goods, refinement, dignity, article</v>
      </c>
    </row>
    <row r="67">
      <c r="A67" s="20">
        <v>66.0</v>
      </c>
      <c r="B67" s="20" t="s">
        <v>2030</v>
      </c>
      <c r="C67" s="59" t="s">
        <v>2031</v>
      </c>
      <c r="D67" s="59" t="s">
        <v>2032</v>
      </c>
      <c r="E67" s="59" t="s">
        <v>2033</v>
      </c>
      <c r="F67" s="51"/>
      <c r="K67" s="14" t="str">
        <f>IFERROR(__xludf.DUMMYFUNCTION("""COMPUTED_VALUE"""),"計")</f>
        <v>計</v>
      </c>
      <c r="L67" s="14" t="str">
        <f>IFERROR(__xludf.DUMMYFUNCTION("""COMPUTED_VALUE"""),"ケイ")</f>
        <v>ケイ</v>
      </c>
      <c r="M67" s="14" t="str">
        <f>IFERROR(__xludf.DUMMYFUNCTION("""COMPUTED_VALUE"""),"はか(る)")</f>
        <v>はか(る)</v>
      </c>
      <c r="N67" s="14" t="str">
        <f>IFERROR(__xludf.DUMMYFUNCTION("""COMPUTED_VALUE"""),"plot, plan, scheme, measure")</f>
        <v>plot, plan, scheme, measure</v>
      </c>
    </row>
    <row r="68">
      <c r="A68" s="20">
        <v>67.0</v>
      </c>
      <c r="B68" s="20" t="s">
        <v>2034</v>
      </c>
      <c r="C68" s="59" t="s">
        <v>1948</v>
      </c>
      <c r="D68" s="59"/>
      <c r="E68" s="59" t="s">
        <v>2035</v>
      </c>
      <c r="F68" s="51"/>
      <c r="K68" s="14" t="str">
        <f>IFERROR(__xludf.DUMMYFUNCTION("""COMPUTED_VALUE"""),"死")</f>
        <v>死</v>
      </c>
      <c r="L68" s="14" t="str">
        <f>IFERROR(__xludf.DUMMYFUNCTION("""COMPUTED_VALUE"""),"シ")</f>
        <v>シ</v>
      </c>
      <c r="M68" s="14"/>
      <c r="N68" s="14" t="str">
        <f>IFERROR(__xludf.DUMMYFUNCTION("""COMPUTED_VALUE"""),"death, die")</f>
        <v>death, die</v>
      </c>
    </row>
    <row r="69">
      <c r="A69" s="20">
        <v>68.0</v>
      </c>
      <c r="B69" s="20" t="s">
        <v>2036</v>
      </c>
      <c r="C69" s="59" t="s">
        <v>2037</v>
      </c>
      <c r="D69" s="59"/>
      <c r="E69" s="59" t="s">
        <v>2038</v>
      </c>
      <c r="F69" s="51"/>
      <c r="K69" s="14" t="str">
        <f>IFERROR(__xludf.DUMMYFUNCTION("""COMPUTED_VALUE"""),"特")</f>
        <v>特</v>
      </c>
      <c r="L69" s="14" t="str">
        <f>IFERROR(__xludf.DUMMYFUNCTION("""COMPUTED_VALUE"""),"トク")</f>
        <v>トク</v>
      </c>
      <c r="M69" s="14"/>
      <c r="N69" s="14" t="str">
        <f>IFERROR(__xludf.DUMMYFUNCTION("""COMPUTED_VALUE"""),"special")</f>
        <v>special</v>
      </c>
    </row>
    <row r="70">
      <c r="A70" s="20">
        <v>69.0</v>
      </c>
      <c r="B70" s="20" t="s">
        <v>2039</v>
      </c>
      <c r="C70" s="59" t="s">
        <v>1948</v>
      </c>
      <c r="D70" s="59" t="s">
        <v>2040</v>
      </c>
      <c r="E70" s="59" t="s">
        <v>2041</v>
      </c>
      <c r="F70" s="51"/>
      <c r="K70" s="14" t="str">
        <f>IFERROR(__xludf.DUMMYFUNCTION("""COMPUTED_VALUE"""),"私")</f>
        <v>私</v>
      </c>
      <c r="L70" s="14" t="str">
        <f>IFERROR(__xludf.DUMMYFUNCTION("""COMPUTED_VALUE"""),"シ")</f>
        <v>シ</v>
      </c>
      <c r="M70" s="14" t="str">
        <f>IFERROR(__xludf.DUMMYFUNCTION("""COMPUTED_VALUE"""),"わたくし、わたし")</f>
        <v>わたくし、わたし</v>
      </c>
      <c r="N70" s="14" t="str">
        <f>IFERROR(__xludf.DUMMYFUNCTION("""COMPUTED_VALUE"""),"private, I, me")</f>
        <v>private, I, me</v>
      </c>
    </row>
    <row r="71">
      <c r="A71" s="20">
        <v>70.0</v>
      </c>
      <c r="B71" s="20" t="s">
        <v>2042</v>
      </c>
      <c r="C71" s="59" t="s">
        <v>1948</v>
      </c>
      <c r="D71" s="59" t="s">
        <v>2043</v>
      </c>
      <c r="E71" s="59" t="s">
        <v>2044</v>
      </c>
      <c r="F71" s="51"/>
      <c r="K71" s="14" t="str">
        <f>IFERROR(__xludf.DUMMYFUNCTION("""COMPUTED_VALUE"""),"始")</f>
        <v>始</v>
      </c>
      <c r="L71" s="14" t="str">
        <f>IFERROR(__xludf.DUMMYFUNCTION("""COMPUTED_VALUE"""),"シ")</f>
        <v>シ</v>
      </c>
      <c r="M71" s="14" t="str">
        <f>IFERROR(__xludf.DUMMYFUNCTION("""COMPUTED_VALUE"""),"はじ(める)")</f>
        <v>はじ(める)</v>
      </c>
      <c r="N71" s="14" t="str">
        <f>IFERROR(__xludf.DUMMYFUNCTION("""COMPUTED_VALUE"""),"commence, begin")</f>
        <v>commence, begin</v>
      </c>
    </row>
    <row r="72">
      <c r="A72" s="20">
        <v>71.0</v>
      </c>
      <c r="B72" s="20" t="s">
        <v>2045</v>
      </c>
      <c r="C72" s="59" t="s">
        <v>2046</v>
      </c>
      <c r="D72" s="59" t="s">
        <v>2047</v>
      </c>
      <c r="E72" s="59" t="s">
        <v>2048</v>
      </c>
      <c r="F72" s="51"/>
      <c r="K72" s="14" t="str">
        <f>IFERROR(__xludf.DUMMYFUNCTION("""COMPUTED_VALUE"""),"朝")</f>
        <v>朝</v>
      </c>
      <c r="L72" s="14" t="str">
        <f>IFERROR(__xludf.DUMMYFUNCTION("""COMPUTED_VALUE"""),"チョウ")</f>
        <v>チョウ</v>
      </c>
      <c r="M72" s="14" t="str">
        <f>IFERROR(__xludf.DUMMYFUNCTION("""COMPUTED_VALUE"""),"あさ")</f>
        <v>あさ</v>
      </c>
      <c r="N72" s="14" t="str">
        <f>IFERROR(__xludf.DUMMYFUNCTION("""COMPUTED_VALUE"""),"morning")</f>
        <v>morning</v>
      </c>
    </row>
    <row r="73">
      <c r="A73" s="20">
        <v>72.0</v>
      </c>
      <c r="B73" s="20" t="s">
        <v>2049</v>
      </c>
      <c r="C73" s="59" t="s">
        <v>2050</v>
      </c>
      <c r="D73" s="59" t="s">
        <v>2051</v>
      </c>
      <c r="E73" s="59" t="s">
        <v>2052</v>
      </c>
      <c r="F73" s="51"/>
      <c r="K73" s="14" t="str">
        <f>IFERROR(__xludf.DUMMYFUNCTION("""COMPUTED_VALUE"""),"運")</f>
        <v>運</v>
      </c>
      <c r="L73" s="14" t="str">
        <f>IFERROR(__xludf.DUMMYFUNCTION("""COMPUTED_VALUE"""),"ウン")</f>
        <v>ウン</v>
      </c>
      <c r="M73" s="14" t="str">
        <f>IFERROR(__xludf.DUMMYFUNCTION("""COMPUTED_VALUE"""),"はこ(ぶ)")</f>
        <v>はこ(ぶ)</v>
      </c>
      <c r="N73" s="14" t="str">
        <f>IFERROR(__xludf.DUMMYFUNCTION("""COMPUTED_VALUE"""),"carry, luck, destiny, fate, transport")</f>
        <v>carry, luck, destiny, fate, transport</v>
      </c>
    </row>
    <row r="74">
      <c r="A74" s="20">
        <v>73.0</v>
      </c>
      <c r="B74" s="20" t="s">
        <v>2053</v>
      </c>
      <c r="C74" s="59" t="s">
        <v>2013</v>
      </c>
      <c r="D74" s="59" t="s">
        <v>2054</v>
      </c>
      <c r="E74" s="59" t="s">
        <v>2055</v>
      </c>
      <c r="F74" s="51"/>
      <c r="K74" s="14" t="str">
        <f>IFERROR(__xludf.DUMMYFUNCTION("""COMPUTED_VALUE"""),"終")</f>
        <v>終</v>
      </c>
      <c r="L74" s="14" t="str">
        <f>IFERROR(__xludf.DUMMYFUNCTION("""COMPUTED_VALUE"""),"シュウ")</f>
        <v>シュウ</v>
      </c>
      <c r="M74" s="14" t="str">
        <f>IFERROR(__xludf.DUMMYFUNCTION("""COMPUTED_VALUE"""),"お(わる)")</f>
        <v>お(わる)</v>
      </c>
      <c r="N74" s="14" t="str">
        <f>IFERROR(__xludf.DUMMYFUNCTION("""COMPUTED_VALUE"""),"end, finish")</f>
        <v>end, finish</v>
      </c>
    </row>
    <row r="75">
      <c r="A75" s="20">
        <v>74.0</v>
      </c>
      <c r="B75" s="20" t="s">
        <v>2056</v>
      </c>
      <c r="C75" s="59" t="s">
        <v>2057</v>
      </c>
      <c r="D75" s="59" t="s">
        <v>2058</v>
      </c>
      <c r="E75" s="59" t="s">
        <v>2059</v>
      </c>
      <c r="F75" s="51"/>
      <c r="K75" s="14" t="str">
        <f>IFERROR(__xludf.DUMMYFUNCTION("""COMPUTED_VALUE"""),"台")</f>
        <v>台</v>
      </c>
      <c r="L75" s="14" t="str">
        <f>IFERROR(__xludf.DUMMYFUNCTION("""COMPUTED_VALUE"""),"ダイ、タイ")</f>
        <v>ダイ、タイ</v>
      </c>
      <c r="M75" s="14" t="str">
        <f>IFERROR(__xludf.DUMMYFUNCTION("""COMPUTED_VALUE"""),"うてな")</f>
        <v>うてな</v>
      </c>
      <c r="N75" s="14" t="str">
        <f>IFERROR(__xludf.DUMMYFUNCTION("""COMPUTED_VALUE"""),"pedestal, a stand, counter for machines and vehicles")</f>
        <v>pedestal, a stand, counter for machines and vehicles</v>
      </c>
    </row>
    <row r="76">
      <c r="A76" s="20">
        <v>75.0</v>
      </c>
      <c r="B76" s="20" t="s">
        <v>2060</v>
      </c>
      <c r="C76" s="59" t="s">
        <v>1936</v>
      </c>
      <c r="D76" s="59" t="s">
        <v>2061</v>
      </c>
      <c r="E76" s="59" t="s">
        <v>2062</v>
      </c>
      <c r="F76" s="51"/>
      <c r="K76" s="14" t="str">
        <f>IFERROR(__xludf.DUMMYFUNCTION("""COMPUTED_VALUE"""),"広")</f>
        <v>広</v>
      </c>
      <c r="L76" s="14" t="str">
        <f>IFERROR(__xludf.DUMMYFUNCTION("""COMPUTED_VALUE"""),"コウ")</f>
        <v>コウ</v>
      </c>
      <c r="M76" s="14" t="str">
        <f>IFERROR(__xludf.DUMMYFUNCTION("""COMPUTED_VALUE"""),"ひろ(い)")</f>
        <v>ひろ(い)</v>
      </c>
      <c r="N76" s="14" t="str">
        <f>IFERROR(__xludf.DUMMYFUNCTION("""COMPUTED_VALUE"""),"wide, broad, spacious")</f>
        <v>wide, broad, spacious</v>
      </c>
    </row>
    <row r="77">
      <c r="A77" s="20">
        <v>76.0</v>
      </c>
      <c r="B77" s="20" t="s">
        <v>2063</v>
      </c>
      <c r="C77" s="59" t="s">
        <v>2064</v>
      </c>
      <c r="D77" s="62"/>
      <c r="E77" s="59" t="s">
        <v>2065</v>
      </c>
      <c r="F77" s="51"/>
      <c r="K77" s="14" t="str">
        <f>IFERROR(__xludf.DUMMYFUNCTION("""COMPUTED_VALUE"""),"住")</f>
        <v>住</v>
      </c>
      <c r="L77" s="14" t="str">
        <f>IFERROR(__xludf.DUMMYFUNCTION("""COMPUTED_VALUE"""),"ジュウ、チュウ")</f>
        <v>ジュウ、チュウ</v>
      </c>
      <c r="M77" s="14"/>
      <c r="N77" s="14" t="str">
        <f>IFERROR(__xludf.DUMMYFUNCTION("""COMPUTED_VALUE"""),"dwell, reside, live, inhabit")</f>
        <v>dwell, reside, live, inhabit</v>
      </c>
    </row>
    <row r="78">
      <c r="A78" s="20">
        <v>77.0</v>
      </c>
      <c r="B78" s="20" t="s">
        <v>2066</v>
      </c>
      <c r="C78" s="59" t="s">
        <v>2067</v>
      </c>
      <c r="D78" s="59" t="s">
        <v>2068</v>
      </c>
      <c r="E78" s="59" t="s">
        <v>2069</v>
      </c>
      <c r="F78" s="51"/>
      <c r="K78" s="14" t="str">
        <f>IFERROR(__xludf.DUMMYFUNCTION("""COMPUTED_VALUE"""),"無")</f>
        <v>無</v>
      </c>
      <c r="L78" s="14" t="str">
        <f>IFERROR(__xludf.DUMMYFUNCTION("""COMPUTED_VALUE"""),"ム、ブ")</f>
        <v>ム、ブ</v>
      </c>
      <c r="M78" s="14" t="str">
        <f>IFERROR(__xludf.DUMMYFUNCTION("""COMPUTED_VALUE"""),"な(い)")</f>
        <v>な(い)</v>
      </c>
      <c r="N78" s="14" t="str">
        <f>IFERROR(__xludf.DUMMYFUNCTION("""COMPUTED_VALUE"""),"nothingness, none, ain't, nothing, nil, not")</f>
        <v>nothingness, none, ain't, nothing, nil, not</v>
      </c>
    </row>
    <row r="79">
      <c r="A79" s="20">
        <v>78.0</v>
      </c>
      <c r="B79" s="20" t="s">
        <v>2070</v>
      </c>
      <c r="C79" s="59" t="s">
        <v>1848</v>
      </c>
      <c r="D79" s="59" t="s">
        <v>2071</v>
      </c>
      <c r="E79" s="59" t="s">
        <v>2072</v>
      </c>
      <c r="F79" s="51"/>
      <c r="K79" s="14" t="str">
        <f>IFERROR(__xludf.DUMMYFUNCTION("""COMPUTED_VALUE"""),"真")</f>
        <v>真</v>
      </c>
      <c r="L79" s="14" t="str">
        <f>IFERROR(__xludf.DUMMYFUNCTION("""COMPUTED_VALUE"""),"シン")</f>
        <v>シン</v>
      </c>
      <c r="M79" s="14" t="str">
        <f>IFERROR(__xludf.DUMMYFUNCTION("""COMPUTED_VALUE"""),"ま、まこと")</f>
        <v>ま、まこと</v>
      </c>
      <c r="N79" s="14" t="str">
        <f>IFERROR(__xludf.DUMMYFUNCTION("""COMPUTED_VALUE"""),"true, reality, Buddhist sect")</f>
        <v>true, reality, Buddhist sect</v>
      </c>
    </row>
    <row r="80">
      <c r="A80" s="20">
        <v>79.0</v>
      </c>
      <c r="B80" s="20" t="s">
        <v>2073</v>
      </c>
      <c r="C80" s="59" t="s">
        <v>2074</v>
      </c>
      <c r="D80" s="59" t="s">
        <v>2075</v>
      </c>
      <c r="E80" s="59" t="s">
        <v>2076</v>
      </c>
      <c r="F80" s="51"/>
      <c r="K80" s="14" t="str">
        <f>IFERROR(__xludf.DUMMYFUNCTION("""COMPUTED_VALUE"""),"有")</f>
        <v>有</v>
      </c>
      <c r="L80" s="14" t="str">
        <f>IFERROR(__xludf.DUMMYFUNCTION("""COMPUTED_VALUE"""),"ユウ、ウ")</f>
        <v>ユウ、ウ</v>
      </c>
      <c r="M80" s="14" t="str">
        <f>IFERROR(__xludf.DUMMYFUNCTION("""COMPUTED_VALUE"""),"あ(る)")</f>
        <v>あ(る)</v>
      </c>
      <c r="N80" s="14" t="str">
        <f>IFERROR(__xludf.DUMMYFUNCTION("""COMPUTED_VALUE"""),"possess, have, exist, happen")</f>
        <v>possess, have, exist, happen</v>
      </c>
    </row>
    <row r="81">
      <c r="A81" s="20">
        <v>80.0</v>
      </c>
      <c r="B81" s="20" t="s">
        <v>2077</v>
      </c>
      <c r="C81" s="59" t="s">
        <v>1936</v>
      </c>
      <c r="D81" s="59" t="s">
        <v>2078</v>
      </c>
      <c r="E81" s="59" t="s">
        <v>2079</v>
      </c>
      <c r="K81" s="14" t="str">
        <f>IFERROR(__xludf.DUMMYFUNCTION("""COMPUTED_VALUE"""),"口")</f>
        <v>口</v>
      </c>
      <c r="L81" s="14" t="str">
        <f>IFERROR(__xludf.DUMMYFUNCTION("""COMPUTED_VALUE"""),"コウ")</f>
        <v>コウ</v>
      </c>
      <c r="M81" s="14" t="str">
        <f>IFERROR(__xludf.DUMMYFUNCTION("""COMPUTED_VALUE"""),"くち")</f>
        <v>くち</v>
      </c>
      <c r="N81" s="14" t="str">
        <f>IFERROR(__xludf.DUMMYFUNCTION("""COMPUTED_VALUE"""),"mouth")</f>
        <v>mouth</v>
      </c>
    </row>
    <row r="82">
      <c r="A82" s="20">
        <v>81.0</v>
      </c>
      <c r="B82" s="20" t="s">
        <v>2080</v>
      </c>
      <c r="C82" s="59" t="s">
        <v>2081</v>
      </c>
      <c r="D82" s="59" t="s">
        <v>2082</v>
      </c>
      <c r="E82" s="59" t="s">
        <v>2083</v>
      </c>
      <c r="K82" s="14" t="str">
        <f>IFERROR(__xludf.DUMMYFUNCTION("""COMPUTED_VALUE"""),"少")</f>
        <v>少</v>
      </c>
      <c r="L82" s="14" t="str">
        <f>IFERROR(__xludf.DUMMYFUNCTION("""COMPUTED_VALUE"""),"ショウ")</f>
        <v>ショウ</v>
      </c>
      <c r="M82" s="14" t="str">
        <f>IFERROR(__xludf.DUMMYFUNCTION("""COMPUTED_VALUE"""),"すく(ない)、すこ(し)")</f>
        <v>すく(ない)、すこ(し)</v>
      </c>
      <c r="N82" s="14" t="str">
        <f>IFERROR(__xludf.DUMMYFUNCTION("""COMPUTED_VALUE"""),"few, little")</f>
        <v>few, little</v>
      </c>
    </row>
    <row r="83">
      <c r="A83" s="20">
        <v>82.0</v>
      </c>
      <c r="B83" s="20" t="s">
        <v>2084</v>
      </c>
      <c r="C83" s="59" t="s">
        <v>2046</v>
      </c>
      <c r="D83" s="59" t="s">
        <v>2085</v>
      </c>
      <c r="E83" s="59" t="s">
        <v>2086</v>
      </c>
      <c r="K83" s="14" t="str">
        <f>IFERROR(__xludf.DUMMYFUNCTION("""COMPUTED_VALUE"""),"町")</f>
        <v>町</v>
      </c>
      <c r="L83" s="14" t="str">
        <f>IFERROR(__xludf.DUMMYFUNCTION("""COMPUTED_VALUE"""),"チョウ")</f>
        <v>チョウ</v>
      </c>
      <c r="M83" s="14" t="str">
        <f>IFERROR(__xludf.DUMMYFUNCTION("""COMPUTED_VALUE"""),"まち")</f>
        <v>まち</v>
      </c>
      <c r="N83" s="14" t="str">
        <f>IFERROR(__xludf.DUMMYFUNCTION("""COMPUTED_VALUE"""),"town, village, block, street")</f>
        <v>town, village, block, street</v>
      </c>
    </row>
    <row r="84">
      <c r="A84" s="20">
        <v>83.0</v>
      </c>
      <c r="B84" s="20" t="s">
        <v>2087</v>
      </c>
      <c r="C84" s="59" t="s">
        <v>2088</v>
      </c>
      <c r="D84" s="59"/>
      <c r="E84" s="59" t="s">
        <v>2089</v>
      </c>
      <c r="K84" s="14" t="str">
        <f>IFERROR(__xludf.DUMMYFUNCTION("""COMPUTED_VALUE"""),"料")</f>
        <v>料</v>
      </c>
      <c r="L84" s="14" t="str">
        <f>IFERROR(__xludf.DUMMYFUNCTION("""COMPUTED_VALUE"""),"リョウ")</f>
        <v>リョウ</v>
      </c>
      <c r="M84" s="14"/>
      <c r="N84" s="14" t="str">
        <f>IFERROR(__xludf.DUMMYFUNCTION("""COMPUTED_VALUE"""),"fee, materials")</f>
        <v>fee, materials</v>
      </c>
    </row>
    <row r="85">
      <c r="A85" s="20">
        <v>84.0</v>
      </c>
      <c r="B85" s="20" t="s">
        <v>2090</v>
      </c>
      <c r="C85" s="59" t="s">
        <v>2091</v>
      </c>
      <c r="D85" s="59"/>
      <c r="E85" s="59" t="s">
        <v>2092</v>
      </c>
      <c r="K85" s="14" t="str">
        <f>IFERROR(__xludf.DUMMYFUNCTION("""COMPUTED_VALUE"""),"工")</f>
        <v>工</v>
      </c>
      <c r="L85" s="14" t="str">
        <f>IFERROR(__xludf.DUMMYFUNCTION("""COMPUTED_VALUE"""),"コウ、ク、グ")</f>
        <v>コウ、ク、グ</v>
      </c>
      <c r="M85" s="14"/>
      <c r="N85" s="14" t="str">
        <f>IFERROR(__xludf.DUMMYFUNCTION("""COMPUTED_VALUE"""),"craft, construction")</f>
        <v>craft, construction</v>
      </c>
    </row>
    <row r="86">
      <c r="A86" s="20">
        <v>85.0</v>
      </c>
      <c r="B86" s="20" t="s">
        <v>2093</v>
      </c>
      <c r="C86" s="59" t="s">
        <v>2094</v>
      </c>
      <c r="D86" s="59" t="s">
        <v>2095</v>
      </c>
      <c r="E86" s="59" t="s">
        <v>2096</v>
      </c>
      <c r="K86" s="14" t="str">
        <f>IFERROR(__xludf.DUMMYFUNCTION("""COMPUTED_VALUE"""),"建")</f>
        <v>建</v>
      </c>
      <c r="L86" s="14" t="str">
        <f>IFERROR(__xludf.DUMMYFUNCTION("""COMPUTED_VALUE"""),"ケン、コン")</f>
        <v>ケン、コン</v>
      </c>
      <c r="M86" s="14" t="str">
        <f>IFERROR(__xludf.DUMMYFUNCTION("""COMPUTED_VALUE"""),"た(てる)")</f>
        <v>た(てる)</v>
      </c>
      <c r="N86" s="14" t="str">
        <f>IFERROR(__xludf.DUMMYFUNCTION("""COMPUTED_VALUE"""),"build")</f>
        <v>build</v>
      </c>
    </row>
    <row r="87">
      <c r="A87" s="20">
        <v>86.0</v>
      </c>
      <c r="B87" s="20" t="s">
        <v>2097</v>
      </c>
      <c r="C87" s="59" t="s">
        <v>2098</v>
      </c>
      <c r="D87" s="59" t="s">
        <v>2099</v>
      </c>
      <c r="E87" s="59" t="s">
        <v>2100</v>
      </c>
      <c r="K87" s="14" t="str">
        <f>IFERROR(__xludf.DUMMYFUNCTION("""COMPUTED_VALUE"""),"空")</f>
        <v>空</v>
      </c>
      <c r="L87" s="14" t="str">
        <f>IFERROR(__xludf.DUMMYFUNCTION("""COMPUTED_VALUE"""),"クウ")</f>
        <v>クウ</v>
      </c>
      <c r="M87" s="14" t="str">
        <f>IFERROR(__xludf.DUMMYFUNCTION("""COMPUTED_VALUE"""),"そら、から、あ(く)、す(く)、むな(しい)")</f>
        <v>そら、から、あ(く)、す(く)、むな(しい)</v>
      </c>
      <c r="N87" s="14" t="str">
        <f>IFERROR(__xludf.DUMMYFUNCTION("""COMPUTED_VALUE"""),"empty, sky, void, vacant, vacuum")</f>
        <v>empty, sky, void, vacant, vacuum</v>
      </c>
    </row>
    <row r="88">
      <c r="A88" s="20">
        <v>87.0</v>
      </c>
      <c r="B88" s="20" t="s">
        <v>1795</v>
      </c>
      <c r="C88" s="59" t="s">
        <v>2101</v>
      </c>
      <c r="D88" s="59" t="s">
        <v>2102</v>
      </c>
      <c r="E88" s="59" t="s">
        <v>2103</v>
      </c>
      <c r="K88" s="14" t="str">
        <f>IFERROR(__xludf.DUMMYFUNCTION("""COMPUTED_VALUE"""),"急")</f>
        <v>急</v>
      </c>
      <c r="L88" s="14" t="str">
        <f>IFERROR(__xludf.DUMMYFUNCTION("""COMPUTED_VALUE"""),"キュウ")</f>
        <v>キュウ</v>
      </c>
      <c r="M88" s="14" t="str">
        <f>IFERROR(__xludf.DUMMYFUNCTION("""COMPUTED_VALUE"""),"いそ(ぐ)")</f>
        <v>いそ(ぐ)</v>
      </c>
      <c r="N88" s="14" t="str">
        <f>IFERROR(__xludf.DUMMYFUNCTION("""COMPUTED_VALUE"""),"hurry, emergency, sudden, steep")</f>
        <v>hurry, emergency, sudden, steep</v>
      </c>
    </row>
    <row r="89">
      <c r="A89" s="20">
        <v>88.0</v>
      </c>
      <c r="B89" s="20" t="s">
        <v>2104</v>
      </c>
      <c r="C89" s="59" t="s">
        <v>1948</v>
      </c>
      <c r="D89" s="59" t="s">
        <v>2105</v>
      </c>
      <c r="E89" s="59" t="s">
        <v>2106</v>
      </c>
      <c r="K89" s="14" t="str">
        <f>IFERROR(__xludf.DUMMYFUNCTION("""COMPUTED_VALUE"""),"止")</f>
        <v>止</v>
      </c>
      <c r="L89" s="14" t="str">
        <f>IFERROR(__xludf.DUMMYFUNCTION("""COMPUTED_VALUE"""),"シ")</f>
        <v>シ</v>
      </c>
      <c r="M89" s="14" t="str">
        <f>IFERROR(__xludf.DUMMYFUNCTION("""COMPUTED_VALUE"""),"と(まる)、とど(まる)、や(める)、よ(す)")</f>
        <v>と(まる)、とど(まる)、や(める)、よ(す)</v>
      </c>
      <c r="N89" s="14" t="str">
        <f>IFERROR(__xludf.DUMMYFUNCTION("""COMPUTED_VALUE"""),"stop, halt")</f>
        <v>stop, halt</v>
      </c>
    </row>
    <row r="90">
      <c r="A90" s="20">
        <v>89.0</v>
      </c>
      <c r="B90" s="20" t="s">
        <v>2107</v>
      </c>
      <c r="C90" s="59" t="s">
        <v>2108</v>
      </c>
      <c r="D90" s="59"/>
      <c r="E90" s="59" t="s">
        <v>2109</v>
      </c>
      <c r="K90" s="14" t="str">
        <f>IFERROR(__xludf.DUMMYFUNCTION("""COMPUTED_VALUE"""),"送")</f>
        <v>送</v>
      </c>
      <c r="L90" s="14" t="str">
        <f>IFERROR(__xludf.DUMMYFUNCTION("""COMPUTED_VALUE"""),"ソウ")</f>
        <v>ソウ</v>
      </c>
      <c r="M90" s="14"/>
      <c r="N90" s="14" t="str">
        <f>IFERROR(__xludf.DUMMYFUNCTION("""COMPUTED_VALUE"""),"escort, send")</f>
        <v>escort, send</v>
      </c>
    </row>
    <row r="91">
      <c r="A91" s="20">
        <v>90.0</v>
      </c>
      <c r="B91" s="20" t="s">
        <v>2110</v>
      </c>
      <c r="C91" s="59" t="s">
        <v>2111</v>
      </c>
      <c r="D91" s="59" t="s">
        <v>2112</v>
      </c>
      <c r="E91" s="59" t="s">
        <v>2113</v>
      </c>
      <c r="K91" s="14" t="str">
        <f>IFERROR(__xludf.DUMMYFUNCTION("""COMPUTED_VALUE"""),"切")</f>
        <v>切</v>
      </c>
      <c r="L91" s="14" t="str">
        <f>IFERROR(__xludf.DUMMYFUNCTION("""COMPUTED_VALUE"""),"セツ、サイ")</f>
        <v>セツ、サイ</v>
      </c>
      <c r="M91" s="14" t="str">
        <f>IFERROR(__xludf.DUMMYFUNCTION("""COMPUTED_VALUE"""),"き(る)")</f>
        <v>き(る)</v>
      </c>
      <c r="N91" s="14" t="str">
        <f>IFERROR(__xludf.DUMMYFUNCTION("""COMPUTED_VALUE"""),"cut, cutoff, be sharp")</f>
        <v>cut, cutoff, be sharp</v>
      </c>
    </row>
    <row r="92">
      <c r="A92" s="20">
        <v>91.0</v>
      </c>
      <c r="B92" s="20" t="s">
        <v>2114</v>
      </c>
      <c r="C92" s="59" t="s">
        <v>2115</v>
      </c>
      <c r="D92" s="59" t="s">
        <v>2116</v>
      </c>
      <c r="E92" s="59" t="s">
        <v>2117</v>
      </c>
      <c r="K92" s="14" t="str">
        <f>IFERROR(__xludf.DUMMYFUNCTION("""COMPUTED_VALUE"""),"転")</f>
        <v>転</v>
      </c>
      <c r="L92" s="14" t="str">
        <f>IFERROR(__xludf.DUMMYFUNCTION("""COMPUTED_VALUE"""),"テン")</f>
        <v>テン</v>
      </c>
      <c r="M92" s="14" t="str">
        <f>IFERROR(__xludf.DUMMYFUNCTION("""COMPUTED_VALUE"""),"ころ(がる)")</f>
        <v>ころ(がる)</v>
      </c>
      <c r="N92" s="14" t="str">
        <f>IFERROR(__xludf.DUMMYFUNCTION("""COMPUTED_VALUE"""),"revolve, turn around, change")</f>
        <v>revolve, turn around, change</v>
      </c>
    </row>
    <row r="93">
      <c r="A93" s="20">
        <v>92.0</v>
      </c>
      <c r="B93" s="20" t="s">
        <v>2118</v>
      </c>
      <c r="C93" s="59" t="s">
        <v>2119</v>
      </c>
      <c r="D93" s="59"/>
      <c r="E93" s="59" t="s">
        <v>2120</v>
      </c>
      <c r="K93" s="14" t="str">
        <f>IFERROR(__xludf.DUMMYFUNCTION("""COMPUTED_VALUE"""),"研")</f>
        <v>研</v>
      </c>
      <c r="L93" s="14" t="str">
        <f>IFERROR(__xludf.DUMMYFUNCTION("""COMPUTED_VALUE"""),"ケン")</f>
        <v>ケン</v>
      </c>
      <c r="M93" s="14"/>
      <c r="N93" s="14" t="str">
        <f>IFERROR(__xludf.DUMMYFUNCTION("""COMPUTED_VALUE"""),"polish, study of, sharpen")</f>
        <v>polish, study of, sharpen</v>
      </c>
    </row>
    <row r="94">
      <c r="A94" s="20">
        <v>93.0</v>
      </c>
      <c r="B94" s="20" t="s">
        <v>2121</v>
      </c>
      <c r="C94" s="59" t="s">
        <v>2122</v>
      </c>
      <c r="D94" s="59" t="s">
        <v>2123</v>
      </c>
      <c r="E94" s="59" t="s">
        <v>2124</v>
      </c>
      <c r="K94" s="14" t="str">
        <f>IFERROR(__xludf.DUMMYFUNCTION("""COMPUTED_VALUE"""),"足")</f>
        <v>足</v>
      </c>
      <c r="L94" s="14" t="str">
        <f>IFERROR(__xludf.DUMMYFUNCTION("""COMPUTED_VALUE"""),"ソク")</f>
        <v>ソク</v>
      </c>
      <c r="M94" s="14" t="str">
        <f>IFERROR(__xludf.DUMMYFUNCTION("""COMPUTED_VALUE"""),"あし、た(りる)")</f>
        <v>あし、た(りる)</v>
      </c>
      <c r="N94" s="14" t="str">
        <f>IFERROR(__xludf.DUMMYFUNCTION("""COMPUTED_VALUE"""),"leg, foot, be sufficient")</f>
        <v>leg, foot, be sufficient</v>
      </c>
    </row>
    <row r="95">
      <c r="A95" s="20">
        <v>94.0</v>
      </c>
      <c r="B95" s="20" t="s">
        <v>2125</v>
      </c>
      <c r="C95" s="59" t="s">
        <v>2101</v>
      </c>
      <c r="D95" s="60"/>
      <c r="E95" s="59" t="s">
        <v>2126</v>
      </c>
      <c r="K95" s="14" t="str">
        <f>IFERROR(__xludf.DUMMYFUNCTION("""COMPUTED_VALUE"""),"究")</f>
        <v>究</v>
      </c>
      <c r="L95" s="14" t="str">
        <f>IFERROR(__xludf.DUMMYFUNCTION("""COMPUTED_VALUE"""),"キュウ")</f>
        <v>キュウ</v>
      </c>
      <c r="M95" s="14"/>
      <c r="N95" s="14" t="str">
        <f>IFERROR(__xludf.DUMMYFUNCTION("""COMPUTED_VALUE"""),"research, study")</f>
        <v>research, study</v>
      </c>
    </row>
    <row r="96">
      <c r="A96" s="20">
        <v>95.0</v>
      </c>
      <c r="B96" s="20" t="s">
        <v>2127</v>
      </c>
      <c r="C96" s="59" t="s">
        <v>2128</v>
      </c>
      <c r="D96" s="59" t="s">
        <v>2129</v>
      </c>
      <c r="E96" s="59" t="s">
        <v>2130</v>
      </c>
      <c r="K96" s="14" t="str">
        <f>IFERROR(__xludf.DUMMYFUNCTION("""COMPUTED_VALUE"""),"楽")</f>
        <v>楽</v>
      </c>
      <c r="L96" s="14" t="str">
        <f>IFERROR(__xludf.DUMMYFUNCTION("""COMPUTED_VALUE"""),"ガク、ラク")</f>
        <v>ガク、ラク</v>
      </c>
      <c r="M96" s="14" t="str">
        <f>IFERROR(__xludf.DUMMYFUNCTION("""COMPUTED_VALUE"""),"たの(しい)")</f>
        <v>たの(しい)</v>
      </c>
      <c r="N96" s="14" t="str">
        <f>IFERROR(__xludf.DUMMYFUNCTION("""COMPUTED_VALUE"""),"music, comfort, ease")</f>
        <v>music, comfort, ease</v>
      </c>
    </row>
    <row r="97">
      <c r="A97" s="20">
        <v>96.0</v>
      </c>
      <c r="B97" s="20" t="s">
        <v>2131</v>
      </c>
      <c r="C97" s="59" t="s">
        <v>2132</v>
      </c>
      <c r="D97" s="59" t="s">
        <v>2133</v>
      </c>
      <c r="E97" s="59" t="s">
        <v>2134</v>
      </c>
      <c r="K97" s="14" t="str">
        <f>IFERROR(__xludf.DUMMYFUNCTION("""COMPUTED_VALUE"""),"起")</f>
        <v>起</v>
      </c>
      <c r="L97" s="14" t="str">
        <f>IFERROR(__xludf.DUMMYFUNCTION("""COMPUTED_VALUE"""),"キ")</f>
        <v>キ</v>
      </c>
      <c r="M97" s="14" t="str">
        <f>IFERROR(__xludf.DUMMYFUNCTION("""COMPUTED_VALUE"""),"お(きる)、おこ(す)")</f>
        <v>お(きる)、おこ(す)</v>
      </c>
      <c r="N97" s="14" t="str">
        <f>IFERROR(__xludf.DUMMYFUNCTION("""COMPUTED_VALUE"""),"wake up, get up; rouse")</f>
        <v>wake up, get up; rouse</v>
      </c>
    </row>
    <row r="98">
      <c r="A98" s="20">
        <v>97.0</v>
      </c>
      <c r="B98" s="20" t="s">
        <v>2135</v>
      </c>
      <c r="C98" s="59" t="s">
        <v>2136</v>
      </c>
      <c r="D98" s="59" t="s">
        <v>2137</v>
      </c>
      <c r="E98" s="59" t="s">
        <v>2138</v>
      </c>
      <c r="K98" s="14" t="str">
        <f>IFERROR(__xludf.DUMMYFUNCTION("""COMPUTED_VALUE"""),"着")</f>
        <v>着</v>
      </c>
      <c r="L98" s="14" t="str">
        <f>IFERROR(__xludf.DUMMYFUNCTION("""COMPUTED_VALUE"""),"チャク")</f>
        <v>チャク</v>
      </c>
      <c r="M98" s="14" t="str">
        <f>IFERROR(__xludf.DUMMYFUNCTION("""COMPUTED_VALUE"""),"き(る)、つ(く)")</f>
        <v>き(る)、つ(く)</v>
      </c>
      <c r="N98" s="14" t="str">
        <f>IFERROR(__xludf.DUMMYFUNCTION("""COMPUTED_VALUE"""),"arrive, wear, counter for suits of clothing")</f>
        <v>arrive, wear, counter for suits of clothing</v>
      </c>
    </row>
    <row r="99">
      <c r="A99" s="20">
        <v>98.0</v>
      </c>
      <c r="B99" s="20" t="s">
        <v>2139</v>
      </c>
      <c r="C99" s="59" t="s">
        <v>2115</v>
      </c>
      <c r="D99" s="59" t="s">
        <v>2140</v>
      </c>
      <c r="E99" s="59" t="s">
        <v>2141</v>
      </c>
      <c r="K99" s="14" t="str">
        <f>IFERROR(__xludf.DUMMYFUNCTION("""COMPUTED_VALUE"""),"店")</f>
        <v>店</v>
      </c>
      <c r="L99" s="14" t="str">
        <f>IFERROR(__xludf.DUMMYFUNCTION("""COMPUTED_VALUE"""),"テン")</f>
        <v>テン</v>
      </c>
      <c r="M99" s="14" t="str">
        <f>IFERROR(__xludf.DUMMYFUNCTION("""COMPUTED_VALUE"""),"みせ")</f>
        <v>みせ</v>
      </c>
      <c r="N99" s="14" t="str">
        <f>IFERROR(__xludf.DUMMYFUNCTION("""COMPUTED_VALUE"""),"store, shop")</f>
        <v>store, shop</v>
      </c>
    </row>
    <row r="100">
      <c r="A100" s="20">
        <v>99.0</v>
      </c>
      <c r="B100" s="20" t="s">
        <v>2142</v>
      </c>
      <c r="C100" s="59" t="s">
        <v>2143</v>
      </c>
      <c r="D100" s="59"/>
      <c r="E100" s="59" t="s">
        <v>2144</v>
      </c>
      <c r="K100" s="14" t="str">
        <f>IFERROR(__xludf.DUMMYFUNCTION("""COMPUTED_VALUE"""),"病")</f>
        <v>病</v>
      </c>
      <c r="L100" s="14" t="str">
        <f>IFERROR(__xludf.DUMMYFUNCTION("""COMPUTED_VALUE"""),"ビョウ")</f>
        <v>ビョウ</v>
      </c>
      <c r="M100" s="14"/>
      <c r="N100" s="14" t="str">
        <f>IFERROR(__xludf.DUMMYFUNCTION("""COMPUTED_VALUE"""),"ill, sick")</f>
        <v>ill, sick</v>
      </c>
    </row>
    <row r="101">
      <c r="A101" s="20">
        <v>100.0</v>
      </c>
      <c r="B101" s="20" t="s">
        <v>2145</v>
      </c>
      <c r="C101" s="59" t="s">
        <v>2146</v>
      </c>
      <c r="D101" s="59" t="s">
        <v>2147</v>
      </c>
      <c r="E101" s="59" t="s">
        <v>2148</v>
      </c>
      <c r="K101" s="14" t="str">
        <f>IFERROR(__xludf.DUMMYFUNCTION("""COMPUTED_VALUE"""),"質")</f>
        <v>質</v>
      </c>
      <c r="L101" s="14" t="str">
        <f>IFERROR(__xludf.DUMMYFUNCTION("""COMPUTED_VALUE"""),"シツ、シチ")</f>
        <v>シツ、シチ</v>
      </c>
      <c r="M101" s="14" t="str">
        <f>IFERROR(__xludf.DUMMYFUNCTION("""COMPUTED_VALUE"""),"たち、ただ(す)")</f>
        <v>たち、ただ(す)</v>
      </c>
      <c r="N101" s="14" t="str">
        <f>IFERROR(__xludf.DUMMYFUNCTION("""COMPUTED_VALUE"""),"substance, quality, matter, temperament")</f>
        <v>substance, quality, matter, temperament</v>
      </c>
    </row>
    <row r="102">
      <c r="A102" s="20">
        <v>101.0</v>
      </c>
      <c r="B102" s="20" t="s">
        <v>2149</v>
      </c>
      <c r="C102" s="59" t="s">
        <v>1902</v>
      </c>
      <c r="D102" s="59"/>
      <c r="E102" s="59" t="s">
        <v>2150</v>
      </c>
      <c r="K102" s="14" t="str">
        <f>IFERROR(__xludf.DUMMYFUNCTION("""COMPUTED_VALUE"""),"待")</f>
        <v>待</v>
      </c>
      <c r="L102" s="14" t="str">
        <f>IFERROR(__xludf.DUMMYFUNCTION("""COMPUTED_VALUE"""),"タイ")</f>
        <v>タイ</v>
      </c>
      <c r="M102" s="14"/>
      <c r="N102" s="14" t="str">
        <f>IFERROR(__xludf.DUMMYFUNCTION("""COMPUTED_VALUE"""),"wait, depend on")</f>
        <v>wait, depend on</v>
      </c>
    </row>
    <row r="103">
      <c r="A103" s="20">
        <v>102.0</v>
      </c>
      <c r="B103" s="20" t="s">
        <v>2151</v>
      </c>
      <c r="C103" s="59" t="s">
        <v>1948</v>
      </c>
      <c r="D103" s="59" t="s">
        <v>2152</v>
      </c>
      <c r="E103" s="59" t="s">
        <v>2153</v>
      </c>
      <c r="K103" s="14" t="str">
        <f>IFERROR(__xludf.DUMMYFUNCTION("""COMPUTED_VALUE"""),"試")</f>
        <v>試</v>
      </c>
      <c r="L103" s="14" t="str">
        <f>IFERROR(__xludf.DUMMYFUNCTION("""COMPUTED_VALUE"""),"シ")</f>
        <v>シ</v>
      </c>
      <c r="M103" s="14" t="str">
        <f>IFERROR(__xludf.DUMMYFUNCTION("""COMPUTED_VALUE"""),"こころ(みる)、ため(す)")</f>
        <v>こころ(みる)、ため(す)</v>
      </c>
      <c r="N103" s="14" t="str">
        <f>IFERROR(__xludf.DUMMYFUNCTION("""COMPUTED_VALUE"""),"test, try, attempt, experiment")</f>
        <v>test, try, attempt, experiment</v>
      </c>
    </row>
    <row r="104">
      <c r="A104" s="20">
        <v>103.0</v>
      </c>
      <c r="B104" s="20" t="s">
        <v>2154</v>
      </c>
      <c r="C104" s="59" t="s">
        <v>2155</v>
      </c>
      <c r="D104" s="59"/>
      <c r="E104" s="59" t="s">
        <v>2156</v>
      </c>
      <c r="K104" s="14" t="str">
        <f>IFERROR(__xludf.DUMMYFUNCTION("""COMPUTED_VALUE"""),"族")</f>
        <v>族</v>
      </c>
      <c r="L104" s="14" t="str">
        <f>IFERROR(__xludf.DUMMYFUNCTION("""COMPUTED_VALUE"""),"ゾク")</f>
        <v>ゾク</v>
      </c>
      <c r="M104" s="14"/>
      <c r="N104" s="14" t="str">
        <f>IFERROR(__xludf.DUMMYFUNCTION("""COMPUTED_VALUE"""),"tribe, family")</f>
        <v>tribe, family</v>
      </c>
    </row>
    <row r="105">
      <c r="A105" s="20">
        <v>104.0</v>
      </c>
      <c r="B105" s="20" t="s">
        <v>2157</v>
      </c>
      <c r="C105" s="59" t="s">
        <v>2158</v>
      </c>
      <c r="D105" s="59"/>
      <c r="E105" s="59" t="s">
        <v>2159</v>
      </c>
      <c r="K105" s="14" t="str">
        <f>IFERROR(__xludf.DUMMYFUNCTION("""COMPUTED_VALUE"""),"銀")</f>
        <v>銀</v>
      </c>
      <c r="L105" s="14" t="str">
        <f>IFERROR(__xludf.DUMMYFUNCTION("""COMPUTED_VALUE"""),"ギン")</f>
        <v>ギン</v>
      </c>
      <c r="M105" s="14"/>
      <c r="N105" s="14" t="str">
        <f>IFERROR(__xludf.DUMMYFUNCTION("""COMPUTED_VALUE"""),"silver")</f>
        <v>silver</v>
      </c>
    </row>
    <row r="106">
      <c r="A106" s="20">
        <v>105.0</v>
      </c>
      <c r="B106" s="20" t="s">
        <v>2160</v>
      </c>
      <c r="C106" s="59" t="s">
        <v>2161</v>
      </c>
      <c r="D106" s="59" t="s">
        <v>2162</v>
      </c>
      <c r="E106" s="59" t="s">
        <v>2163</v>
      </c>
      <c r="K106" s="14" t="str">
        <f>IFERROR(__xludf.DUMMYFUNCTION("""COMPUTED_VALUE"""),"早")</f>
        <v>早</v>
      </c>
      <c r="L106" s="14" t="str">
        <f>IFERROR(__xludf.DUMMYFUNCTION("""COMPUTED_VALUE"""),"ソウ、サッ")</f>
        <v>ソウ、サッ</v>
      </c>
      <c r="M106" s="14" t="str">
        <f>IFERROR(__xludf.DUMMYFUNCTION("""COMPUTED_VALUE"""),"はや(い)")</f>
        <v>はや(い)</v>
      </c>
      <c r="N106" s="14" t="str">
        <f>IFERROR(__xludf.DUMMYFUNCTION("""COMPUTED_VALUE"""),"early, fast")</f>
        <v>early, fast</v>
      </c>
    </row>
    <row r="107">
      <c r="A107" s="20">
        <v>106.0</v>
      </c>
      <c r="B107" s="20" t="s">
        <v>2164</v>
      </c>
      <c r="C107" s="59" t="s">
        <v>2165</v>
      </c>
      <c r="D107" s="59" t="s">
        <v>2166</v>
      </c>
      <c r="E107" s="59" t="s">
        <v>2167</v>
      </c>
      <c r="K107" s="14" t="str">
        <f>IFERROR(__xludf.DUMMYFUNCTION("""COMPUTED_VALUE"""),"映")</f>
        <v>映</v>
      </c>
      <c r="L107" s="14" t="str">
        <f>IFERROR(__xludf.DUMMYFUNCTION("""COMPUTED_VALUE"""),"エイ")</f>
        <v>エイ</v>
      </c>
      <c r="M107" s="14" t="str">
        <f>IFERROR(__xludf.DUMMYFUNCTION("""COMPUTED_VALUE"""),"うつ(る)、は(える)")</f>
        <v>うつ(る)、は(える)</v>
      </c>
      <c r="N107" s="14" t="str">
        <f>IFERROR(__xludf.DUMMYFUNCTION("""COMPUTED_VALUE"""),"reflect, reflection, projection")</f>
        <v>reflect, reflection, projection</v>
      </c>
    </row>
    <row r="108">
      <c r="A108" s="20">
        <v>107.0</v>
      </c>
      <c r="B108" s="20" t="s">
        <v>939</v>
      </c>
      <c r="C108" s="59" t="s">
        <v>1848</v>
      </c>
      <c r="D108" s="59" t="s">
        <v>2168</v>
      </c>
      <c r="E108" s="59" t="s">
        <v>2169</v>
      </c>
      <c r="K108" s="14" t="str">
        <f>IFERROR(__xludf.DUMMYFUNCTION("""COMPUTED_VALUE"""),"親")</f>
        <v>親</v>
      </c>
      <c r="L108" s="14" t="str">
        <f>IFERROR(__xludf.DUMMYFUNCTION("""COMPUTED_VALUE"""),"シン")</f>
        <v>シン</v>
      </c>
      <c r="M108" s="14" t="str">
        <f>IFERROR(__xludf.DUMMYFUNCTION("""COMPUTED_VALUE"""),"おや、した(しい)")</f>
        <v>おや、した(しい)</v>
      </c>
      <c r="N108" s="14" t="str">
        <f>IFERROR(__xludf.DUMMYFUNCTION("""COMPUTED_VALUE"""),"parent, intimacy, relative, familiarity")</f>
        <v>parent, intimacy, relative, familiarity</v>
      </c>
    </row>
    <row r="109">
      <c r="A109" s="20">
        <v>108.0</v>
      </c>
      <c r="B109" s="20" t="s">
        <v>2170</v>
      </c>
      <c r="C109" s="59" t="s">
        <v>2119</v>
      </c>
      <c r="D109" s="59"/>
      <c r="E109" s="59" t="s">
        <v>2171</v>
      </c>
      <c r="K109" s="14" t="str">
        <f>IFERROR(__xludf.DUMMYFUNCTION("""COMPUTED_VALUE"""),"験")</f>
        <v>験</v>
      </c>
      <c r="L109" s="14" t="str">
        <f>IFERROR(__xludf.DUMMYFUNCTION("""COMPUTED_VALUE"""),"ケン")</f>
        <v>ケン</v>
      </c>
      <c r="M109" s="14"/>
      <c r="N109" s="14" t="str">
        <f>IFERROR(__xludf.DUMMYFUNCTION("""COMPUTED_VALUE"""),"verification, effect, testing")</f>
        <v>verification, effect, testing</v>
      </c>
    </row>
    <row r="110">
      <c r="A110" s="20">
        <v>109.0</v>
      </c>
      <c r="B110" s="20" t="s">
        <v>2172</v>
      </c>
      <c r="C110" s="59" t="s">
        <v>2165</v>
      </c>
      <c r="D110" s="59"/>
      <c r="E110" s="59" t="s">
        <v>2173</v>
      </c>
      <c r="K110" s="14" t="str">
        <f>IFERROR(__xludf.DUMMYFUNCTION("""COMPUTED_VALUE"""),"英")</f>
        <v>英</v>
      </c>
      <c r="L110" s="14" t="str">
        <f>IFERROR(__xludf.DUMMYFUNCTION("""COMPUTED_VALUE"""),"エイ")</f>
        <v>エイ</v>
      </c>
      <c r="M110" s="14"/>
      <c r="N110" s="14" t="str">
        <f>IFERROR(__xludf.DUMMYFUNCTION("""COMPUTED_VALUE"""),"England, English, hero, outstanding")</f>
        <v>England, English, hero, outstanding</v>
      </c>
    </row>
    <row r="111">
      <c r="A111" s="20">
        <v>110.0</v>
      </c>
      <c r="B111" s="20" t="s">
        <v>2174</v>
      </c>
      <c r="C111" s="59" t="s">
        <v>1915</v>
      </c>
      <c r="D111" s="59"/>
      <c r="E111" s="59" t="s">
        <v>2175</v>
      </c>
      <c r="K111" s="14" t="str">
        <f>IFERROR(__xludf.DUMMYFUNCTION("""COMPUTED_VALUE"""),"医")</f>
        <v>医</v>
      </c>
      <c r="L111" s="14" t="str">
        <f>IFERROR(__xludf.DUMMYFUNCTION("""COMPUTED_VALUE"""),"イ")</f>
        <v>イ</v>
      </c>
      <c r="M111" s="14"/>
      <c r="N111" s="14" t="str">
        <f>IFERROR(__xludf.DUMMYFUNCTION("""COMPUTED_VALUE"""),"doctor, medicine")</f>
        <v>doctor, medicine</v>
      </c>
    </row>
    <row r="112">
      <c r="A112" s="20">
        <v>111.0</v>
      </c>
      <c r="B112" s="20" t="s">
        <v>2176</v>
      </c>
      <c r="C112" s="59" t="s">
        <v>1948</v>
      </c>
      <c r="D112" s="59"/>
      <c r="E112" s="59" t="s">
        <v>2177</v>
      </c>
      <c r="K112" s="14" t="str">
        <f>IFERROR(__xludf.DUMMYFUNCTION("""COMPUTED_VALUE"""),"仕")</f>
        <v>仕</v>
      </c>
      <c r="L112" s="14" t="str">
        <f>IFERROR(__xludf.DUMMYFUNCTION("""COMPUTED_VALUE"""),"シ")</f>
        <v>シ</v>
      </c>
      <c r="M112" s="14"/>
      <c r="N112" s="14" t="str">
        <f>IFERROR(__xludf.DUMMYFUNCTION("""COMPUTED_VALUE"""),"attend, doing, official, serve")</f>
        <v>attend, doing, official, serve</v>
      </c>
    </row>
    <row r="113">
      <c r="A113" s="20">
        <v>112.0</v>
      </c>
      <c r="B113" s="20" t="s">
        <v>2178</v>
      </c>
      <c r="C113" s="59" t="s">
        <v>2179</v>
      </c>
      <c r="D113" s="59"/>
      <c r="E113" s="59" t="s">
        <v>2180</v>
      </c>
      <c r="K113" s="14" t="str">
        <f>IFERROR(__xludf.DUMMYFUNCTION("""COMPUTED_VALUE"""),"去")</f>
        <v>去</v>
      </c>
      <c r="L113" s="14" t="str">
        <f>IFERROR(__xludf.DUMMYFUNCTION("""COMPUTED_VALUE"""),"キョ、コ")</f>
        <v>キョ、コ</v>
      </c>
      <c r="M113" s="14"/>
      <c r="N113" s="14" t="str">
        <f>IFERROR(__xludf.DUMMYFUNCTION("""COMPUTED_VALUE"""),"gone, past, quit, leave, elapse, eliminate")</f>
        <v>gone, past, quit, leave, elapse, eliminate</v>
      </c>
    </row>
    <row r="114">
      <c r="A114" s="20">
        <v>113.0</v>
      </c>
      <c r="B114" s="20" t="s">
        <v>15</v>
      </c>
      <c r="C114" s="59"/>
      <c r="D114" s="59" t="s">
        <v>16</v>
      </c>
      <c r="E114" s="59" t="s">
        <v>2181</v>
      </c>
      <c r="K114" s="14" t="str">
        <f>IFERROR(__xludf.DUMMYFUNCTION("""COMPUTED_VALUE"""),"味")</f>
        <v>味</v>
      </c>
      <c r="L114" s="14"/>
      <c r="M114" s="14" t="str">
        <f>IFERROR(__xludf.DUMMYFUNCTION("""COMPUTED_VALUE"""),"あじ")</f>
        <v>あじ</v>
      </c>
      <c r="N114" s="14" t="str">
        <f>IFERROR(__xludf.DUMMYFUNCTION("""COMPUTED_VALUE"""),"flavor, taste")</f>
        <v>flavor, taste</v>
      </c>
    </row>
    <row r="115">
      <c r="A115" s="20">
        <v>114.0</v>
      </c>
      <c r="B115" s="20" t="s">
        <v>2182</v>
      </c>
      <c r="C115" s="59" t="s">
        <v>1827</v>
      </c>
      <c r="D115" s="59"/>
      <c r="E115" s="59" t="s">
        <v>2183</v>
      </c>
      <c r="K115" s="14" t="str">
        <f>IFERROR(__xludf.DUMMYFUNCTION("""COMPUTED_VALUE"""),"写")</f>
        <v>写</v>
      </c>
      <c r="L115" s="14" t="str">
        <f>IFERROR(__xludf.DUMMYFUNCTION("""COMPUTED_VALUE"""),"シャ")</f>
        <v>シャ</v>
      </c>
      <c r="M115" s="14"/>
      <c r="N115" s="14" t="str">
        <f>IFERROR(__xludf.DUMMYFUNCTION("""COMPUTED_VALUE"""),"copy, be photographed, describe")</f>
        <v>copy, be photographed, describe</v>
      </c>
    </row>
    <row r="116">
      <c r="A116" s="20">
        <v>115.0</v>
      </c>
      <c r="B116" s="20" t="s">
        <v>400</v>
      </c>
      <c r="C116" s="59" t="s">
        <v>1819</v>
      </c>
      <c r="D116" s="59"/>
      <c r="E116" s="59" t="s">
        <v>2184</v>
      </c>
      <c r="K116" s="14" t="str">
        <f>IFERROR(__xludf.DUMMYFUNCTION("""COMPUTED_VALUE"""),"字")</f>
        <v>字</v>
      </c>
      <c r="L116" s="14" t="str">
        <f>IFERROR(__xludf.DUMMYFUNCTION("""COMPUTED_VALUE"""),"ジ")</f>
        <v>ジ</v>
      </c>
      <c r="M116" s="14"/>
      <c r="N116" s="14" t="str">
        <f>IFERROR(__xludf.DUMMYFUNCTION("""COMPUTED_VALUE"""),"character, letter, word")</f>
        <v>character, letter, word</v>
      </c>
    </row>
    <row r="117">
      <c r="A117" s="20">
        <v>116.0</v>
      </c>
      <c r="B117" s="20" t="s">
        <v>2185</v>
      </c>
      <c r="C117" s="59" t="s">
        <v>2186</v>
      </c>
      <c r="D117" s="59" t="s">
        <v>2187</v>
      </c>
      <c r="E117" s="59" t="s">
        <v>2188</v>
      </c>
      <c r="K117" s="14" t="str">
        <f>IFERROR(__xludf.DUMMYFUNCTION("""COMPUTED_VALUE"""),"答")</f>
        <v>答</v>
      </c>
      <c r="L117" s="14" t="str">
        <f>IFERROR(__xludf.DUMMYFUNCTION("""COMPUTED_VALUE"""),"トウ")</f>
        <v>トウ</v>
      </c>
      <c r="M117" s="14" t="str">
        <f>IFERROR(__xludf.DUMMYFUNCTION("""COMPUTED_VALUE"""),"こた(える)")</f>
        <v>こた(える)</v>
      </c>
      <c r="N117" s="14" t="str">
        <f>IFERROR(__xludf.DUMMYFUNCTION("""COMPUTED_VALUE"""),"solution, answer")</f>
        <v>solution, answer</v>
      </c>
    </row>
    <row r="118">
      <c r="A118" s="20">
        <v>117.0</v>
      </c>
      <c r="B118" s="20" t="s">
        <v>1518</v>
      </c>
      <c r="C118" s="59" t="s">
        <v>1941</v>
      </c>
      <c r="D118" s="59" t="s">
        <v>2189</v>
      </c>
      <c r="E118" s="59" t="s">
        <v>2190</v>
      </c>
      <c r="K118" s="14" t="str">
        <f>IFERROR(__xludf.DUMMYFUNCTION("""COMPUTED_VALUE"""),"夜")</f>
        <v>夜</v>
      </c>
      <c r="L118" s="14" t="str">
        <f>IFERROR(__xludf.DUMMYFUNCTION("""COMPUTED_VALUE"""),"ヤ")</f>
        <v>ヤ</v>
      </c>
      <c r="M118" s="14" t="str">
        <f>IFERROR(__xludf.DUMMYFUNCTION("""COMPUTED_VALUE"""),"よ、よる")</f>
        <v>よ、よる</v>
      </c>
      <c r="N118" s="14" t="str">
        <f>IFERROR(__xludf.DUMMYFUNCTION("""COMPUTED_VALUE"""),"night, evening")</f>
        <v>night, evening</v>
      </c>
    </row>
    <row r="119">
      <c r="A119" s="20">
        <v>118.0</v>
      </c>
      <c r="B119" s="20" t="s">
        <v>923</v>
      </c>
      <c r="C119" s="59" t="s">
        <v>2191</v>
      </c>
      <c r="D119" s="59" t="s">
        <v>2192</v>
      </c>
      <c r="E119" s="59" t="s">
        <v>2193</v>
      </c>
      <c r="K119" s="14" t="str">
        <f>IFERROR(__xludf.DUMMYFUNCTION("""COMPUTED_VALUE"""),"音")</f>
        <v>音</v>
      </c>
      <c r="L119" s="14" t="str">
        <f>IFERROR(__xludf.DUMMYFUNCTION("""COMPUTED_VALUE"""),"オン")</f>
        <v>オン</v>
      </c>
      <c r="M119" s="14" t="str">
        <f>IFERROR(__xludf.DUMMYFUNCTION("""COMPUTED_VALUE"""),"おと、ね")</f>
        <v>おと、ね</v>
      </c>
      <c r="N119" s="14" t="str">
        <f>IFERROR(__xludf.DUMMYFUNCTION("""COMPUTED_VALUE"""),"sound, noise")</f>
        <v>sound, noise</v>
      </c>
    </row>
    <row r="120">
      <c r="A120" s="20">
        <v>119.0</v>
      </c>
      <c r="B120" s="20" t="s">
        <v>2194</v>
      </c>
      <c r="C120" s="59" t="s">
        <v>2195</v>
      </c>
      <c r="D120" s="59" t="s">
        <v>2196</v>
      </c>
      <c r="E120" s="59" t="s">
        <v>2197</v>
      </c>
      <c r="K120" s="14" t="str">
        <f>IFERROR(__xludf.DUMMYFUNCTION("""COMPUTED_VALUE"""),"注")</f>
        <v>注</v>
      </c>
      <c r="L120" s="14" t="str">
        <f>IFERROR(__xludf.DUMMYFUNCTION("""COMPUTED_VALUE"""),"チュウ")</f>
        <v>チュウ</v>
      </c>
      <c r="M120" s="14" t="str">
        <f>IFERROR(__xludf.DUMMYFUNCTION("""COMPUTED_VALUE"""),"そそ(ぐ)、さ(す)、つ(ぐ)")</f>
        <v>そそ(ぐ)、さ(す)、つ(ぐ)</v>
      </c>
      <c r="N120" s="14" t="str">
        <f>IFERROR(__xludf.DUMMYFUNCTION("""COMPUTED_VALUE"""),"pour, irrigate, shed (tears), flow into, concentrate on")</f>
        <v>pour, irrigate, shed (tears), flow into, concentrate on</v>
      </c>
    </row>
    <row r="121">
      <c r="A121" s="20">
        <v>120.0</v>
      </c>
      <c r="B121" s="20" t="s">
        <v>2198</v>
      </c>
      <c r="C121" s="59" t="s">
        <v>2132</v>
      </c>
      <c r="D121" s="59" t="s">
        <v>2199</v>
      </c>
      <c r="E121" s="59" t="s">
        <v>2200</v>
      </c>
      <c r="K121" s="14" t="str">
        <f>IFERROR(__xludf.DUMMYFUNCTION("""COMPUTED_VALUE"""),"帰")</f>
        <v>帰</v>
      </c>
      <c r="L121" s="14" t="str">
        <f>IFERROR(__xludf.DUMMYFUNCTION("""COMPUTED_VALUE"""),"キ")</f>
        <v>キ</v>
      </c>
      <c r="M121" s="14" t="str">
        <f>IFERROR(__xludf.DUMMYFUNCTION("""COMPUTED_VALUE"""),"かえ(る)、かえ(す)")</f>
        <v>かえ(る)、かえ(す)</v>
      </c>
      <c r="N121" s="14" t="str">
        <f>IFERROR(__xludf.DUMMYFUNCTION("""COMPUTED_VALUE"""),"homecoming, arrive at, lead to, result in")</f>
        <v>homecoming, arrive at, lead to, result in</v>
      </c>
    </row>
    <row r="122">
      <c r="A122" s="20">
        <v>121.0</v>
      </c>
      <c r="B122" s="20" t="s">
        <v>2201</v>
      </c>
      <c r="C122" s="59" t="s">
        <v>2202</v>
      </c>
      <c r="D122" s="59" t="s">
        <v>2203</v>
      </c>
      <c r="E122" s="59" t="s">
        <v>2204</v>
      </c>
      <c r="K122" s="14" t="str">
        <f>IFERROR(__xludf.DUMMYFUNCTION("""COMPUTED_VALUE"""),"古")</f>
        <v>古</v>
      </c>
      <c r="L122" s="14" t="str">
        <f>IFERROR(__xludf.DUMMYFUNCTION("""COMPUTED_VALUE"""),"コ")</f>
        <v>コ</v>
      </c>
      <c r="M122" s="14" t="str">
        <f>IFERROR(__xludf.DUMMYFUNCTION("""COMPUTED_VALUE"""),"ふる(い)")</f>
        <v>ふる(い)</v>
      </c>
      <c r="N122" s="14" t="str">
        <f>IFERROR(__xludf.DUMMYFUNCTION("""COMPUTED_VALUE"""),"old")</f>
        <v>old</v>
      </c>
    </row>
    <row r="123">
      <c r="A123" s="20">
        <v>122.0</v>
      </c>
      <c r="B123" s="20" t="s">
        <v>1479</v>
      </c>
      <c r="C123" s="59" t="s">
        <v>1951</v>
      </c>
      <c r="D123" s="59" t="s">
        <v>2205</v>
      </c>
      <c r="E123" s="59" t="s">
        <v>2206</v>
      </c>
      <c r="K123" s="14" t="str">
        <f>IFERROR(__xludf.DUMMYFUNCTION("""COMPUTED_VALUE"""),"歌")</f>
        <v>歌</v>
      </c>
      <c r="L123" s="14" t="str">
        <f>IFERROR(__xludf.DUMMYFUNCTION("""COMPUTED_VALUE"""),"カ")</f>
        <v>カ</v>
      </c>
      <c r="M123" s="14" t="str">
        <f>IFERROR(__xludf.DUMMYFUNCTION("""COMPUTED_VALUE"""),"うた、うた(う)")</f>
        <v>うた、うた(う)</v>
      </c>
      <c r="N123" s="14" t="str">
        <f>IFERROR(__xludf.DUMMYFUNCTION("""COMPUTED_VALUE"""),"song, sing")</f>
        <v>song, sing</v>
      </c>
    </row>
    <row r="124">
      <c r="A124" s="20">
        <v>123.0</v>
      </c>
      <c r="B124" s="20" t="s">
        <v>2207</v>
      </c>
      <c r="C124" s="59" t="s">
        <v>2004</v>
      </c>
      <c r="D124" s="59"/>
      <c r="E124" s="59" t="s">
        <v>2208</v>
      </c>
      <c r="K124" s="14" t="str">
        <f>IFERROR(__xludf.DUMMYFUNCTION("""COMPUTED_VALUE"""),"買")</f>
        <v>買</v>
      </c>
      <c r="L124" s="14" t="str">
        <f>IFERROR(__xludf.DUMMYFUNCTION("""COMPUTED_VALUE"""),"バイ")</f>
        <v>バイ</v>
      </c>
      <c r="M124" s="14"/>
      <c r="N124" s="14" t="str">
        <f>IFERROR(__xludf.DUMMYFUNCTION("""COMPUTED_VALUE"""),"buy")</f>
        <v>buy</v>
      </c>
    </row>
    <row r="125">
      <c r="A125" s="20">
        <v>124.0</v>
      </c>
      <c r="B125" s="20" t="s">
        <v>2209</v>
      </c>
      <c r="C125" s="59" t="s">
        <v>2210</v>
      </c>
      <c r="D125" s="59" t="s">
        <v>2211</v>
      </c>
      <c r="E125" s="59" t="s">
        <v>2212</v>
      </c>
      <c r="K125" s="14" t="str">
        <f>IFERROR(__xludf.DUMMYFUNCTION("""COMPUTED_VALUE"""),"悪")</f>
        <v>悪</v>
      </c>
      <c r="L125" s="14" t="str">
        <f>IFERROR(__xludf.DUMMYFUNCTION("""COMPUTED_VALUE"""),"アク")</f>
        <v>アク</v>
      </c>
      <c r="M125" s="14" t="str">
        <f>IFERROR(__xludf.DUMMYFUNCTION("""COMPUTED_VALUE"""),"わる(い)")</f>
        <v>わる(い)</v>
      </c>
      <c r="N125" s="14" t="str">
        <f>IFERROR(__xludf.DUMMYFUNCTION("""COMPUTED_VALUE"""),"bad, evil, wrong")</f>
        <v>bad, evil, wrong</v>
      </c>
    </row>
    <row r="126">
      <c r="A126" s="20">
        <v>125.0</v>
      </c>
      <c r="B126" s="20" t="s">
        <v>2213</v>
      </c>
      <c r="C126" s="59" t="s">
        <v>2214</v>
      </c>
      <c r="D126" s="59" t="s">
        <v>2032</v>
      </c>
      <c r="E126" s="59" t="s">
        <v>2215</v>
      </c>
      <c r="K126" s="14" t="str">
        <f>IFERROR(__xludf.DUMMYFUNCTION("""COMPUTED_VALUE"""),"図")</f>
        <v>図</v>
      </c>
      <c r="L126" s="14" t="str">
        <f>IFERROR(__xludf.DUMMYFUNCTION("""COMPUTED_VALUE"""),"ズ、ト")</f>
        <v>ズ、ト</v>
      </c>
      <c r="M126" s="14" t="str">
        <f>IFERROR(__xludf.DUMMYFUNCTION("""COMPUTED_VALUE"""),"はか(る)")</f>
        <v>はか(る)</v>
      </c>
      <c r="N126" s="14" t="str">
        <f>IFERROR(__xludf.DUMMYFUNCTION("""COMPUTED_VALUE"""),"map, drawing, plan, extraordinary")</f>
        <v>map, drawing, plan, extraordinary</v>
      </c>
    </row>
    <row r="127">
      <c r="A127" s="20">
        <v>126.0</v>
      </c>
      <c r="B127" s="20" t="s">
        <v>2216</v>
      </c>
      <c r="C127" s="59" t="s">
        <v>2013</v>
      </c>
      <c r="D127" s="59"/>
      <c r="E127" s="59" t="s">
        <v>2217</v>
      </c>
      <c r="K127" s="14" t="str">
        <f>IFERROR(__xludf.DUMMYFUNCTION("""COMPUTED_VALUE"""),"週")</f>
        <v>週</v>
      </c>
      <c r="L127" s="14" t="str">
        <f>IFERROR(__xludf.DUMMYFUNCTION("""COMPUTED_VALUE"""),"シュウ")</f>
        <v>シュウ</v>
      </c>
      <c r="M127" s="14"/>
      <c r="N127" s="14" t="str">
        <f>IFERROR(__xludf.DUMMYFUNCTION("""COMPUTED_VALUE"""),"week")</f>
        <v>week</v>
      </c>
    </row>
    <row r="128">
      <c r="A128" s="20">
        <v>127.0</v>
      </c>
      <c r="B128" s="20" t="s">
        <v>2218</v>
      </c>
      <c r="C128" s="59" t="s">
        <v>2219</v>
      </c>
      <c r="D128" s="59" t="s">
        <v>2220</v>
      </c>
      <c r="E128" s="59" t="s">
        <v>2221</v>
      </c>
      <c r="K128" s="14" t="str">
        <f>IFERROR(__xludf.DUMMYFUNCTION("""COMPUTED_VALUE"""),"室")</f>
        <v>室</v>
      </c>
      <c r="L128" s="14" t="str">
        <f>IFERROR(__xludf.DUMMYFUNCTION("""COMPUTED_VALUE"""),"シツ")</f>
        <v>シツ</v>
      </c>
      <c r="M128" s="14" t="str">
        <f>IFERROR(__xludf.DUMMYFUNCTION("""COMPUTED_VALUE"""),"むろ")</f>
        <v>むろ</v>
      </c>
      <c r="N128" s="14" t="str">
        <f>IFERROR(__xludf.DUMMYFUNCTION("""COMPUTED_VALUE"""),"room, apartment, chamber, cellar")</f>
        <v>room, apartment, chamber, cellar</v>
      </c>
    </row>
    <row r="129">
      <c r="A129" s="20">
        <v>128.0</v>
      </c>
      <c r="B129" s="20" t="s">
        <v>2222</v>
      </c>
      <c r="C129" s="59" t="s">
        <v>2223</v>
      </c>
      <c r="D129" s="59" t="s">
        <v>2224</v>
      </c>
      <c r="E129" s="59" t="s">
        <v>2225</v>
      </c>
      <c r="K129" s="14" t="str">
        <f>IFERROR(__xludf.DUMMYFUNCTION("""COMPUTED_VALUE"""),"歩")</f>
        <v>歩</v>
      </c>
      <c r="L129" s="14" t="str">
        <f>IFERROR(__xludf.DUMMYFUNCTION("""COMPUTED_VALUE"""),"ホ、ブ")</f>
        <v>ホ、ブ</v>
      </c>
      <c r="M129" s="14" t="str">
        <f>IFERROR(__xludf.DUMMYFUNCTION("""COMPUTED_VALUE"""),"ある(く)、あゆ(む)")</f>
        <v>ある(く)、あゆ(む)</v>
      </c>
      <c r="N129" s="14" t="str">
        <f>IFERROR(__xludf.DUMMYFUNCTION("""COMPUTED_VALUE"""),"walk, counter for steps")</f>
        <v>walk, counter for steps</v>
      </c>
    </row>
    <row r="130">
      <c r="A130" s="20">
        <v>129.0</v>
      </c>
      <c r="B130" s="20" t="s">
        <v>2226</v>
      </c>
      <c r="C130" s="59" t="s">
        <v>2227</v>
      </c>
      <c r="D130" s="59" t="s">
        <v>2228</v>
      </c>
      <c r="E130" s="59" t="s">
        <v>2229</v>
      </c>
      <c r="K130" s="14" t="str">
        <f>IFERROR(__xludf.DUMMYFUNCTION("""COMPUTED_VALUE"""),"風")</f>
        <v>風</v>
      </c>
      <c r="L130" s="14" t="str">
        <f>IFERROR(__xludf.DUMMYFUNCTION("""COMPUTED_VALUE"""),"フウ、フ")</f>
        <v>フウ、フ</v>
      </c>
      <c r="M130" s="14" t="str">
        <f>IFERROR(__xludf.DUMMYFUNCTION("""COMPUTED_VALUE"""),"かぜ、かざ-")</f>
        <v>かぜ、かざ-</v>
      </c>
      <c r="N130" s="14" t="str">
        <f>IFERROR(__xludf.DUMMYFUNCTION("""COMPUTED_VALUE"""),"wind, air, style, manner")</f>
        <v>wind, air, style, manner</v>
      </c>
    </row>
    <row r="131">
      <c r="A131" s="20">
        <v>130.0</v>
      </c>
      <c r="B131" s="20" t="s">
        <v>2230</v>
      </c>
      <c r="C131" s="59" t="s">
        <v>1948</v>
      </c>
      <c r="D131" s="59" t="s">
        <v>511</v>
      </c>
      <c r="E131" s="59" t="s">
        <v>2231</v>
      </c>
      <c r="K131" s="14" t="str">
        <f>IFERROR(__xludf.DUMMYFUNCTION("""COMPUTED_VALUE"""),"紙")</f>
        <v>紙</v>
      </c>
      <c r="L131" s="14" t="str">
        <f>IFERROR(__xludf.DUMMYFUNCTION("""COMPUTED_VALUE"""),"シ")</f>
        <v>シ</v>
      </c>
      <c r="M131" s="14" t="str">
        <f>IFERROR(__xludf.DUMMYFUNCTION("""COMPUTED_VALUE"""),"かみ")</f>
        <v>かみ</v>
      </c>
      <c r="N131" s="14" t="str">
        <f>IFERROR(__xludf.DUMMYFUNCTION("""COMPUTED_VALUE"""),"paper")</f>
        <v>paper</v>
      </c>
    </row>
    <row r="132">
      <c r="A132" s="20">
        <v>131.0</v>
      </c>
      <c r="B132" s="20" t="s">
        <v>2232</v>
      </c>
      <c r="C132" s="59" t="s">
        <v>2233</v>
      </c>
      <c r="D132" s="59" t="s">
        <v>2234</v>
      </c>
      <c r="E132" s="59" t="s">
        <v>2235</v>
      </c>
      <c r="K132" s="14" t="str">
        <f>IFERROR(__xludf.DUMMYFUNCTION("""COMPUTED_VALUE"""),"黒")</f>
        <v>黒</v>
      </c>
      <c r="L132" s="14" t="str">
        <f>IFERROR(__xludf.DUMMYFUNCTION("""COMPUTED_VALUE"""),"コク")</f>
        <v>コク</v>
      </c>
      <c r="M132" s="14" t="str">
        <f>IFERROR(__xludf.DUMMYFUNCTION("""COMPUTED_VALUE"""),"くろ")</f>
        <v>くろ</v>
      </c>
      <c r="N132" s="14" t="str">
        <f>IFERROR(__xludf.DUMMYFUNCTION("""COMPUTED_VALUE"""),"black")</f>
        <v>black</v>
      </c>
    </row>
    <row r="133">
      <c r="A133" s="20">
        <v>132.0</v>
      </c>
      <c r="B133" s="20" t="s">
        <v>2236</v>
      </c>
      <c r="C133" s="59" t="s">
        <v>2237</v>
      </c>
      <c r="D133" s="59" t="s">
        <v>2238</v>
      </c>
      <c r="E133" s="59" t="s">
        <v>2239</v>
      </c>
      <c r="K133" s="14" t="str">
        <f>IFERROR(__xludf.DUMMYFUNCTION("""COMPUTED_VALUE"""),"花")</f>
        <v>花</v>
      </c>
      <c r="L133" s="14" t="str">
        <f>IFERROR(__xludf.DUMMYFUNCTION("""COMPUTED_VALUE"""),"カ、ケ")</f>
        <v>カ、ケ</v>
      </c>
      <c r="M133" s="14" t="str">
        <f>IFERROR(__xludf.DUMMYFUNCTION("""COMPUTED_VALUE"""),"はな")</f>
        <v>はな</v>
      </c>
      <c r="N133" s="14" t="str">
        <f>IFERROR(__xludf.DUMMYFUNCTION("""COMPUTED_VALUE"""),"flower")</f>
        <v>flower</v>
      </c>
    </row>
    <row r="134">
      <c r="A134" s="20">
        <v>133.0</v>
      </c>
      <c r="B134" s="20" t="s">
        <v>2240</v>
      </c>
      <c r="C134" s="59" t="s">
        <v>2241</v>
      </c>
      <c r="D134" s="59" t="s">
        <v>2242</v>
      </c>
      <c r="E134" s="59" t="s">
        <v>2243</v>
      </c>
      <c r="K134" s="14" t="str">
        <f>IFERROR(__xludf.DUMMYFUNCTION("""COMPUTED_VALUE"""),"春")</f>
        <v>春</v>
      </c>
      <c r="L134" s="14" t="str">
        <f>IFERROR(__xludf.DUMMYFUNCTION("""COMPUTED_VALUE"""),"シュン")</f>
        <v>シュン</v>
      </c>
      <c r="M134" s="14" t="str">
        <f>IFERROR(__xludf.DUMMYFUNCTION("""COMPUTED_VALUE"""),"はる")</f>
        <v>はる</v>
      </c>
      <c r="N134" s="14" t="str">
        <f>IFERROR(__xludf.DUMMYFUNCTION("""COMPUTED_VALUE"""),"spring")</f>
        <v>spring</v>
      </c>
    </row>
    <row r="135">
      <c r="A135" s="20">
        <v>134.0</v>
      </c>
      <c r="B135" s="20" t="s">
        <v>2244</v>
      </c>
      <c r="C135" s="59" t="s">
        <v>2245</v>
      </c>
      <c r="D135" s="59" t="s">
        <v>2246</v>
      </c>
      <c r="E135" s="59" t="s">
        <v>2247</v>
      </c>
      <c r="K135" s="14" t="str">
        <f>IFERROR(__xludf.DUMMYFUNCTION("""COMPUTED_VALUE"""),"赤")</f>
        <v>赤</v>
      </c>
      <c r="L135" s="14" t="str">
        <f>IFERROR(__xludf.DUMMYFUNCTION("""COMPUTED_VALUE"""),"セキ、シャク")</f>
        <v>セキ、シャク</v>
      </c>
      <c r="M135" s="14" t="str">
        <f>IFERROR(__xludf.DUMMYFUNCTION("""COMPUTED_VALUE"""),"あか(い)")</f>
        <v>あか(い)</v>
      </c>
      <c r="N135" s="14" t="str">
        <f>IFERROR(__xludf.DUMMYFUNCTION("""COMPUTED_VALUE"""),"red")</f>
        <v>red</v>
      </c>
    </row>
    <row r="136">
      <c r="A136" s="20">
        <v>135.0</v>
      </c>
      <c r="B136" s="20" t="s">
        <v>2248</v>
      </c>
      <c r="C136" s="59" t="s">
        <v>1963</v>
      </c>
      <c r="D136" s="59" t="s">
        <v>2249</v>
      </c>
      <c r="E136" s="59" t="s">
        <v>2250</v>
      </c>
      <c r="K136" s="14" t="str">
        <f>IFERROR(__xludf.DUMMYFUNCTION("""COMPUTED_VALUE"""),"青")</f>
        <v>青</v>
      </c>
      <c r="L136" s="14" t="str">
        <f>IFERROR(__xludf.DUMMYFUNCTION("""COMPUTED_VALUE"""),"セイ、ショウ")</f>
        <v>セイ、ショウ</v>
      </c>
      <c r="M136" s="14" t="str">
        <f>IFERROR(__xludf.DUMMYFUNCTION("""COMPUTED_VALUE"""),"あお(い)")</f>
        <v>あお(い)</v>
      </c>
      <c r="N136" s="14" t="str">
        <f>IFERROR(__xludf.DUMMYFUNCTION("""COMPUTED_VALUE"""),"blue")</f>
        <v>blue</v>
      </c>
    </row>
    <row r="137">
      <c r="A137" s="20">
        <v>136.0</v>
      </c>
      <c r="B137" s="20" t="s">
        <v>2251</v>
      </c>
      <c r="C137" s="59" t="s">
        <v>2252</v>
      </c>
      <c r="D137" s="59" t="s">
        <v>2253</v>
      </c>
      <c r="E137" s="59" t="s">
        <v>2254</v>
      </c>
      <c r="K137" s="14" t="str">
        <f>IFERROR(__xludf.DUMMYFUNCTION("""COMPUTED_VALUE"""),"館")</f>
        <v>館</v>
      </c>
      <c r="L137" s="14" t="str">
        <f>IFERROR(__xludf.DUMMYFUNCTION("""COMPUTED_VALUE"""),"カン")</f>
        <v>カン</v>
      </c>
      <c r="M137" s="14" t="str">
        <f>IFERROR(__xludf.DUMMYFUNCTION("""COMPUTED_VALUE"""),"やかた")</f>
        <v>やかた</v>
      </c>
      <c r="N137" s="14" t="str">
        <f>IFERROR(__xludf.DUMMYFUNCTION("""COMPUTED_VALUE"""),"building, mansion, large building, palace")</f>
        <v>building, mansion, large building, palace</v>
      </c>
    </row>
    <row r="138">
      <c r="A138" s="20">
        <v>137.0</v>
      </c>
      <c r="B138" s="20" t="s">
        <v>2255</v>
      </c>
      <c r="C138" s="59" t="s">
        <v>2256</v>
      </c>
      <c r="D138" s="59" t="s">
        <v>2257</v>
      </c>
      <c r="E138" s="59" t="s">
        <v>2258</v>
      </c>
      <c r="K138" s="14" t="str">
        <f>IFERROR(__xludf.DUMMYFUNCTION("""COMPUTED_VALUE"""),"屋")</f>
        <v>屋</v>
      </c>
      <c r="L138" s="14" t="str">
        <f>IFERROR(__xludf.DUMMYFUNCTION("""COMPUTED_VALUE"""),"オク")</f>
        <v>オク</v>
      </c>
      <c r="M138" s="14" t="str">
        <f>IFERROR(__xludf.DUMMYFUNCTION("""COMPUTED_VALUE"""),"や")</f>
        <v>や</v>
      </c>
      <c r="N138" s="14" t="str">
        <f>IFERROR(__xludf.DUMMYFUNCTION("""COMPUTED_VALUE"""),"roof, house, shop, dealer, seller")</f>
        <v>roof, house, shop, dealer, seller</v>
      </c>
    </row>
    <row r="139">
      <c r="A139" s="20">
        <v>138.0</v>
      </c>
      <c r="B139" s="20" t="s">
        <v>2259</v>
      </c>
      <c r="C139" s="59" t="s">
        <v>2260</v>
      </c>
      <c r="D139" s="59" t="s">
        <v>2261</v>
      </c>
      <c r="E139" s="59" t="s">
        <v>2262</v>
      </c>
      <c r="K139" s="14" t="str">
        <f>IFERROR(__xludf.DUMMYFUNCTION("""COMPUTED_VALUE"""),"色")</f>
        <v>色</v>
      </c>
      <c r="L139" s="14" t="str">
        <f>IFERROR(__xludf.DUMMYFUNCTION("""COMPUTED_VALUE"""),"ショク、シキ")</f>
        <v>ショク、シキ</v>
      </c>
      <c r="M139" s="14" t="str">
        <f>IFERROR(__xludf.DUMMYFUNCTION("""COMPUTED_VALUE"""),"いろ")</f>
        <v>いろ</v>
      </c>
      <c r="N139" s="14" t="str">
        <f>IFERROR(__xludf.DUMMYFUNCTION("""COMPUTED_VALUE"""),"color")</f>
        <v>color</v>
      </c>
    </row>
    <row r="140">
      <c r="A140" s="20">
        <v>139.0</v>
      </c>
      <c r="B140" s="20" t="s">
        <v>2263</v>
      </c>
      <c r="C140" s="59"/>
      <c r="D140" s="59" t="s">
        <v>2264</v>
      </c>
      <c r="E140" s="59" t="s">
        <v>2265</v>
      </c>
      <c r="K140" s="14" t="str">
        <f>IFERROR(__xludf.DUMMYFUNCTION("""COMPUTED_VALUE"""),"走")</f>
        <v>走</v>
      </c>
      <c r="L140" s="14"/>
      <c r="M140" s="14" t="str">
        <f>IFERROR(__xludf.DUMMYFUNCTION("""COMPUTED_VALUE"""),"はし(る)")</f>
        <v>はし(る)</v>
      </c>
      <c r="N140" s="14" t="str">
        <f>IFERROR(__xludf.DUMMYFUNCTION("""COMPUTED_VALUE"""),"Run")</f>
        <v>Run</v>
      </c>
    </row>
    <row r="141">
      <c r="A141" s="20">
        <v>140.0</v>
      </c>
      <c r="B141" s="20" t="s">
        <v>2266</v>
      </c>
      <c r="C141" s="59" t="s">
        <v>2013</v>
      </c>
      <c r="D141" s="59" t="s">
        <v>2267</v>
      </c>
      <c r="E141" s="59" t="s">
        <v>2268</v>
      </c>
      <c r="K141" s="14" t="str">
        <f>IFERROR(__xludf.DUMMYFUNCTION("""COMPUTED_VALUE"""),"秋")</f>
        <v>秋</v>
      </c>
      <c r="L141" s="14" t="str">
        <f>IFERROR(__xludf.DUMMYFUNCTION("""COMPUTED_VALUE"""),"シュウ")</f>
        <v>シュウ</v>
      </c>
      <c r="M141" s="14" t="str">
        <f>IFERROR(__xludf.DUMMYFUNCTION("""COMPUTED_VALUE"""),"あき")</f>
        <v>あき</v>
      </c>
      <c r="N141" s="14" t="str">
        <f>IFERROR(__xludf.DUMMYFUNCTION("""COMPUTED_VALUE"""),"autumn, fall")</f>
        <v>autumn, fall</v>
      </c>
    </row>
    <row r="142">
      <c r="A142" s="20">
        <v>141.0</v>
      </c>
      <c r="B142" s="20" t="s">
        <v>2269</v>
      </c>
      <c r="C142" s="59" t="s">
        <v>2270</v>
      </c>
      <c r="D142" s="59" t="s">
        <v>2271</v>
      </c>
      <c r="E142" s="59" t="s">
        <v>2272</v>
      </c>
      <c r="K142" s="14" t="str">
        <f>IFERROR(__xludf.DUMMYFUNCTION("""COMPUTED_VALUE"""),"夏")</f>
        <v>夏</v>
      </c>
      <c r="L142" s="14" t="str">
        <f>IFERROR(__xludf.DUMMYFUNCTION("""COMPUTED_VALUE"""),"カ、ゲ")</f>
        <v>カ、ゲ</v>
      </c>
      <c r="M142" s="14" t="str">
        <f>IFERROR(__xludf.DUMMYFUNCTION("""COMPUTED_VALUE"""),"なつ")</f>
        <v>なつ</v>
      </c>
      <c r="N142" s="14" t="str">
        <f>IFERROR(__xludf.DUMMYFUNCTION("""COMPUTED_VALUE"""),"summer")</f>
        <v>summer</v>
      </c>
    </row>
    <row r="143">
      <c r="A143" s="20">
        <v>142.0</v>
      </c>
      <c r="B143" s="20" t="s">
        <v>2273</v>
      </c>
      <c r="C143" s="59" t="s">
        <v>2013</v>
      </c>
      <c r="D143" s="59"/>
      <c r="E143" s="59" t="s">
        <v>2274</v>
      </c>
      <c r="K143" s="14" t="str">
        <f>IFERROR(__xludf.DUMMYFUNCTION("""COMPUTED_VALUE"""),"習")</f>
        <v>習</v>
      </c>
      <c r="L143" s="14" t="str">
        <f>IFERROR(__xludf.DUMMYFUNCTION("""COMPUTED_VALUE"""),"シュウ")</f>
        <v>シュウ</v>
      </c>
      <c r="M143" s="14"/>
      <c r="N143" s="14" t="str">
        <f>IFERROR(__xludf.DUMMYFUNCTION("""COMPUTED_VALUE"""),"learn")</f>
        <v>learn</v>
      </c>
    </row>
    <row r="144">
      <c r="A144" s="20">
        <v>143.0</v>
      </c>
      <c r="B144" s="20" t="s">
        <v>2275</v>
      </c>
      <c r="C144" s="59" t="s">
        <v>2276</v>
      </c>
      <c r="D144" s="59"/>
      <c r="E144" s="59" t="s">
        <v>2277</v>
      </c>
      <c r="K144" s="14" t="str">
        <f>IFERROR(__xludf.DUMMYFUNCTION("""COMPUTED_VALUE"""),"駅")</f>
        <v>駅</v>
      </c>
      <c r="L144" s="14" t="str">
        <f>IFERROR(__xludf.DUMMYFUNCTION("""COMPUTED_VALUE"""),"エキ")</f>
        <v>エキ</v>
      </c>
      <c r="M144" s="14"/>
      <c r="N144" s="14" t="str">
        <f>IFERROR(__xludf.DUMMYFUNCTION("""COMPUTED_VALUE"""),"station")</f>
        <v>station</v>
      </c>
    </row>
    <row r="145">
      <c r="A145" s="20">
        <v>144.0</v>
      </c>
      <c r="B145" s="20" t="s">
        <v>2278</v>
      </c>
      <c r="C145" s="59" t="s">
        <v>1924</v>
      </c>
      <c r="D145" s="59"/>
      <c r="E145" s="59" t="s">
        <v>2279</v>
      </c>
      <c r="K145" s="14" t="str">
        <f>IFERROR(__xludf.DUMMYFUNCTION("""COMPUTED_VALUE"""),"洋")</f>
        <v>洋</v>
      </c>
      <c r="L145" s="14" t="str">
        <f>IFERROR(__xludf.DUMMYFUNCTION("""COMPUTED_VALUE"""),"ヨウ")</f>
        <v>ヨウ</v>
      </c>
      <c r="M145" s="14"/>
      <c r="N145" s="14" t="str">
        <f>IFERROR(__xludf.DUMMYFUNCTION("""COMPUTED_VALUE"""),"ocean, sea, foreign, Western style")</f>
        <v>ocean, sea, foreign, Western style</v>
      </c>
    </row>
    <row r="146">
      <c r="A146" s="20">
        <v>145.0</v>
      </c>
      <c r="B146" s="20" t="s">
        <v>2280</v>
      </c>
      <c r="C146" s="59" t="s">
        <v>2281</v>
      </c>
      <c r="D146" s="59" t="s">
        <v>2282</v>
      </c>
      <c r="E146" s="59" t="s">
        <v>2283</v>
      </c>
      <c r="K146" s="14" t="str">
        <f>IFERROR(__xludf.DUMMYFUNCTION("""COMPUTED_VALUE"""),"旅")</f>
        <v>旅</v>
      </c>
      <c r="L146" s="14" t="str">
        <f>IFERROR(__xludf.DUMMYFUNCTION("""COMPUTED_VALUE"""),"リョ")</f>
        <v>リョ</v>
      </c>
      <c r="M146" s="14" t="str">
        <f>IFERROR(__xludf.DUMMYFUNCTION("""COMPUTED_VALUE"""),"たび")</f>
        <v>たび</v>
      </c>
      <c r="N146" s="14" t="str">
        <f>IFERROR(__xludf.DUMMYFUNCTION("""COMPUTED_VALUE"""),"trip, travel")</f>
        <v>trip, travel</v>
      </c>
    </row>
    <row r="147">
      <c r="A147" s="20">
        <v>146.0</v>
      </c>
      <c r="B147" s="20" t="s">
        <v>2284</v>
      </c>
      <c r="C147" s="59" t="s">
        <v>2285</v>
      </c>
      <c r="D147" s="59"/>
      <c r="E147" s="59" t="s">
        <v>2286</v>
      </c>
      <c r="K147" s="14" t="str">
        <f>IFERROR(__xludf.DUMMYFUNCTION("""COMPUTED_VALUE"""),"服")</f>
        <v>服</v>
      </c>
      <c r="L147" s="14" t="str">
        <f>IFERROR(__xludf.DUMMYFUNCTION("""COMPUTED_VALUE"""),"フク")</f>
        <v>フク</v>
      </c>
      <c r="M147" s="14"/>
      <c r="N147" s="14" t="str">
        <f>IFERROR(__xludf.DUMMYFUNCTION("""COMPUTED_VALUE"""),"clothing, admit, obey")</f>
        <v>clothing, admit, obey</v>
      </c>
    </row>
    <row r="148">
      <c r="A148" s="20">
        <v>147.0</v>
      </c>
      <c r="B148" s="20" t="s">
        <v>2287</v>
      </c>
      <c r="C148" s="59" t="s">
        <v>2288</v>
      </c>
      <c r="D148" s="59" t="s">
        <v>2289</v>
      </c>
      <c r="E148" s="59" t="s">
        <v>2290</v>
      </c>
      <c r="K148" s="14" t="str">
        <f>IFERROR(__xludf.DUMMYFUNCTION("""COMPUTED_VALUE"""),"夕")</f>
        <v>夕</v>
      </c>
      <c r="L148" s="14" t="str">
        <f>IFERROR(__xludf.DUMMYFUNCTION("""COMPUTED_VALUE"""),"セキ")</f>
        <v>セキ</v>
      </c>
      <c r="M148" s="14" t="str">
        <f>IFERROR(__xludf.DUMMYFUNCTION("""COMPUTED_VALUE"""),"ゆう")</f>
        <v>ゆう</v>
      </c>
      <c r="N148" s="14" t="str">
        <f>IFERROR(__xludf.DUMMYFUNCTION("""COMPUTED_VALUE"""),"evening")</f>
        <v>evening</v>
      </c>
    </row>
    <row r="149">
      <c r="A149" s="20">
        <v>148.0</v>
      </c>
      <c r="B149" s="20" t="s">
        <v>2291</v>
      </c>
      <c r="C149" s="59" t="s">
        <v>2292</v>
      </c>
      <c r="D149" s="59" t="s">
        <v>2293</v>
      </c>
      <c r="E149" s="59" t="s">
        <v>2294</v>
      </c>
      <c r="K149" s="14" t="str">
        <f>IFERROR(__xludf.DUMMYFUNCTION("""COMPUTED_VALUE"""),"借")</f>
        <v>借</v>
      </c>
      <c r="L149" s="14" t="str">
        <f>IFERROR(__xludf.DUMMYFUNCTION("""COMPUTED_VALUE"""),"シャク")</f>
        <v>シャク</v>
      </c>
      <c r="M149" s="14" t="str">
        <f>IFERROR(__xludf.DUMMYFUNCTION("""COMPUTED_VALUE"""),"か(りる)")</f>
        <v>か(りる)</v>
      </c>
      <c r="N149" s="14" t="str">
        <f>IFERROR(__xludf.DUMMYFUNCTION("""COMPUTED_VALUE"""),"borrow, rent")</f>
        <v>borrow, rent</v>
      </c>
    </row>
    <row r="150">
      <c r="A150" s="20">
        <v>149.0</v>
      </c>
      <c r="B150" s="20" t="s">
        <v>2295</v>
      </c>
      <c r="C150" s="59" t="s">
        <v>1924</v>
      </c>
      <c r="D150" s="59"/>
      <c r="E150" s="59" t="s">
        <v>2296</v>
      </c>
      <c r="K150" s="14" t="str">
        <f>IFERROR(__xludf.DUMMYFUNCTION("""COMPUTED_VALUE"""),"曜")</f>
        <v>曜</v>
      </c>
      <c r="L150" s="14" t="str">
        <f>IFERROR(__xludf.DUMMYFUNCTION("""COMPUTED_VALUE"""),"ヨウ")</f>
        <v>ヨウ</v>
      </c>
      <c r="M150" s="14"/>
      <c r="N150" s="14" t="str">
        <f>IFERROR(__xludf.DUMMYFUNCTION("""COMPUTED_VALUE"""),"weekday")</f>
        <v>weekday</v>
      </c>
    </row>
    <row r="151">
      <c r="A151" s="20">
        <v>150.0</v>
      </c>
      <c r="B151" s="20" t="s">
        <v>2297</v>
      </c>
      <c r="C151" s="59" t="s">
        <v>1855</v>
      </c>
      <c r="D151" s="59"/>
      <c r="E151" s="59" t="s">
        <v>2298</v>
      </c>
      <c r="K151" s="14" t="str">
        <f>IFERROR(__xludf.DUMMYFUNCTION("""COMPUTED_VALUE"""),"飲")</f>
        <v>飲</v>
      </c>
      <c r="L151" s="14" t="str">
        <f>IFERROR(__xludf.DUMMYFUNCTION("""COMPUTED_VALUE"""),"イン")</f>
        <v>イン</v>
      </c>
      <c r="M151" s="14"/>
      <c r="N151" s="14" t="str">
        <f>IFERROR(__xludf.DUMMYFUNCTION("""COMPUTED_VALUE"""),"drink")</f>
        <v>drink</v>
      </c>
    </row>
    <row r="152">
      <c r="A152" s="20">
        <v>151.0</v>
      </c>
      <c r="B152" s="20" t="s">
        <v>2299</v>
      </c>
      <c r="C152" s="59" t="s">
        <v>2300</v>
      </c>
      <c r="D152" s="59"/>
      <c r="E152" s="59" t="s">
        <v>2301</v>
      </c>
      <c r="K152" s="14" t="str">
        <f>IFERROR(__xludf.DUMMYFUNCTION("""COMPUTED_VALUE"""),"肉")</f>
        <v>肉</v>
      </c>
      <c r="L152" s="14" t="str">
        <f>IFERROR(__xludf.DUMMYFUNCTION("""COMPUTED_VALUE"""),"ニク")</f>
        <v>ニク</v>
      </c>
      <c r="M152" s="14"/>
      <c r="N152" s="14" t="str">
        <f>IFERROR(__xludf.DUMMYFUNCTION("""COMPUTED_VALUE"""),"meat")</f>
        <v>meat</v>
      </c>
    </row>
    <row r="153">
      <c r="A153" s="20">
        <v>152.0</v>
      </c>
      <c r="B153" s="20" t="s">
        <v>2302</v>
      </c>
      <c r="C153" s="59" t="s">
        <v>1902</v>
      </c>
      <c r="D153" s="59" t="s">
        <v>2303</v>
      </c>
      <c r="E153" s="59" t="s">
        <v>2304</v>
      </c>
      <c r="K153" s="14" t="str">
        <f>IFERROR(__xludf.DUMMYFUNCTION("""COMPUTED_VALUE"""),"貸")</f>
        <v>貸</v>
      </c>
      <c r="L153" s="14" t="str">
        <f>IFERROR(__xludf.DUMMYFUNCTION("""COMPUTED_VALUE"""),"タイ")</f>
        <v>タイ</v>
      </c>
      <c r="M153" s="14" t="str">
        <f>IFERROR(__xludf.DUMMYFUNCTION("""COMPUTED_VALUE"""),"か(す)、かし")</f>
        <v>か(す)、かし</v>
      </c>
      <c r="N153" s="14" t="str">
        <f>IFERROR(__xludf.DUMMYFUNCTION("""COMPUTED_VALUE"""),"lend")</f>
        <v>lend</v>
      </c>
    </row>
    <row r="154">
      <c r="A154" s="20">
        <v>153.0</v>
      </c>
      <c r="B154" s="20" t="s">
        <v>2305</v>
      </c>
      <c r="C154" s="59" t="s">
        <v>1815</v>
      </c>
      <c r="D154" s="59"/>
      <c r="E154" s="59" t="s">
        <v>2306</v>
      </c>
      <c r="K154" s="14" t="str">
        <f>IFERROR(__xludf.DUMMYFUNCTION("""COMPUTED_VALUE"""),"堂")</f>
        <v>堂</v>
      </c>
      <c r="L154" s="14" t="str">
        <f>IFERROR(__xludf.DUMMYFUNCTION("""COMPUTED_VALUE"""),"ドウ")</f>
        <v>ドウ</v>
      </c>
      <c r="M154" s="14"/>
      <c r="N154" s="14" t="str">
        <f>IFERROR(__xludf.DUMMYFUNCTION("""COMPUTED_VALUE"""),"public chamber, hall")</f>
        <v>public chamber, hall</v>
      </c>
    </row>
    <row r="155">
      <c r="A155" s="20">
        <v>154.0</v>
      </c>
      <c r="B155" s="20" t="s">
        <v>1439</v>
      </c>
      <c r="C155" s="59" t="s">
        <v>2046</v>
      </c>
      <c r="D155" s="59" t="s">
        <v>1440</v>
      </c>
      <c r="E155" s="59" t="s">
        <v>2307</v>
      </c>
      <c r="K155" s="14" t="str">
        <f>IFERROR(__xludf.DUMMYFUNCTION("""COMPUTED_VALUE"""),"鳥")</f>
        <v>鳥</v>
      </c>
      <c r="L155" s="14" t="str">
        <f>IFERROR(__xludf.DUMMYFUNCTION("""COMPUTED_VALUE"""),"チョウ")</f>
        <v>チョウ</v>
      </c>
      <c r="M155" s="14" t="str">
        <f>IFERROR(__xludf.DUMMYFUNCTION("""COMPUTED_VALUE"""),"とり")</f>
        <v>とり</v>
      </c>
      <c r="N155" s="14" t="str">
        <f>IFERROR(__xludf.DUMMYFUNCTION("""COMPUTED_VALUE"""),"bird, chicken")</f>
        <v>bird, chicken</v>
      </c>
    </row>
    <row r="156">
      <c r="A156" s="20">
        <v>155.0</v>
      </c>
      <c r="B156" s="20" t="s">
        <v>2308</v>
      </c>
      <c r="C156" s="59" t="s">
        <v>2309</v>
      </c>
      <c r="D156" s="59" t="s">
        <v>2310</v>
      </c>
      <c r="E156" s="59" t="s">
        <v>2311</v>
      </c>
      <c r="K156" s="14" t="str">
        <f>IFERROR(__xludf.DUMMYFUNCTION("""COMPUTED_VALUE"""),"飯")</f>
        <v>飯</v>
      </c>
      <c r="L156" s="14" t="str">
        <f>IFERROR(__xludf.DUMMYFUNCTION("""COMPUTED_VALUE"""),"ハン")</f>
        <v>ハン</v>
      </c>
      <c r="M156" s="14" t="str">
        <f>IFERROR(__xludf.DUMMYFUNCTION("""COMPUTED_VALUE"""),"めし")</f>
        <v>めし</v>
      </c>
      <c r="N156" s="14" t="str">
        <f>IFERROR(__xludf.DUMMYFUNCTION("""COMPUTED_VALUE"""),"meal, rice")</f>
        <v>meal, rice</v>
      </c>
    </row>
    <row r="157">
      <c r="A157" s="20">
        <v>156.0</v>
      </c>
      <c r="B157" s="20" t="s">
        <v>2312</v>
      </c>
      <c r="C157" s="59" t="s">
        <v>2313</v>
      </c>
      <c r="D157" s="59" t="s">
        <v>2314</v>
      </c>
      <c r="E157" s="59" t="s">
        <v>2315</v>
      </c>
      <c r="K157" s="14" t="str">
        <f>IFERROR(__xludf.DUMMYFUNCTION("""COMPUTED_VALUE"""),"勉")</f>
        <v>勉</v>
      </c>
      <c r="L157" s="14" t="str">
        <f>IFERROR(__xludf.DUMMYFUNCTION("""COMPUTED_VALUE"""),"ベン")</f>
        <v>ベン</v>
      </c>
      <c r="M157" s="14" t="str">
        <f>IFERROR(__xludf.DUMMYFUNCTION("""COMPUTED_VALUE"""),"つと(める)")</f>
        <v>つと(める)</v>
      </c>
      <c r="N157" s="14" t="str">
        <f>IFERROR(__xludf.DUMMYFUNCTION("""COMPUTED_VALUE"""),"exertion, endeavor, effort")</f>
        <v>exertion, endeavor, effort</v>
      </c>
    </row>
    <row r="158">
      <c r="A158" s="20">
        <v>157.0</v>
      </c>
      <c r="B158" s="20" t="s">
        <v>2316</v>
      </c>
      <c r="C158" s="59" t="s">
        <v>2186</v>
      </c>
      <c r="D158" s="59" t="s">
        <v>2317</v>
      </c>
      <c r="E158" s="59" t="s">
        <v>2318</v>
      </c>
      <c r="K158" s="14" t="str">
        <f>IFERROR(__xludf.DUMMYFUNCTION("""COMPUTED_VALUE"""),"冬")</f>
        <v>冬</v>
      </c>
      <c r="L158" s="14" t="str">
        <f>IFERROR(__xludf.DUMMYFUNCTION("""COMPUTED_VALUE"""),"トウ")</f>
        <v>トウ</v>
      </c>
      <c r="M158" s="14" t="str">
        <f>IFERROR(__xludf.DUMMYFUNCTION("""COMPUTED_VALUE"""),"ふゆ")</f>
        <v>ふゆ</v>
      </c>
      <c r="N158" s="14" t="str">
        <f>IFERROR(__xludf.DUMMYFUNCTION("""COMPUTED_VALUE"""),"winter")</f>
        <v>winter</v>
      </c>
    </row>
    <row r="159">
      <c r="A159" s="20">
        <v>158.0</v>
      </c>
      <c r="B159" s="20" t="s">
        <v>2319</v>
      </c>
      <c r="C159" s="59" t="s">
        <v>2195</v>
      </c>
      <c r="D159" s="59" t="s">
        <v>2320</v>
      </c>
      <c r="E159" s="59" t="s">
        <v>2321</v>
      </c>
      <c r="K159" s="14" t="str">
        <f>IFERROR(__xludf.DUMMYFUNCTION("""COMPUTED_VALUE"""),"昼")</f>
        <v>昼</v>
      </c>
      <c r="L159" s="14" t="str">
        <f>IFERROR(__xludf.DUMMYFUNCTION("""COMPUTED_VALUE"""),"チュウ")</f>
        <v>チュウ</v>
      </c>
      <c r="M159" s="14" t="str">
        <f>IFERROR(__xludf.DUMMYFUNCTION("""COMPUTED_VALUE"""),"ひる")</f>
        <v>ひる</v>
      </c>
      <c r="N159" s="14" t="str">
        <f>IFERROR(__xludf.DUMMYFUNCTION("""COMPUTED_VALUE"""),"daytime, noon")</f>
        <v>daytime, noon</v>
      </c>
    </row>
    <row r="160">
      <c r="A160" s="20">
        <v>159.0</v>
      </c>
      <c r="B160" s="20" t="s">
        <v>2322</v>
      </c>
      <c r="C160" s="59" t="s">
        <v>2323</v>
      </c>
      <c r="D160" s="59"/>
      <c r="E160" s="59" t="s">
        <v>2324</v>
      </c>
      <c r="K160" s="14" t="str">
        <f>IFERROR(__xludf.DUMMYFUNCTION("""COMPUTED_VALUE"""),"茶")</f>
        <v>茶</v>
      </c>
      <c r="L160" s="14" t="str">
        <f>IFERROR(__xludf.DUMMYFUNCTION("""COMPUTED_VALUE"""),"チャ、サ")</f>
        <v>チャ、サ</v>
      </c>
      <c r="M160" s="14"/>
      <c r="N160" s="14" t="str">
        <f>IFERROR(__xludf.DUMMYFUNCTION("""COMPUTED_VALUE"""),"tea")</f>
        <v>tea</v>
      </c>
    </row>
    <row r="161">
      <c r="A161" s="20">
        <v>160.0</v>
      </c>
      <c r="B161" s="20" t="s">
        <v>2325</v>
      </c>
      <c r="C161" s="59" t="s">
        <v>2326</v>
      </c>
      <c r="D161" s="59" t="s">
        <v>2327</v>
      </c>
      <c r="E161" s="59" t="s">
        <v>2328</v>
      </c>
      <c r="K161" s="14" t="str">
        <f>IFERROR(__xludf.DUMMYFUNCTION("""COMPUTED_VALUE"""),"弟")</f>
        <v>弟</v>
      </c>
      <c r="L161" s="14" t="str">
        <f>IFERROR(__xludf.DUMMYFUNCTION("""COMPUTED_VALUE"""),"テイ、ダイ、デ")</f>
        <v>テイ、ダイ、デ</v>
      </c>
      <c r="M161" s="14" t="str">
        <f>IFERROR(__xludf.DUMMYFUNCTION("""COMPUTED_VALUE"""),"おとうと")</f>
        <v>おとうと</v>
      </c>
      <c r="N161" s="14" t="str">
        <f>IFERROR(__xludf.DUMMYFUNCTION("""COMPUTED_VALUE"""),"younger brother")</f>
        <v>younger brother</v>
      </c>
    </row>
    <row r="162">
      <c r="A162" s="20">
        <v>161.0</v>
      </c>
      <c r="B162" s="20" t="s">
        <v>2329</v>
      </c>
      <c r="C162" s="59" t="s">
        <v>2330</v>
      </c>
      <c r="D162" s="59" t="s">
        <v>2331</v>
      </c>
      <c r="E162" s="59" t="s">
        <v>2332</v>
      </c>
      <c r="K162" s="14" t="str">
        <f>IFERROR(__xludf.DUMMYFUNCTION("""COMPUTED_VALUE"""),"牛")</f>
        <v>牛</v>
      </c>
      <c r="L162" s="14" t="str">
        <f>IFERROR(__xludf.DUMMYFUNCTION("""COMPUTED_VALUE"""),"ギュウ")</f>
        <v>ギュウ</v>
      </c>
      <c r="M162" s="14" t="str">
        <f>IFERROR(__xludf.DUMMYFUNCTION("""COMPUTED_VALUE"""),"うし")</f>
        <v>うし</v>
      </c>
      <c r="N162" s="14" t="str">
        <f>IFERROR(__xludf.DUMMYFUNCTION("""COMPUTED_VALUE"""),"cow")</f>
        <v>cow</v>
      </c>
    </row>
    <row r="163">
      <c r="A163" s="20">
        <v>162.0</v>
      </c>
      <c r="B163" s="20" t="s">
        <v>2333</v>
      </c>
      <c r="C163" s="59" t="s">
        <v>2334</v>
      </c>
      <c r="D163" s="59" t="s">
        <v>2335</v>
      </c>
      <c r="E163" s="59" t="s">
        <v>2336</v>
      </c>
      <c r="K163" s="14" t="str">
        <f>IFERROR(__xludf.DUMMYFUNCTION("""COMPUTED_VALUE"""),"魚")</f>
        <v>魚</v>
      </c>
      <c r="L163" s="14" t="str">
        <f>IFERROR(__xludf.DUMMYFUNCTION("""COMPUTED_VALUE"""),"ギョ")</f>
        <v>ギョ</v>
      </c>
      <c r="M163" s="14" t="str">
        <f>IFERROR(__xludf.DUMMYFUNCTION("""COMPUTED_VALUE"""),"うお、さかな")</f>
        <v>うお、さかな</v>
      </c>
      <c r="N163" s="14" t="str">
        <f>IFERROR(__xludf.DUMMYFUNCTION("""COMPUTED_VALUE"""),"fish")</f>
        <v>fish</v>
      </c>
    </row>
    <row r="164">
      <c r="A164" s="20">
        <v>163.0</v>
      </c>
      <c r="B164" s="20" t="s">
        <v>2337</v>
      </c>
      <c r="C164" s="59" t="s">
        <v>2338</v>
      </c>
      <c r="D164" s="59" t="s">
        <v>2339</v>
      </c>
      <c r="E164" s="59" t="s">
        <v>2340</v>
      </c>
      <c r="K164" s="14" t="str">
        <f>IFERROR(__xludf.DUMMYFUNCTION("""COMPUTED_VALUE"""),"兄")</f>
        <v>兄</v>
      </c>
      <c r="L164" s="14" t="str">
        <f>IFERROR(__xludf.DUMMYFUNCTION("""COMPUTED_VALUE"""),"キョウ、ケイ")</f>
        <v>キョウ、ケイ</v>
      </c>
      <c r="M164" s="14" t="str">
        <f>IFERROR(__xludf.DUMMYFUNCTION("""COMPUTED_VALUE"""),"あに")</f>
        <v>あに</v>
      </c>
      <c r="N164" s="14" t="str">
        <f>IFERROR(__xludf.DUMMYFUNCTION("""COMPUTED_VALUE"""),"elder brother")</f>
        <v>elder brother</v>
      </c>
    </row>
    <row r="165">
      <c r="A165" s="20">
        <v>164.0</v>
      </c>
      <c r="B165" s="20" t="s">
        <v>2341</v>
      </c>
      <c r="C165" s="59" t="s">
        <v>2119</v>
      </c>
      <c r="D165" s="59" t="s">
        <v>2342</v>
      </c>
      <c r="E165" s="59" t="s">
        <v>2343</v>
      </c>
      <c r="K165" s="14" t="str">
        <f>IFERROR(__xludf.DUMMYFUNCTION("""COMPUTED_VALUE"""),"犬")</f>
        <v>犬</v>
      </c>
      <c r="L165" s="14" t="str">
        <f>IFERROR(__xludf.DUMMYFUNCTION("""COMPUTED_VALUE"""),"ケン")</f>
        <v>ケン</v>
      </c>
      <c r="M165" s="14" t="str">
        <f>IFERROR(__xludf.DUMMYFUNCTION("""COMPUTED_VALUE"""),"いぬ")</f>
        <v>いぬ</v>
      </c>
      <c r="N165" s="14" t="str">
        <f>IFERROR(__xludf.DUMMYFUNCTION("""COMPUTED_VALUE"""),"dog")</f>
        <v>dog</v>
      </c>
    </row>
    <row r="166">
      <c r="A166" s="20">
        <v>165.0</v>
      </c>
      <c r="B166" s="20" t="s">
        <v>2344</v>
      </c>
      <c r="C166" s="59" t="s">
        <v>2345</v>
      </c>
      <c r="D166" s="59" t="s">
        <v>2346</v>
      </c>
      <c r="E166" s="59" t="s">
        <v>2347</v>
      </c>
      <c r="K166" s="14" t="str">
        <f>IFERROR(__xludf.DUMMYFUNCTION("""COMPUTED_VALUE"""),"妹")</f>
        <v>妹</v>
      </c>
      <c r="L166" s="14" t="str">
        <f>IFERROR(__xludf.DUMMYFUNCTION("""COMPUTED_VALUE"""),"マイ")</f>
        <v>マイ</v>
      </c>
      <c r="M166" s="14" t="str">
        <f>IFERROR(__xludf.DUMMYFUNCTION("""COMPUTED_VALUE"""),"いもうと")</f>
        <v>いもうと</v>
      </c>
      <c r="N166" s="14" t="str">
        <f>IFERROR(__xludf.DUMMYFUNCTION("""COMPUTED_VALUE"""),"younger sister")</f>
        <v>younger sister</v>
      </c>
    </row>
    <row r="167">
      <c r="A167" s="20">
        <v>166.0</v>
      </c>
      <c r="B167" s="20" t="s">
        <v>2348</v>
      </c>
      <c r="C167" s="59" t="s">
        <v>1948</v>
      </c>
      <c r="D167" s="59" t="s">
        <v>2349</v>
      </c>
      <c r="E167" s="59" t="s">
        <v>2350</v>
      </c>
      <c r="K167" s="14" t="str">
        <f>IFERROR(__xludf.DUMMYFUNCTION("""COMPUTED_VALUE"""),"姉")</f>
        <v>姉</v>
      </c>
      <c r="L167" s="14" t="str">
        <f>IFERROR(__xludf.DUMMYFUNCTION("""COMPUTED_VALUE"""),"シ")</f>
        <v>シ</v>
      </c>
      <c r="M167" s="14" t="str">
        <f>IFERROR(__xludf.DUMMYFUNCTION("""COMPUTED_VALUE"""),"あね")</f>
        <v>あね</v>
      </c>
      <c r="N167" s="14" t="str">
        <f>IFERROR(__xludf.DUMMYFUNCTION("""COMPUTED_VALUE"""),"elder sister")</f>
        <v>elder sister</v>
      </c>
    </row>
    <row r="168">
      <c r="A168" s="20">
        <v>167.0</v>
      </c>
      <c r="B168" s="20" t="s">
        <v>2351</v>
      </c>
      <c r="C168" s="59" t="s">
        <v>2252</v>
      </c>
      <c r="D168" s="60"/>
      <c r="E168" s="59" t="s">
        <v>2352</v>
      </c>
      <c r="K168" s="14" t="str">
        <f>IFERROR(__xludf.DUMMYFUNCTION("""COMPUTED_VALUE"""),"漢")</f>
        <v>漢</v>
      </c>
      <c r="L168" s="14" t="str">
        <f>IFERROR(__xludf.DUMMYFUNCTION("""COMPUTED_VALUE"""),"カン")</f>
        <v>カン</v>
      </c>
      <c r="M168" s="14"/>
      <c r="N168" s="14" t="str">
        <f>IFERROR(__xludf.DUMMYFUNCTION("""COMPUTED_VALUE"""),"China")</f>
        <v>China</v>
      </c>
    </row>
    <row r="169">
      <c r="C169" s="59"/>
      <c r="D169" s="60"/>
      <c r="E169" s="60"/>
      <c r="K169" s="14"/>
      <c r="L169" s="14"/>
      <c r="M169" s="14"/>
      <c r="N169" s="14"/>
    </row>
    <row r="170">
      <c r="C170" s="59"/>
      <c r="D170" s="59"/>
      <c r="E170" s="59"/>
      <c r="K170" s="14"/>
      <c r="L170" s="14"/>
      <c r="M170" s="14"/>
      <c r="N170" s="14"/>
    </row>
    <row r="171">
      <c r="C171" s="59"/>
      <c r="D171" s="59"/>
      <c r="E171" s="60"/>
      <c r="K171" s="14"/>
      <c r="L171" s="14"/>
      <c r="M171" s="14"/>
      <c r="N171" s="14"/>
    </row>
    <row r="172">
      <c r="C172" s="59"/>
      <c r="D172" s="59"/>
      <c r="E172" s="59"/>
      <c r="K172" s="14"/>
      <c r="L172" s="14"/>
      <c r="M172" s="14"/>
      <c r="N172" s="14"/>
    </row>
    <row r="173">
      <c r="C173" s="59"/>
      <c r="D173" s="59"/>
      <c r="E173" s="60"/>
      <c r="K173" s="14"/>
      <c r="L173" s="14"/>
      <c r="M173" s="14"/>
      <c r="N173" s="14"/>
    </row>
    <row r="174">
      <c r="C174" s="59"/>
      <c r="D174" s="59"/>
      <c r="E174" s="59"/>
      <c r="K174" s="14"/>
      <c r="L174" s="14"/>
      <c r="M174" s="14"/>
      <c r="N174" s="14"/>
    </row>
    <row r="175">
      <c r="C175" s="59"/>
      <c r="D175" s="59"/>
      <c r="E175" s="60"/>
      <c r="K175" s="14"/>
      <c r="L175" s="14"/>
      <c r="M175" s="14"/>
      <c r="N175" s="14"/>
    </row>
    <row r="176">
      <c r="C176" s="59"/>
      <c r="D176" s="59"/>
      <c r="E176" s="59"/>
      <c r="K176" s="14"/>
      <c r="L176" s="14"/>
      <c r="M176" s="14"/>
      <c r="N176" s="14"/>
    </row>
    <row r="177">
      <c r="C177" s="59"/>
      <c r="D177" s="59"/>
      <c r="E177" s="60"/>
      <c r="K177" s="14"/>
      <c r="L177" s="14"/>
      <c r="M177" s="14"/>
      <c r="N177" s="14"/>
    </row>
    <row r="178">
      <c r="C178" s="59"/>
      <c r="D178" s="59"/>
      <c r="E178" s="59"/>
      <c r="K178" s="14"/>
      <c r="L178" s="14"/>
      <c r="M178" s="14"/>
      <c r="N178" s="14"/>
    </row>
    <row r="179">
      <c r="C179" s="59"/>
      <c r="D179" s="60"/>
      <c r="E179" s="60"/>
      <c r="K179" s="14"/>
      <c r="L179" s="14"/>
      <c r="M179" s="14"/>
      <c r="N179" s="14"/>
    </row>
    <row r="180">
      <c r="C180" s="59"/>
      <c r="D180" s="59"/>
      <c r="E180" s="59"/>
      <c r="K180" s="14"/>
      <c r="L180" s="14"/>
      <c r="M180" s="14"/>
      <c r="N180" s="14"/>
    </row>
    <row r="181">
      <c r="C181" s="59"/>
      <c r="D181" s="59"/>
      <c r="E181" s="60"/>
      <c r="K181" s="14"/>
      <c r="L181" s="14"/>
      <c r="M181" s="14"/>
      <c r="N181" s="14"/>
    </row>
    <row r="182">
      <c r="C182" s="59"/>
      <c r="D182" s="59"/>
      <c r="E182" s="59"/>
      <c r="K182" s="14"/>
      <c r="L182" s="14"/>
      <c r="M182" s="14"/>
      <c r="N182" s="14"/>
    </row>
    <row r="183">
      <c r="C183" s="59"/>
      <c r="D183" s="59"/>
      <c r="E183" s="60"/>
      <c r="K183" s="14"/>
      <c r="L183" s="14"/>
      <c r="M183" s="14"/>
      <c r="N183" s="14"/>
    </row>
    <row r="184">
      <c r="C184" s="59"/>
      <c r="D184" s="59"/>
      <c r="E184" s="59"/>
      <c r="K184" s="14"/>
      <c r="L184" s="14"/>
      <c r="M184" s="14"/>
      <c r="N184" s="14"/>
    </row>
    <row r="185">
      <c r="C185" s="59"/>
      <c r="D185" s="60"/>
      <c r="E185" s="60"/>
      <c r="K185" s="14"/>
      <c r="L185" s="14"/>
      <c r="M185" s="14"/>
      <c r="N185" s="14"/>
    </row>
    <row r="186">
      <c r="C186" s="59"/>
      <c r="D186" s="59"/>
      <c r="E186" s="59"/>
      <c r="K186" s="14"/>
      <c r="L186" s="14"/>
      <c r="M186" s="14"/>
      <c r="N186" s="14"/>
    </row>
    <row r="187">
      <c r="C187" s="59"/>
      <c r="D187" s="59"/>
      <c r="E187" s="60"/>
      <c r="K187" s="14"/>
      <c r="L187" s="14"/>
      <c r="M187" s="14"/>
      <c r="N187" s="14"/>
    </row>
    <row r="188">
      <c r="C188" s="59"/>
      <c r="D188" s="60"/>
      <c r="E188" s="59"/>
      <c r="K188" s="14"/>
      <c r="L188" s="14"/>
      <c r="M188" s="14"/>
      <c r="N188" s="14"/>
    </row>
    <row r="189">
      <c r="C189" s="59"/>
      <c r="D189" s="60"/>
      <c r="E189" s="60"/>
      <c r="K189" s="14"/>
      <c r="L189" s="14"/>
      <c r="M189" s="14"/>
      <c r="N189" s="14"/>
    </row>
    <row r="190">
      <c r="C190" s="59"/>
      <c r="D190" s="59"/>
      <c r="E190" s="59"/>
      <c r="K190" s="14"/>
      <c r="L190" s="14"/>
      <c r="M190" s="14"/>
      <c r="N190" s="14"/>
    </row>
    <row r="191">
      <c r="C191" s="59"/>
      <c r="D191" s="59"/>
      <c r="E191" s="60"/>
      <c r="K191" s="14"/>
      <c r="L191" s="14"/>
      <c r="M191" s="14"/>
      <c r="N191" s="14"/>
    </row>
    <row r="192">
      <c r="C192" s="59"/>
      <c r="D192" s="59"/>
      <c r="E192" s="59"/>
      <c r="K192" s="14"/>
      <c r="L192" s="14"/>
      <c r="M192" s="14"/>
      <c r="N192" s="14"/>
    </row>
    <row r="193">
      <c r="C193" s="59"/>
      <c r="D193" s="59"/>
      <c r="E193" s="60"/>
      <c r="K193" s="14"/>
      <c r="L193" s="14"/>
      <c r="M193" s="14"/>
      <c r="N193" s="14"/>
    </row>
    <row r="194">
      <c r="C194" s="59"/>
      <c r="D194" s="59"/>
      <c r="E194" s="59"/>
      <c r="K194" s="14"/>
      <c r="L194" s="14"/>
      <c r="M194" s="14"/>
      <c r="N194" s="14"/>
    </row>
    <row r="195">
      <c r="C195" s="59"/>
      <c r="D195" s="59"/>
      <c r="E195" s="60"/>
      <c r="K195" s="14"/>
      <c r="L195" s="14"/>
      <c r="M195" s="14"/>
      <c r="N195" s="14"/>
    </row>
    <row r="196">
      <c r="C196" s="59"/>
      <c r="D196" s="59"/>
      <c r="E196" s="59"/>
      <c r="K196" s="14"/>
      <c r="L196" s="14"/>
      <c r="M196" s="14"/>
      <c r="N196" s="14"/>
    </row>
    <row r="197">
      <c r="C197" s="59"/>
      <c r="D197" s="59"/>
      <c r="E197" s="60"/>
      <c r="K197" s="14"/>
      <c r="L197" s="14"/>
      <c r="M197" s="14"/>
      <c r="N197" s="14"/>
    </row>
    <row r="198">
      <c r="C198" s="59"/>
      <c r="D198" s="59"/>
      <c r="E198" s="59"/>
      <c r="K198" s="14"/>
      <c r="L198" s="14"/>
      <c r="M198" s="14"/>
      <c r="N198" s="14"/>
    </row>
    <row r="199">
      <c r="C199" s="59"/>
      <c r="D199" s="60"/>
      <c r="E199" s="60"/>
      <c r="K199" s="14"/>
      <c r="L199" s="14"/>
      <c r="M199" s="14"/>
      <c r="N199" s="14"/>
    </row>
    <row r="200">
      <c r="C200" s="59"/>
      <c r="D200" s="59"/>
      <c r="E200" s="59"/>
      <c r="K200" s="14"/>
      <c r="L200" s="14"/>
      <c r="M200" s="14"/>
      <c r="N200" s="14"/>
    </row>
    <row r="201">
      <c r="C201" s="59"/>
      <c r="D201" s="59"/>
      <c r="E201" s="60"/>
      <c r="K201" s="14"/>
      <c r="L201" s="14"/>
      <c r="M201" s="14"/>
      <c r="N201" s="14"/>
    </row>
    <row r="202">
      <c r="C202" s="59"/>
      <c r="D202" s="59"/>
      <c r="E202" s="59"/>
      <c r="K202" s="14"/>
      <c r="L202" s="14"/>
      <c r="M202" s="14"/>
      <c r="N202" s="14"/>
    </row>
    <row r="203">
      <c r="C203" s="59"/>
      <c r="D203" s="60"/>
      <c r="E203" s="60"/>
      <c r="K203" s="14"/>
      <c r="L203" s="14"/>
      <c r="M203" s="14"/>
      <c r="N203" s="14"/>
    </row>
    <row r="204">
      <c r="C204" s="59"/>
      <c r="D204" s="59"/>
      <c r="E204" s="59"/>
      <c r="K204" s="14"/>
      <c r="L204" s="14"/>
      <c r="M204" s="14"/>
      <c r="N204" s="14"/>
    </row>
    <row r="205">
      <c r="C205" s="59"/>
      <c r="D205" s="59"/>
      <c r="E205" s="60"/>
      <c r="K205" s="14"/>
      <c r="L205" s="14"/>
      <c r="M205" s="14"/>
      <c r="N205" s="14"/>
    </row>
    <row r="206">
      <c r="C206" s="59"/>
      <c r="D206" s="60"/>
      <c r="E206" s="59"/>
      <c r="K206" s="14"/>
      <c r="L206" s="14"/>
      <c r="M206" s="14"/>
      <c r="N206" s="14"/>
    </row>
    <row r="207">
      <c r="C207" s="59"/>
      <c r="D207" s="60"/>
      <c r="E207" s="60"/>
      <c r="K207" s="14"/>
      <c r="L207" s="14"/>
      <c r="M207" s="14"/>
      <c r="N207" s="14"/>
    </row>
    <row r="208">
      <c r="C208" s="59"/>
      <c r="D208" s="60"/>
      <c r="E208" s="59"/>
      <c r="K208" s="14"/>
      <c r="L208" s="14"/>
      <c r="M208" s="14"/>
      <c r="N208" s="14"/>
    </row>
    <row r="209">
      <c r="C209" s="59"/>
      <c r="D209" s="60"/>
      <c r="E209" s="60"/>
      <c r="K209" s="14"/>
      <c r="L209" s="14"/>
      <c r="M209" s="14"/>
      <c r="N209" s="14"/>
    </row>
    <row r="210">
      <c r="C210" s="59"/>
      <c r="D210" s="59"/>
      <c r="E210" s="59"/>
      <c r="K210" s="14"/>
      <c r="L210" s="14"/>
      <c r="M210" s="14"/>
      <c r="N210" s="14"/>
    </row>
    <row r="211">
      <c r="C211" s="59"/>
      <c r="D211" s="59"/>
      <c r="E211" s="60"/>
      <c r="K211" s="14"/>
      <c r="L211" s="14"/>
      <c r="M211" s="14"/>
      <c r="N211" s="14"/>
    </row>
    <row r="212">
      <c r="C212" s="59"/>
      <c r="D212" s="59"/>
      <c r="E212" s="59"/>
      <c r="K212" s="14"/>
      <c r="L212" s="14"/>
      <c r="M212" s="14"/>
      <c r="N212" s="14"/>
    </row>
    <row r="213">
      <c r="C213" s="59"/>
      <c r="D213" s="59"/>
      <c r="E213" s="60"/>
      <c r="K213" s="14"/>
      <c r="L213" s="14"/>
      <c r="M213" s="14"/>
      <c r="N213" s="14"/>
    </row>
    <row r="214">
      <c r="C214" s="59"/>
      <c r="D214" s="59"/>
      <c r="E214" s="59"/>
      <c r="K214" s="14"/>
      <c r="L214" s="14"/>
      <c r="M214" s="14"/>
      <c r="N214" s="14"/>
    </row>
    <row r="215">
      <c r="C215" s="59"/>
      <c r="D215" s="59"/>
      <c r="E215" s="60"/>
      <c r="K215" s="14"/>
      <c r="L215" s="14"/>
      <c r="M215" s="14"/>
      <c r="N215" s="14"/>
    </row>
    <row r="216">
      <c r="C216" s="59"/>
      <c r="D216" s="60"/>
      <c r="E216" s="59"/>
      <c r="K216" s="14"/>
      <c r="L216" s="14"/>
      <c r="M216" s="14"/>
      <c r="N216" s="14"/>
    </row>
    <row r="217">
      <c r="C217" s="59"/>
      <c r="D217" s="60"/>
      <c r="E217" s="60"/>
      <c r="K217" s="14"/>
      <c r="L217" s="14"/>
      <c r="M217" s="14"/>
      <c r="N217" s="14"/>
    </row>
    <row r="218">
      <c r="C218" s="59"/>
      <c r="D218" s="60"/>
      <c r="E218" s="59"/>
      <c r="K218" s="14"/>
      <c r="L218" s="14"/>
      <c r="M218" s="14"/>
      <c r="N218" s="14"/>
    </row>
    <row r="219">
      <c r="C219" s="59"/>
      <c r="D219" s="60"/>
      <c r="E219" s="60"/>
      <c r="K219" s="14"/>
      <c r="L219" s="14"/>
      <c r="M219" s="14"/>
      <c r="N219" s="14"/>
    </row>
    <row r="220">
      <c r="C220" s="59"/>
      <c r="D220" s="60"/>
      <c r="E220" s="59"/>
      <c r="K220" s="14"/>
      <c r="L220" s="14"/>
      <c r="M220" s="14"/>
      <c r="N220" s="14"/>
    </row>
    <row r="221">
      <c r="C221" s="59"/>
      <c r="D221" s="60"/>
      <c r="E221" s="60"/>
      <c r="K221" s="14"/>
      <c r="L221" s="14"/>
      <c r="M221" s="14"/>
      <c r="N221" s="14"/>
    </row>
    <row r="222">
      <c r="C222" s="59"/>
      <c r="D222" s="60"/>
      <c r="E222" s="59"/>
      <c r="K222" s="14"/>
      <c r="L222" s="14"/>
      <c r="M222" s="14"/>
      <c r="N222" s="14"/>
    </row>
    <row r="223">
      <c r="C223" s="59"/>
      <c r="D223" s="60"/>
      <c r="E223" s="60"/>
      <c r="K223" s="14"/>
      <c r="L223" s="14"/>
      <c r="M223" s="14"/>
      <c r="N223" s="14"/>
    </row>
    <row r="224">
      <c r="C224" s="59"/>
      <c r="D224" s="59"/>
      <c r="E224" s="59"/>
      <c r="K224" s="14"/>
      <c r="L224" s="14"/>
      <c r="M224" s="14"/>
      <c r="N224" s="14"/>
    </row>
    <row r="225">
      <c r="C225" s="59"/>
      <c r="D225" s="60"/>
      <c r="E225" s="60"/>
      <c r="K225" s="14"/>
      <c r="L225" s="14"/>
      <c r="M225" s="14"/>
      <c r="N225" s="14"/>
    </row>
    <row r="226">
      <c r="C226" s="59"/>
      <c r="D226" s="59"/>
      <c r="E226" s="59"/>
      <c r="K226" s="14"/>
      <c r="L226" s="14"/>
      <c r="M226" s="14"/>
      <c r="N226" s="14"/>
    </row>
    <row r="227">
      <c r="C227" s="60"/>
      <c r="D227" s="59"/>
      <c r="E227" s="60"/>
      <c r="K227" s="14"/>
      <c r="L227" s="14"/>
      <c r="M227" s="14"/>
      <c r="N227" s="14"/>
    </row>
    <row r="228">
      <c r="C228" s="59"/>
      <c r="D228" s="59"/>
      <c r="E228" s="59"/>
      <c r="K228" s="14"/>
      <c r="L228" s="14"/>
      <c r="M228" s="14"/>
      <c r="N228" s="14"/>
    </row>
    <row r="229">
      <c r="C229" s="59"/>
      <c r="D229" s="60"/>
      <c r="E229" s="60"/>
      <c r="K229" s="14"/>
      <c r="L229" s="14"/>
      <c r="M229" s="14"/>
      <c r="N229" s="14"/>
    </row>
    <row r="230">
      <c r="C230" s="59"/>
      <c r="D230" s="60"/>
      <c r="E230" s="59"/>
      <c r="K230" s="14"/>
      <c r="L230" s="14"/>
      <c r="M230" s="14"/>
      <c r="N230" s="14"/>
    </row>
    <row r="231">
      <c r="C231" s="59"/>
      <c r="D231" s="60"/>
      <c r="E231" s="60"/>
      <c r="K231" s="14"/>
      <c r="L231" s="14"/>
      <c r="M231" s="14"/>
      <c r="N231" s="14"/>
    </row>
    <row r="232">
      <c r="C232" s="59"/>
      <c r="D232" s="59"/>
      <c r="E232" s="59"/>
      <c r="K232" s="14"/>
      <c r="L232" s="14"/>
      <c r="M232" s="14"/>
      <c r="N232" s="14"/>
    </row>
    <row r="233">
      <c r="C233" s="59"/>
      <c r="D233" s="59"/>
      <c r="E233" s="60"/>
      <c r="K233" s="14"/>
      <c r="L233" s="14"/>
      <c r="M233" s="14"/>
      <c r="N233" s="14"/>
    </row>
    <row r="234">
      <c r="C234" s="59"/>
      <c r="D234" s="59"/>
      <c r="E234" s="59"/>
      <c r="K234" s="14"/>
      <c r="L234" s="14"/>
      <c r="M234" s="14"/>
      <c r="N234" s="14"/>
    </row>
    <row r="235">
      <c r="C235" s="59"/>
      <c r="D235" s="59"/>
      <c r="E235" s="60"/>
      <c r="K235" s="14"/>
      <c r="L235" s="14"/>
      <c r="M235" s="14"/>
      <c r="N235" s="14"/>
    </row>
    <row r="236">
      <c r="C236" s="59"/>
      <c r="D236" s="59"/>
      <c r="E236" s="59"/>
      <c r="K236" s="14"/>
      <c r="L236" s="14"/>
      <c r="M236" s="14"/>
      <c r="N236" s="14"/>
    </row>
    <row r="237">
      <c r="C237" s="59"/>
      <c r="D237" s="59"/>
      <c r="E237" s="60"/>
      <c r="K237" s="14"/>
      <c r="L237" s="14"/>
      <c r="M237" s="14"/>
      <c r="N237" s="14"/>
    </row>
    <row r="238">
      <c r="C238" s="59"/>
      <c r="D238" s="59"/>
      <c r="E238" s="59"/>
      <c r="K238" s="14"/>
      <c r="L238" s="14"/>
      <c r="M238" s="14"/>
      <c r="N238" s="14"/>
    </row>
    <row r="239">
      <c r="C239" s="59"/>
      <c r="D239" s="59"/>
      <c r="E239" s="60"/>
      <c r="K239" s="14"/>
      <c r="L239" s="14"/>
      <c r="M239" s="14"/>
      <c r="N239" s="14"/>
    </row>
    <row r="240">
      <c r="C240" s="59"/>
      <c r="D240" s="59"/>
      <c r="E240" s="59"/>
      <c r="K240" s="14"/>
      <c r="L240" s="14"/>
      <c r="M240" s="14"/>
      <c r="N240" s="14"/>
    </row>
    <row r="241">
      <c r="C241" s="59"/>
      <c r="D241" s="59"/>
      <c r="E241" s="60"/>
      <c r="K241" s="14"/>
      <c r="L241" s="14"/>
      <c r="M241" s="14"/>
      <c r="N241" s="14"/>
    </row>
    <row r="242">
      <c r="C242" s="59"/>
      <c r="D242" s="59"/>
      <c r="E242" s="59"/>
      <c r="K242" s="14"/>
      <c r="L242" s="14"/>
      <c r="M242" s="14"/>
      <c r="N242" s="14"/>
    </row>
    <row r="243">
      <c r="C243" s="59"/>
      <c r="D243" s="59"/>
      <c r="E243" s="60"/>
      <c r="K243" s="14"/>
      <c r="L243" s="14"/>
      <c r="M243" s="14"/>
      <c r="N243" s="14"/>
    </row>
    <row r="244">
      <c r="C244" s="59"/>
      <c r="D244" s="59"/>
      <c r="E244" s="59"/>
      <c r="K244" s="14"/>
      <c r="L244" s="14"/>
      <c r="M244" s="14"/>
      <c r="N244" s="14"/>
    </row>
    <row r="245">
      <c r="C245" s="59"/>
      <c r="D245" s="59"/>
      <c r="E245" s="60"/>
      <c r="K245" s="14"/>
      <c r="L245" s="14"/>
      <c r="M245" s="14"/>
      <c r="N245" s="14"/>
    </row>
    <row r="246">
      <c r="C246" s="59"/>
      <c r="D246" s="59"/>
      <c r="E246" s="59"/>
      <c r="K246" s="14"/>
      <c r="L246" s="14"/>
      <c r="M246" s="14"/>
      <c r="N246" s="14"/>
    </row>
    <row r="247">
      <c r="C247" s="59"/>
      <c r="D247" s="60"/>
      <c r="E247" s="60"/>
      <c r="K247" s="14"/>
      <c r="L247" s="14"/>
      <c r="M247" s="14"/>
      <c r="N247" s="14"/>
    </row>
    <row r="248">
      <c r="C248" s="59"/>
      <c r="D248" s="59"/>
      <c r="E248" s="59"/>
      <c r="K248" s="14"/>
      <c r="L248" s="14"/>
      <c r="M248" s="14"/>
      <c r="N248" s="14"/>
    </row>
    <row r="249">
      <c r="C249" s="59"/>
      <c r="D249" s="59"/>
      <c r="E249" s="60"/>
      <c r="K249" s="14"/>
      <c r="L249" s="14"/>
      <c r="M249" s="14"/>
      <c r="N249" s="14"/>
    </row>
    <row r="250">
      <c r="C250" s="59"/>
      <c r="D250" s="59"/>
      <c r="E250" s="59"/>
      <c r="K250" s="14"/>
      <c r="L250" s="14"/>
      <c r="M250" s="14"/>
      <c r="N250" s="14"/>
    </row>
    <row r="251">
      <c r="C251" s="59"/>
      <c r="D251" s="59"/>
      <c r="E251" s="60"/>
      <c r="K251" s="14"/>
      <c r="L251" s="14"/>
      <c r="M251" s="14"/>
      <c r="N251" s="14"/>
    </row>
    <row r="252">
      <c r="C252" s="59"/>
      <c r="D252" s="60"/>
      <c r="E252" s="59"/>
      <c r="K252" s="14"/>
      <c r="L252" s="14"/>
      <c r="M252" s="14"/>
      <c r="N252" s="14"/>
    </row>
    <row r="253">
      <c r="C253" s="59"/>
      <c r="D253" s="60"/>
      <c r="E253" s="60"/>
      <c r="K253" s="14"/>
      <c r="L253" s="14"/>
      <c r="M253" s="14"/>
      <c r="N253" s="14"/>
    </row>
    <row r="254">
      <c r="C254" s="59"/>
      <c r="D254" s="59"/>
      <c r="E254" s="59"/>
      <c r="K254" s="14"/>
      <c r="L254" s="14"/>
      <c r="M254" s="14"/>
      <c r="N254" s="14"/>
    </row>
    <row r="255">
      <c r="C255" s="59"/>
      <c r="D255" s="59"/>
      <c r="E255" s="60"/>
      <c r="K255" s="14"/>
      <c r="L255" s="14"/>
      <c r="M255" s="14"/>
      <c r="N255" s="14"/>
    </row>
    <row r="256">
      <c r="C256" s="59"/>
      <c r="D256" s="59"/>
      <c r="E256" s="59"/>
      <c r="K256" s="14"/>
      <c r="L256" s="14"/>
      <c r="M256" s="14"/>
      <c r="N256" s="14"/>
    </row>
    <row r="257">
      <c r="C257" s="59"/>
      <c r="D257" s="59"/>
      <c r="E257" s="60"/>
      <c r="K257" s="14"/>
      <c r="L257" s="14"/>
      <c r="M257" s="14"/>
      <c r="N257" s="14"/>
    </row>
    <row r="258">
      <c r="C258" s="59"/>
      <c r="D258" s="59"/>
      <c r="E258" s="59"/>
      <c r="K258" s="14"/>
      <c r="L258" s="14"/>
      <c r="M258" s="14"/>
      <c r="N258" s="14"/>
    </row>
    <row r="259">
      <c r="C259" s="59"/>
      <c r="D259" s="59"/>
      <c r="E259" s="60"/>
      <c r="K259" s="14"/>
      <c r="L259" s="14"/>
      <c r="M259" s="14"/>
      <c r="N259" s="14"/>
    </row>
    <row r="260">
      <c r="C260" s="59"/>
      <c r="D260" s="59"/>
      <c r="E260" s="59"/>
      <c r="K260" s="14"/>
      <c r="L260" s="14"/>
      <c r="M260" s="14"/>
      <c r="N260" s="14"/>
    </row>
    <row r="261">
      <c r="C261" s="59"/>
      <c r="D261" s="59"/>
      <c r="E261" s="60"/>
      <c r="K261" s="14"/>
      <c r="L261" s="14"/>
      <c r="M261" s="14"/>
      <c r="N261" s="14"/>
    </row>
    <row r="262">
      <c r="C262" s="59"/>
      <c r="D262" s="59"/>
      <c r="E262" s="59"/>
      <c r="K262" s="14"/>
      <c r="L262" s="14"/>
      <c r="M262" s="14"/>
      <c r="N262" s="14"/>
    </row>
    <row r="263">
      <c r="C263" s="59"/>
      <c r="D263" s="59"/>
      <c r="E263" s="60"/>
      <c r="K263" s="14"/>
      <c r="L263" s="14"/>
      <c r="M263" s="14"/>
      <c r="N263" s="14"/>
    </row>
    <row r="264">
      <c r="C264" s="59"/>
      <c r="D264" s="59"/>
      <c r="E264" s="59"/>
      <c r="K264" s="14"/>
      <c r="L264" s="14"/>
      <c r="M264" s="14"/>
      <c r="N264" s="14"/>
    </row>
    <row r="265">
      <c r="C265" s="59"/>
      <c r="D265" s="59"/>
      <c r="E265" s="60"/>
      <c r="K265" s="14"/>
      <c r="L265" s="14"/>
      <c r="M265" s="14"/>
      <c r="N265" s="14"/>
    </row>
    <row r="266">
      <c r="C266" s="59"/>
      <c r="D266" s="59"/>
      <c r="E266" s="59"/>
      <c r="K266" s="14"/>
      <c r="L266" s="14"/>
      <c r="M266" s="14"/>
      <c r="N266" s="14"/>
    </row>
    <row r="267">
      <c r="C267" s="59"/>
      <c r="D267" s="59"/>
      <c r="E267" s="60"/>
      <c r="K267" s="14"/>
      <c r="L267" s="14"/>
      <c r="M267" s="14"/>
      <c r="N267" s="14"/>
    </row>
    <row r="268">
      <c r="C268" s="59"/>
      <c r="D268" s="59"/>
      <c r="E268" s="59"/>
      <c r="K268" s="14"/>
      <c r="L268" s="14"/>
      <c r="M268" s="14"/>
      <c r="N268" s="14"/>
    </row>
    <row r="269">
      <c r="C269" s="59"/>
      <c r="D269" s="59"/>
      <c r="E269" s="60"/>
      <c r="K269" s="14"/>
      <c r="L269" s="14"/>
      <c r="M269" s="14"/>
      <c r="N269" s="14"/>
    </row>
    <row r="270">
      <c r="C270" s="59"/>
      <c r="D270" s="59"/>
      <c r="E270" s="59"/>
      <c r="K270" s="14"/>
      <c r="L270" s="14"/>
      <c r="M270" s="14"/>
      <c r="N270" s="14"/>
    </row>
    <row r="271">
      <c r="C271" s="59"/>
      <c r="D271" s="59"/>
      <c r="E271" s="60"/>
      <c r="K271" s="14"/>
      <c r="L271" s="14"/>
      <c r="M271" s="14"/>
      <c r="N271" s="14"/>
    </row>
    <row r="272">
      <c r="C272" s="59"/>
      <c r="D272" s="59"/>
      <c r="E272" s="59"/>
      <c r="K272" s="14"/>
      <c r="L272" s="14"/>
      <c r="M272" s="14"/>
      <c r="N272" s="14"/>
    </row>
    <row r="273">
      <c r="C273" s="59"/>
      <c r="D273" s="59"/>
      <c r="E273" s="60"/>
      <c r="K273" s="14"/>
      <c r="L273" s="14"/>
      <c r="M273" s="14"/>
      <c r="N273" s="14"/>
    </row>
    <row r="274">
      <c r="C274" s="59"/>
      <c r="D274" s="59"/>
      <c r="E274" s="59"/>
      <c r="K274" s="14"/>
      <c r="L274" s="14"/>
      <c r="M274" s="14"/>
      <c r="N274" s="14"/>
    </row>
    <row r="275">
      <c r="C275" s="59"/>
      <c r="D275" s="59"/>
      <c r="E275" s="60"/>
      <c r="K275" s="14"/>
      <c r="L275" s="14"/>
      <c r="M275" s="14"/>
      <c r="N275" s="14"/>
    </row>
    <row r="276">
      <c r="C276" s="59"/>
      <c r="D276" s="59"/>
      <c r="E276" s="59"/>
      <c r="K276" s="14"/>
      <c r="L276" s="14"/>
      <c r="M276" s="14"/>
      <c r="N276" s="14"/>
    </row>
    <row r="277">
      <c r="C277" s="59"/>
      <c r="D277" s="59"/>
      <c r="E277" s="60"/>
      <c r="K277" s="14"/>
      <c r="L277" s="14"/>
      <c r="M277" s="14"/>
      <c r="N277" s="14"/>
    </row>
    <row r="278">
      <c r="C278" s="59"/>
      <c r="D278" s="59"/>
      <c r="E278" s="59"/>
      <c r="K278" s="14"/>
      <c r="L278" s="14"/>
      <c r="M278" s="14"/>
      <c r="N278" s="14"/>
    </row>
    <row r="279">
      <c r="C279" s="60"/>
      <c r="D279" s="59"/>
      <c r="E279" s="60"/>
      <c r="K279" s="14"/>
      <c r="L279" s="14"/>
      <c r="M279" s="14"/>
      <c r="N279" s="14"/>
    </row>
    <row r="280">
      <c r="C280" s="59"/>
      <c r="D280" s="59"/>
      <c r="E280" s="59"/>
      <c r="K280" s="14"/>
      <c r="L280" s="14"/>
      <c r="M280" s="14"/>
      <c r="N280" s="14"/>
    </row>
    <row r="281">
      <c r="C281" s="59"/>
      <c r="D281" s="59"/>
      <c r="E281" s="60"/>
      <c r="K281" s="14"/>
      <c r="L281" s="14"/>
      <c r="M281" s="14"/>
      <c r="N281" s="14"/>
    </row>
    <row r="282">
      <c r="C282" s="59"/>
      <c r="D282" s="59"/>
      <c r="E282" s="59"/>
      <c r="K282" s="14"/>
      <c r="L282" s="14"/>
      <c r="M282" s="14"/>
      <c r="N282" s="14"/>
    </row>
    <row r="283">
      <c r="C283" s="59"/>
      <c r="D283" s="59"/>
      <c r="E283" s="60"/>
      <c r="K283" s="14"/>
      <c r="L283" s="14"/>
      <c r="M283" s="14"/>
      <c r="N283" s="14"/>
    </row>
    <row r="284">
      <c r="C284" s="59"/>
      <c r="D284" s="59"/>
      <c r="E284" s="59"/>
      <c r="K284" s="14"/>
      <c r="L284" s="14"/>
      <c r="M284" s="14"/>
      <c r="N284" s="14"/>
    </row>
    <row r="285">
      <c r="C285" s="59"/>
      <c r="D285" s="60"/>
      <c r="E285" s="60"/>
      <c r="K285" s="14"/>
      <c r="L285" s="14"/>
      <c r="M285" s="14"/>
      <c r="N285" s="14"/>
    </row>
    <row r="286">
      <c r="C286" s="59"/>
      <c r="D286" s="60"/>
      <c r="E286" s="59"/>
      <c r="K286" s="14"/>
      <c r="L286" s="14"/>
      <c r="M286" s="14"/>
      <c r="N286" s="14"/>
    </row>
    <row r="287">
      <c r="C287" s="59"/>
      <c r="D287" s="60"/>
      <c r="E287" s="60"/>
      <c r="K287" s="14"/>
      <c r="L287" s="14"/>
      <c r="M287" s="14"/>
      <c r="N287" s="14"/>
    </row>
    <row r="288">
      <c r="C288" s="59"/>
      <c r="D288" s="60"/>
      <c r="E288" s="59"/>
      <c r="K288" s="14"/>
      <c r="L288" s="14"/>
      <c r="M288" s="14"/>
      <c r="N288" s="14"/>
    </row>
    <row r="289">
      <c r="C289" s="59"/>
      <c r="D289" s="60"/>
      <c r="E289" s="60"/>
      <c r="K289" s="14"/>
      <c r="L289" s="14"/>
      <c r="M289" s="14"/>
      <c r="N289" s="14"/>
    </row>
    <row r="290">
      <c r="C290" s="59"/>
      <c r="D290" s="59"/>
      <c r="E290" s="59"/>
      <c r="K290" s="14"/>
      <c r="L290" s="14"/>
      <c r="M290" s="14"/>
      <c r="N290" s="14"/>
    </row>
    <row r="291">
      <c r="C291" s="59"/>
      <c r="D291" s="59"/>
      <c r="E291" s="60"/>
      <c r="K291" s="14"/>
      <c r="L291" s="14"/>
      <c r="M291" s="14"/>
      <c r="N291" s="14"/>
    </row>
    <row r="292">
      <c r="C292" s="59"/>
      <c r="D292" s="60"/>
      <c r="E292" s="59"/>
      <c r="K292" s="14"/>
      <c r="L292" s="14"/>
      <c r="M292" s="14"/>
      <c r="N292" s="14"/>
    </row>
    <row r="293">
      <c r="C293" s="59"/>
      <c r="D293" s="60"/>
      <c r="E293" s="60"/>
      <c r="K293" s="14"/>
      <c r="L293" s="14"/>
      <c r="M293" s="14"/>
      <c r="N293" s="14"/>
    </row>
    <row r="294">
      <c r="C294" s="59"/>
      <c r="D294" s="59"/>
      <c r="E294" s="59"/>
      <c r="K294" s="14"/>
      <c r="L294" s="14"/>
      <c r="M294" s="14"/>
      <c r="N294" s="14"/>
    </row>
    <row r="295">
      <c r="C295" s="59"/>
      <c r="D295" s="59"/>
      <c r="E295" s="60"/>
      <c r="K295" s="14"/>
      <c r="L295" s="14"/>
      <c r="M295" s="14"/>
      <c r="N295" s="14"/>
    </row>
    <row r="296">
      <c r="C296" s="59"/>
      <c r="D296" s="59"/>
      <c r="E296" s="59"/>
      <c r="K296" s="14"/>
      <c r="L296" s="14"/>
      <c r="M296" s="14"/>
      <c r="N296" s="14"/>
    </row>
    <row r="297">
      <c r="C297" s="59"/>
      <c r="D297" s="59"/>
      <c r="E297" s="60"/>
      <c r="K297" s="14"/>
      <c r="L297" s="14"/>
      <c r="M297" s="14"/>
      <c r="N297" s="14"/>
    </row>
    <row r="298">
      <c r="C298" s="59"/>
      <c r="D298" s="60"/>
      <c r="E298" s="59"/>
      <c r="K298" s="14"/>
      <c r="L298" s="14"/>
      <c r="M298" s="14"/>
      <c r="N298" s="14"/>
    </row>
    <row r="299">
      <c r="C299" s="59"/>
      <c r="D299" s="60"/>
      <c r="E299" s="60"/>
      <c r="K299" s="14"/>
      <c r="L299" s="14"/>
      <c r="M299" s="14"/>
      <c r="N299" s="14"/>
    </row>
    <row r="300">
      <c r="C300" s="59"/>
      <c r="D300" s="59"/>
      <c r="E300" s="59"/>
      <c r="K300" s="14"/>
      <c r="L300" s="14"/>
      <c r="M300" s="14"/>
      <c r="N300" s="14"/>
    </row>
    <row r="301">
      <c r="C301" s="59"/>
      <c r="D301" s="60"/>
      <c r="E301" s="60"/>
      <c r="K301" s="14"/>
      <c r="L301" s="14"/>
      <c r="M301" s="14"/>
      <c r="N301" s="14"/>
    </row>
    <row r="302">
      <c r="C302" s="59"/>
      <c r="D302" s="60"/>
      <c r="E302" s="59"/>
      <c r="K302" s="14"/>
      <c r="L302" s="14"/>
      <c r="M302" s="14"/>
      <c r="N302" s="14"/>
    </row>
    <row r="303">
      <c r="C303" s="59"/>
      <c r="D303" s="60"/>
      <c r="E303" s="60"/>
      <c r="K303" s="14"/>
      <c r="L303" s="14"/>
      <c r="M303" s="14"/>
      <c r="N303" s="14"/>
    </row>
    <row r="304">
      <c r="C304" s="59"/>
      <c r="D304" s="59"/>
      <c r="E304" s="59"/>
      <c r="K304" s="14"/>
      <c r="L304" s="14"/>
      <c r="M304" s="14"/>
      <c r="N304" s="14"/>
    </row>
    <row r="305">
      <c r="C305" s="59"/>
      <c r="D305" s="59"/>
      <c r="E305" s="60"/>
      <c r="K305" s="14"/>
      <c r="L305" s="14"/>
      <c r="M305" s="14"/>
      <c r="N305" s="14"/>
    </row>
    <row r="306">
      <c r="C306" s="59"/>
      <c r="D306" s="60"/>
      <c r="E306" s="59"/>
      <c r="K306" s="14"/>
      <c r="L306" s="14"/>
      <c r="M306" s="14"/>
      <c r="N306" s="14"/>
    </row>
    <row r="307">
      <c r="C307" s="59"/>
      <c r="D307" s="60"/>
      <c r="E307" s="60"/>
      <c r="K307" s="14"/>
      <c r="L307" s="14"/>
      <c r="M307" s="14"/>
      <c r="N307" s="14"/>
    </row>
    <row r="308">
      <c r="C308" s="59"/>
      <c r="D308" s="59"/>
      <c r="E308" s="59"/>
      <c r="K308" s="14"/>
      <c r="L308" s="14"/>
      <c r="M308" s="14"/>
      <c r="N308" s="14"/>
    </row>
    <row r="309">
      <c r="C309" s="59"/>
      <c r="D309" s="59"/>
      <c r="E309" s="60"/>
      <c r="K309" s="14"/>
      <c r="L309" s="14"/>
      <c r="M309" s="14"/>
      <c r="N309" s="14"/>
    </row>
    <row r="310">
      <c r="C310" s="59"/>
      <c r="D310" s="59"/>
      <c r="E310" s="59"/>
      <c r="K310" s="14"/>
      <c r="L310" s="14"/>
      <c r="M310" s="14"/>
      <c r="N310" s="14"/>
    </row>
    <row r="311">
      <c r="C311" s="59"/>
      <c r="D311" s="59"/>
      <c r="E311" s="60"/>
      <c r="K311" s="14"/>
      <c r="L311" s="14"/>
      <c r="M311" s="14"/>
      <c r="N311" s="14"/>
    </row>
    <row r="312">
      <c r="C312" s="59"/>
      <c r="D312" s="59"/>
      <c r="E312" s="59"/>
      <c r="K312" s="14"/>
      <c r="L312" s="14"/>
      <c r="M312" s="14"/>
      <c r="N312" s="14"/>
    </row>
    <row r="313">
      <c r="C313" s="59"/>
      <c r="D313" s="59"/>
      <c r="E313" s="60"/>
      <c r="K313" s="14"/>
      <c r="L313" s="14"/>
      <c r="M313" s="14"/>
      <c r="N313" s="14"/>
    </row>
    <row r="314">
      <c r="C314" s="59"/>
      <c r="D314" s="59"/>
      <c r="E314" s="59"/>
      <c r="K314" s="14"/>
      <c r="L314" s="14"/>
      <c r="M314" s="14"/>
      <c r="N314" s="14"/>
    </row>
    <row r="315">
      <c r="C315" s="59"/>
      <c r="D315" s="59"/>
      <c r="E315" s="60"/>
      <c r="K315" s="14"/>
      <c r="L315" s="14"/>
      <c r="M315" s="14"/>
      <c r="N315" s="14"/>
    </row>
    <row r="316">
      <c r="C316" s="59"/>
      <c r="D316" s="59"/>
      <c r="E316" s="59"/>
      <c r="K316" s="14"/>
      <c r="L316" s="14"/>
      <c r="M316" s="14"/>
      <c r="N316" s="14"/>
    </row>
    <row r="317">
      <c r="C317" s="59"/>
      <c r="D317" s="59"/>
      <c r="E317" s="60"/>
      <c r="K317" s="14"/>
      <c r="L317" s="14"/>
      <c r="M317" s="14"/>
      <c r="N317" s="14"/>
    </row>
    <row r="318">
      <c r="C318" s="59"/>
      <c r="D318" s="60"/>
      <c r="E318" s="59"/>
      <c r="K318" s="14"/>
      <c r="L318" s="14"/>
      <c r="M318" s="14"/>
      <c r="N318" s="14"/>
    </row>
    <row r="319">
      <c r="C319" s="59"/>
      <c r="D319" s="60"/>
      <c r="E319" s="60"/>
      <c r="K319" s="14"/>
      <c r="L319" s="14"/>
      <c r="M319" s="14"/>
      <c r="N319" s="14"/>
    </row>
    <row r="320">
      <c r="C320" s="59"/>
      <c r="D320" s="59"/>
      <c r="E320" s="59"/>
      <c r="K320" s="14"/>
      <c r="L320" s="14"/>
      <c r="M320" s="14"/>
      <c r="N320" s="14"/>
    </row>
    <row r="321">
      <c r="C321" s="59"/>
      <c r="D321" s="59"/>
      <c r="E321" s="60"/>
      <c r="K321" s="14"/>
      <c r="L321" s="14"/>
      <c r="M321" s="14"/>
      <c r="N321" s="14"/>
    </row>
    <row r="322">
      <c r="C322" s="59"/>
      <c r="D322" s="59"/>
      <c r="E322" s="59"/>
      <c r="K322" s="14"/>
      <c r="L322" s="14"/>
      <c r="M322" s="14"/>
      <c r="N322" s="14"/>
    </row>
    <row r="323">
      <c r="C323" s="59"/>
      <c r="D323" s="59"/>
      <c r="E323" s="60"/>
      <c r="K323" s="14"/>
      <c r="L323" s="14"/>
      <c r="M323" s="14"/>
      <c r="N323" s="14"/>
    </row>
    <row r="324">
      <c r="C324" s="59"/>
      <c r="D324" s="59"/>
      <c r="E324" s="59"/>
      <c r="K324" s="14"/>
      <c r="L324" s="14"/>
      <c r="M324" s="14"/>
      <c r="N324" s="14"/>
    </row>
    <row r="325">
      <c r="C325" s="59"/>
      <c r="D325" s="59"/>
      <c r="E325" s="60"/>
      <c r="K325" s="14"/>
      <c r="L325" s="14"/>
      <c r="M325" s="14"/>
      <c r="N325" s="14"/>
    </row>
    <row r="326">
      <c r="C326" s="59"/>
      <c r="D326" s="59"/>
      <c r="E326" s="59"/>
      <c r="K326" s="14"/>
      <c r="L326" s="14"/>
      <c r="M326" s="14"/>
      <c r="N326" s="14"/>
    </row>
    <row r="327">
      <c r="C327" s="59"/>
      <c r="D327" s="59"/>
      <c r="E327" s="60"/>
      <c r="K327" s="14"/>
      <c r="L327" s="14"/>
      <c r="M327" s="14"/>
      <c r="N327" s="14"/>
    </row>
    <row r="328">
      <c r="C328" s="59"/>
      <c r="D328" s="59"/>
      <c r="E328" s="59"/>
      <c r="K328" s="14"/>
      <c r="L328" s="14"/>
      <c r="M328" s="14"/>
      <c r="N328" s="14"/>
    </row>
    <row r="329">
      <c r="C329" s="59"/>
      <c r="D329" s="59"/>
      <c r="E329" s="60"/>
      <c r="K329" s="14"/>
      <c r="L329" s="14"/>
      <c r="M329" s="14"/>
      <c r="N329" s="14"/>
    </row>
    <row r="330">
      <c r="C330" s="59"/>
      <c r="D330" s="59"/>
      <c r="E330" s="59"/>
      <c r="K330" s="14"/>
      <c r="L330" s="14"/>
      <c r="M330" s="14"/>
      <c r="N330" s="14"/>
    </row>
    <row r="331">
      <c r="C331" s="59"/>
      <c r="D331" s="59"/>
      <c r="E331" s="60"/>
      <c r="K331" s="14"/>
      <c r="L331" s="14"/>
      <c r="M331" s="14"/>
      <c r="N331" s="14"/>
    </row>
    <row r="332">
      <c r="C332" s="59"/>
      <c r="D332" s="59"/>
      <c r="E332" s="59"/>
      <c r="K332" s="14"/>
      <c r="L332" s="14"/>
      <c r="M332" s="14"/>
      <c r="N332" s="14"/>
    </row>
    <row r="333">
      <c r="C333" s="59"/>
      <c r="D333" s="59"/>
      <c r="E333" s="60"/>
      <c r="K333" s="14"/>
      <c r="L333" s="14"/>
      <c r="M333" s="14"/>
      <c r="N333" s="14"/>
    </row>
    <row r="334">
      <c r="C334" s="59"/>
      <c r="D334" s="60"/>
      <c r="E334" s="59"/>
      <c r="K334" s="14"/>
      <c r="L334" s="14"/>
      <c r="M334" s="14"/>
      <c r="N334" s="14"/>
    </row>
    <row r="335">
      <c r="C335" s="59"/>
      <c r="D335" s="60"/>
      <c r="E335" s="60"/>
      <c r="K335" s="14"/>
      <c r="L335" s="14"/>
      <c r="M335" s="14"/>
      <c r="N335" s="14"/>
    </row>
    <row r="336">
      <c r="C336" s="60"/>
      <c r="D336" s="60"/>
      <c r="E336" s="60"/>
      <c r="K336" s="14"/>
      <c r="L336" s="14"/>
      <c r="M336" s="14"/>
      <c r="N336" s="14"/>
    </row>
    <row r="337">
      <c r="C337" s="60"/>
      <c r="D337" s="60"/>
      <c r="E337" s="60"/>
      <c r="K337" s="14"/>
      <c r="L337" s="14"/>
      <c r="M337" s="14"/>
      <c r="N337" s="14"/>
    </row>
    <row r="338">
      <c r="C338" s="60"/>
      <c r="D338" s="60"/>
      <c r="E338" s="60"/>
      <c r="K338" s="14"/>
      <c r="L338" s="14"/>
      <c r="M338" s="14"/>
      <c r="N338" s="14"/>
    </row>
    <row r="339">
      <c r="C339" s="60"/>
      <c r="D339" s="60"/>
      <c r="E339" s="60"/>
      <c r="K339" s="14"/>
      <c r="L339" s="14"/>
      <c r="M339" s="14"/>
      <c r="N339" s="14"/>
    </row>
    <row r="340">
      <c r="C340" s="60"/>
      <c r="D340" s="60"/>
      <c r="E340" s="60"/>
      <c r="K340" s="14"/>
      <c r="L340" s="14"/>
      <c r="M340" s="14"/>
      <c r="N340" s="14"/>
    </row>
    <row r="341">
      <c r="C341" s="60"/>
      <c r="D341" s="60"/>
      <c r="E341" s="60"/>
      <c r="K341" s="14"/>
      <c r="L341" s="14"/>
      <c r="M341" s="14"/>
      <c r="N341" s="14"/>
    </row>
    <row r="342">
      <c r="C342" s="60"/>
      <c r="D342" s="60"/>
      <c r="E342" s="60"/>
      <c r="K342" s="14"/>
      <c r="L342" s="14"/>
      <c r="M342" s="14"/>
      <c r="N342" s="14"/>
    </row>
    <row r="343">
      <c r="C343" s="60"/>
      <c r="D343" s="60"/>
      <c r="E343" s="60"/>
      <c r="K343" s="14"/>
      <c r="L343" s="14"/>
      <c r="M343" s="14"/>
      <c r="N343" s="14"/>
    </row>
    <row r="344">
      <c r="C344" s="60"/>
      <c r="D344" s="60"/>
      <c r="E344" s="60"/>
      <c r="K344" s="14"/>
      <c r="L344" s="14"/>
      <c r="M344" s="14"/>
      <c r="N344" s="14"/>
    </row>
    <row r="345">
      <c r="C345" s="60"/>
      <c r="D345" s="60"/>
      <c r="E345" s="60"/>
      <c r="K345" s="14"/>
      <c r="L345" s="14"/>
      <c r="M345" s="14"/>
      <c r="N345" s="14"/>
    </row>
    <row r="346">
      <c r="C346" s="60"/>
      <c r="D346" s="60"/>
      <c r="E346" s="60"/>
      <c r="K346" s="14"/>
      <c r="L346" s="14"/>
      <c r="M346" s="14"/>
      <c r="N346" s="14"/>
    </row>
    <row r="347">
      <c r="C347" s="60"/>
      <c r="D347" s="60"/>
      <c r="E347" s="60"/>
      <c r="K347" s="14"/>
      <c r="L347" s="14"/>
      <c r="M347" s="14"/>
      <c r="N347" s="14"/>
    </row>
    <row r="348">
      <c r="C348" s="60"/>
      <c r="D348" s="60"/>
      <c r="E348" s="60"/>
      <c r="K348" s="14"/>
      <c r="L348" s="14"/>
      <c r="M348" s="14"/>
      <c r="N348" s="14"/>
    </row>
    <row r="349">
      <c r="C349" s="60"/>
      <c r="D349" s="60"/>
      <c r="E349" s="60"/>
      <c r="K349" s="14"/>
      <c r="L349" s="14"/>
      <c r="M349" s="14"/>
      <c r="N349" s="14"/>
    </row>
    <row r="350">
      <c r="C350" s="60"/>
      <c r="D350" s="60"/>
      <c r="E350" s="60"/>
      <c r="K350" s="14"/>
      <c r="L350" s="14"/>
      <c r="M350" s="14"/>
      <c r="N350" s="14"/>
    </row>
    <row r="351">
      <c r="C351" s="60"/>
      <c r="D351" s="60"/>
      <c r="E351" s="60"/>
      <c r="K351" s="14"/>
      <c r="L351" s="14"/>
      <c r="M351" s="14"/>
      <c r="N351" s="14"/>
    </row>
    <row r="352">
      <c r="C352" s="60"/>
      <c r="D352" s="60"/>
      <c r="E352" s="60"/>
      <c r="K352" s="14"/>
      <c r="L352" s="14"/>
      <c r="M352" s="14"/>
      <c r="N352" s="14"/>
    </row>
    <row r="353">
      <c r="C353" s="60"/>
      <c r="D353" s="60"/>
      <c r="E353" s="60"/>
      <c r="K353" s="14"/>
      <c r="L353" s="14"/>
      <c r="M353" s="14"/>
      <c r="N353" s="14"/>
    </row>
    <row r="354">
      <c r="C354" s="60"/>
      <c r="D354" s="60"/>
      <c r="E354" s="60"/>
      <c r="K354" s="14"/>
      <c r="L354" s="14"/>
      <c r="M354" s="14"/>
      <c r="N354" s="14"/>
    </row>
    <row r="355">
      <c r="C355" s="60"/>
      <c r="D355" s="60"/>
      <c r="E355" s="60"/>
      <c r="K355" s="14"/>
      <c r="L355" s="14"/>
      <c r="M355" s="14"/>
      <c r="N355" s="14"/>
    </row>
    <row r="356">
      <c r="C356" s="60"/>
      <c r="D356" s="60"/>
      <c r="E356" s="60"/>
      <c r="K356" s="14"/>
      <c r="L356" s="14"/>
      <c r="M356" s="14"/>
      <c r="N356" s="14"/>
    </row>
    <row r="357">
      <c r="C357" s="60"/>
      <c r="D357" s="60"/>
      <c r="E357" s="60"/>
      <c r="K357" s="14"/>
      <c r="L357" s="14"/>
      <c r="M357" s="14"/>
      <c r="N357" s="14"/>
    </row>
    <row r="358">
      <c r="C358" s="60"/>
      <c r="D358" s="60"/>
      <c r="E358" s="60"/>
      <c r="K358" s="14"/>
      <c r="L358" s="14"/>
      <c r="M358" s="14"/>
      <c r="N358" s="14"/>
    </row>
    <row r="359">
      <c r="C359" s="60"/>
      <c r="D359" s="60"/>
      <c r="E359" s="60"/>
      <c r="K359" s="14"/>
      <c r="L359" s="14"/>
      <c r="M359" s="14"/>
      <c r="N359" s="14"/>
    </row>
    <row r="360">
      <c r="C360" s="60"/>
      <c r="D360" s="60"/>
      <c r="E360" s="60"/>
      <c r="K360" s="14"/>
      <c r="L360" s="14"/>
      <c r="M360" s="14"/>
      <c r="N360" s="14"/>
    </row>
    <row r="361">
      <c r="C361" s="60"/>
      <c r="D361" s="60"/>
      <c r="E361" s="60"/>
      <c r="K361" s="14"/>
      <c r="L361" s="14"/>
      <c r="M361" s="14"/>
      <c r="N361" s="14"/>
    </row>
    <row r="362">
      <c r="C362" s="60"/>
      <c r="D362" s="60"/>
      <c r="E362" s="60"/>
      <c r="K362" s="14"/>
      <c r="L362" s="14"/>
      <c r="M362" s="14"/>
      <c r="N362" s="14"/>
    </row>
    <row r="363">
      <c r="C363" s="60"/>
      <c r="D363" s="60"/>
      <c r="E363" s="60"/>
      <c r="K363" s="14"/>
      <c r="L363" s="14"/>
      <c r="M363" s="14"/>
      <c r="N363" s="14"/>
    </row>
    <row r="364">
      <c r="C364" s="60"/>
      <c r="D364" s="60"/>
      <c r="E364" s="60"/>
      <c r="K364" s="14"/>
      <c r="L364" s="14"/>
      <c r="M364" s="14"/>
      <c r="N364" s="14"/>
    </row>
    <row r="365">
      <c r="C365" s="60"/>
      <c r="D365" s="60"/>
      <c r="E365" s="60"/>
      <c r="K365" s="14"/>
      <c r="L365" s="14"/>
      <c r="M365" s="14"/>
      <c r="N365" s="14"/>
    </row>
    <row r="366">
      <c r="C366" s="60"/>
      <c r="D366" s="60"/>
      <c r="E366" s="60"/>
      <c r="K366" s="14"/>
      <c r="L366" s="14"/>
      <c r="M366" s="14"/>
      <c r="N366" s="14"/>
    </row>
    <row r="367">
      <c r="C367" s="60"/>
      <c r="D367" s="60"/>
      <c r="E367" s="60"/>
      <c r="K367" s="14"/>
      <c r="L367" s="14"/>
      <c r="M367" s="14"/>
      <c r="N367" s="14"/>
    </row>
    <row r="368">
      <c r="C368" s="60"/>
      <c r="D368" s="60"/>
      <c r="E368" s="60"/>
      <c r="K368" s="14"/>
      <c r="L368" s="14"/>
      <c r="M368" s="14"/>
      <c r="N368" s="14"/>
    </row>
    <row r="369">
      <c r="C369" s="60"/>
      <c r="D369" s="60"/>
      <c r="E369" s="60"/>
      <c r="K369" s="14"/>
      <c r="L369" s="14"/>
      <c r="M369" s="14"/>
      <c r="N369" s="14"/>
    </row>
    <row r="370">
      <c r="C370" s="60"/>
      <c r="D370" s="60"/>
      <c r="E370" s="60"/>
      <c r="K370" s="14"/>
      <c r="L370" s="14"/>
      <c r="M370" s="14"/>
      <c r="N370" s="14"/>
    </row>
    <row r="371">
      <c r="C371" s="60"/>
      <c r="D371" s="60"/>
      <c r="E371" s="60"/>
      <c r="K371" s="14"/>
      <c r="L371" s="14"/>
      <c r="M371" s="14"/>
      <c r="N371" s="14"/>
    </row>
    <row r="372">
      <c r="C372" s="60"/>
      <c r="D372" s="60"/>
      <c r="E372" s="60"/>
      <c r="K372" s="14"/>
      <c r="L372" s="14"/>
      <c r="M372" s="14"/>
      <c r="N372" s="14"/>
    </row>
    <row r="373">
      <c r="C373" s="60"/>
      <c r="D373" s="60"/>
      <c r="E373" s="60"/>
      <c r="K373" s="14"/>
      <c r="L373" s="14"/>
      <c r="M373" s="14"/>
      <c r="N373" s="14"/>
    </row>
    <row r="374">
      <c r="C374" s="60"/>
      <c r="D374" s="60"/>
      <c r="E374" s="60"/>
      <c r="K374" s="14"/>
      <c r="L374" s="14"/>
      <c r="M374" s="14"/>
      <c r="N374" s="14"/>
    </row>
    <row r="375">
      <c r="C375" s="60"/>
      <c r="D375" s="60"/>
      <c r="E375" s="60"/>
      <c r="K375" s="14"/>
      <c r="L375" s="14"/>
      <c r="M375" s="14"/>
      <c r="N375" s="14"/>
    </row>
    <row r="376">
      <c r="C376" s="60"/>
      <c r="D376" s="60"/>
      <c r="E376" s="60"/>
      <c r="K376" s="14"/>
      <c r="L376" s="14"/>
      <c r="M376" s="14"/>
      <c r="N376" s="14"/>
    </row>
    <row r="377">
      <c r="C377" s="60"/>
      <c r="D377" s="60"/>
      <c r="E377" s="60"/>
      <c r="K377" s="14"/>
      <c r="L377" s="14"/>
      <c r="M377" s="14"/>
      <c r="N377" s="14"/>
    </row>
    <row r="378">
      <c r="C378" s="60"/>
      <c r="D378" s="60"/>
      <c r="E378" s="60"/>
      <c r="K378" s="14"/>
      <c r="L378" s="14"/>
      <c r="M378" s="14"/>
      <c r="N378" s="14"/>
    </row>
    <row r="379">
      <c r="C379" s="60"/>
      <c r="D379" s="60"/>
      <c r="E379" s="60"/>
      <c r="K379" s="14"/>
      <c r="L379" s="14"/>
      <c r="M379" s="14"/>
      <c r="N379" s="14"/>
    </row>
    <row r="380">
      <c r="C380" s="60"/>
      <c r="D380" s="60"/>
      <c r="E380" s="60"/>
      <c r="K380" s="14"/>
      <c r="L380" s="14"/>
      <c r="M380" s="14"/>
      <c r="N380" s="14"/>
    </row>
    <row r="381">
      <c r="C381" s="60"/>
      <c r="D381" s="60"/>
      <c r="E381" s="60"/>
      <c r="K381" s="14"/>
      <c r="L381" s="14"/>
      <c r="M381" s="14"/>
      <c r="N381" s="14"/>
    </row>
    <row r="382">
      <c r="C382" s="60"/>
      <c r="D382" s="60"/>
      <c r="E382" s="60"/>
      <c r="K382" s="14"/>
      <c r="L382" s="14"/>
      <c r="M382" s="14"/>
      <c r="N382" s="14"/>
    </row>
    <row r="383">
      <c r="C383" s="60"/>
      <c r="D383" s="60"/>
      <c r="E383" s="60"/>
      <c r="K383" s="14"/>
      <c r="L383" s="14"/>
      <c r="M383" s="14"/>
      <c r="N383" s="14"/>
    </row>
    <row r="384">
      <c r="C384" s="60"/>
      <c r="D384" s="60"/>
      <c r="E384" s="60"/>
      <c r="K384" s="14"/>
      <c r="L384" s="14"/>
      <c r="M384" s="14"/>
      <c r="N384" s="14"/>
    </row>
    <row r="385">
      <c r="C385" s="60"/>
      <c r="D385" s="60"/>
      <c r="E385" s="60"/>
      <c r="K385" s="14"/>
      <c r="L385" s="14"/>
      <c r="M385" s="14"/>
      <c r="N385" s="14"/>
    </row>
    <row r="386">
      <c r="C386" s="60"/>
      <c r="D386" s="60"/>
      <c r="E386" s="60"/>
      <c r="K386" s="14"/>
      <c r="L386" s="14"/>
      <c r="M386" s="14"/>
      <c r="N386" s="14"/>
    </row>
    <row r="387">
      <c r="C387" s="60"/>
      <c r="D387" s="60"/>
      <c r="E387" s="60"/>
      <c r="K387" s="14"/>
      <c r="L387" s="14"/>
      <c r="M387" s="14"/>
      <c r="N387" s="14"/>
    </row>
    <row r="388">
      <c r="C388" s="60"/>
      <c r="D388" s="60"/>
      <c r="E388" s="60"/>
      <c r="K388" s="14"/>
      <c r="L388" s="14"/>
      <c r="M388" s="14"/>
      <c r="N388" s="14"/>
    </row>
    <row r="389">
      <c r="C389" s="60"/>
      <c r="D389" s="60"/>
      <c r="E389" s="60"/>
      <c r="K389" s="14"/>
      <c r="L389" s="14"/>
      <c r="M389" s="14"/>
      <c r="N389" s="14"/>
    </row>
    <row r="390">
      <c r="C390" s="60"/>
      <c r="D390" s="60"/>
      <c r="E390" s="60"/>
      <c r="K390" s="14"/>
      <c r="L390" s="14"/>
      <c r="M390" s="14"/>
      <c r="N390" s="14"/>
    </row>
    <row r="391">
      <c r="C391" s="60"/>
      <c r="D391" s="60"/>
      <c r="E391" s="60"/>
      <c r="K391" s="14"/>
      <c r="L391" s="14"/>
      <c r="M391" s="14"/>
      <c r="N391" s="14"/>
    </row>
    <row r="392">
      <c r="C392" s="60"/>
      <c r="D392" s="60"/>
      <c r="E392" s="60"/>
      <c r="K392" s="14"/>
      <c r="L392" s="14"/>
      <c r="M392" s="14"/>
      <c r="N392" s="14"/>
    </row>
    <row r="393">
      <c r="C393" s="60"/>
      <c r="D393" s="60"/>
      <c r="E393" s="60"/>
      <c r="K393" s="14"/>
      <c r="L393" s="14"/>
      <c r="M393" s="14"/>
      <c r="N393" s="14"/>
    </row>
    <row r="394">
      <c r="C394" s="60"/>
      <c r="D394" s="60"/>
      <c r="E394" s="60"/>
      <c r="K394" s="14"/>
      <c r="L394" s="14"/>
      <c r="M394" s="14"/>
      <c r="N394" s="14"/>
    </row>
    <row r="395">
      <c r="C395" s="60"/>
      <c r="D395" s="60"/>
      <c r="E395" s="60"/>
      <c r="K395" s="14"/>
      <c r="L395" s="14"/>
      <c r="M395" s="14"/>
      <c r="N395" s="14"/>
    </row>
    <row r="396">
      <c r="C396" s="60"/>
      <c r="D396" s="60"/>
      <c r="E396" s="60"/>
      <c r="K396" s="14"/>
      <c r="L396" s="14"/>
      <c r="M396" s="14"/>
      <c r="N396" s="14"/>
    </row>
    <row r="397">
      <c r="C397" s="60"/>
      <c r="D397" s="60"/>
      <c r="E397" s="60"/>
      <c r="K397" s="14"/>
      <c r="L397" s="14"/>
      <c r="M397" s="14"/>
      <c r="N397" s="14"/>
    </row>
    <row r="398">
      <c r="C398" s="60"/>
      <c r="D398" s="60"/>
      <c r="E398" s="60"/>
      <c r="K398" s="14"/>
      <c r="L398" s="14"/>
      <c r="M398" s="14"/>
      <c r="N398" s="14"/>
    </row>
    <row r="399">
      <c r="C399" s="60"/>
      <c r="D399" s="60"/>
      <c r="E399" s="60"/>
      <c r="K399" s="14"/>
      <c r="L399" s="14"/>
      <c r="M399" s="14"/>
      <c r="N399" s="14"/>
    </row>
    <row r="400">
      <c r="C400" s="60"/>
      <c r="D400" s="60"/>
      <c r="E400" s="60"/>
      <c r="K400" s="14"/>
      <c r="L400" s="14"/>
      <c r="M400" s="14"/>
      <c r="N400" s="14"/>
    </row>
    <row r="401">
      <c r="C401" s="60"/>
      <c r="D401" s="60"/>
      <c r="E401" s="60"/>
      <c r="K401" s="14"/>
      <c r="L401" s="14"/>
      <c r="M401" s="14"/>
      <c r="N401" s="14"/>
    </row>
    <row r="402">
      <c r="C402" s="60"/>
      <c r="D402" s="60"/>
      <c r="E402" s="60"/>
      <c r="K402" s="14"/>
      <c r="L402" s="14"/>
      <c r="M402" s="14"/>
      <c r="N402" s="14"/>
    </row>
    <row r="403">
      <c r="C403" s="60"/>
      <c r="D403" s="60"/>
      <c r="E403" s="60"/>
      <c r="K403" s="14"/>
      <c r="L403" s="14"/>
      <c r="M403" s="14"/>
      <c r="N403" s="14"/>
    </row>
    <row r="404">
      <c r="C404" s="60"/>
      <c r="D404" s="60"/>
      <c r="E404" s="60"/>
      <c r="K404" s="14"/>
      <c r="L404" s="14"/>
      <c r="M404" s="14"/>
      <c r="N404" s="14"/>
    </row>
    <row r="405">
      <c r="C405" s="60"/>
      <c r="D405" s="60"/>
      <c r="E405" s="60"/>
      <c r="K405" s="14"/>
      <c r="L405" s="14"/>
      <c r="M405" s="14"/>
      <c r="N405" s="14"/>
    </row>
    <row r="406">
      <c r="C406" s="60"/>
      <c r="D406" s="60"/>
      <c r="E406" s="60"/>
      <c r="K406" s="14"/>
      <c r="L406" s="14"/>
      <c r="M406" s="14"/>
      <c r="N406" s="14"/>
    </row>
    <row r="407">
      <c r="C407" s="60"/>
      <c r="D407" s="60"/>
      <c r="E407" s="60"/>
      <c r="K407" s="14"/>
      <c r="L407" s="14"/>
      <c r="M407" s="14"/>
      <c r="N407" s="14"/>
    </row>
    <row r="408">
      <c r="C408" s="60"/>
      <c r="D408" s="60"/>
      <c r="E408" s="60"/>
      <c r="K408" s="14"/>
      <c r="L408" s="14"/>
      <c r="M408" s="14"/>
      <c r="N408" s="14"/>
    </row>
    <row r="409">
      <c r="C409" s="60"/>
      <c r="D409" s="60"/>
      <c r="E409" s="60"/>
      <c r="K409" s="14"/>
      <c r="L409" s="14"/>
      <c r="M409" s="14"/>
      <c r="N409" s="14"/>
    </row>
    <row r="410">
      <c r="C410" s="60"/>
      <c r="D410" s="60"/>
      <c r="E410" s="60"/>
      <c r="K410" s="14"/>
      <c r="L410" s="14"/>
      <c r="M410" s="14"/>
      <c r="N410" s="14"/>
    </row>
    <row r="411">
      <c r="C411" s="60"/>
      <c r="D411" s="60"/>
      <c r="E411" s="60"/>
      <c r="K411" s="14"/>
      <c r="L411" s="14"/>
      <c r="M411" s="14"/>
      <c r="N411" s="14"/>
    </row>
    <row r="412">
      <c r="C412" s="60"/>
      <c r="D412" s="60"/>
      <c r="E412" s="60"/>
      <c r="K412" s="14"/>
      <c r="L412" s="14"/>
      <c r="M412" s="14"/>
      <c r="N412" s="14"/>
    </row>
    <row r="413">
      <c r="C413" s="60"/>
      <c r="D413" s="60"/>
      <c r="E413" s="60"/>
      <c r="K413" s="14"/>
      <c r="L413" s="14"/>
      <c r="M413" s="14"/>
      <c r="N413" s="14"/>
    </row>
    <row r="414">
      <c r="C414" s="60"/>
      <c r="D414" s="60"/>
      <c r="E414" s="60"/>
      <c r="K414" s="14"/>
      <c r="L414" s="14"/>
      <c r="M414" s="14"/>
      <c r="N414" s="14"/>
    </row>
    <row r="415">
      <c r="C415" s="60"/>
      <c r="D415" s="60"/>
      <c r="E415" s="60"/>
      <c r="K415" s="14"/>
      <c r="L415" s="14"/>
      <c r="M415" s="14"/>
      <c r="N415" s="14"/>
    </row>
    <row r="416">
      <c r="C416" s="60"/>
      <c r="D416" s="60"/>
      <c r="E416" s="60"/>
      <c r="K416" s="14"/>
      <c r="L416" s="14"/>
      <c r="M416" s="14"/>
      <c r="N416" s="14"/>
    </row>
    <row r="417">
      <c r="C417" s="60"/>
      <c r="D417" s="60"/>
      <c r="E417" s="60"/>
      <c r="K417" s="14"/>
      <c r="L417" s="14"/>
      <c r="M417" s="14"/>
      <c r="N417" s="14"/>
    </row>
    <row r="418">
      <c r="C418" s="60"/>
      <c r="D418" s="60"/>
      <c r="E418" s="60"/>
      <c r="K418" s="14"/>
      <c r="L418" s="14"/>
      <c r="M418" s="14"/>
      <c r="N418" s="14"/>
    </row>
    <row r="419">
      <c r="C419" s="60"/>
      <c r="D419" s="60"/>
      <c r="E419" s="60"/>
      <c r="K419" s="14"/>
      <c r="L419" s="14"/>
      <c r="M419" s="14"/>
      <c r="N419" s="14"/>
    </row>
    <row r="420">
      <c r="C420" s="60"/>
      <c r="D420" s="60"/>
      <c r="E420" s="60"/>
      <c r="K420" s="14"/>
      <c r="L420" s="14"/>
      <c r="M420" s="14"/>
      <c r="N420" s="14"/>
    </row>
    <row r="421">
      <c r="C421" s="60"/>
      <c r="D421" s="60"/>
      <c r="E421" s="60"/>
      <c r="K421" s="14"/>
      <c r="L421" s="14"/>
      <c r="M421" s="14"/>
      <c r="N421" s="14"/>
    </row>
    <row r="422">
      <c r="C422" s="60"/>
      <c r="D422" s="60"/>
      <c r="E422" s="60"/>
      <c r="K422" s="14"/>
      <c r="L422" s="14"/>
      <c r="M422" s="14"/>
      <c r="N422" s="14"/>
    </row>
    <row r="423">
      <c r="C423" s="60"/>
      <c r="D423" s="60"/>
      <c r="E423" s="60"/>
      <c r="K423" s="14"/>
      <c r="L423" s="14"/>
      <c r="M423" s="14"/>
      <c r="N423" s="14"/>
    </row>
    <row r="424">
      <c r="C424" s="60"/>
      <c r="D424" s="60"/>
      <c r="E424" s="60"/>
      <c r="K424" s="14"/>
      <c r="L424" s="14"/>
      <c r="M424" s="14"/>
      <c r="N424" s="14"/>
    </row>
    <row r="425">
      <c r="C425" s="60"/>
      <c r="D425" s="60"/>
      <c r="E425" s="60"/>
      <c r="K425" s="14"/>
      <c r="L425" s="14"/>
      <c r="M425" s="14"/>
      <c r="N425" s="14"/>
    </row>
    <row r="426">
      <c r="C426" s="60"/>
      <c r="D426" s="60"/>
      <c r="E426" s="60"/>
      <c r="K426" s="14"/>
      <c r="L426" s="14"/>
      <c r="M426" s="14"/>
      <c r="N426" s="14"/>
    </row>
    <row r="427">
      <c r="C427" s="60"/>
      <c r="D427" s="60"/>
      <c r="E427" s="60"/>
      <c r="K427" s="14"/>
      <c r="L427" s="14"/>
      <c r="M427" s="14"/>
      <c r="N427" s="14"/>
    </row>
    <row r="428">
      <c r="C428" s="60"/>
      <c r="D428" s="60"/>
      <c r="E428" s="60"/>
      <c r="K428" s="14"/>
      <c r="L428" s="14"/>
      <c r="M428" s="14"/>
      <c r="N428" s="14"/>
    </row>
    <row r="429">
      <c r="C429" s="60"/>
      <c r="D429" s="60"/>
      <c r="E429" s="60"/>
      <c r="K429" s="14"/>
      <c r="L429" s="14"/>
      <c r="M429" s="14"/>
      <c r="N429" s="14"/>
    </row>
    <row r="430">
      <c r="C430" s="60"/>
      <c r="D430" s="60"/>
      <c r="E430" s="60"/>
      <c r="K430" s="14"/>
      <c r="L430" s="14"/>
      <c r="M430" s="14"/>
      <c r="N430" s="14"/>
    </row>
    <row r="431">
      <c r="C431" s="60"/>
      <c r="D431" s="60"/>
      <c r="E431" s="60"/>
      <c r="K431" s="14"/>
      <c r="L431" s="14"/>
      <c r="M431" s="14"/>
      <c r="N431" s="14"/>
    </row>
    <row r="432">
      <c r="C432" s="60"/>
      <c r="D432" s="60"/>
      <c r="E432" s="60"/>
      <c r="K432" s="14"/>
      <c r="L432" s="14"/>
      <c r="M432" s="14"/>
      <c r="N432" s="14"/>
    </row>
    <row r="433">
      <c r="C433" s="60"/>
      <c r="D433" s="60"/>
      <c r="E433" s="60"/>
      <c r="K433" s="14"/>
      <c r="L433" s="14"/>
      <c r="M433" s="14"/>
      <c r="N433" s="14"/>
    </row>
    <row r="434">
      <c r="C434" s="60"/>
      <c r="D434" s="60"/>
      <c r="E434" s="60"/>
      <c r="K434" s="14"/>
      <c r="L434" s="14"/>
      <c r="M434" s="14"/>
      <c r="N434" s="14"/>
    </row>
    <row r="435">
      <c r="C435" s="60"/>
      <c r="D435" s="60"/>
      <c r="E435" s="60"/>
      <c r="K435" s="14"/>
      <c r="L435" s="14"/>
      <c r="M435" s="14"/>
      <c r="N435" s="14"/>
    </row>
    <row r="436">
      <c r="C436" s="60"/>
      <c r="D436" s="60"/>
      <c r="E436" s="60"/>
      <c r="K436" s="14"/>
      <c r="L436" s="14"/>
      <c r="M436" s="14"/>
      <c r="N436" s="14"/>
    </row>
    <row r="437">
      <c r="C437" s="60"/>
      <c r="D437" s="60"/>
      <c r="E437" s="60"/>
      <c r="K437" s="14"/>
      <c r="L437" s="14"/>
      <c r="M437" s="14"/>
      <c r="N437" s="14"/>
    </row>
    <row r="438">
      <c r="C438" s="60"/>
      <c r="D438" s="60"/>
      <c r="E438" s="60"/>
      <c r="K438" s="14"/>
      <c r="L438" s="14"/>
      <c r="M438" s="14"/>
      <c r="N438" s="14"/>
    </row>
    <row r="439">
      <c r="C439" s="60"/>
      <c r="D439" s="60"/>
      <c r="E439" s="60"/>
      <c r="K439" s="14"/>
      <c r="L439" s="14"/>
      <c r="M439" s="14"/>
      <c r="N439" s="14"/>
    </row>
    <row r="440">
      <c r="C440" s="60"/>
      <c r="D440" s="60"/>
      <c r="E440" s="60"/>
      <c r="K440" s="14"/>
      <c r="L440" s="14"/>
      <c r="M440" s="14"/>
      <c r="N440" s="14"/>
    </row>
    <row r="441">
      <c r="C441" s="60"/>
      <c r="D441" s="60"/>
      <c r="E441" s="60"/>
      <c r="K441" s="14"/>
      <c r="L441" s="14"/>
      <c r="M441" s="14"/>
      <c r="N441" s="14"/>
    </row>
    <row r="442">
      <c r="C442" s="60"/>
      <c r="D442" s="60"/>
      <c r="E442" s="60"/>
      <c r="K442" s="14"/>
      <c r="L442" s="14"/>
      <c r="M442" s="14"/>
      <c r="N442" s="14"/>
    </row>
    <row r="443">
      <c r="C443" s="60"/>
      <c r="D443" s="60"/>
      <c r="E443" s="60"/>
      <c r="K443" s="14"/>
      <c r="L443" s="14"/>
      <c r="M443" s="14"/>
      <c r="N443" s="14"/>
    </row>
    <row r="444">
      <c r="C444" s="60"/>
      <c r="D444" s="60"/>
      <c r="E444" s="60"/>
      <c r="K444" s="14"/>
      <c r="L444" s="14"/>
      <c r="M444" s="14"/>
      <c r="N444" s="14"/>
    </row>
    <row r="445">
      <c r="C445" s="60"/>
      <c r="D445" s="60"/>
      <c r="E445" s="60"/>
      <c r="K445" s="14"/>
      <c r="L445" s="14"/>
      <c r="M445" s="14"/>
      <c r="N445" s="14"/>
    </row>
    <row r="446">
      <c r="C446" s="60"/>
      <c r="D446" s="60"/>
      <c r="E446" s="60"/>
      <c r="K446" s="14"/>
      <c r="L446" s="14"/>
      <c r="M446" s="14"/>
      <c r="N446" s="14"/>
    </row>
    <row r="447">
      <c r="C447" s="60"/>
      <c r="D447" s="60"/>
      <c r="E447" s="60"/>
      <c r="K447" s="14"/>
      <c r="L447" s="14"/>
      <c r="M447" s="14"/>
      <c r="N447" s="14"/>
    </row>
    <row r="448">
      <c r="C448" s="60"/>
      <c r="D448" s="60"/>
      <c r="E448" s="60"/>
      <c r="K448" s="14"/>
      <c r="L448" s="14"/>
      <c r="M448" s="14"/>
      <c r="N448" s="14"/>
    </row>
    <row r="449">
      <c r="C449" s="60"/>
      <c r="D449" s="60"/>
      <c r="E449" s="60"/>
      <c r="K449" s="14"/>
      <c r="L449" s="14"/>
      <c r="M449" s="14"/>
      <c r="N449" s="14"/>
    </row>
    <row r="450">
      <c r="C450" s="60"/>
      <c r="D450" s="60"/>
      <c r="E450" s="60"/>
      <c r="K450" s="14"/>
      <c r="L450" s="14"/>
      <c r="M450" s="14"/>
      <c r="N450" s="14"/>
    </row>
    <row r="451">
      <c r="C451" s="60"/>
      <c r="D451" s="60"/>
      <c r="E451" s="60"/>
      <c r="K451" s="14"/>
      <c r="L451" s="14"/>
      <c r="M451" s="14"/>
      <c r="N451" s="14"/>
    </row>
    <row r="452">
      <c r="C452" s="60"/>
      <c r="D452" s="60"/>
      <c r="E452" s="60"/>
      <c r="K452" s="14"/>
      <c r="L452" s="14"/>
      <c r="M452" s="14"/>
      <c r="N452" s="14"/>
    </row>
    <row r="453">
      <c r="C453" s="60"/>
      <c r="D453" s="60"/>
      <c r="E453" s="60"/>
      <c r="K453" s="14"/>
      <c r="L453" s="14"/>
      <c r="M453" s="14"/>
      <c r="N453" s="14"/>
    </row>
    <row r="454">
      <c r="C454" s="60"/>
      <c r="D454" s="60"/>
      <c r="E454" s="60"/>
      <c r="K454" s="14"/>
      <c r="L454" s="14"/>
      <c r="M454" s="14"/>
      <c r="N454" s="14"/>
    </row>
    <row r="455">
      <c r="C455" s="60"/>
      <c r="D455" s="60"/>
      <c r="E455" s="60"/>
      <c r="K455" s="14"/>
      <c r="L455" s="14"/>
      <c r="M455" s="14"/>
      <c r="N455" s="14"/>
    </row>
    <row r="456">
      <c r="C456" s="60"/>
      <c r="D456" s="60"/>
      <c r="E456" s="60"/>
      <c r="K456" s="14"/>
      <c r="L456" s="14"/>
      <c r="M456" s="14"/>
      <c r="N456" s="14"/>
    </row>
    <row r="457">
      <c r="C457" s="60"/>
      <c r="D457" s="60"/>
      <c r="E457" s="60"/>
      <c r="K457" s="14"/>
      <c r="L457" s="14"/>
      <c r="M457" s="14"/>
      <c r="N457" s="14"/>
    </row>
    <row r="458">
      <c r="C458" s="60"/>
      <c r="D458" s="60"/>
      <c r="E458" s="60"/>
      <c r="K458" s="14"/>
      <c r="L458" s="14"/>
      <c r="M458" s="14"/>
      <c r="N458" s="14"/>
    </row>
    <row r="459">
      <c r="C459" s="60"/>
      <c r="D459" s="60"/>
      <c r="E459" s="60"/>
      <c r="K459" s="14"/>
      <c r="L459" s="14"/>
      <c r="M459" s="14"/>
      <c r="N459" s="14"/>
    </row>
    <row r="460">
      <c r="C460" s="60"/>
      <c r="D460" s="60"/>
      <c r="E460" s="60"/>
      <c r="K460" s="14"/>
      <c r="L460" s="14"/>
      <c r="M460" s="14"/>
      <c r="N460" s="14"/>
    </row>
    <row r="461">
      <c r="C461" s="60"/>
      <c r="D461" s="60"/>
      <c r="E461" s="60"/>
      <c r="K461" s="14"/>
      <c r="L461" s="14"/>
      <c r="M461" s="14"/>
      <c r="N461" s="14"/>
    </row>
    <row r="462">
      <c r="C462" s="60"/>
      <c r="D462" s="60"/>
      <c r="E462" s="60"/>
      <c r="K462" s="14"/>
      <c r="L462" s="14"/>
      <c r="M462" s="14"/>
      <c r="N462" s="14"/>
    </row>
    <row r="463">
      <c r="C463" s="60"/>
      <c r="D463" s="60"/>
      <c r="E463" s="60"/>
      <c r="K463" s="14"/>
      <c r="L463" s="14"/>
      <c r="M463" s="14"/>
      <c r="N463" s="14"/>
    </row>
    <row r="464">
      <c r="C464" s="60"/>
      <c r="D464" s="60"/>
      <c r="E464" s="60"/>
      <c r="K464" s="14"/>
      <c r="L464" s="14"/>
      <c r="M464" s="14"/>
      <c r="N464" s="14"/>
    </row>
    <row r="465">
      <c r="C465" s="60"/>
      <c r="D465" s="60"/>
      <c r="E465" s="60"/>
      <c r="K465" s="14"/>
      <c r="L465" s="14"/>
      <c r="M465" s="14"/>
      <c r="N465" s="14"/>
    </row>
    <row r="466">
      <c r="C466" s="60"/>
      <c r="D466" s="60"/>
      <c r="E466" s="60"/>
      <c r="K466" s="14"/>
      <c r="L466" s="14"/>
      <c r="M466" s="14"/>
      <c r="N466" s="14"/>
    </row>
    <row r="467">
      <c r="C467" s="60"/>
      <c r="D467" s="60"/>
      <c r="E467" s="60"/>
      <c r="K467" s="14"/>
      <c r="L467" s="14"/>
      <c r="M467" s="14"/>
      <c r="N467" s="14"/>
    </row>
    <row r="468">
      <c r="C468" s="60"/>
      <c r="D468" s="60"/>
      <c r="E468" s="60"/>
      <c r="K468" s="14"/>
      <c r="L468" s="14"/>
      <c r="M468" s="14"/>
      <c r="N468" s="14"/>
    </row>
    <row r="469">
      <c r="C469" s="60"/>
      <c r="D469" s="60"/>
      <c r="E469" s="60"/>
      <c r="K469" s="14"/>
      <c r="L469" s="14"/>
      <c r="M469" s="14"/>
      <c r="N469" s="14"/>
    </row>
    <row r="470">
      <c r="C470" s="60"/>
      <c r="D470" s="60"/>
      <c r="E470" s="60"/>
      <c r="K470" s="14"/>
      <c r="L470" s="14"/>
      <c r="M470" s="14"/>
      <c r="N470" s="14"/>
    </row>
    <row r="471">
      <c r="C471" s="60"/>
      <c r="D471" s="60"/>
      <c r="E471" s="60"/>
      <c r="K471" s="14"/>
      <c r="L471" s="14"/>
      <c r="M471" s="14"/>
      <c r="N471" s="14"/>
    </row>
    <row r="472">
      <c r="C472" s="60"/>
      <c r="D472" s="60"/>
      <c r="E472" s="60"/>
      <c r="K472" s="14"/>
      <c r="L472" s="14"/>
      <c r="M472" s="14"/>
      <c r="N472" s="14"/>
    </row>
    <row r="473">
      <c r="C473" s="60"/>
      <c r="D473" s="60"/>
      <c r="E473" s="60"/>
      <c r="K473" s="14"/>
      <c r="L473" s="14"/>
      <c r="M473" s="14"/>
      <c r="N473" s="14"/>
    </row>
    <row r="474">
      <c r="C474" s="60"/>
      <c r="D474" s="60"/>
      <c r="E474" s="60"/>
      <c r="K474" s="14"/>
      <c r="L474" s="14"/>
      <c r="M474" s="14"/>
      <c r="N474" s="14"/>
    </row>
    <row r="475">
      <c r="C475" s="60"/>
      <c r="D475" s="60"/>
      <c r="E475" s="60"/>
      <c r="K475" s="14"/>
      <c r="L475" s="14"/>
      <c r="M475" s="14"/>
      <c r="N475" s="14"/>
    </row>
    <row r="476">
      <c r="C476" s="60"/>
      <c r="D476" s="60"/>
      <c r="E476" s="60"/>
      <c r="K476" s="14"/>
      <c r="L476" s="14"/>
      <c r="M476" s="14"/>
      <c r="N476" s="14"/>
    </row>
    <row r="477">
      <c r="C477" s="60"/>
      <c r="D477" s="60"/>
      <c r="E477" s="60"/>
      <c r="K477" s="14"/>
      <c r="L477" s="14"/>
      <c r="M477" s="14"/>
      <c r="N477" s="14"/>
    </row>
    <row r="478">
      <c r="C478" s="60"/>
      <c r="D478" s="60"/>
      <c r="E478" s="60"/>
      <c r="K478" s="14"/>
      <c r="L478" s="14"/>
      <c r="M478" s="14"/>
      <c r="N478" s="14"/>
    </row>
    <row r="479">
      <c r="C479" s="60"/>
      <c r="D479" s="60"/>
      <c r="E479" s="60"/>
      <c r="K479" s="14"/>
      <c r="L479" s="14"/>
      <c r="M479" s="14"/>
      <c r="N479" s="14"/>
    </row>
    <row r="480">
      <c r="C480" s="60"/>
      <c r="D480" s="60"/>
      <c r="E480" s="60"/>
      <c r="K480" s="14"/>
      <c r="L480" s="14"/>
      <c r="M480" s="14"/>
      <c r="N480" s="14"/>
    </row>
    <row r="481">
      <c r="C481" s="60"/>
      <c r="D481" s="60"/>
      <c r="E481" s="60"/>
      <c r="K481" s="14"/>
      <c r="L481" s="14"/>
      <c r="M481" s="14"/>
      <c r="N481" s="14"/>
    </row>
    <row r="482">
      <c r="C482" s="60"/>
      <c r="D482" s="60"/>
      <c r="E482" s="60"/>
      <c r="K482" s="14"/>
      <c r="L482" s="14"/>
      <c r="M482" s="14"/>
      <c r="N482" s="14"/>
    </row>
    <row r="483">
      <c r="C483" s="60"/>
      <c r="D483" s="60"/>
      <c r="E483" s="60"/>
      <c r="K483" s="14"/>
      <c r="L483" s="14"/>
      <c r="M483" s="14"/>
      <c r="N483" s="14"/>
    </row>
    <row r="484">
      <c r="C484" s="60"/>
      <c r="D484" s="60"/>
      <c r="E484" s="60"/>
      <c r="K484" s="14"/>
      <c r="L484" s="14"/>
      <c r="M484" s="14"/>
      <c r="N484" s="14"/>
    </row>
    <row r="485">
      <c r="C485" s="60"/>
      <c r="D485" s="60"/>
      <c r="E485" s="60"/>
      <c r="K485" s="14"/>
      <c r="L485" s="14"/>
      <c r="M485" s="14"/>
      <c r="N485" s="14"/>
    </row>
    <row r="486">
      <c r="C486" s="60"/>
      <c r="D486" s="60"/>
      <c r="E486" s="60"/>
      <c r="K486" s="14"/>
      <c r="L486" s="14"/>
      <c r="M486" s="14"/>
      <c r="N486" s="14"/>
    </row>
    <row r="487">
      <c r="C487" s="60"/>
      <c r="D487" s="60"/>
      <c r="E487" s="60"/>
      <c r="K487" s="14"/>
      <c r="L487" s="14"/>
      <c r="M487" s="14"/>
      <c r="N487" s="14"/>
    </row>
    <row r="488">
      <c r="C488" s="60"/>
      <c r="D488" s="60"/>
      <c r="E488" s="60"/>
      <c r="K488" s="14"/>
      <c r="L488" s="14"/>
      <c r="M488" s="14"/>
      <c r="N488" s="14"/>
    </row>
    <row r="489">
      <c r="C489" s="60"/>
      <c r="D489" s="60"/>
      <c r="E489" s="60"/>
      <c r="K489" s="14"/>
      <c r="L489" s="14"/>
      <c r="M489" s="14"/>
      <c r="N489" s="14"/>
    </row>
    <row r="490">
      <c r="C490" s="60"/>
      <c r="D490" s="60"/>
      <c r="E490" s="60"/>
      <c r="K490" s="14"/>
      <c r="L490" s="14"/>
      <c r="M490" s="14"/>
      <c r="N490" s="14"/>
    </row>
    <row r="491">
      <c r="C491" s="60"/>
      <c r="D491" s="60"/>
      <c r="E491" s="60"/>
      <c r="K491" s="14"/>
      <c r="L491" s="14"/>
      <c r="M491" s="14"/>
      <c r="N491" s="14"/>
    </row>
    <row r="492">
      <c r="C492" s="60"/>
      <c r="D492" s="60"/>
      <c r="E492" s="60"/>
      <c r="K492" s="14"/>
      <c r="L492" s="14"/>
      <c r="M492" s="14"/>
      <c r="N492" s="14"/>
    </row>
    <row r="493">
      <c r="C493" s="60"/>
      <c r="D493" s="60"/>
      <c r="E493" s="60"/>
      <c r="K493" s="14"/>
      <c r="L493" s="14"/>
      <c r="M493" s="14"/>
      <c r="N493" s="14"/>
    </row>
    <row r="494">
      <c r="C494" s="60"/>
      <c r="D494" s="60"/>
      <c r="E494" s="60"/>
      <c r="K494" s="14"/>
      <c r="L494" s="14"/>
      <c r="M494" s="14"/>
      <c r="N494" s="14"/>
    </row>
    <row r="495">
      <c r="C495" s="60"/>
      <c r="D495" s="60"/>
      <c r="E495" s="60"/>
      <c r="K495" s="14"/>
      <c r="L495" s="14"/>
      <c r="M495" s="14"/>
      <c r="N495" s="14"/>
    </row>
    <row r="496">
      <c r="C496" s="60"/>
      <c r="D496" s="60"/>
      <c r="E496" s="60"/>
      <c r="K496" s="14"/>
      <c r="L496" s="14"/>
      <c r="M496" s="14"/>
      <c r="N496" s="14"/>
    </row>
    <row r="497">
      <c r="C497" s="60"/>
      <c r="D497" s="60"/>
      <c r="E497" s="60"/>
      <c r="K497" s="14"/>
      <c r="L497" s="14"/>
      <c r="M497" s="14"/>
      <c r="N497" s="14"/>
    </row>
    <row r="498">
      <c r="C498" s="60"/>
      <c r="D498" s="60"/>
      <c r="E498" s="60"/>
      <c r="K498" s="14"/>
      <c r="L498" s="14"/>
      <c r="M498" s="14"/>
      <c r="N498" s="14"/>
    </row>
    <row r="499">
      <c r="C499" s="60"/>
      <c r="D499" s="60"/>
      <c r="E499" s="60"/>
      <c r="K499" s="14"/>
      <c r="L499" s="14"/>
      <c r="M499" s="14"/>
      <c r="N499" s="14"/>
    </row>
    <row r="500">
      <c r="C500" s="60"/>
      <c r="D500" s="60"/>
      <c r="E500" s="60"/>
      <c r="K500" s="14"/>
      <c r="L500" s="14"/>
      <c r="M500" s="14"/>
      <c r="N500" s="14"/>
    </row>
    <row r="501">
      <c r="C501" s="60"/>
      <c r="D501" s="60"/>
      <c r="E501" s="60"/>
      <c r="K501" s="14"/>
      <c r="L501" s="14"/>
      <c r="M501" s="14"/>
      <c r="N501" s="14"/>
    </row>
    <row r="502">
      <c r="C502" s="60"/>
      <c r="D502" s="60"/>
      <c r="E502" s="60"/>
      <c r="K502" s="14"/>
      <c r="L502" s="14"/>
      <c r="M502" s="14"/>
      <c r="N502" s="14"/>
    </row>
    <row r="503">
      <c r="C503" s="60"/>
      <c r="D503" s="60"/>
      <c r="E503" s="60"/>
      <c r="K503" s="14"/>
      <c r="L503" s="14"/>
      <c r="M503" s="14"/>
      <c r="N503" s="14"/>
    </row>
    <row r="504">
      <c r="C504" s="60"/>
      <c r="D504" s="60"/>
      <c r="E504" s="60"/>
      <c r="K504" s="14"/>
      <c r="L504" s="14"/>
      <c r="M504" s="14"/>
      <c r="N504" s="14"/>
    </row>
    <row r="505">
      <c r="C505" s="60"/>
      <c r="D505" s="60"/>
      <c r="E505" s="60"/>
      <c r="K505" s="14"/>
      <c r="L505" s="14"/>
      <c r="M505" s="14"/>
      <c r="N505" s="14"/>
    </row>
    <row r="506">
      <c r="C506" s="60"/>
      <c r="D506" s="60"/>
      <c r="E506" s="60"/>
      <c r="K506" s="14"/>
      <c r="L506" s="14"/>
      <c r="M506" s="14"/>
      <c r="N506" s="14"/>
    </row>
    <row r="507">
      <c r="C507" s="60"/>
      <c r="D507" s="60"/>
      <c r="E507" s="60"/>
      <c r="K507" s="14"/>
      <c r="L507" s="14"/>
      <c r="M507" s="14"/>
      <c r="N507" s="14"/>
    </row>
    <row r="508">
      <c r="C508" s="60"/>
      <c r="D508" s="60"/>
      <c r="E508" s="60"/>
      <c r="K508" s="14"/>
      <c r="L508" s="14"/>
      <c r="M508" s="14"/>
      <c r="N508" s="14"/>
    </row>
    <row r="509">
      <c r="C509" s="60"/>
      <c r="D509" s="60"/>
      <c r="E509" s="60"/>
      <c r="K509" s="14"/>
      <c r="L509" s="14"/>
      <c r="M509" s="14"/>
      <c r="N509" s="14"/>
    </row>
    <row r="510">
      <c r="C510" s="60"/>
      <c r="D510" s="60"/>
      <c r="E510" s="60"/>
      <c r="K510" s="14"/>
      <c r="L510" s="14"/>
      <c r="M510" s="14"/>
      <c r="N510" s="14"/>
    </row>
    <row r="511">
      <c r="C511" s="60"/>
      <c r="D511" s="60"/>
      <c r="E511" s="60"/>
      <c r="K511" s="14"/>
      <c r="L511" s="14"/>
      <c r="M511" s="14"/>
      <c r="N511" s="14"/>
    </row>
    <row r="512">
      <c r="C512" s="60"/>
      <c r="D512" s="60"/>
      <c r="E512" s="60"/>
      <c r="K512" s="14"/>
      <c r="L512" s="14"/>
      <c r="M512" s="14"/>
      <c r="N512" s="14"/>
    </row>
    <row r="513">
      <c r="C513" s="60"/>
      <c r="D513" s="60"/>
      <c r="E513" s="60"/>
      <c r="K513" s="14"/>
      <c r="L513" s="14"/>
      <c r="M513" s="14"/>
      <c r="N513" s="14"/>
    </row>
    <row r="514">
      <c r="C514" s="60"/>
      <c r="D514" s="60"/>
      <c r="E514" s="60"/>
      <c r="K514" s="14"/>
      <c r="L514" s="14"/>
      <c r="M514" s="14"/>
      <c r="N514" s="14"/>
    </row>
    <row r="515">
      <c r="C515" s="60"/>
      <c r="D515" s="60"/>
      <c r="E515" s="60"/>
      <c r="K515" s="14"/>
      <c r="L515" s="14"/>
      <c r="M515" s="14"/>
      <c r="N515" s="14"/>
    </row>
    <row r="516">
      <c r="C516" s="60"/>
      <c r="D516" s="60"/>
      <c r="E516" s="60"/>
      <c r="K516" s="14"/>
      <c r="L516" s="14"/>
      <c r="M516" s="14"/>
      <c r="N516" s="14"/>
    </row>
    <row r="517">
      <c r="C517" s="60"/>
      <c r="D517" s="60"/>
      <c r="E517" s="60"/>
      <c r="K517" s="14"/>
      <c r="L517" s="14"/>
      <c r="M517" s="14"/>
      <c r="N517" s="14"/>
    </row>
    <row r="518">
      <c r="C518" s="60"/>
      <c r="D518" s="60"/>
      <c r="E518" s="60"/>
      <c r="K518" s="14"/>
      <c r="L518" s="14"/>
      <c r="M518" s="14"/>
      <c r="N518" s="14"/>
    </row>
    <row r="519">
      <c r="C519" s="60"/>
      <c r="D519" s="60"/>
      <c r="E519" s="60"/>
      <c r="K519" s="14"/>
      <c r="L519" s="14"/>
      <c r="M519" s="14"/>
      <c r="N519" s="14"/>
    </row>
    <row r="520">
      <c r="C520" s="60"/>
      <c r="D520" s="60"/>
      <c r="E520" s="60"/>
      <c r="K520" s="14"/>
      <c r="L520" s="14"/>
      <c r="M520" s="14"/>
      <c r="N520" s="14"/>
    </row>
    <row r="521">
      <c r="C521" s="60"/>
      <c r="D521" s="60"/>
      <c r="E521" s="60"/>
      <c r="K521" s="14"/>
      <c r="L521" s="14"/>
      <c r="M521" s="14"/>
      <c r="N521" s="14"/>
    </row>
    <row r="522">
      <c r="C522" s="60"/>
      <c r="D522" s="60"/>
      <c r="E522" s="60"/>
      <c r="K522" s="14"/>
      <c r="L522" s="14"/>
      <c r="M522" s="14"/>
      <c r="N522" s="14"/>
    </row>
    <row r="523">
      <c r="C523" s="60"/>
      <c r="D523" s="60"/>
      <c r="E523" s="60"/>
      <c r="K523" s="14"/>
      <c r="L523" s="14"/>
      <c r="M523" s="14"/>
      <c r="N523" s="14"/>
    </row>
    <row r="524">
      <c r="C524" s="60"/>
      <c r="D524" s="60"/>
      <c r="E524" s="60"/>
      <c r="K524" s="14"/>
      <c r="L524" s="14"/>
      <c r="M524" s="14"/>
      <c r="N524" s="14"/>
    </row>
    <row r="525">
      <c r="C525" s="60"/>
      <c r="D525" s="60"/>
      <c r="E525" s="60"/>
      <c r="K525" s="14"/>
      <c r="L525" s="14"/>
      <c r="M525" s="14"/>
      <c r="N525" s="14"/>
    </row>
    <row r="526">
      <c r="C526" s="60"/>
      <c r="D526" s="60"/>
      <c r="E526" s="60"/>
      <c r="K526" s="14"/>
      <c r="L526" s="14"/>
      <c r="M526" s="14"/>
      <c r="N526" s="14"/>
    </row>
    <row r="527">
      <c r="C527" s="60"/>
      <c r="D527" s="60"/>
      <c r="E527" s="60"/>
      <c r="K527" s="14"/>
      <c r="L527" s="14"/>
      <c r="M527" s="14"/>
      <c r="N527" s="14"/>
    </row>
    <row r="528">
      <c r="C528" s="60"/>
      <c r="D528" s="60"/>
      <c r="E528" s="60"/>
      <c r="K528" s="14"/>
      <c r="L528" s="14"/>
      <c r="M528" s="14"/>
      <c r="N528" s="14"/>
    </row>
    <row r="529">
      <c r="C529" s="60"/>
      <c r="D529" s="60"/>
      <c r="E529" s="60"/>
      <c r="K529" s="14"/>
      <c r="L529" s="14"/>
      <c r="M529" s="14"/>
      <c r="N529" s="14"/>
    </row>
    <row r="530">
      <c r="C530" s="60"/>
      <c r="D530" s="60"/>
      <c r="E530" s="60"/>
      <c r="K530" s="14"/>
      <c r="L530" s="14"/>
      <c r="M530" s="14"/>
      <c r="N530" s="14"/>
    </row>
    <row r="531">
      <c r="C531" s="60"/>
      <c r="D531" s="60"/>
      <c r="E531" s="60"/>
      <c r="K531" s="14"/>
      <c r="L531" s="14"/>
      <c r="M531" s="14"/>
      <c r="N531" s="14"/>
    </row>
    <row r="532">
      <c r="C532" s="60"/>
      <c r="D532" s="60"/>
      <c r="E532" s="60"/>
      <c r="K532" s="14"/>
      <c r="L532" s="14"/>
      <c r="M532" s="14"/>
      <c r="N532" s="14"/>
    </row>
    <row r="533">
      <c r="C533" s="60"/>
      <c r="D533" s="60"/>
      <c r="E533" s="60"/>
      <c r="K533" s="14"/>
      <c r="L533" s="14"/>
      <c r="M533" s="14"/>
      <c r="N533" s="14"/>
    </row>
    <row r="534">
      <c r="C534" s="60"/>
      <c r="D534" s="60"/>
      <c r="E534" s="60"/>
      <c r="K534" s="14"/>
      <c r="L534" s="14"/>
      <c r="M534" s="14"/>
      <c r="N534" s="14"/>
    </row>
    <row r="535">
      <c r="C535" s="60"/>
      <c r="D535" s="60"/>
      <c r="E535" s="60"/>
      <c r="K535" s="14"/>
      <c r="L535" s="14"/>
      <c r="M535" s="14"/>
      <c r="N535" s="14"/>
    </row>
    <row r="536">
      <c r="C536" s="60"/>
      <c r="D536" s="60"/>
      <c r="E536" s="60"/>
      <c r="K536" s="14"/>
      <c r="L536" s="14"/>
      <c r="M536" s="14"/>
      <c r="N536" s="14"/>
    </row>
    <row r="537">
      <c r="C537" s="60"/>
      <c r="D537" s="60"/>
      <c r="E537" s="60"/>
      <c r="K537" s="14"/>
      <c r="L537" s="14"/>
      <c r="M537" s="14"/>
      <c r="N537" s="14"/>
    </row>
    <row r="538">
      <c r="C538" s="60"/>
      <c r="D538" s="60"/>
      <c r="E538" s="60"/>
      <c r="K538" s="14"/>
      <c r="L538" s="14"/>
      <c r="M538" s="14"/>
      <c r="N538" s="14"/>
    </row>
    <row r="539">
      <c r="C539" s="60"/>
      <c r="D539" s="60"/>
      <c r="E539" s="60"/>
      <c r="K539" s="14"/>
      <c r="L539" s="14"/>
      <c r="M539" s="14"/>
      <c r="N539" s="14"/>
    </row>
    <row r="540">
      <c r="C540" s="60"/>
      <c r="D540" s="60"/>
      <c r="E540" s="60"/>
      <c r="K540" s="14"/>
      <c r="L540" s="14"/>
      <c r="M540" s="14"/>
      <c r="N540" s="14"/>
    </row>
    <row r="541">
      <c r="C541" s="60"/>
      <c r="D541" s="60"/>
      <c r="E541" s="60"/>
      <c r="K541" s="14"/>
      <c r="L541" s="14"/>
      <c r="M541" s="14"/>
      <c r="N541" s="14"/>
    </row>
    <row r="542">
      <c r="C542" s="60"/>
      <c r="D542" s="60"/>
      <c r="E542" s="60"/>
      <c r="K542" s="14"/>
      <c r="L542" s="14"/>
      <c r="M542" s="14"/>
      <c r="N542" s="14"/>
    </row>
    <row r="543">
      <c r="C543" s="60"/>
      <c r="D543" s="60"/>
      <c r="E543" s="60"/>
      <c r="K543" s="14"/>
      <c r="L543" s="14"/>
      <c r="M543" s="14"/>
      <c r="N543" s="14"/>
    </row>
    <row r="544">
      <c r="C544" s="60"/>
      <c r="D544" s="60"/>
      <c r="E544" s="60"/>
      <c r="K544" s="14"/>
      <c r="L544" s="14"/>
      <c r="M544" s="14"/>
      <c r="N544" s="14"/>
    </row>
    <row r="545">
      <c r="C545" s="60"/>
      <c r="D545" s="60"/>
      <c r="E545" s="60"/>
      <c r="K545" s="14"/>
      <c r="L545" s="14"/>
      <c r="M545" s="14"/>
      <c r="N545" s="14"/>
    </row>
    <row r="546">
      <c r="C546" s="60"/>
      <c r="D546" s="60"/>
      <c r="E546" s="60"/>
      <c r="K546" s="14"/>
      <c r="L546" s="14"/>
      <c r="M546" s="14"/>
      <c r="N546" s="14"/>
    </row>
    <row r="547">
      <c r="C547" s="60"/>
      <c r="D547" s="60"/>
      <c r="E547" s="60"/>
      <c r="K547" s="14"/>
      <c r="L547" s="14"/>
      <c r="M547" s="14"/>
      <c r="N547" s="14"/>
    </row>
    <row r="548">
      <c r="C548" s="60"/>
      <c r="D548" s="60"/>
      <c r="E548" s="60"/>
      <c r="K548" s="14"/>
      <c r="L548" s="14"/>
      <c r="M548" s="14"/>
      <c r="N548" s="14"/>
    </row>
    <row r="549">
      <c r="C549" s="60"/>
      <c r="D549" s="60"/>
      <c r="E549" s="60"/>
      <c r="K549" s="14"/>
      <c r="L549" s="14"/>
      <c r="M549" s="14"/>
      <c r="N549" s="14"/>
    </row>
    <row r="550">
      <c r="C550" s="60"/>
      <c r="D550" s="60"/>
      <c r="E550" s="60"/>
      <c r="K550" s="14"/>
      <c r="L550" s="14"/>
      <c r="M550" s="14"/>
      <c r="N550" s="14"/>
    </row>
    <row r="551">
      <c r="C551" s="60"/>
      <c r="D551" s="60"/>
      <c r="E551" s="60"/>
      <c r="K551" s="14"/>
      <c r="L551" s="14"/>
      <c r="M551" s="14"/>
      <c r="N551" s="14"/>
    </row>
    <row r="552">
      <c r="C552" s="60"/>
      <c r="D552" s="60"/>
      <c r="E552" s="60"/>
      <c r="K552" s="14"/>
      <c r="L552" s="14"/>
      <c r="M552" s="14"/>
      <c r="N552" s="14"/>
    </row>
    <row r="553">
      <c r="C553" s="60"/>
      <c r="D553" s="60"/>
      <c r="E553" s="60"/>
      <c r="K553" s="14"/>
      <c r="L553" s="14"/>
      <c r="M553" s="14"/>
      <c r="N553" s="14"/>
    </row>
    <row r="554">
      <c r="C554" s="60"/>
      <c r="D554" s="60"/>
      <c r="E554" s="60"/>
      <c r="K554" s="14"/>
      <c r="L554" s="14"/>
      <c r="M554" s="14"/>
      <c r="N554" s="14"/>
    </row>
    <row r="555">
      <c r="C555" s="60"/>
      <c r="D555" s="60"/>
      <c r="E555" s="60"/>
      <c r="K555" s="14"/>
      <c r="L555" s="14"/>
      <c r="M555" s="14"/>
      <c r="N555" s="14"/>
    </row>
    <row r="556">
      <c r="C556" s="60"/>
      <c r="D556" s="60"/>
      <c r="E556" s="60"/>
      <c r="K556" s="14"/>
      <c r="L556" s="14"/>
      <c r="M556" s="14"/>
      <c r="N556" s="14"/>
    </row>
    <row r="557">
      <c r="C557" s="60"/>
      <c r="D557" s="60"/>
      <c r="E557" s="60"/>
      <c r="K557" s="14"/>
      <c r="L557" s="14"/>
      <c r="M557" s="14"/>
      <c r="N557" s="14"/>
    </row>
    <row r="558">
      <c r="C558" s="60"/>
      <c r="D558" s="60"/>
      <c r="E558" s="60"/>
      <c r="K558" s="14"/>
      <c r="L558" s="14"/>
      <c r="M558" s="14"/>
      <c r="N558" s="14"/>
    </row>
    <row r="559">
      <c r="C559" s="60"/>
      <c r="D559" s="60"/>
      <c r="E559" s="60"/>
      <c r="K559" s="14"/>
      <c r="L559" s="14"/>
      <c r="M559" s="14"/>
      <c r="N559" s="14"/>
    </row>
    <row r="560">
      <c r="C560" s="60"/>
      <c r="D560" s="60"/>
      <c r="E560" s="60"/>
      <c r="K560" s="14"/>
      <c r="L560" s="14"/>
      <c r="M560" s="14"/>
      <c r="N560" s="14"/>
    </row>
    <row r="561">
      <c r="C561" s="60"/>
      <c r="D561" s="60"/>
      <c r="E561" s="60"/>
      <c r="K561" s="14"/>
      <c r="L561" s="14"/>
      <c r="M561" s="14"/>
      <c r="N561" s="14"/>
    </row>
    <row r="562">
      <c r="C562" s="60"/>
      <c r="D562" s="60"/>
      <c r="E562" s="60"/>
      <c r="K562" s="14"/>
      <c r="L562" s="14"/>
      <c r="M562" s="14"/>
      <c r="N562" s="14"/>
    </row>
    <row r="563">
      <c r="C563" s="60"/>
      <c r="D563" s="60"/>
      <c r="E563" s="60"/>
      <c r="K563" s="14"/>
      <c r="L563" s="14"/>
      <c r="M563" s="14"/>
      <c r="N563" s="14"/>
    </row>
    <row r="564">
      <c r="C564" s="60"/>
      <c r="D564" s="60"/>
      <c r="E564" s="60"/>
      <c r="K564" s="14"/>
      <c r="L564" s="14"/>
      <c r="M564" s="14"/>
      <c r="N564" s="14"/>
    </row>
    <row r="565">
      <c r="C565" s="60"/>
      <c r="D565" s="60"/>
      <c r="E565" s="60"/>
      <c r="K565" s="14"/>
      <c r="L565" s="14"/>
      <c r="M565" s="14"/>
      <c r="N565" s="14"/>
    </row>
    <row r="566">
      <c r="C566" s="60"/>
      <c r="D566" s="60"/>
      <c r="E566" s="60"/>
      <c r="K566" s="14"/>
      <c r="L566" s="14"/>
      <c r="M566" s="14"/>
      <c r="N566" s="14"/>
    </row>
    <row r="567">
      <c r="C567" s="60"/>
      <c r="D567" s="60"/>
      <c r="E567" s="60"/>
      <c r="K567" s="14"/>
      <c r="L567" s="14"/>
      <c r="M567" s="14"/>
      <c r="N567" s="14"/>
    </row>
    <row r="568">
      <c r="C568" s="60"/>
      <c r="D568" s="60"/>
      <c r="E568" s="60"/>
      <c r="K568" s="14"/>
      <c r="L568" s="14"/>
      <c r="M568" s="14"/>
      <c r="N568" s="14"/>
    </row>
    <row r="569">
      <c r="C569" s="60"/>
      <c r="D569" s="60"/>
      <c r="E569" s="60"/>
      <c r="K569" s="14"/>
      <c r="L569" s="14"/>
      <c r="M569" s="14"/>
      <c r="N569" s="14"/>
    </row>
    <row r="570">
      <c r="C570" s="60"/>
      <c r="D570" s="60"/>
      <c r="E570" s="60"/>
      <c r="K570" s="14"/>
      <c r="L570" s="14"/>
      <c r="M570" s="14"/>
      <c r="N570" s="14"/>
    </row>
    <row r="571">
      <c r="C571" s="60"/>
      <c r="D571" s="60"/>
      <c r="E571" s="60"/>
      <c r="K571" s="14"/>
      <c r="L571" s="14"/>
      <c r="M571" s="14"/>
      <c r="N571" s="14"/>
    </row>
    <row r="572">
      <c r="C572" s="60"/>
      <c r="D572" s="60"/>
      <c r="E572" s="60"/>
      <c r="K572" s="14"/>
      <c r="L572" s="14"/>
      <c r="M572" s="14"/>
      <c r="N572" s="14"/>
    </row>
    <row r="573">
      <c r="C573" s="60"/>
      <c r="D573" s="60"/>
      <c r="E573" s="60"/>
      <c r="K573" s="14"/>
      <c r="L573" s="14"/>
      <c r="M573" s="14"/>
      <c r="N573" s="14"/>
    </row>
    <row r="574">
      <c r="C574" s="60"/>
      <c r="D574" s="60"/>
      <c r="E574" s="60"/>
      <c r="K574" s="14"/>
      <c r="L574" s="14"/>
      <c r="M574" s="14"/>
      <c r="N574" s="14"/>
    </row>
    <row r="575">
      <c r="C575" s="60"/>
      <c r="D575" s="60"/>
      <c r="E575" s="60"/>
      <c r="K575" s="14"/>
      <c r="L575" s="14"/>
      <c r="M575" s="14"/>
      <c r="N575" s="14"/>
    </row>
    <row r="576">
      <c r="C576" s="60"/>
      <c r="D576" s="60"/>
      <c r="E576" s="60"/>
      <c r="K576" s="14"/>
      <c r="L576" s="14"/>
      <c r="M576" s="14"/>
      <c r="N576" s="14"/>
    </row>
    <row r="577">
      <c r="C577" s="60"/>
      <c r="D577" s="60"/>
      <c r="E577" s="60"/>
      <c r="K577" s="14"/>
      <c r="L577" s="14"/>
      <c r="M577" s="14"/>
      <c r="N577" s="14"/>
    </row>
    <row r="578">
      <c r="C578" s="60"/>
      <c r="D578" s="60"/>
      <c r="E578" s="60"/>
      <c r="K578" s="14"/>
      <c r="L578" s="14"/>
      <c r="M578" s="14"/>
      <c r="N578" s="14"/>
    </row>
    <row r="579">
      <c r="C579" s="60"/>
      <c r="D579" s="60"/>
      <c r="E579" s="60"/>
      <c r="K579" s="14"/>
      <c r="L579" s="14"/>
      <c r="M579" s="14"/>
      <c r="N579" s="14"/>
    </row>
    <row r="580">
      <c r="C580" s="60"/>
      <c r="D580" s="60"/>
      <c r="E580" s="60"/>
      <c r="K580" s="14"/>
      <c r="L580" s="14"/>
      <c r="M580" s="14"/>
      <c r="N580" s="14"/>
    </row>
    <row r="581">
      <c r="C581" s="60"/>
      <c r="D581" s="60"/>
      <c r="E581" s="60"/>
      <c r="K581" s="14"/>
      <c r="L581" s="14"/>
      <c r="M581" s="14"/>
      <c r="N581" s="14"/>
    </row>
    <row r="582">
      <c r="C582" s="60"/>
      <c r="D582" s="60"/>
      <c r="E582" s="60"/>
      <c r="K582" s="14"/>
      <c r="L582" s="14"/>
      <c r="M582" s="14"/>
      <c r="N582" s="14"/>
    </row>
    <row r="583">
      <c r="C583" s="60"/>
      <c r="D583" s="60"/>
      <c r="E583" s="60"/>
      <c r="K583" s="14"/>
      <c r="L583" s="14"/>
      <c r="M583" s="14"/>
      <c r="N583" s="14"/>
    </row>
    <row r="584">
      <c r="C584" s="60"/>
      <c r="D584" s="60"/>
      <c r="E584" s="60"/>
      <c r="K584" s="14"/>
      <c r="L584" s="14"/>
      <c r="M584" s="14"/>
      <c r="N584" s="14"/>
    </row>
    <row r="585">
      <c r="C585" s="60"/>
      <c r="D585" s="60"/>
      <c r="E585" s="60"/>
      <c r="K585" s="14"/>
      <c r="L585" s="14"/>
      <c r="M585" s="14"/>
      <c r="N585" s="14"/>
    </row>
    <row r="586">
      <c r="C586" s="60"/>
      <c r="D586" s="60"/>
      <c r="E586" s="60"/>
      <c r="K586" s="14"/>
      <c r="L586" s="14"/>
      <c r="M586" s="14"/>
      <c r="N586" s="14"/>
    </row>
    <row r="587">
      <c r="C587" s="60"/>
      <c r="D587" s="60"/>
      <c r="E587" s="60"/>
      <c r="K587" s="14"/>
      <c r="L587" s="14"/>
      <c r="M587" s="14"/>
      <c r="N587" s="14"/>
    </row>
    <row r="588">
      <c r="C588" s="60"/>
      <c r="D588" s="60"/>
      <c r="E588" s="60"/>
      <c r="K588" s="14"/>
      <c r="L588" s="14"/>
      <c r="M588" s="14"/>
      <c r="N588" s="14"/>
    </row>
    <row r="589">
      <c r="C589" s="60"/>
      <c r="D589" s="60"/>
      <c r="E589" s="60"/>
      <c r="K589" s="14"/>
      <c r="L589" s="14"/>
      <c r="M589" s="14"/>
      <c r="N589" s="14"/>
    </row>
    <row r="590">
      <c r="C590" s="60"/>
      <c r="D590" s="60"/>
      <c r="E590" s="60"/>
      <c r="K590" s="14"/>
      <c r="L590" s="14"/>
      <c r="M590" s="14"/>
      <c r="N590" s="14"/>
    </row>
    <row r="591">
      <c r="C591" s="60"/>
      <c r="D591" s="60"/>
      <c r="E591" s="60"/>
      <c r="K591" s="14"/>
      <c r="L591" s="14"/>
      <c r="M591" s="14"/>
      <c r="N591" s="14"/>
    </row>
    <row r="592">
      <c r="C592" s="60"/>
      <c r="D592" s="60"/>
      <c r="E592" s="60"/>
      <c r="K592" s="14"/>
      <c r="L592" s="14"/>
      <c r="M592" s="14"/>
      <c r="N592" s="14"/>
    </row>
    <row r="593">
      <c r="C593" s="60"/>
      <c r="D593" s="60"/>
      <c r="E593" s="60"/>
      <c r="K593" s="14"/>
      <c r="L593" s="14"/>
      <c r="M593" s="14"/>
      <c r="N593" s="14"/>
    </row>
    <row r="594">
      <c r="C594" s="60"/>
      <c r="D594" s="60"/>
      <c r="E594" s="60"/>
      <c r="K594" s="14"/>
      <c r="L594" s="14"/>
      <c r="M594" s="14"/>
      <c r="N594" s="14"/>
    </row>
    <row r="595">
      <c r="C595" s="60"/>
      <c r="D595" s="60"/>
      <c r="E595" s="60"/>
      <c r="K595" s="14"/>
      <c r="L595" s="14"/>
      <c r="M595" s="14"/>
      <c r="N595" s="14"/>
    </row>
    <row r="596">
      <c r="C596" s="60"/>
      <c r="D596" s="60"/>
      <c r="E596" s="60"/>
      <c r="K596" s="14"/>
      <c r="L596" s="14"/>
      <c r="M596" s="14"/>
      <c r="N596" s="14"/>
    </row>
    <row r="597">
      <c r="C597" s="60"/>
      <c r="D597" s="60"/>
      <c r="E597" s="60"/>
      <c r="K597" s="14"/>
      <c r="L597" s="14"/>
      <c r="M597" s="14"/>
      <c r="N597" s="14"/>
    </row>
    <row r="598">
      <c r="C598" s="60"/>
      <c r="D598" s="60"/>
      <c r="E598" s="60"/>
      <c r="K598" s="14"/>
      <c r="L598" s="14"/>
      <c r="M598" s="14"/>
      <c r="N598" s="14"/>
    </row>
    <row r="599">
      <c r="C599" s="60"/>
      <c r="D599" s="60"/>
      <c r="E599" s="60"/>
      <c r="K599" s="14"/>
      <c r="L599" s="14"/>
      <c r="M599" s="14"/>
      <c r="N599" s="14"/>
    </row>
    <row r="600">
      <c r="C600" s="60"/>
      <c r="D600" s="60"/>
      <c r="E600" s="60"/>
      <c r="K600" s="14"/>
      <c r="L600" s="14"/>
      <c r="M600" s="14"/>
      <c r="N600" s="14"/>
    </row>
    <row r="601">
      <c r="C601" s="60"/>
      <c r="D601" s="60"/>
      <c r="E601" s="60"/>
      <c r="K601" s="14"/>
      <c r="L601" s="14"/>
      <c r="M601" s="14"/>
      <c r="N601" s="14"/>
    </row>
    <row r="602">
      <c r="C602" s="60"/>
      <c r="D602" s="60"/>
      <c r="E602" s="60"/>
      <c r="K602" s="14"/>
      <c r="L602" s="14"/>
      <c r="M602" s="14"/>
      <c r="N602" s="14"/>
    </row>
    <row r="603">
      <c r="C603" s="60"/>
      <c r="D603" s="60"/>
      <c r="E603" s="60"/>
      <c r="K603" s="14"/>
      <c r="L603" s="14"/>
      <c r="M603" s="14"/>
      <c r="N603" s="14"/>
    </row>
    <row r="604">
      <c r="C604" s="60"/>
      <c r="D604" s="60"/>
      <c r="E604" s="60"/>
      <c r="K604" s="14"/>
      <c r="L604" s="14"/>
      <c r="M604" s="14"/>
      <c r="N604" s="14"/>
    </row>
    <row r="605">
      <c r="C605" s="60"/>
      <c r="D605" s="60"/>
      <c r="E605" s="60"/>
      <c r="K605" s="14"/>
      <c r="L605" s="14"/>
      <c r="M605" s="14"/>
      <c r="N605" s="14"/>
    </row>
    <row r="606">
      <c r="C606" s="60"/>
      <c r="D606" s="60"/>
      <c r="E606" s="60"/>
      <c r="K606" s="14"/>
      <c r="L606" s="14"/>
      <c r="M606" s="14"/>
      <c r="N606" s="14"/>
    </row>
    <row r="607">
      <c r="C607" s="60"/>
      <c r="D607" s="60"/>
      <c r="E607" s="60"/>
      <c r="K607" s="14"/>
      <c r="L607" s="14"/>
      <c r="M607" s="14"/>
      <c r="N607" s="14"/>
    </row>
    <row r="608">
      <c r="C608" s="60"/>
      <c r="D608" s="60"/>
      <c r="E608" s="60"/>
      <c r="K608" s="14"/>
      <c r="L608" s="14"/>
      <c r="M608" s="14"/>
      <c r="N608" s="14"/>
    </row>
    <row r="609">
      <c r="C609" s="60"/>
      <c r="D609" s="60"/>
      <c r="E609" s="60"/>
      <c r="K609" s="14"/>
      <c r="L609" s="14"/>
      <c r="M609" s="14"/>
      <c r="N609" s="14"/>
    </row>
    <row r="610">
      <c r="C610" s="60"/>
      <c r="D610" s="60"/>
      <c r="E610" s="60"/>
      <c r="K610" s="14"/>
      <c r="L610" s="14"/>
      <c r="M610" s="14"/>
      <c r="N610" s="14"/>
    </row>
    <row r="611">
      <c r="C611" s="60"/>
      <c r="D611" s="60"/>
      <c r="E611" s="60"/>
      <c r="K611" s="14"/>
      <c r="L611" s="14"/>
      <c r="M611" s="14"/>
      <c r="N611" s="14"/>
    </row>
    <row r="612">
      <c r="C612" s="60"/>
      <c r="D612" s="60"/>
      <c r="E612" s="60"/>
      <c r="K612" s="14"/>
      <c r="L612" s="14"/>
      <c r="M612" s="14"/>
      <c r="N612" s="14"/>
    </row>
    <row r="613">
      <c r="C613" s="60"/>
      <c r="D613" s="60"/>
      <c r="E613" s="60"/>
      <c r="K613" s="14"/>
      <c r="L613" s="14"/>
      <c r="M613" s="14"/>
      <c r="N613" s="14"/>
    </row>
    <row r="614">
      <c r="C614" s="60"/>
      <c r="D614" s="60"/>
      <c r="E614" s="60"/>
      <c r="K614" s="14"/>
      <c r="L614" s="14"/>
      <c r="M614" s="14"/>
      <c r="N614" s="14"/>
    </row>
    <row r="615">
      <c r="C615" s="60"/>
      <c r="D615" s="60"/>
      <c r="E615" s="60"/>
      <c r="K615" s="14"/>
      <c r="L615" s="14"/>
      <c r="M615" s="14"/>
      <c r="N615" s="14"/>
    </row>
    <row r="616">
      <c r="C616" s="60"/>
      <c r="D616" s="60"/>
      <c r="E616" s="60"/>
      <c r="K616" s="14"/>
      <c r="L616" s="14"/>
      <c r="M616" s="14"/>
      <c r="N616" s="14"/>
    </row>
    <row r="617">
      <c r="C617" s="60"/>
      <c r="D617" s="60"/>
      <c r="E617" s="60"/>
      <c r="K617" s="14"/>
      <c r="L617" s="14"/>
      <c r="M617" s="14"/>
      <c r="N617" s="14"/>
    </row>
    <row r="618">
      <c r="C618" s="60"/>
      <c r="D618" s="60"/>
      <c r="E618" s="60"/>
      <c r="K618" s="14"/>
      <c r="L618" s="14"/>
      <c r="M618" s="14"/>
      <c r="N618" s="14"/>
    </row>
    <row r="619">
      <c r="C619" s="60"/>
      <c r="D619" s="60"/>
      <c r="E619" s="60"/>
      <c r="K619" s="14"/>
      <c r="L619" s="14"/>
      <c r="M619" s="14"/>
      <c r="N619" s="14"/>
    </row>
    <row r="620">
      <c r="C620" s="60"/>
      <c r="D620" s="60"/>
      <c r="E620" s="60"/>
      <c r="K620" s="14"/>
      <c r="L620" s="14"/>
      <c r="M620" s="14"/>
      <c r="N620" s="14"/>
    </row>
    <row r="621">
      <c r="C621" s="60"/>
      <c r="D621" s="60"/>
      <c r="E621" s="60"/>
      <c r="K621" s="14"/>
      <c r="L621" s="14"/>
      <c r="M621" s="14"/>
      <c r="N621" s="14"/>
    </row>
    <row r="622">
      <c r="C622" s="60"/>
      <c r="D622" s="60"/>
      <c r="E622" s="60"/>
      <c r="K622" s="14"/>
      <c r="L622" s="14"/>
      <c r="M622" s="14"/>
      <c r="N622" s="14"/>
    </row>
    <row r="623">
      <c r="C623" s="60"/>
      <c r="D623" s="60"/>
      <c r="E623" s="60"/>
      <c r="K623" s="14"/>
      <c r="L623" s="14"/>
      <c r="M623" s="14"/>
      <c r="N623" s="14"/>
    </row>
    <row r="624">
      <c r="C624" s="60"/>
      <c r="D624" s="60"/>
      <c r="E624" s="60"/>
      <c r="K624" s="14"/>
      <c r="L624" s="14"/>
      <c r="M624" s="14"/>
      <c r="N624" s="14"/>
    </row>
    <row r="625">
      <c r="C625" s="60"/>
      <c r="D625" s="60"/>
      <c r="E625" s="60"/>
      <c r="K625" s="14"/>
      <c r="L625" s="14"/>
      <c r="M625" s="14"/>
      <c r="N625" s="14"/>
    </row>
    <row r="626">
      <c r="C626" s="60"/>
      <c r="D626" s="60"/>
      <c r="E626" s="60"/>
      <c r="K626" s="14"/>
      <c r="L626" s="14"/>
      <c r="M626" s="14"/>
      <c r="N626" s="14"/>
    </row>
    <row r="627">
      <c r="C627" s="60"/>
      <c r="D627" s="60"/>
      <c r="E627" s="60"/>
      <c r="K627" s="14"/>
      <c r="L627" s="14"/>
      <c r="M627" s="14"/>
      <c r="N627" s="14"/>
    </row>
    <row r="628">
      <c r="C628" s="60"/>
      <c r="D628" s="60"/>
      <c r="E628" s="60"/>
      <c r="K628" s="14"/>
      <c r="L628" s="14"/>
      <c r="M628" s="14"/>
      <c r="N628" s="14"/>
    </row>
    <row r="629">
      <c r="C629" s="60"/>
      <c r="D629" s="60"/>
      <c r="E629" s="60"/>
      <c r="K629" s="14"/>
      <c r="L629" s="14"/>
      <c r="M629" s="14"/>
      <c r="N629" s="14"/>
    </row>
    <row r="630">
      <c r="C630" s="60"/>
      <c r="D630" s="60"/>
      <c r="E630" s="60"/>
      <c r="K630" s="14"/>
      <c r="L630" s="14"/>
      <c r="M630" s="14"/>
      <c r="N630" s="14"/>
    </row>
    <row r="631">
      <c r="C631" s="60"/>
      <c r="D631" s="60"/>
      <c r="E631" s="60"/>
      <c r="K631" s="14"/>
      <c r="L631" s="14"/>
      <c r="M631" s="14"/>
      <c r="N631" s="14"/>
    </row>
    <row r="632">
      <c r="C632" s="60"/>
      <c r="D632" s="60"/>
      <c r="E632" s="60"/>
      <c r="K632" s="14"/>
      <c r="L632" s="14"/>
      <c r="M632" s="14"/>
      <c r="N632" s="14"/>
    </row>
    <row r="633">
      <c r="C633" s="60"/>
      <c r="D633" s="60"/>
      <c r="E633" s="60"/>
      <c r="K633" s="14"/>
      <c r="L633" s="14"/>
      <c r="M633" s="14"/>
      <c r="N633" s="14"/>
    </row>
    <row r="634">
      <c r="C634" s="60"/>
      <c r="D634" s="60"/>
      <c r="E634" s="60"/>
      <c r="K634" s="14"/>
      <c r="L634" s="14"/>
      <c r="M634" s="14"/>
      <c r="N634" s="14"/>
    </row>
    <row r="635">
      <c r="C635" s="60"/>
      <c r="D635" s="60"/>
      <c r="E635" s="60"/>
      <c r="K635" s="14"/>
      <c r="L635" s="14"/>
      <c r="M635" s="14"/>
      <c r="N635" s="14"/>
    </row>
    <row r="636">
      <c r="C636" s="60"/>
      <c r="D636" s="60"/>
      <c r="E636" s="60"/>
      <c r="K636" s="14"/>
      <c r="L636" s="14"/>
      <c r="M636" s="14"/>
      <c r="N636" s="14"/>
    </row>
    <row r="637">
      <c r="C637" s="60"/>
      <c r="D637" s="60"/>
      <c r="E637" s="60"/>
      <c r="K637" s="14"/>
      <c r="L637" s="14"/>
      <c r="M637" s="14"/>
      <c r="N637" s="14"/>
    </row>
    <row r="638">
      <c r="C638" s="60"/>
      <c r="D638" s="60"/>
      <c r="E638" s="60"/>
      <c r="K638" s="14"/>
      <c r="L638" s="14"/>
      <c r="M638" s="14"/>
      <c r="N638" s="14"/>
    </row>
    <row r="639">
      <c r="C639" s="60"/>
      <c r="D639" s="60"/>
      <c r="E639" s="60"/>
      <c r="K639" s="14"/>
      <c r="L639" s="14"/>
      <c r="M639" s="14"/>
      <c r="N639" s="14"/>
    </row>
    <row r="640">
      <c r="C640" s="60"/>
      <c r="D640" s="60"/>
      <c r="E640" s="60"/>
      <c r="K640" s="14"/>
      <c r="L640" s="14"/>
      <c r="M640" s="14"/>
      <c r="N640" s="14"/>
    </row>
    <row r="641">
      <c r="C641" s="60"/>
      <c r="D641" s="60"/>
      <c r="E641" s="60"/>
      <c r="K641" s="14"/>
      <c r="L641" s="14"/>
      <c r="M641" s="14"/>
      <c r="N641" s="14"/>
    </row>
    <row r="642">
      <c r="C642" s="60"/>
      <c r="D642" s="60"/>
      <c r="E642" s="60"/>
      <c r="K642" s="14"/>
      <c r="L642" s="14"/>
      <c r="M642" s="14"/>
      <c r="N642" s="14"/>
    </row>
    <row r="643">
      <c r="C643" s="60"/>
      <c r="D643" s="60"/>
      <c r="E643" s="60"/>
      <c r="K643" s="14"/>
      <c r="L643" s="14"/>
      <c r="M643" s="14"/>
      <c r="N643" s="14"/>
    </row>
    <row r="644">
      <c r="C644" s="60"/>
      <c r="D644" s="60"/>
      <c r="E644" s="60"/>
      <c r="K644" s="14"/>
      <c r="L644" s="14"/>
      <c r="M644" s="14"/>
      <c r="N644" s="14"/>
    </row>
    <row r="645">
      <c r="C645" s="60"/>
      <c r="D645" s="60"/>
      <c r="E645" s="60"/>
      <c r="K645" s="14"/>
      <c r="L645" s="14"/>
      <c r="M645" s="14"/>
      <c r="N645" s="14"/>
    </row>
    <row r="646">
      <c r="C646" s="60"/>
      <c r="D646" s="60"/>
      <c r="E646" s="60"/>
      <c r="K646" s="14"/>
      <c r="L646" s="14"/>
      <c r="M646" s="14"/>
      <c r="N646" s="14"/>
    </row>
    <row r="647">
      <c r="C647" s="60"/>
      <c r="D647" s="60"/>
      <c r="E647" s="60"/>
      <c r="K647" s="14"/>
      <c r="L647" s="14"/>
      <c r="M647" s="14"/>
      <c r="N647" s="14"/>
    </row>
    <row r="648">
      <c r="C648" s="60"/>
      <c r="D648" s="60"/>
      <c r="E648" s="60"/>
      <c r="K648" s="14"/>
      <c r="L648" s="14"/>
      <c r="M648" s="14"/>
      <c r="N648" s="14"/>
    </row>
    <row r="649">
      <c r="C649" s="60"/>
      <c r="D649" s="60"/>
      <c r="E649" s="60"/>
      <c r="K649" s="14"/>
      <c r="L649" s="14"/>
      <c r="M649" s="14"/>
      <c r="N649" s="14"/>
    </row>
    <row r="650">
      <c r="C650" s="60"/>
      <c r="D650" s="60"/>
      <c r="E650" s="60"/>
      <c r="K650" s="14"/>
      <c r="L650" s="14"/>
      <c r="M650" s="14"/>
      <c r="N650" s="14"/>
    </row>
    <row r="651">
      <c r="C651" s="60"/>
      <c r="D651" s="60"/>
      <c r="E651" s="60"/>
      <c r="K651" s="14"/>
      <c r="L651" s="14"/>
      <c r="M651" s="14"/>
      <c r="N651" s="14"/>
    </row>
    <row r="652">
      <c r="C652" s="60"/>
      <c r="D652" s="60"/>
      <c r="E652" s="60"/>
      <c r="K652" s="14"/>
      <c r="L652" s="14"/>
      <c r="M652" s="14"/>
      <c r="N652" s="14"/>
    </row>
    <row r="653">
      <c r="C653" s="60"/>
      <c r="D653" s="60"/>
      <c r="E653" s="60"/>
      <c r="K653" s="14"/>
      <c r="L653" s="14"/>
      <c r="M653" s="14"/>
      <c r="N653" s="14"/>
    </row>
    <row r="654">
      <c r="C654" s="60"/>
      <c r="D654" s="60"/>
      <c r="E654" s="60"/>
      <c r="K654" s="14"/>
      <c r="L654" s="14"/>
      <c r="M654" s="14"/>
      <c r="N654" s="14"/>
    </row>
    <row r="655">
      <c r="C655" s="60"/>
      <c r="D655" s="60"/>
      <c r="E655" s="60"/>
      <c r="K655" s="14"/>
      <c r="L655" s="14"/>
      <c r="M655" s="14"/>
      <c r="N655" s="14"/>
    </row>
    <row r="656">
      <c r="C656" s="60"/>
      <c r="D656" s="60"/>
      <c r="E656" s="60"/>
      <c r="K656" s="14"/>
      <c r="L656" s="14"/>
      <c r="M656" s="14"/>
      <c r="N656" s="14"/>
    </row>
    <row r="657">
      <c r="C657" s="60"/>
      <c r="D657" s="60"/>
      <c r="E657" s="60"/>
      <c r="K657" s="14"/>
      <c r="L657" s="14"/>
      <c r="M657" s="14"/>
      <c r="N657" s="14"/>
    </row>
    <row r="658">
      <c r="C658" s="60"/>
      <c r="D658" s="60"/>
      <c r="E658" s="60"/>
      <c r="K658" s="14"/>
      <c r="L658" s="14"/>
      <c r="M658" s="14"/>
      <c r="N658" s="14"/>
    </row>
    <row r="659">
      <c r="C659" s="60"/>
      <c r="D659" s="60"/>
      <c r="E659" s="60"/>
      <c r="K659" s="14"/>
      <c r="L659" s="14"/>
      <c r="M659" s="14"/>
      <c r="N659" s="14"/>
    </row>
    <row r="660">
      <c r="C660" s="60"/>
      <c r="D660" s="60"/>
      <c r="E660" s="60"/>
      <c r="K660" s="14"/>
      <c r="L660" s="14"/>
      <c r="M660" s="14"/>
      <c r="N660" s="14"/>
    </row>
    <row r="661">
      <c r="C661" s="60"/>
      <c r="D661" s="60"/>
      <c r="E661" s="60"/>
      <c r="K661" s="14"/>
      <c r="L661" s="14"/>
      <c r="M661" s="14"/>
      <c r="N661" s="14"/>
    </row>
    <row r="662">
      <c r="C662" s="60"/>
      <c r="D662" s="60"/>
      <c r="E662" s="60"/>
      <c r="K662" s="14"/>
      <c r="L662" s="14"/>
      <c r="M662" s="14"/>
      <c r="N662" s="14"/>
    </row>
    <row r="663">
      <c r="C663" s="60"/>
      <c r="D663" s="60"/>
      <c r="E663" s="60"/>
      <c r="K663" s="14"/>
      <c r="L663" s="14"/>
      <c r="M663" s="14"/>
      <c r="N663" s="14"/>
    </row>
    <row r="664">
      <c r="C664" s="60"/>
      <c r="D664" s="60"/>
      <c r="E664" s="60"/>
      <c r="K664" s="14"/>
      <c r="L664" s="14"/>
      <c r="M664" s="14"/>
      <c r="N664" s="14"/>
    </row>
    <row r="665">
      <c r="C665" s="60"/>
      <c r="D665" s="60"/>
      <c r="E665" s="60"/>
      <c r="K665" s="14"/>
      <c r="L665" s="14"/>
      <c r="M665" s="14"/>
      <c r="N665" s="14"/>
    </row>
    <row r="666">
      <c r="C666" s="60"/>
      <c r="D666" s="60"/>
      <c r="E666" s="60"/>
      <c r="K666" s="14"/>
      <c r="L666" s="14"/>
      <c r="M666" s="14"/>
      <c r="N666" s="14"/>
    </row>
    <row r="667">
      <c r="C667" s="60"/>
      <c r="D667" s="60"/>
      <c r="E667" s="60"/>
      <c r="K667" s="14"/>
      <c r="L667" s="14"/>
      <c r="M667" s="14"/>
      <c r="N667" s="14"/>
    </row>
    <row r="668">
      <c r="C668" s="60"/>
      <c r="D668" s="60"/>
      <c r="E668" s="60"/>
      <c r="K668" s="14"/>
      <c r="L668" s="14"/>
      <c r="M668" s="14"/>
      <c r="N668" s="14"/>
    </row>
    <row r="669">
      <c r="C669" s="60"/>
      <c r="D669" s="60"/>
      <c r="E669" s="60"/>
      <c r="K669" s="14"/>
      <c r="L669" s="14"/>
      <c r="M669" s="14"/>
      <c r="N669" s="14"/>
    </row>
    <row r="670">
      <c r="C670" s="60"/>
      <c r="D670" s="60"/>
      <c r="E670" s="60"/>
      <c r="K670" s="14"/>
      <c r="L670" s="14"/>
      <c r="M670" s="14"/>
      <c r="N670" s="14"/>
    </row>
    <row r="671">
      <c r="C671" s="60"/>
      <c r="D671" s="60"/>
      <c r="E671" s="60"/>
      <c r="K671" s="14"/>
      <c r="L671" s="14"/>
      <c r="M671" s="14"/>
      <c r="N671" s="14"/>
    </row>
    <row r="672">
      <c r="C672" s="60"/>
      <c r="D672" s="60"/>
      <c r="E672" s="60"/>
      <c r="K672" s="14"/>
      <c r="L672" s="14"/>
      <c r="M672" s="14"/>
      <c r="N672" s="14"/>
    </row>
    <row r="673">
      <c r="C673" s="60"/>
      <c r="D673" s="60"/>
      <c r="E673" s="60"/>
      <c r="K673" s="14"/>
      <c r="L673" s="14"/>
      <c r="M673" s="14"/>
      <c r="N673" s="14"/>
    </row>
    <row r="674">
      <c r="C674" s="60"/>
      <c r="D674" s="60"/>
      <c r="E674" s="60"/>
      <c r="K674" s="14"/>
      <c r="L674" s="14"/>
      <c r="M674" s="14"/>
      <c r="N674" s="14"/>
    </row>
    <row r="675">
      <c r="C675" s="60"/>
      <c r="D675" s="60"/>
      <c r="E675" s="60"/>
      <c r="K675" s="14"/>
      <c r="L675" s="14"/>
      <c r="M675" s="14"/>
      <c r="N675" s="14"/>
    </row>
    <row r="676">
      <c r="C676" s="60"/>
      <c r="D676" s="60"/>
      <c r="E676" s="60"/>
      <c r="K676" s="14"/>
      <c r="L676" s="14"/>
      <c r="M676" s="14"/>
      <c r="N676" s="14"/>
    </row>
    <row r="677">
      <c r="C677" s="60"/>
      <c r="D677" s="60"/>
      <c r="E677" s="60"/>
      <c r="K677" s="14"/>
      <c r="L677" s="14"/>
      <c r="M677" s="14"/>
      <c r="N677" s="14"/>
    </row>
    <row r="678">
      <c r="C678" s="60"/>
      <c r="D678" s="60"/>
      <c r="E678" s="60"/>
      <c r="K678" s="14"/>
      <c r="L678" s="14"/>
      <c r="M678" s="14"/>
      <c r="N678" s="14"/>
    </row>
    <row r="679">
      <c r="C679" s="60"/>
      <c r="D679" s="60"/>
      <c r="E679" s="60"/>
      <c r="K679" s="14"/>
      <c r="L679" s="14"/>
      <c r="M679" s="14"/>
      <c r="N679" s="14"/>
    </row>
    <row r="680">
      <c r="C680" s="60"/>
      <c r="D680" s="60"/>
      <c r="E680" s="60"/>
      <c r="K680" s="14"/>
      <c r="L680" s="14"/>
      <c r="M680" s="14"/>
      <c r="N680" s="14"/>
    </row>
    <row r="681">
      <c r="C681" s="60"/>
      <c r="D681" s="60"/>
      <c r="E681" s="60"/>
      <c r="K681" s="14"/>
      <c r="L681" s="14"/>
      <c r="M681" s="14"/>
      <c r="N681" s="14"/>
    </row>
    <row r="682">
      <c r="C682" s="60"/>
      <c r="D682" s="60"/>
      <c r="E682" s="60"/>
      <c r="K682" s="14"/>
      <c r="L682" s="14"/>
      <c r="M682" s="14"/>
      <c r="N682" s="14"/>
    </row>
    <row r="683">
      <c r="C683" s="60"/>
      <c r="D683" s="60"/>
      <c r="E683" s="60"/>
      <c r="K683" s="14"/>
      <c r="L683" s="14"/>
      <c r="M683" s="14"/>
      <c r="N683" s="14"/>
    </row>
    <row r="684">
      <c r="C684" s="60"/>
      <c r="D684" s="60"/>
      <c r="E684" s="60"/>
      <c r="K684" s="14"/>
      <c r="L684" s="14"/>
      <c r="M684" s="14"/>
      <c r="N684" s="14"/>
    </row>
    <row r="685">
      <c r="C685" s="60"/>
      <c r="D685" s="60"/>
      <c r="E685" s="60"/>
      <c r="K685" s="14"/>
      <c r="L685" s="14"/>
      <c r="M685" s="14"/>
      <c r="N685" s="14"/>
    </row>
    <row r="686">
      <c r="C686" s="60"/>
      <c r="D686" s="60"/>
      <c r="E686" s="60"/>
      <c r="K686" s="14"/>
      <c r="L686" s="14"/>
      <c r="M686" s="14"/>
      <c r="N686" s="14"/>
    </row>
    <row r="687">
      <c r="C687" s="60"/>
      <c r="D687" s="60"/>
      <c r="E687" s="60"/>
      <c r="K687" s="14"/>
      <c r="L687" s="14"/>
      <c r="M687" s="14"/>
      <c r="N687" s="14"/>
    </row>
    <row r="688">
      <c r="C688" s="60"/>
      <c r="D688" s="60"/>
      <c r="E688" s="60"/>
      <c r="K688" s="14"/>
      <c r="L688" s="14"/>
      <c r="M688" s="14"/>
      <c r="N688" s="14"/>
    </row>
    <row r="689">
      <c r="C689" s="60"/>
      <c r="D689" s="60"/>
      <c r="E689" s="60"/>
      <c r="K689" s="14"/>
      <c r="L689" s="14"/>
      <c r="M689" s="14"/>
      <c r="N689" s="14"/>
    </row>
    <row r="690">
      <c r="C690" s="60"/>
      <c r="D690" s="60"/>
      <c r="E690" s="60"/>
      <c r="K690" s="14"/>
      <c r="L690" s="14"/>
      <c r="M690" s="14"/>
      <c r="N690" s="14"/>
    </row>
    <row r="691">
      <c r="C691" s="60"/>
      <c r="D691" s="60"/>
      <c r="E691" s="60"/>
      <c r="K691" s="14"/>
      <c r="L691" s="14"/>
      <c r="M691" s="14"/>
      <c r="N691" s="14"/>
    </row>
    <row r="692">
      <c r="C692" s="60"/>
      <c r="D692" s="60"/>
      <c r="E692" s="60"/>
      <c r="K692" s="14"/>
      <c r="L692" s="14"/>
      <c r="M692" s="14"/>
      <c r="N692" s="14"/>
    </row>
    <row r="693">
      <c r="C693" s="60"/>
      <c r="D693" s="60"/>
      <c r="E693" s="60"/>
      <c r="K693" s="14"/>
      <c r="L693" s="14"/>
      <c r="M693" s="14"/>
      <c r="N693" s="14"/>
    </row>
    <row r="694">
      <c r="C694" s="60"/>
      <c r="D694" s="60"/>
      <c r="E694" s="60"/>
      <c r="K694" s="14"/>
      <c r="L694" s="14"/>
      <c r="M694" s="14"/>
      <c r="N694" s="14"/>
    </row>
    <row r="695">
      <c r="C695" s="60"/>
      <c r="D695" s="60"/>
      <c r="E695" s="60"/>
      <c r="K695" s="14"/>
      <c r="L695" s="14"/>
      <c r="M695" s="14"/>
      <c r="N695" s="14"/>
    </row>
    <row r="696">
      <c r="C696" s="60"/>
      <c r="D696" s="60"/>
      <c r="E696" s="60"/>
      <c r="K696" s="14"/>
      <c r="L696" s="14"/>
      <c r="M696" s="14"/>
      <c r="N696" s="14"/>
    </row>
    <row r="697">
      <c r="C697" s="60"/>
      <c r="D697" s="60"/>
      <c r="E697" s="60"/>
      <c r="K697" s="14"/>
      <c r="L697" s="14"/>
      <c r="M697" s="14"/>
      <c r="N697" s="14"/>
    </row>
    <row r="698">
      <c r="C698" s="60"/>
      <c r="D698" s="60"/>
      <c r="E698" s="60"/>
      <c r="K698" s="14"/>
      <c r="L698" s="14"/>
      <c r="M698" s="14"/>
      <c r="N698" s="14"/>
    </row>
    <row r="699">
      <c r="C699" s="60"/>
      <c r="D699" s="60"/>
      <c r="E699" s="60"/>
      <c r="K699" s="14"/>
      <c r="L699" s="14"/>
      <c r="M699" s="14"/>
      <c r="N699" s="14"/>
    </row>
    <row r="700">
      <c r="C700" s="60"/>
      <c r="D700" s="60"/>
      <c r="E700" s="60"/>
      <c r="K700" s="14"/>
      <c r="L700" s="14"/>
      <c r="M700" s="14"/>
      <c r="N700" s="14"/>
    </row>
    <row r="701">
      <c r="C701" s="60"/>
      <c r="D701" s="60"/>
      <c r="E701" s="60"/>
      <c r="K701" s="14"/>
      <c r="L701" s="14"/>
      <c r="M701" s="14"/>
      <c r="N701" s="14"/>
    </row>
    <row r="702">
      <c r="C702" s="60"/>
      <c r="D702" s="60"/>
      <c r="E702" s="60"/>
      <c r="K702" s="14"/>
      <c r="L702" s="14"/>
      <c r="M702" s="14"/>
      <c r="N702" s="14"/>
    </row>
    <row r="703">
      <c r="C703" s="60"/>
      <c r="D703" s="60"/>
      <c r="E703" s="60"/>
      <c r="K703" s="14"/>
      <c r="L703" s="14"/>
      <c r="M703" s="14"/>
      <c r="N703" s="14"/>
    </row>
    <row r="704">
      <c r="C704" s="60"/>
      <c r="D704" s="60"/>
      <c r="E704" s="60"/>
      <c r="K704" s="14"/>
      <c r="L704" s="14"/>
      <c r="M704" s="14"/>
      <c r="N704" s="14"/>
    </row>
    <row r="705">
      <c r="C705" s="60"/>
      <c r="D705" s="60"/>
      <c r="E705" s="60"/>
      <c r="K705" s="14"/>
      <c r="L705" s="14"/>
      <c r="M705" s="14"/>
      <c r="N705" s="14"/>
    </row>
    <row r="706">
      <c r="C706" s="60"/>
      <c r="D706" s="60"/>
      <c r="E706" s="60"/>
      <c r="K706" s="14"/>
      <c r="L706" s="14"/>
      <c r="M706" s="14"/>
      <c r="N706" s="14"/>
    </row>
    <row r="707">
      <c r="C707" s="60"/>
      <c r="D707" s="60"/>
      <c r="E707" s="60"/>
      <c r="K707" s="14"/>
      <c r="L707" s="14"/>
      <c r="M707" s="14"/>
      <c r="N707" s="14"/>
    </row>
    <row r="708">
      <c r="C708" s="60"/>
      <c r="D708" s="60"/>
      <c r="E708" s="60"/>
      <c r="K708" s="14"/>
      <c r="L708" s="14"/>
      <c r="M708" s="14"/>
      <c r="N708" s="14"/>
    </row>
    <row r="709">
      <c r="C709" s="60"/>
      <c r="D709" s="60"/>
      <c r="E709" s="60"/>
      <c r="K709" s="14"/>
      <c r="L709" s="14"/>
      <c r="M709" s="14"/>
      <c r="N709" s="14"/>
    </row>
    <row r="710">
      <c r="C710" s="60"/>
      <c r="D710" s="60"/>
      <c r="E710" s="60"/>
      <c r="K710" s="14"/>
      <c r="L710" s="14"/>
      <c r="M710" s="14"/>
      <c r="N710" s="14"/>
    </row>
    <row r="711">
      <c r="C711" s="60"/>
      <c r="D711" s="60"/>
      <c r="E711" s="60"/>
      <c r="K711" s="14"/>
      <c r="L711" s="14"/>
      <c r="M711" s="14"/>
      <c r="N711" s="14"/>
    </row>
    <row r="712">
      <c r="C712" s="60"/>
      <c r="D712" s="60"/>
      <c r="E712" s="60"/>
      <c r="K712" s="14"/>
      <c r="L712" s="14"/>
      <c r="M712" s="14"/>
      <c r="N712" s="14"/>
    </row>
    <row r="713">
      <c r="C713" s="60"/>
      <c r="D713" s="60"/>
      <c r="E713" s="60"/>
      <c r="K713" s="14"/>
      <c r="L713" s="14"/>
      <c r="M713" s="14"/>
      <c r="N713" s="14"/>
    </row>
    <row r="714">
      <c r="C714" s="60"/>
      <c r="D714" s="60"/>
      <c r="E714" s="60"/>
      <c r="K714" s="14"/>
      <c r="L714" s="14"/>
      <c r="M714" s="14"/>
      <c r="N714" s="14"/>
    </row>
    <row r="715">
      <c r="C715" s="60"/>
      <c r="D715" s="60"/>
      <c r="E715" s="60"/>
      <c r="K715" s="14"/>
      <c r="L715" s="14"/>
      <c r="M715" s="14"/>
      <c r="N715" s="14"/>
    </row>
    <row r="716">
      <c r="C716" s="60"/>
      <c r="D716" s="60"/>
      <c r="E716" s="60"/>
      <c r="K716" s="14"/>
      <c r="L716" s="14"/>
      <c r="M716" s="14"/>
      <c r="N716" s="14"/>
    </row>
    <row r="717">
      <c r="C717" s="60"/>
      <c r="D717" s="60"/>
      <c r="E717" s="60"/>
      <c r="K717" s="14"/>
      <c r="L717" s="14"/>
      <c r="M717" s="14"/>
      <c r="N717" s="14"/>
    </row>
    <row r="718">
      <c r="C718" s="60"/>
      <c r="D718" s="60"/>
      <c r="E718" s="60"/>
      <c r="K718" s="14"/>
      <c r="L718" s="14"/>
      <c r="M718" s="14"/>
      <c r="N718" s="14"/>
    </row>
    <row r="719">
      <c r="C719" s="60"/>
      <c r="D719" s="60"/>
      <c r="E719" s="60"/>
      <c r="K719" s="14"/>
      <c r="L719" s="14"/>
      <c r="M719" s="14"/>
      <c r="N719" s="14"/>
    </row>
    <row r="720">
      <c r="C720" s="60"/>
      <c r="D720" s="60"/>
      <c r="E720" s="60"/>
      <c r="K720" s="14"/>
      <c r="L720" s="14"/>
      <c r="M720" s="14"/>
      <c r="N720" s="14"/>
    </row>
    <row r="721">
      <c r="C721" s="60"/>
      <c r="D721" s="60"/>
      <c r="E721" s="60"/>
      <c r="K721" s="14"/>
      <c r="L721" s="14"/>
      <c r="M721" s="14"/>
      <c r="N721" s="14"/>
    </row>
    <row r="722">
      <c r="C722" s="60"/>
      <c r="D722" s="60"/>
      <c r="E722" s="60"/>
      <c r="K722" s="14"/>
      <c r="L722" s="14"/>
      <c r="M722" s="14"/>
      <c r="N722" s="14"/>
    </row>
    <row r="723">
      <c r="C723" s="60"/>
      <c r="D723" s="60"/>
      <c r="E723" s="60"/>
      <c r="K723" s="14"/>
      <c r="L723" s="14"/>
      <c r="M723" s="14"/>
      <c r="N723" s="14"/>
    </row>
    <row r="724">
      <c r="C724" s="60"/>
      <c r="D724" s="60"/>
      <c r="E724" s="60"/>
      <c r="K724" s="14"/>
      <c r="L724" s="14"/>
      <c r="M724" s="14"/>
      <c r="N724" s="14"/>
    </row>
    <row r="725">
      <c r="C725" s="60"/>
      <c r="D725" s="60"/>
      <c r="E725" s="60"/>
      <c r="K725" s="14"/>
      <c r="L725" s="14"/>
      <c r="M725" s="14"/>
      <c r="N725" s="14"/>
    </row>
    <row r="726">
      <c r="C726" s="60"/>
      <c r="D726" s="60"/>
      <c r="E726" s="60"/>
      <c r="K726" s="14"/>
      <c r="L726" s="14"/>
      <c r="M726" s="14"/>
      <c r="N726" s="14"/>
    </row>
    <row r="727">
      <c r="C727" s="60"/>
      <c r="D727" s="60"/>
      <c r="E727" s="60"/>
      <c r="K727" s="14"/>
      <c r="L727" s="14"/>
      <c r="M727" s="14"/>
      <c r="N727" s="14"/>
    </row>
    <row r="728">
      <c r="C728" s="60"/>
      <c r="D728" s="60"/>
      <c r="E728" s="60"/>
      <c r="K728" s="14"/>
      <c r="L728" s="14"/>
      <c r="M728" s="14"/>
      <c r="N728" s="14"/>
    </row>
    <row r="729">
      <c r="C729" s="60"/>
      <c r="D729" s="60"/>
      <c r="E729" s="60"/>
      <c r="K729" s="14"/>
      <c r="L729" s="14"/>
      <c r="M729" s="14"/>
      <c r="N729" s="14"/>
    </row>
    <row r="730">
      <c r="C730" s="60"/>
      <c r="D730" s="60"/>
      <c r="E730" s="60"/>
      <c r="K730" s="14"/>
      <c r="L730" s="14"/>
      <c r="M730" s="14"/>
      <c r="N730" s="14"/>
    </row>
    <row r="731">
      <c r="C731" s="60"/>
      <c r="D731" s="60"/>
      <c r="E731" s="60"/>
      <c r="K731" s="14"/>
      <c r="L731" s="14"/>
      <c r="M731" s="14"/>
      <c r="N731" s="14"/>
    </row>
    <row r="732">
      <c r="C732" s="60"/>
      <c r="D732" s="60"/>
      <c r="E732" s="60"/>
      <c r="K732" s="14"/>
      <c r="L732" s="14"/>
      <c r="M732" s="14"/>
      <c r="N732" s="14"/>
    </row>
    <row r="733">
      <c r="C733" s="60"/>
      <c r="D733" s="60"/>
      <c r="E733" s="60"/>
      <c r="K733" s="14"/>
      <c r="L733" s="14"/>
      <c r="M733" s="14"/>
      <c r="N733" s="14"/>
    </row>
    <row r="734">
      <c r="C734" s="60"/>
      <c r="D734" s="60"/>
      <c r="E734" s="60"/>
      <c r="K734" s="14"/>
      <c r="L734" s="14"/>
      <c r="M734" s="14"/>
      <c r="N734" s="14"/>
    </row>
    <row r="735">
      <c r="C735" s="60"/>
      <c r="D735" s="60"/>
      <c r="E735" s="60"/>
      <c r="K735" s="14"/>
      <c r="L735" s="14"/>
      <c r="M735" s="14"/>
      <c r="N735" s="14"/>
    </row>
    <row r="736">
      <c r="C736" s="60"/>
      <c r="D736" s="60"/>
      <c r="E736" s="60"/>
      <c r="K736" s="14"/>
      <c r="L736" s="14"/>
      <c r="M736" s="14"/>
      <c r="N736" s="14"/>
    </row>
    <row r="737">
      <c r="C737" s="60"/>
      <c r="D737" s="60"/>
      <c r="E737" s="60"/>
      <c r="K737" s="14"/>
      <c r="L737" s="14"/>
      <c r="M737" s="14"/>
      <c r="N737" s="14"/>
    </row>
    <row r="738">
      <c r="C738" s="60"/>
      <c r="D738" s="60"/>
      <c r="E738" s="60"/>
      <c r="K738" s="14"/>
      <c r="L738" s="14"/>
      <c r="M738" s="14"/>
      <c r="N738" s="14"/>
    </row>
    <row r="739">
      <c r="C739" s="60"/>
      <c r="D739" s="60"/>
      <c r="E739" s="60"/>
      <c r="K739" s="14"/>
      <c r="L739" s="14"/>
      <c r="M739" s="14"/>
      <c r="N739" s="14"/>
    </row>
    <row r="740">
      <c r="C740" s="60"/>
      <c r="D740" s="60"/>
      <c r="E740" s="60"/>
      <c r="K740" s="14"/>
      <c r="L740" s="14"/>
      <c r="M740" s="14"/>
      <c r="N740" s="14"/>
    </row>
    <row r="741">
      <c r="C741" s="60"/>
      <c r="D741" s="60"/>
      <c r="E741" s="60"/>
      <c r="K741" s="14"/>
      <c r="L741" s="14"/>
      <c r="M741" s="14"/>
      <c r="N741" s="14"/>
    </row>
    <row r="742">
      <c r="C742" s="60"/>
      <c r="D742" s="60"/>
      <c r="E742" s="60"/>
      <c r="K742" s="14"/>
      <c r="L742" s="14"/>
      <c r="M742" s="14"/>
      <c r="N742" s="14"/>
    </row>
    <row r="743">
      <c r="C743" s="60"/>
      <c r="D743" s="60"/>
      <c r="E743" s="60"/>
      <c r="K743" s="14"/>
      <c r="L743" s="14"/>
      <c r="M743" s="14"/>
      <c r="N743" s="14"/>
    </row>
    <row r="744">
      <c r="C744" s="60"/>
      <c r="D744" s="60"/>
      <c r="E744" s="60"/>
      <c r="K744" s="14"/>
      <c r="L744" s="14"/>
      <c r="M744" s="14"/>
      <c r="N744" s="14"/>
    </row>
    <row r="745">
      <c r="C745" s="60"/>
      <c r="D745" s="60"/>
      <c r="E745" s="60"/>
      <c r="K745" s="14"/>
      <c r="L745" s="14"/>
      <c r="M745" s="14"/>
      <c r="N745" s="14"/>
    </row>
    <row r="746">
      <c r="C746" s="60"/>
      <c r="D746" s="60"/>
      <c r="E746" s="60"/>
      <c r="K746" s="14"/>
      <c r="L746" s="14"/>
      <c r="M746" s="14"/>
      <c r="N746" s="14"/>
    </row>
    <row r="747">
      <c r="C747" s="60"/>
      <c r="D747" s="60"/>
      <c r="E747" s="60"/>
      <c r="K747" s="14"/>
      <c r="L747" s="14"/>
      <c r="M747" s="14"/>
      <c r="N747" s="14"/>
    </row>
    <row r="748">
      <c r="C748" s="60"/>
      <c r="D748" s="60"/>
      <c r="E748" s="60"/>
      <c r="K748" s="14"/>
      <c r="L748" s="14"/>
      <c r="M748" s="14"/>
      <c r="N748" s="14"/>
    </row>
    <row r="749">
      <c r="C749" s="60"/>
      <c r="D749" s="60"/>
      <c r="E749" s="60"/>
      <c r="K749" s="14"/>
      <c r="L749" s="14"/>
      <c r="M749" s="14"/>
      <c r="N749" s="14"/>
    </row>
    <row r="750">
      <c r="C750" s="60"/>
      <c r="D750" s="60"/>
      <c r="E750" s="60"/>
      <c r="K750" s="14"/>
      <c r="L750" s="14"/>
      <c r="M750" s="14"/>
      <c r="N750" s="14"/>
    </row>
    <row r="751">
      <c r="C751" s="60"/>
      <c r="D751" s="60"/>
      <c r="E751" s="60"/>
      <c r="K751" s="14"/>
      <c r="L751" s="14"/>
      <c r="M751" s="14"/>
      <c r="N751" s="14"/>
    </row>
    <row r="752">
      <c r="C752" s="60"/>
      <c r="D752" s="60"/>
      <c r="E752" s="60"/>
      <c r="K752" s="14"/>
      <c r="L752" s="14"/>
      <c r="M752" s="14"/>
      <c r="N752" s="14"/>
    </row>
    <row r="753">
      <c r="C753" s="60"/>
      <c r="D753" s="60"/>
      <c r="E753" s="60"/>
      <c r="K753" s="14"/>
      <c r="L753" s="14"/>
      <c r="M753" s="14"/>
      <c r="N753" s="14"/>
    </row>
    <row r="754">
      <c r="C754" s="60"/>
      <c r="D754" s="60"/>
      <c r="E754" s="60"/>
      <c r="K754" s="14"/>
      <c r="L754" s="14"/>
      <c r="M754" s="14"/>
      <c r="N754" s="14"/>
    </row>
    <row r="755">
      <c r="C755" s="60"/>
      <c r="D755" s="60"/>
      <c r="E755" s="60"/>
      <c r="K755" s="14"/>
      <c r="L755" s="14"/>
      <c r="M755" s="14"/>
      <c r="N755" s="14"/>
    </row>
    <row r="756">
      <c r="C756" s="60"/>
      <c r="D756" s="60"/>
      <c r="E756" s="60"/>
      <c r="K756" s="14"/>
      <c r="L756" s="14"/>
      <c r="M756" s="14"/>
      <c r="N756" s="14"/>
    </row>
    <row r="757">
      <c r="C757" s="60"/>
      <c r="D757" s="60"/>
      <c r="E757" s="60"/>
      <c r="K757" s="14"/>
      <c r="L757" s="14"/>
      <c r="M757" s="14"/>
      <c r="N757" s="14"/>
    </row>
    <row r="758">
      <c r="C758" s="60"/>
      <c r="D758" s="60"/>
      <c r="E758" s="60"/>
      <c r="K758" s="14"/>
      <c r="L758" s="14"/>
      <c r="M758" s="14"/>
      <c r="N758" s="14"/>
    </row>
    <row r="759">
      <c r="C759" s="60"/>
      <c r="D759" s="60"/>
      <c r="E759" s="60"/>
      <c r="K759" s="14"/>
      <c r="L759" s="14"/>
      <c r="M759" s="14"/>
      <c r="N759" s="14"/>
    </row>
    <row r="760">
      <c r="C760" s="60"/>
      <c r="D760" s="60"/>
      <c r="E760" s="60"/>
      <c r="K760" s="14"/>
      <c r="L760" s="14"/>
      <c r="M760" s="14"/>
      <c r="N760" s="14"/>
    </row>
    <row r="761">
      <c r="C761" s="60"/>
      <c r="D761" s="60"/>
      <c r="E761" s="60"/>
      <c r="K761" s="14"/>
      <c r="L761" s="14"/>
      <c r="M761" s="14"/>
      <c r="N761" s="14"/>
    </row>
    <row r="762">
      <c r="C762" s="60"/>
      <c r="D762" s="60"/>
      <c r="E762" s="60"/>
      <c r="K762" s="14"/>
      <c r="L762" s="14"/>
      <c r="M762" s="14"/>
      <c r="N762" s="14"/>
    </row>
    <row r="763">
      <c r="C763" s="60"/>
      <c r="D763" s="60"/>
      <c r="E763" s="60"/>
      <c r="K763" s="14"/>
      <c r="L763" s="14"/>
      <c r="M763" s="14"/>
      <c r="N763" s="14"/>
    </row>
    <row r="764">
      <c r="C764" s="60"/>
      <c r="D764" s="60"/>
      <c r="E764" s="60"/>
      <c r="K764" s="14"/>
      <c r="L764" s="14"/>
      <c r="M764" s="14"/>
      <c r="N764" s="14"/>
    </row>
    <row r="765">
      <c r="C765" s="60"/>
      <c r="D765" s="60"/>
      <c r="E765" s="60"/>
      <c r="K765" s="14"/>
      <c r="L765" s="14"/>
      <c r="M765" s="14"/>
      <c r="N765" s="14"/>
    </row>
    <row r="766">
      <c r="C766" s="60"/>
      <c r="D766" s="60"/>
      <c r="E766" s="60"/>
      <c r="K766" s="14"/>
      <c r="L766" s="14"/>
      <c r="M766" s="14"/>
      <c r="N766" s="14"/>
    </row>
    <row r="767">
      <c r="C767" s="60"/>
      <c r="D767" s="60"/>
      <c r="E767" s="60"/>
      <c r="K767" s="14"/>
      <c r="L767" s="14"/>
      <c r="M767" s="14"/>
      <c r="N767" s="14"/>
    </row>
    <row r="768">
      <c r="C768" s="60"/>
      <c r="D768" s="60"/>
      <c r="E768" s="60"/>
      <c r="K768" s="14"/>
      <c r="L768" s="14"/>
      <c r="M768" s="14"/>
      <c r="N768" s="14"/>
    </row>
    <row r="769">
      <c r="C769" s="60"/>
      <c r="D769" s="60"/>
      <c r="E769" s="60"/>
      <c r="K769" s="14"/>
      <c r="L769" s="14"/>
      <c r="M769" s="14"/>
      <c r="N769" s="14"/>
    </row>
    <row r="770">
      <c r="C770" s="60"/>
      <c r="D770" s="60"/>
      <c r="E770" s="60"/>
      <c r="K770" s="14"/>
      <c r="L770" s="14"/>
      <c r="M770" s="14"/>
      <c r="N770" s="14"/>
    </row>
    <row r="771">
      <c r="C771" s="60"/>
      <c r="D771" s="60"/>
      <c r="E771" s="60"/>
      <c r="K771" s="14"/>
      <c r="L771" s="14"/>
      <c r="M771" s="14"/>
      <c r="N771" s="14"/>
    </row>
    <row r="772">
      <c r="C772" s="60"/>
      <c r="D772" s="60"/>
      <c r="E772" s="60"/>
      <c r="K772" s="14"/>
      <c r="L772" s="14"/>
      <c r="M772" s="14"/>
      <c r="N772" s="14"/>
    </row>
    <row r="773">
      <c r="C773" s="60"/>
      <c r="D773" s="60"/>
      <c r="E773" s="60"/>
      <c r="K773" s="14"/>
      <c r="L773" s="14"/>
      <c r="M773" s="14"/>
      <c r="N773" s="14"/>
    </row>
    <row r="774">
      <c r="C774" s="60"/>
      <c r="D774" s="60"/>
      <c r="E774" s="60"/>
      <c r="K774" s="14"/>
      <c r="L774" s="14"/>
      <c r="M774" s="14"/>
      <c r="N774" s="14"/>
    </row>
    <row r="775">
      <c r="C775" s="60"/>
      <c r="D775" s="60"/>
      <c r="E775" s="60"/>
      <c r="K775" s="14"/>
      <c r="L775" s="14"/>
      <c r="M775" s="14"/>
      <c r="N775" s="14"/>
    </row>
    <row r="776">
      <c r="C776" s="60"/>
      <c r="D776" s="60"/>
      <c r="E776" s="60"/>
      <c r="K776" s="14"/>
      <c r="L776" s="14"/>
      <c r="M776" s="14"/>
      <c r="N776" s="14"/>
    </row>
    <row r="777">
      <c r="C777" s="60"/>
      <c r="D777" s="60"/>
      <c r="E777" s="60"/>
      <c r="K777" s="14"/>
      <c r="L777" s="14"/>
      <c r="M777" s="14"/>
      <c r="N777" s="14"/>
    </row>
    <row r="778">
      <c r="C778" s="60"/>
      <c r="D778" s="60"/>
      <c r="E778" s="60"/>
      <c r="K778" s="14"/>
      <c r="L778" s="14"/>
      <c r="M778" s="14"/>
      <c r="N778" s="14"/>
    </row>
    <row r="779">
      <c r="C779" s="60"/>
      <c r="D779" s="60"/>
      <c r="E779" s="60"/>
      <c r="K779" s="14"/>
      <c r="L779" s="14"/>
      <c r="M779" s="14"/>
      <c r="N779" s="14"/>
    </row>
    <row r="780">
      <c r="C780" s="60"/>
      <c r="D780" s="60"/>
      <c r="E780" s="60"/>
      <c r="K780" s="14"/>
      <c r="L780" s="14"/>
      <c r="M780" s="14"/>
      <c r="N780" s="14"/>
    </row>
    <row r="781">
      <c r="C781" s="60"/>
      <c r="D781" s="60"/>
      <c r="E781" s="60"/>
      <c r="K781" s="14"/>
      <c r="L781" s="14"/>
      <c r="M781" s="14"/>
      <c r="N781" s="14"/>
    </row>
    <row r="782">
      <c r="C782" s="60"/>
      <c r="D782" s="60"/>
      <c r="E782" s="60"/>
      <c r="K782" s="14"/>
      <c r="L782" s="14"/>
      <c r="M782" s="14"/>
      <c r="N782" s="14"/>
    </row>
    <row r="783">
      <c r="C783" s="60"/>
      <c r="D783" s="60"/>
      <c r="E783" s="60"/>
      <c r="K783" s="14"/>
      <c r="L783" s="14"/>
      <c r="M783" s="14"/>
      <c r="N783" s="14"/>
    </row>
    <row r="784">
      <c r="C784" s="60"/>
      <c r="D784" s="60"/>
      <c r="E784" s="60"/>
      <c r="K784" s="14"/>
      <c r="L784" s="14"/>
      <c r="M784" s="14"/>
      <c r="N784" s="14"/>
    </row>
    <row r="785">
      <c r="C785" s="60"/>
      <c r="D785" s="60"/>
      <c r="E785" s="60"/>
      <c r="K785" s="14"/>
      <c r="L785" s="14"/>
      <c r="M785" s="14"/>
      <c r="N785" s="14"/>
    </row>
    <row r="786">
      <c r="C786" s="60"/>
      <c r="D786" s="60"/>
      <c r="E786" s="60"/>
      <c r="K786" s="14"/>
      <c r="L786" s="14"/>
      <c r="M786" s="14"/>
      <c r="N786" s="14"/>
    </row>
    <row r="787">
      <c r="C787" s="60"/>
      <c r="D787" s="60"/>
      <c r="E787" s="60"/>
      <c r="K787" s="14"/>
      <c r="L787" s="14"/>
      <c r="M787" s="14"/>
      <c r="N787" s="14"/>
    </row>
    <row r="788">
      <c r="C788" s="60"/>
      <c r="D788" s="60"/>
      <c r="E788" s="60"/>
      <c r="K788" s="14"/>
      <c r="L788" s="14"/>
      <c r="M788" s="14"/>
      <c r="N788" s="14"/>
    </row>
    <row r="789">
      <c r="C789" s="60"/>
      <c r="D789" s="60"/>
      <c r="E789" s="60"/>
      <c r="K789" s="14"/>
      <c r="L789" s="14"/>
      <c r="M789" s="14"/>
      <c r="N789" s="14"/>
    </row>
    <row r="790">
      <c r="C790" s="60"/>
      <c r="D790" s="60"/>
      <c r="E790" s="60"/>
      <c r="K790" s="14"/>
      <c r="L790" s="14"/>
      <c r="M790" s="14"/>
      <c r="N790" s="14"/>
    </row>
    <row r="791">
      <c r="C791" s="60"/>
      <c r="D791" s="60"/>
      <c r="E791" s="60"/>
      <c r="K791" s="14"/>
      <c r="L791" s="14"/>
      <c r="M791" s="14"/>
      <c r="N791" s="14"/>
    </row>
    <row r="792">
      <c r="C792" s="60"/>
      <c r="D792" s="60"/>
      <c r="E792" s="60"/>
      <c r="K792" s="14"/>
      <c r="L792" s="14"/>
      <c r="M792" s="14"/>
      <c r="N792" s="14"/>
    </row>
    <row r="793">
      <c r="C793" s="60"/>
      <c r="D793" s="60"/>
      <c r="E793" s="60"/>
      <c r="K793" s="14"/>
      <c r="L793" s="14"/>
      <c r="M793" s="14"/>
      <c r="N793" s="14"/>
    </row>
    <row r="794">
      <c r="C794" s="60"/>
      <c r="D794" s="60"/>
      <c r="E794" s="60"/>
      <c r="K794" s="14"/>
      <c r="L794" s="14"/>
      <c r="M794" s="14"/>
      <c r="N794" s="14"/>
    </row>
    <row r="795">
      <c r="C795" s="60"/>
      <c r="D795" s="60"/>
      <c r="E795" s="60"/>
      <c r="K795" s="14"/>
      <c r="L795" s="14"/>
      <c r="M795" s="14"/>
      <c r="N795" s="14"/>
    </row>
    <row r="796">
      <c r="C796" s="60"/>
      <c r="D796" s="60"/>
      <c r="E796" s="60"/>
      <c r="K796" s="14"/>
      <c r="L796" s="14"/>
      <c r="M796" s="14"/>
      <c r="N796" s="14"/>
    </row>
    <row r="797">
      <c r="C797" s="60"/>
      <c r="D797" s="60"/>
      <c r="E797" s="60"/>
      <c r="K797" s="14"/>
      <c r="L797" s="14"/>
      <c r="M797" s="14"/>
      <c r="N797" s="14"/>
    </row>
    <row r="798">
      <c r="C798" s="60"/>
      <c r="D798" s="60"/>
      <c r="E798" s="60"/>
      <c r="K798" s="14"/>
      <c r="L798" s="14"/>
      <c r="M798" s="14"/>
      <c r="N798" s="14"/>
    </row>
    <row r="799">
      <c r="C799" s="60"/>
      <c r="D799" s="60"/>
      <c r="E799" s="60"/>
      <c r="K799" s="14"/>
      <c r="L799" s="14"/>
      <c r="M799" s="14"/>
      <c r="N799" s="14"/>
    </row>
    <row r="800">
      <c r="C800" s="60"/>
      <c r="D800" s="60"/>
      <c r="E800" s="60"/>
      <c r="K800" s="14"/>
      <c r="L800" s="14"/>
      <c r="M800" s="14"/>
      <c r="N800" s="14"/>
    </row>
    <row r="801">
      <c r="C801" s="60"/>
      <c r="D801" s="60"/>
      <c r="E801" s="60"/>
      <c r="K801" s="14"/>
      <c r="L801" s="14"/>
      <c r="M801" s="14"/>
      <c r="N801" s="14"/>
    </row>
    <row r="802">
      <c r="C802" s="60"/>
      <c r="D802" s="60"/>
      <c r="E802" s="60"/>
      <c r="K802" s="14"/>
      <c r="L802" s="14"/>
      <c r="M802" s="14"/>
      <c r="N802" s="14"/>
    </row>
    <row r="803">
      <c r="C803" s="60"/>
      <c r="D803" s="60"/>
      <c r="E803" s="60"/>
      <c r="K803" s="14"/>
      <c r="L803" s="14"/>
      <c r="M803" s="14"/>
      <c r="N803" s="14"/>
    </row>
    <row r="804">
      <c r="C804" s="60"/>
      <c r="D804" s="60"/>
      <c r="E804" s="60"/>
      <c r="K804" s="14"/>
      <c r="L804" s="14"/>
      <c r="M804" s="14"/>
      <c r="N804" s="14"/>
    </row>
    <row r="805">
      <c r="C805" s="60"/>
      <c r="D805" s="60"/>
      <c r="E805" s="60"/>
      <c r="K805" s="14"/>
      <c r="L805" s="14"/>
      <c r="M805" s="14"/>
      <c r="N805" s="14"/>
    </row>
    <row r="806">
      <c r="C806" s="60"/>
      <c r="D806" s="60"/>
      <c r="E806" s="60"/>
      <c r="K806" s="14"/>
      <c r="L806" s="14"/>
      <c r="M806" s="14"/>
      <c r="N806" s="14"/>
    </row>
    <row r="807">
      <c r="C807" s="60"/>
      <c r="D807" s="60"/>
      <c r="E807" s="60"/>
      <c r="K807" s="14"/>
      <c r="L807" s="14"/>
      <c r="M807" s="14"/>
      <c r="N807" s="14"/>
    </row>
    <row r="808">
      <c r="C808" s="60"/>
      <c r="D808" s="60"/>
      <c r="E808" s="60"/>
      <c r="K808" s="14"/>
      <c r="L808" s="14"/>
      <c r="M808" s="14"/>
      <c r="N808" s="14"/>
    </row>
    <row r="809">
      <c r="C809" s="60"/>
      <c r="D809" s="60"/>
      <c r="E809" s="60"/>
      <c r="K809" s="14"/>
      <c r="L809" s="14"/>
      <c r="M809" s="14"/>
      <c r="N809" s="14"/>
    </row>
    <row r="810">
      <c r="C810" s="60"/>
      <c r="D810" s="60"/>
      <c r="E810" s="60"/>
      <c r="K810" s="14"/>
      <c r="L810" s="14"/>
      <c r="M810" s="14"/>
      <c r="N810" s="14"/>
    </row>
    <row r="811">
      <c r="C811" s="60"/>
      <c r="D811" s="60"/>
      <c r="E811" s="60"/>
      <c r="K811" s="14"/>
      <c r="L811" s="14"/>
      <c r="M811" s="14"/>
      <c r="N811" s="14"/>
    </row>
    <row r="812">
      <c r="C812" s="60"/>
      <c r="D812" s="60"/>
      <c r="E812" s="60"/>
      <c r="K812" s="14"/>
      <c r="L812" s="14"/>
      <c r="M812" s="14"/>
      <c r="N812" s="14"/>
    </row>
    <row r="813">
      <c r="C813" s="60"/>
      <c r="D813" s="60"/>
      <c r="E813" s="60"/>
      <c r="K813" s="14"/>
      <c r="L813" s="14"/>
      <c r="M813" s="14"/>
      <c r="N813" s="14"/>
    </row>
    <row r="814">
      <c r="C814" s="60"/>
      <c r="D814" s="60"/>
      <c r="E814" s="60"/>
      <c r="K814" s="14"/>
      <c r="L814" s="14"/>
      <c r="M814" s="14"/>
      <c r="N814" s="14"/>
    </row>
    <row r="815">
      <c r="C815" s="60"/>
      <c r="D815" s="60"/>
      <c r="E815" s="60"/>
      <c r="K815" s="14"/>
      <c r="L815" s="14"/>
      <c r="M815" s="14"/>
      <c r="N815" s="14"/>
    </row>
    <row r="816">
      <c r="C816" s="60"/>
      <c r="D816" s="60"/>
      <c r="E816" s="60"/>
      <c r="K816" s="14"/>
      <c r="L816" s="14"/>
      <c r="M816" s="14"/>
      <c r="N816" s="14"/>
    </row>
    <row r="817">
      <c r="C817" s="60"/>
      <c r="D817" s="60"/>
      <c r="E817" s="60"/>
      <c r="K817" s="14"/>
      <c r="L817" s="14"/>
      <c r="M817" s="14"/>
      <c r="N817" s="14"/>
    </row>
    <row r="818">
      <c r="C818" s="60"/>
      <c r="D818" s="60"/>
      <c r="E818" s="60"/>
      <c r="K818" s="14"/>
      <c r="L818" s="14"/>
      <c r="M818" s="14"/>
      <c r="N818" s="14"/>
    </row>
    <row r="819">
      <c r="C819" s="60"/>
      <c r="D819" s="60"/>
      <c r="E819" s="60"/>
      <c r="K819" s="14"/>
      <c r="L819" s="14"/>
      <c r="M819" s="14"/>
      <c r="N819" s="14"/>
    </row>
    <row r="820">
      <c r="C820" s="60"/>
      <c r="D820" s="60"/>
      <c r="E820" s="60"/>
      <c r="K820" s="14"/>
      <c r="L820" s="14"/>
      <c r="M820" s="14"/>
      <c r="N820" s="14"/>
    </row>
    <row r="821">
      <c r="C821" s="60"/>
      <c r="D821" s="60"/>
      <c r="E821" s="60"/>
      <c r="K821" s="14"/>
      <c r="L821" s="14"/>
      <c r="M821" s="14"/>
      <c r="N821" s="14"/>
    </row>
    <row r="822">
      <c r="C822" s="60"/>
      <c r="D822" s="60"/>
      <c r="E822" s="60"/>
      <c r="K822" s="14"/>
      <c r="L822" s="14"/>
      <c r="M822" s="14"/>
      <c r="N822" s="14"/>
    </row>
    <row r="823">
      <c r="C823" s="60"/>
      <c r="D823" s="60"/>
      <c r="E823" s="60"/>
      <c r="K823" s="14"/>
      <c r="L823" s="14"/>
      <c r="M823" s="14"/>
      <c r="N823" s="14"/>
    </row>
    <row r="824">
      <c r="C824" s="60"/>
      <c r="D824" s="60"/>
      <c r="E824" s="60"/>
      <c r="K824" s="14"/>
      <c r="L824" s="14"/>
      <c r="M824" s="14"/>
      <c r="N824" s="14"/>
    </row>
    <row r="825">
      <c r="C825" s="60"/>
      <c r="D825" s="60"/>
      <c r="E825" s="60"/>
      <c r="K825" s="14"/>
      <c r="L825" s="14"/>
      <c r="M825" s="14"/>
      <c r="N825" s="14"/>
    </row>
    <row r="826">
      <c r="C826" s="60"/>
      <c r="D826" s="60"/>
      <c r="E826" s="60"/>
      <c r="K826" s="14"/>
      <c r="L826" s="14"/>
      <c r="M826" s="14"/>
      <c r="N826" s="14"/>
    </row>
    <row r="827">
      <c r="C827" s="60"/>
      <c r="D827" s="60"/>
      <c r="E827" s="60"/>
      <c r="K827" s="14"/>
      <c r="L827" s="14"/>
      <c r="M827" s="14"/>
      <c r="N827" s="14"/>
    </row>
    <row r="828">
      <c r="C828" s="60"/>
      <c r="D828" s="60"/>
      <c r="E828" s="60"/>
      <c r="K828" s="14"/>
      <c r="L828" s="14"/>
      <c r="M828" s="14"/>
      <c r="N828" s="14"/>
    </row>
    <row r="829">
      <c r="C829" s="60"/>
      <c r="D829" s="60"/>
      <c r="E829" s="60"/>
      <c r="K829" s="14"/>
      <c r="L829" s="14"/>
      <c r="M829" s="14"/>
      <c r="N829" s="14"/>
    </row>
    <row r="830">
      <c r="C830" s="60"/>
      <c r="D830" s="60"/>
      <c r="E830" s="60"/>
      <c r="K830" s="14"/>
      <c r="L830" s="14"/>
      <c r="M830" s="14"/>
      <c r="N830" s="14"/>
    </row>
    <row r="831">
      <c r="C831" s="60"/>
      <c r="D831" s="60"/>
      <c r="E831" s="60"/>
      <c r="K831" s="14"/>
      <c r="L831" s="14"/>
      <c r="M831" s="14"/>
      <c r="N831" s="14"/>
    </row>
    <row r="832">
      <c r="C832" s="60"/>
      <c r="D832" s="60"/>
      <c r="E832" s="60"/>
      <c r="K832" s="14"/>
      <c r="L832" s="14"/>
      <c r="M832" s="14"/>
      <c r="N832" s="14"/>
    </row>
    <row r="833">
      <c r="C833" s="60"/>
      <c r="D833" s="60"/>
      <c r="E833" s="60"/>
      <c r="K833" s="14"/>
      <c r="L833" s="14"/>
      <c r="M833" s="14"/>
      <c r="N833" s="14"/>
    </row>
    <row r="834">
      <c r="C834" s="60"/>
      <c r="D834" s="60"/>
      <c r="E834" s="60"/>
      <c r="K834" s="14"/>
      <c r="L834" s="14"/>
      <c r="M834" s="14"/>
      <c r="N834" s="14"/>
    </row>
    <row r="835">
      <c r="C835" s="60"/>
      <c r="D835" s="60"/>
      <c r="E835" s="60"/>
      <c r="K835" s="14"/>
      <c r="L835" s="14"/>
      <c r="M835" s="14"/>
      <c r="N835" s="14"/>
    </row>
    <row r="836">
      <c r="C836" s="60"/>
      <c r="D836" s="60"/>
      <c r="E836" s="60"/>
      <c r="K836" s="14"/>
      <c r="L836" s="14"/>
      <c r="M836" s="14"/>
      <c r="N836" s="14"/>
    </row>
    <row r="837">
      <c r="C837" s="60"/>
      <c r="D837" s="60"/>
      <c r="E837" s="60"/>
      <c r="K837" s="14"/>
      <c r="L837" s="14"/>
      <c r="M837" s="14"/>
      <c r="N837" s="14"/>
    </row>
    <row r="838">
      <c r="C838" s="60"/>
      <c r="D838" s="60"/>
      <c r="E838" s="60"/>
      <c r="K838" s="14"/>
      <c r="L838" s="14"/>
      <c r="M838" s="14"/>
      <c r="N838" s="14"/>
    </row>
    <row r="839">
      <c r="C839" s="60"/>
      <c r="D839" s="60"/>
      <c r="E839" s="60"/>
      <c r="K839" s="14"/>
      <c r="L839" s="14"/>
      <c r="M839" s="14"/>
      <c r="N839" s="14"/>
    </row>
    <row r="840">
      <c r="C840" s="60"/>
      <c r="D840" s="60"/>
      <c r="E840" s="60"/>
      <c r="K840" s="14"/>
      <c r="L840" s="14"/>
      <c r="M840" s="14"/>
      <c r="N840" s="14"/>
    </row>
    <row r="841">
      <c r="C841" s="60"/>
      <c r="D841" s="60"/>
      <c r="E841" s="60"/>
      <c r="K841" s="14"/>
      <c r="L841" s="14"/>
      <c r="M841" s="14"/>
      <c r="N841" s="14"/>
    </row>
    <row r="842">
      <c r="C842" s="60"/>
      <c r="D842" s="60"/>
      <c r="E842" s="60"/>
      <c r="K842" s="14"/>
      <c r="L842" s="14"/>
      <c r="M842" s="14"/>
      <c r="N842" s="14"/>
    </row>
    <row r="843">
      <c r="C843" s="60"/>
      <c r="D843" s="60"/>
      <c r="E843" s="60"/>
      <c r="K843" s="14"/>
      <c r="L843" s="14"/>
      <c r="M843" s="14"/>
      <c r="N843" s="14"/>
    </row>
    <row r="844">
      <c r="C844" s="60"/>
      <c r="D844" s="60"/>
      <c r="E844" s="60"/>
      <c r="K844" s="14"/>
      <c r="L844" s="14"/>
      <c r="M844" s="14"/>
      <c r="N844" s="14"/>
    </row>
    <row r="845">
      <c r="C845" s="60"/>
      <c r="D845" s="60"/>
      <c r="E845" s="60"/>
      <c r="K845" s="14"/>
      <c r="L845" s="14"/>
      <c r="M845" s="14"/>
      <c r="N845" s="14"/>
    </row>
    <row r="846">
      <c r="C846" s="60"/>
      <c r="D846" s="60"/>
      <c r="E846" s="60"/>
      <c r="K846" s="14"/>
      <c r="L846" s="14"/>
      <c r="M846" s="14"/>
      <c r="N846" s="14"/>
    </row>
    <row r="847">
      <c r="C847" s="60"/>
      <c r="D847" s="60"/>
      <c r="E847" s="60"/>
      <c r="K847" s="14"/>
      <c r="L847" s="14"/>
      <c r="M847" s="14"/>
      <c r="N847" s="14"/>
    </row>
    <row r="848">
      <c r="C848" s="60"/>
      <c r="D848" s="60"/>
      <c r="E848" s="60"/>
      <c r="K848" s="14"/>
      <c r="L848" s="14"/>
      <c r="M848" s="14"/>
      <c r="N848" s="14"/>
    </row>
    <row r="849">
      <c r="C849" s="60"/>
      <c r="D849" s="60"/>
      <c r="E849" s="60"/>
      <c r="K849" s="14"/>
      <c r="L849" s="14"/>
      <c r="M849" s="14"/>
      <c r="N849" s="14"/>
    </row>
    <row r="850">
      <c r="C850" s="60"/>
      <c r="D850" s="60"/>
      <c r="E850" s="60"/>
      <c r="K850" s="14"/>
      <c r="L850" s="14"/>
      <c r="M850" s="14"/>
      <c r="N850" s="14"/>
    </row>
    <row r="851">
      <c r="C851" s="60"/>
      <c r="D851" s="60"/>
      <c r="E851" s="60"/>
      <c r="K851" s="14"/>
      <c r="L851" s="14"/>
      <c r="M851" s="14"/>
      <c r="N851" s="14"/>
    </row>
    <row r="852">
      <c r="C852" s="60"/>
      <c r="D852" s="60"/>
      <c r="E852" s="60"/>
      <c r="K852" s="14"/>
      <c r="L852" s="14"/>
      <c r="M852" s="14"/>
      <c r="N852" s="14"/>
    </row>
    <row r="853">
      <c r="C853" s="60"/>
      <c r="D853" s="60"/>
      <c r="E853" s="60"/>
      <c r="K853" s="14"/>
      <c r="L853" s="14"/>
      <c r="M853" s="14"/>
      <c r="N853" s="14"/>
    </row>
    <row r="854">
      <c r="C854" s="60"/>
      <c r="D854" s="60"/>
      <c r="E854" s="60"/>
      <c r="K854" s="14"/>
      <c r="L854" s="14"/>
      <c r="M854" s="14"/>
      <c r="N854" s="14"/>
    </row>
    <row r="855">
      <c r="C855" s="60"/>
      <c r="D855" s="60"/>
      <c r="E855" s="60"/>
      <c r="K855" s="14"/>
      <c r="L855" s="14"/>
      <c r="M855" s="14"/>
      <c r="N855" s="14"/>
    </row>
    <row r="856">
      <c r="C856" s="60"/>
      <c r="D856" s="60"/>
      <c r="E856" s="60"/>
      <c r="K856" s="14"/>
      <c r="L856" s="14"/>
      <c r="M856" s="14"/>
      <c r="N856" s="14"/>
    </row>
    <row r="857">
      <c r="C857" s="60"/>
      <c r="D857" s="60"/>
      <c r="E857" s="60"/>
      <c r="K857" s="14"/>
      <c r="L857" s="14"/>
      <c r="M857" s="14"/>
      <c r="N857" s="14"/>
    </row>
    <row r="858">
      <c r="C858" s="60"/>
      <c r="D858" s="60"/>
      <c r="E858" s="60"/>
      <c r="K858" s="14"/>
      <c r="L858" s="14"/>
      <c r="M858" s="14"/>
      <c r="N858" s="14"/>
    </row>
    <row r="859">
      <c r="C859" s="60"/>
      <c r="D859" s="60"/>
      <c r="E859" s="60"/>
      <c r="K859" s="14"/>
      <c r="L859" s="14"/>
      <c r="M859" s="14"/>
      <c r="N859" s="14"/>
    </row>
    <row r="860">
      <c r="C860" s="60"/>
      <c r="D860" s="60"/>
      <c r="E860" s="60"/>
      <c r="K860" s="14"/>
      <c r="L860" s="14"/>
      <c r="M860" s="14"/>
      <c r="N860" s="14"/>
    </row>
    <row r="861">
      <c r="C861" s="60"/>
      <c r="D861" s="60"/>
      <c r="E861" s="60"/>
      <c r="K861" s="14"/>
      <c r="L861" s="14"/>
      <c r="M861" s="14"/>
      <c r="N861" s="14"/>
    </row>
    <row r="862">
      <c r="C862" s="60"/>
      <c r="D862" s="60"/>
      <c r="E862" s="60"/>
      <c r="K862" s="14"/>
      <c r="L862" s="14"/>
      <c r="M862" s="14"/>
      <c r="N862" s="14"/>
    </row>
    <row r="863">
      <c r="C863" s="60"/>
      <c r="D863" s="60"/>
      <c r="E863" s="60"/>
      <c r="K863" s="14"/>
      <c r="L863" s="14"/>
      <c r="M863" s="14"/>
      <c r="N863" s="14"/>
    </row>
    <row r="864">
      <c r="C864" s="60"/>
      <c r="D864" s="60"/>
      <c r="E864" s="60"/>
      <c r="K864" s="14"/>
      <c r="L864" s="14"/>
      <c r="M864" s="14"/>
      <c r="N864" s="14"/>
    </row>
    <row r="865">
      <c r="C865" s="60"/>
      <c r="D865" s="60"/>
      <c r="E865" s="60"/>
      <c r="K865" s="14"/>
      <c r="L865" s="14"/>
      <c r="M865" s="14"/>
      <c r="N865" s="14"/>
    </row>
    <row r="866">
      <c r="C866" s="60"/>
      <c r="D866" s="60"/>
      <c r="E866" s="60"/>
      <c r="K866" s="14"/>
      <c r="L866" s="14"/>
      <c r="M866" s="14"/>
      <c r="N866" s="14"/>
    </row>
    <row r="867">
      <c r="C867" s="60"/>
      <c r="D867" s="60"/>
      <c r="E867" s="60"/>
      <c r="K867" s="14"/>
      <c r="L867" s="14"/>
      <c r="M867" s="14"/>
      <c r="N867" s="14"/>
    </row>
    <row r="868">
      <c r="C868" s="60"/>
      <c r="D868" s="60"/>
      <c r="E868" s="60"/>
      <c r="K868" s="14"/>
      <c r="L868" s="14"/>
      <c r="M868" s="14"/>
      <c r="N868" s="14"/>
    </row>
    <row r="869">
      <c r="C869" s="60"/>
      <c r="D869" s="60"/>
      <c r="E869" s="60"/>
      <c r="K869" s="14"/>
      <c r="L869" s="14"/>
      <c r="M869" s="14"/>
      <c r="N869" s="14"/>
    </row>
    <row r="870">
      <c r="C870" s="60"/>
      <c r="D870" s="60"/>
      <c r="E870" s="60"/>
      <c r="K870" s="14"/>
      <c r="L870" s="14"/>
      <c r="M870" s="14"/>
      <c r="N870" s="14"/>
    </row>
    <row r="871">
      <c r="C871" s="60"/>
      <c r="D871" s="60"/>
      <c r="E871" s="60"/>
      <c r="K871" s="14"/>
      <c r="L871" s="14"/>
      <c r="M871" s="14"/>
      <c r="N871" s="14"/>
    </row>
    <row r="872">
      <c r="C872" s="60"/>
      <c r="D872" s="60"/>
      <c r="E872" s="60"/>
      <c r="K872" s="14"/>
      <c r="L872" s="14"/>
      <c r="M872" s="14"/>
      <c r="N872" s="14"/>
    </row>
    <row r="873">
      <c r="C873" s="60"/>
      <c r="D873" s="60"/>
      <c r="E873" s="60"/>
      <c r="K873" s="14"/>
      <c r="L873" s="14"/>
      <c r="M873" s="14"/>
      <c r="N873" s="14"/>
    </row>
    <row r="874">
      <c r="C874" s="60"/>
      <c r="D874" s="60"/>
      <c r="E874" s="60"/>
      <c r="K874" s="14"/>
      <c r="L874" s="14"/>
      <c r="M874" s="14"/>
      <c r="N874" s="14"/>
    </row>
    <row r="875">
      <c r="C875" s="60"/>
      <c r="D875" s="60"/>
      <c r="E875" s="60"/>
      <c r="K875" s="14"/>
      <c r="L875" s="14"/>
      <c r="M875" s="14"/>
      <c r="N875" s="14"/>
    </row>
    <row r="876">
      <c r="C876" s="60"/>
      <c r="D876" s="60"/>
      <c r="E876" s="60"/>
      <c r="K876" s="14"/>
      <c r="L876" s="14"/>
      <c r="M876" s="14"/>
      <c r="N876" s="14"/>
    </row>
    <row r="877">
      <c r="C877" s="60"/>
      <c r="D877" s="60"/>
      <c r="E877" s="60"/>
      <c r="K877" s="14"/>
      <c r="L877" s="14"/>
      <c r="M877" s="14"/>
      <c r="N877" s="14"/>
    </row>
    <row r="878">
      <c r="C878" s="60"/>
      <c r="D878" s="60"/>
      <c r="E878" s="60"/>
      <c r="K878" s="14"/>
      <c r="L878" s="14"/>
      <c r="M878" s="14"/>
      <c r="N878" s="14"/>
    </row>
    <row r="879">
      <c r="C879" s="60"/>
      <c r="D879" s="60"/>
      <c r="E879" s="60"/>
      <c r="K879" s="14"/>
      <c r="L879" s="14"/>
      <c r="M879" s="14"/>
      <c r="N879" s="14"/>
    </row>
    <row r="880">
      <c r="C880" s="60"/>
      <c r="D880" s="60"/>
      <c r="E880" s="60"/>
      <c r="K880" s="14"/>
      <c r="L880" s="14"/>
      <c r="M880" s="14"/>
      <c r="N880" s="14"/>
    </row>
    <row r="881">
      <c r="C881" s="60"/>
      <c r="D881" s="60"/>
      <c r="E881" s="60"/>
      <c r="K881" s="14"/>
      <c r="L881" s="14"/>
      <c r="M881" s="14"/>
      <c r="N881" s="14"/>
    </row>
    <row r="882">
      <c r="C882" s="60"/>
      <c r="D882" s="60"/>
      <c r="E882" s="60"/>
      <c r="K882" s="14"/>
      <c r="L882" s="14"/>
      <c r="M882" s="14"/>
      <c r="N882" s="14"/>
    </row>
    <row r="883">
      <c r="C883" s="60"/>
      <c r="D883" s="60"/>
      <c r="E883" s="60"/>
      <c r="K883" s="14"/>
      <c r="L883" s="14"/>
      <c r="M883" s="14"/>
      <c r="N883" s="14"/>
    </row>
    <row r="884">
      <c r="C884" s="60"/>
      <c r="D884" s="60"/>
      <c r="E884" s="60"/>
      <c r="K884" s="14"/>
      <c r="L884" s="14"/>
      <c r="M884" s="14"/>
      <c r="N884" s="14"/>
    </row>
    <row r="885">
      <c r="C885" s="60"/>
      <c r="D885" s="60"/>
      <c r="E885" s="60"/>
      <c r="K885" s="14"/>
      <c r="L885" s="14"/>
      <c r="M885" s="14"/>
      <c r="N885" s="14"/>
    </row>
    <row r="886">
      <c r="C886" s="60"/>
      <c r="D886" s="60"/>
      <c r="E886" s="60"/>
      <c r="K886" s="14"/>
      <c r="L886" s="14"/>
      <c r="M886" s="14"/>
      <c r="N886" s="14"/>
    </row>
    <row r="887">
      <c r="C887" s="60"/>
      <c r="D887" s="60"/>
      <c r="E887" s="60"/>
      <c r="K887" s="14"/>
      <c r="L887" s="14"/>
      <c r="M887" s="14"/>
      <c r="N887" s="14"/>
    </row>
    <row r="888">
      <c r="C888" s="60"/>
      <c r="D888" s="60"/>
      <c r="E888" s="60"/>
      <c r="K888" s="14"/>
      <c r="L888" s="14"/>
      <c r="M888" s="14"/>
      <c r="N888" s="14"/>
    </row>
    <row r="889">
      <c r="C889" s="60"/>
      <c r="D889" s="60"/>
      <c r="E889" s="60"/>
      <c r="K889" s="14"/>
      <c r="L889" s="14"/>
      <c r="M889" s="14"/>
      <c r="N889" s="14"/>
    </row>
    <row r="890">
      <c r="C890" s="60"/>
      <c r="D890" s="60"/>
      <c r="E890" s="60"/>
      <c r="K890" s="14"/>
      <c r="L890" s="14"/>
      <c r="M890" s="14"/>
      <c r="N890" s="14"/>
    </row>
    <row r="891">
      <c r="C891" s="60"/>
      <c r="D891" s="60"/>
      <c r="E891" s="60"/>
      <c r="K891" s="14"/>
      <c r="L891" s="14"/>
      <c r="M891" s="14"/>
      <c r="N891" s="14"/>
    </row>
    <row r="892">
      <c r="C892" s="60"/>
      <c r="D892" s="60"/>
      <c r="E892" s="60"/>
      <c r="K892" s="14"/>
      <c r="L892" s="14"/>
      <c r="M892" s="14"/>
      <c r="N892" s="14"/>
    </row>
    <row r="893">
      <c r="C893" s="60"/>
      <c r="D893" s="60"/>
      <c r="E893" s="60"/>
      <c r="K893" s="14"/>
      <c r="L893" s="14"/>
      <c r="M893" s="14"/>
      <c r="N893" s="14"/>
    </row>
    <row r="894">
      <c r="C894" s="60"/>
      <c r="D894" s="60"/>
      <c r="E894" s="60"/>
      <c r="K894" s="14"/>
      <c r="L894" s="14"/>
      <c r="M894" s="14"/>
      <c r="N894" s="14"/>
    </row>
    <row r="895">
      <c r="C895" s="60"/>
      <c r="D895" s="60"/>
      <c r="E895" s="60"/>
      <c r="K895" s="14"/>
      <c r="L895" s="14"/>
      <c r="M895" s="14"/>
      <c r="N895" s="14"/>
    </row>
    <row r="896">
      <c r="C896" s="60"/>
      <c r="D896" s="60"/>
      <c r="E896" s="60"/>
      <c r="K896" s="14"/>
      <c r="L896" s="14"/>
      <c r="M896" s="14"/>
      <c r="N896" s="14"/>
    </row>
    <row r="897">
      <c r="C897" s="60"/>
      <c r="D897" s="60"/>
      <c r="E897" s="60"/>
      <c r="K897" s="14"/>
      <c r="L897" s="14"/>
      <c r="M897" s="14"/>
      <c r="N897" s="14"/>
    </row>
    <row r="898">
      <c r="C898" s="60"/>
      <c r="D898" s="60"/>
      <c r="E898" s="60"/>
      <c r="K898" s="14"/>
      <c r="L898" s="14"/>
      <c r="M898" s="14"/>
      <c r="N898" s="14"/>
    </row>
    <row r="899">
      <c r="C899" s="60"/>
      <c r="D899" s="60"/>
      <c r="E899" s="60"/>
      <c r="K899" s="14"/>
      <c r="L899" s="14"/>
      <c r="M899" s="14"/>
      <c r="N899" s="14"/>
    </row>
    <row r="900">
      <c r="C900" s="60"/>
      <c r="D900" s="60"/>
      <c r="E900" s="60"/>
      <c r="K900" s="14"/>
      <c r="L900" s="14"/>
      <c r="M900" s="14"/>
      <c r="N900" s="14"/>
    </row>
    <row r="901">
      <c r="C901" s="60"/>
      <c r="D901" s="60"/>
      <c r="E901" s="60"/>
      <c r="K901" s="14"/>
      <c r="L901" s="14"/>
      <c r="M901" s="14"/>
      <c r="N901" s="14"/>
    </row>
    <row r="902">
      <c r="C902" s="60"/>
      <c r="D902" s="60"/>
      <c r="E902" s="60"/>
      <c r="K902" s="14"/>
      <c r="L902" s="14"/>
      <c r="M902" s="14"/>
      <c r="N902" s="14"/>
    </row>
    <row r="903">
      <c r="C903" s="60"/>
      <c r="D903" s="60"/>
      <c r="E903" s="60"/>
      <c r="K903" s="14"/>
      <c r="L903" s="14"/>
      <c r="M903" s="14"/>
      <c r="N903" s="14"/>
    </row>
    <row r="904">
      <c r="C904" s="60"/>
      <c r="D904" s="60"/>
      <c r="E904" s="60"/>
      <c r="K904" s="14"/>
      <c r="L904" s="14"/>
      <c r="M904" s="14"/>
      <c r="N904" s="14"/>
    </row>
    <row r="905">
      <c r="C905" s="60"/>
      <c r="D905" s="60"/>
      <c r="E905" s="60"/>
      <c r="K905" s="14"/>
      <c r="L905" s="14"/>
      <c r="M905" s="14"/>
      <c r="N905" s="14"/>
    </row>
    <row r="906">
      <c r="C906" s="60"/>
      <c r="D906" s="60"/>
      <c r="E906" s="60"/>
      <c r="K906" s="14"/>
      <c r="L906" s="14"/>
      <c r="M906" s="14"/>
      <c r="N906" s="14"/>
    </row>
    <row r="907">
      <c r="C907" s="60"/>
      <c r="D907" s="60"/>
      <c r="E907" s="60"/>
      <c r="K907" s="14"/>
      <c r="L907" s="14"/>
      <c r="M907" s="14"/>
      <c r="N907" s="14"/>
    </row>
    <row r="908">
      <c r="C908" s="60"/>
      <c r="D908" s="60"/>
      <c r="E908" s="60"/>
      <c r="K908" s="14"/>
      <c r="L908" s="14"/>
      <c r="M908" s="14"/>
      <c r="N908" s="14"/>
    </row>
    <row r="909">
      <c r="C909" s="60"/>
      <c r="D909" s="60"/>
      <c r="E909" s="60"/>
      <c r="K909" s="14"/>
      <c r="L909" s="14"/>
      <c r="M909" s="14"/>
      <c r="N909" s="14"/>
    </row>
    <row r="910">
      <c r="C910" s="60"/>
      <c r="D910" s="60"/>
      <c r="E910" s="60"/>
      <c r="K910" s="14"/>
      <c r="L910" s="14"/>
      <c r="M910" s="14"/>
      <c r="N910" s="14"/>
    </row>
    <row r="911">
      <c r="C911" s="60"/>
      <c r="D911" s="60"/>
      <c r="E911" s="60"/>
      <c r="K911" s="14"/>
      <c r="L911" s="14"/>
      <c r="M911" s="14"/>
      <c r="N911" s="14"/>
    </row>
    <row r="912">
      <c r="C912" s="60"/>
      <c r="D912" s="60"/>
      <c r="E912" s="60"/>
      <c r="K912" s="14"/>
      <c r="L912" s="14"/>
      <c r="M912" s="14"/>
      <c r="N912" s="14"/>
    </row>
    <row r="913">
      <c r="C913" s="60"/>
      <c r="D913" s="60"/>
      <c r="E913" s="60"/>
      <c r="K913" s="14"/>
      <c r="L913" s="14"/>
      <c r="M913" s="14"/>
      <c r="N913" s="14"/>
    </row>
    <row r="914">
      <c r="C914" s="60"/>
      <c r="D914" s="60"/>
      <c r="E914" s="60"/>
      <c r="K914" s="14"/>
      <c r="L914" s="14"/>
      <c r="M914" s="14"/>
      <c r="N914" s="14"/>
    </row>
    <row r="915">
      <c r="C915" s="60"/>
      <c r="D915" s="60"/>
      <c r="E915" s="60"/>
      <c r="K915" s="14"/>
      <c r="L915" s="14"/>
      <c r="M915" s="14"/>
      <c r="N915" s="14"/>
    </row>
    <row r="916">
      <c r="C916" s="60"/>
      <c r="D916" s="60"/>
      <c r="E916" s="60"/>
      <c r="K916" s="14"/>
      <c r="L916" s="14"/>
      <c r="M916" s="14"/>
      <c r="N916" s="14"/>
    </row>
    <row r="917">
      <c r="C917" s="60"/>
      <c r="D917" s="60"/>
      <c r="E917" s="60"/>
      <c r="K917" s="14"/>
      <c r="L917" s="14"/>
      <c r="M917" s="14"/>
      <c r="N917" s="14"/>
    </row>
    <row r="918">
      <c r="C918" s="60"/>
      <c r="D918" s="60"/>
      <c r="E918" s="60"/>
      <c r="K918" s="14"/>
      <c r="L918" s="14"/>
      <c r="M918" s="14"/>
      <c r="N918" s="14"/>
    </row>
    <row r="919">
      <c r="C919" s="60"/>
      <c r="D919" s="60"/>
      <c r="E919" s="60"/>
      <c r="K919" s="14"/>
      <c r="L919" s="14"/>
      <c r="M919" s="14"/>
      <c r="N919" s="14"/>
    </row>
    <row r="920">
      <c r="C920" s="60"/>
      <c r="D920" s="60"/>
      <c r="E920" s="60"/>
      <c r="K920" s="14"/>
      <c r="L920" s="14"/>
      <c r="M920" s="14"/>
      <c r="N920" s="14"/>
    </row>
    <row r="921">
      <c r="C921" s="60"/>
      <c r="D921" s="60"/>
      <c r="E921" s="60"/>
      <c r="K921" s="14"/>
      <c r="L921" s="14"/>
      <c r="M921" s="14"/>
      <c r="N921" s="14"/>
    </row>
    <row r="922">
      <c r="C922" s="60"/>
      <c r="D922" s="60"/>
      <c r="E922" s="60"/>
      <c r="K922" s="14"/>
      <c r="L922" s="14"/>
      <c r="M922" s="14"/>
      <c r="N922" s="14"/>
    </row>
    <row r="923">
      <c r="C923" s="60"/>
      <c r="D923" s="60"/>
      <c r="E923" s="60"/>
      <c r="K923" s="14"/>
      <c r="L923" s="14"/>
      <c r="M923" s="14"/>
      <c r="N923" s="14"/>
    </row>
    <row r="924">
      <c r="C924" s="60"/>
      <c r="D924" s="60"/>
      <c r="E924" s="60"/>
      <c r="K924" s="14"/>
      <c r="L924" s="14"/>
      <c r="M924" s="14"/>
      <c r="N924" s="14"/>
    </row>
    <row r="925">
      <c r="C925" s="60"/>
      <c r="D925" s="60"/>
      <c r="E925" s="60"/>
      <c r="K925" s="14"/>
      <c r="L925" s="14"/>
      <c r="M925" s="14"/>
      <c r="N925" s="14"/>
    </row>
    <row r="926">
      <c r="C926" s="60"/>
      <c r="D926" s="60"/>
      <c r="E926" s="60"/>
      <c r="K926" s="14"/>
      <c r="L926" s="14"/>
      <c r="M926" s="14"/>
      <c r="N926" s="14"/>
    </row>
    <row r="927">
      <c r="C927" s="60"/>
      <c r="D927" s="60"/>
      <c r="E927" s="60"/>
      <c r="K927" s="14"/>
      <c r="L927" s="14"/>
      <c r="M927" s="14"/>
      <c r="N927" s="14"/>
    </row>
    <row r="928">
      <c r="C928" s="60"/>
      <c r="D928" s="60"/>
      <c r="E928" s="60"/>
      <c r="K928" s="14"/>
      <c r="L928" s="14"/>
      <c r="M928" s="14"/>
      <c r="N928" s="14"/>
    </row>
    <row r="929">
      <c r="C929" s="60"/>
      <c r="D929" s="60"/>
      <c r="E929" s="60"/>
      <c r="K929" s="14"/>
      <c r="L929" s="14"/>
      <c r="M929" s="14"/>
      <c r="N929" s="14"/>
    </row>
    <row r="930">
      <c r="C930" s="60"/>
      <c r="D930" s="60"/>
      <c r="E930" s="60"/>
      <c r="K930" s="14"/>
      <c r="L930" s="14"/>
      <c r="M930" s="14"/>
      <c r="N930" s="14"/>
    </row>
    <row r="931">
      <c r="C931" s="60"/>
      <c r="D931" s="60"/>
      <c r="E931" s="60"/>
      <c r="K931" s="14"/>
      <c r="L931" s="14"/>
      <c r="M931" s="14"/>
      <c r="N931" s="14"/>
    </row>
    <row r="932">
      <c r="C932" s="60"/>
      <c r="D932" s="60"/>
      <c r="E932" s="60"/>
      <c r="K932" s="14"/>
      <c r="L932" s="14"/>
      <c r="M932" s="14"/>
      <c r="N932" s="14"/>
    </row>
    <row r="933">
      <c r="C933" s="60"/>
      <c r="D933" s="60"/>
      <c r="E933" s="60"/>
      <c r="K933" s="14"/>
      <c r="L933" s="14"/>
      <c r="M933" s="14"/>
      <c r="N933" s="14"/>
    </row>
    <row r="934">
      <c r="C934" s="60"/>
      <c r="D934" s="60"/>
      <c r="E934" s="60"/>
      <c r="K934" s="14"/>
      <c r="L934" s="14"/>
      <c r="M934" s="14"/>
      <c r="N934" s="14"/>
    </row>
    <row r="935">
      <c r="C935" s="60"/>
      <c r="D935" s="60"/>
      <c r="E935" s="60"/>
      <c r="K935" s="14"/>
      <c r="L935" s="14"/>
      <c r="M935" s="14"/>
      <c r="N935" s="14"/>
    </row>
    <row r="936">
      <c r="C936" s="60"/>
      <c r="D936" s="60"/>
      <c r="E936" s="60"/>
      <c r="K936" s="14"/>
      <c r="L936" s="14"/>
      <c r="M936" s="14"/>
      <c r="N936" s="14"/>
    </row>
    <row r="937">
      <c r="C937" s="60"/>
      <c r="D937" s="60"/>
      <c r="E937" s="60"/>
      <c r="K937" s="14"/>
      <c r="L937" s="14"/>
      <c r="M937" s="14"/>
      <c r="N937" s="14"/>
    </row>
    <row r="938">
      <c r="C938" s="60"/>
      <c r="D938" s="60"/>
      <c r="E938" s="60"/>
      <c r="K938" s="14"/>
      <c r="L938" s="14"/>
      <c r="M938" s="14"/>
      <c r="N938" s="14"/>
    </row>
    <row r="939">
      <c r="C939" s="60"/>
      <c r="D939" s="60"/>
      <c r="E939" s="60"/>
      <c r="K939" s="14"/>
      <c r="L939" s="14"/>
      <c r="M939" s="14"/>
      <c r="N939" s="14"/>
    </row>
    <row r="940">
      <c r="C940" s="60"/>
      <c r="D940" s="60"/>
      <c r="E940" s="60"/>
      <c r="K940" s="14"/>
      <c r="L940" s="14"/>
      <c r="M940" s="14"/>
      <c r="N940" s="14"/>
    </row>
    <row r="941">
      <c r="C941" s="60"/>
      <c r="D941" s="60"/>
      <c r="E941" s="60"/>
      <c r="K941" s="14"/>
      <c r="L941" s="14"/>
      <c r="M941" s="14"/>
      <c r="N941" s="14"/>
    </row>
    <row r="942">
      <c r="C942" s="60"/>
      <c r="D942" s="60"/>
      <c r="E942" s="60"/>
      <c r="K942" s="14"/>
      <c r="L942" s="14"/>
      <c r="M942" s="14"/>
      <c r="N942" s="14"/>
    </row>
    <row r="943">
      <c r="C943" s="60"/>
      <c r="D943" s="60"/>
      <c r="E943" s="60"/>
      <c r="K943" s="14"/>
      <c r="L943" s="14"/>
      <c r="M943" s="14"/>
      <c r="N943" s="14"/>
    </row>
    <row r="944">
      <c r="C944" s="60"/>
      <c r="D944" s="60"/>
      <c r="E944" s="60"/>
      <c r="K944" s="14"/>
      <c r="L944" s="14"/>
      <c r="M944" s="14"/>
      <c r="N944" s="14"/>
    </row>
    <row r="945">
      <c r="C945" s="60"/>
      <c r="D945" s="60"/>
      <c r="E945" s="60"/>
      <c r="K945" s="14"/>
      <c r="L945" s="14"/>
      <c r="M945" s="14"/>
      <c r="N945" s="14"/>
    </row>
    <row r="946">
      <c r="C946" s="60"/>
      <c r="D946" s="60"/>
      <c r="E946" s="60"/>
      <c r="K946" s="14"/>
      <c r="L946" s="14"/>
      <c r="M946" s="14"/>
      <c r="N946" s="14"/>
    </row>
    <row r="947">
      <c r="C947" s="60"/>
      <c r="D947" s="60"/>
      <c r="E947" s="60"/>
      <c r="K947" s="14"/>
      <c r="L947" s="14"/>
      <c r="M947" s="14"/>
      <c r="N947" s="14"/>
    </row>
    <row r="948">
      <c r="C948" s="60"/>
      <c r="D948" s="60"/>
      <c r="E948" s="60"/>
      <c r="K948" s="14"/>
      <c r="L948" s="14"/>
      <c r="M948" s="14"/>
      <c r="N948" s="14"/>
    </row>
    <row r="949">
      <c r="C949" s="60"/>
      <c r="D949" s="60"/>
      <c r="E949" s="60"/>
      <c r="K949" s="14"/>
      <c r="L949" s="14"/>
      <c r="M949" s="14"/>
      <c r="N949" s="14"/>
    </row>
    <row r="950">
      <c r="C950" s="60"/>
      <c r="D950" s="60"/>
      <c r="E950" s="60"/>
      <c r="K950" s="14"/>
      <c r="L950" s="14"/>
      <c r="M950" s="14"/>
      <c r="N950" s="14"/>
    </row>
    <row r="951">
      <c r="C951" s="60"/>
      <c r="D951" s="60"/>
      <c r="E951" s="60"/>
      <c r="K951" s="14"/>
      <c r="L951" s="14"/>
      <c r="M951" s="14"/>
      <c r="N951" s="14"/>
    </row>
    <row r="952">
      <c r="C952" s="60"/>
      <c r="D952" s="60"/>
      <c r="E952" s="60"/>
      <c r="K952" s="14"/>
      <c r="L952" s="14"/>
      <c r="M952" s="14"/>
      <c r="N952" s="14"/>
    </row>
    <row r="953">
      <c r="C953" s="60"/>
      <c r="D953" s="60"/>
      <c r="E953" s="60"/>
      <c r="K953" s="14"/>
      <c r="L953" s="14"/>
      <c r="M953" s="14"/>
      <c r="N953" s="14"/>
    </row>
    <row r="954">
      <c r="C954" s="60"/>
      <c r="D954" s="60"/>
      <c r="E954" s="60"/>
      <c r="K954" s="14"/>
      <c r="L954" s="14"/>
      <c r="M954" s="14"/>
      <c r="N954" s="14"/>
    </row>
    <row r="955">
      <c r="C955" s="60"/>
      <c r="D955" s="60"/>
      <c r="E955" s="60"/>
      <c r="K955" s="14"/>
      <c r="L955" s="14"/>
      <c r="M955" s="14"/>
      <c r="N955" s="14"/>
    </row>
    <row r="956">
      <c r="C956" s="60"/>
      <c r="D956" s="60"/>
      <c r="E956" s="60"/>
      <c r="K956" s="14"/>
      <c r="L956" s="14"/>
      <c r="M956" s="14"/>
      <c r="N956" s="14"/>
    </row>
    <row r="957">
      <c r="C957" s="60"/>
      <c r="D957" s="60"/>
      <c r="E957" s="60"/>
      <c r="K957" s="14"/>
      <c r="L957" s="14"/>
      <c r="M957" s="14"/>
      <c r="N957" s="14"/>
    </row>
    <row r="958">
      <c r="C958" s="60"/>
      <c r="D958" s="60"/>
      <c r="E958" s="60"/>
      <c r="K958" s="14"/>
      <c r="L958" s="14"/>
      <c r="M958" s="14"/>
      <c r="N958" s="14"/>
    </row>
    <row r="959">
      <c r="C959" s="60"/>
      <c r="D959" s="60"/>
      <c r="E959" s="60"/>
      <c r="K959" s="14"/>
      <c r="L959" s="14"/>
      <c r="M959" s="14"/>
      <c r="N959" s="14"/>
    </row>
    <row r="960">
      <c r="C960" s="60"/>
      <c r="D960" s="60"/>
      <c r="E960" s="60"/>
      <c r="K960" s="14"/>
      <c r="L960" s="14"/>
      <c r="M960" s="14"/>
      <c r="N960" s="14"/>
    </row>
  </sheetData>
  <mergeCells count="1"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3" max="3" width="19.38"/>
    <col customWidth="1" min="4" max="4" width="38.25"/>
    <col customWidth="1" min="5" max="5" width="21.88"/>
    <col customWidth="1" min="8" max="8" width="14.75"/>
    <col customWidth="1" min="9" max="9" width="50.0"/>
  </cols>
  <sheetData>
    <row r="1">
      <c r="A1" s="20" t="s">
        <v>0</v>
      </c>
      <c r="B1" s="20" t="s">
        <v>106</v>
      </c>
      <c r="C1" s="50" t="s">
        <v>2353</v>
      </c>
      <c r="D1" s="59" t="s">
        <v>4</v>
      </c>
      <c r="E1" s="20" t="s">
        <v>2354</v>
      </c>
      <c r="J1" s="7" t="s">
        <v>6</v>
      </c>
    </row>
    <row r="2">
      <c r="A2" s="20">
        <v>1.0</v>
      </c>
      <c r="B2" s="20" t="s">
        <v>2355</v>
      </c>
      <c r="C2" s="50" t="s">
        <v>2356</v>
      </c>
      <c r="D2" s="59" t="s">
        <v>2357</v>
      </c>
      <c r="E2" s="51"/>
      <c r="G2" s="20" t="s">
        <v>14</v>
      </c>
      <c r="J2" s="52" t="str">
        <f>IFERROR(__xludf.DUMMYFUNCTION("FILTER(B2:B995, E2:E995&lt;&gt;""✅"")"),"間")</f>
        <v>間</v>
      </c>
      <c r="K2" s="52" t="str">
        <f>IFERROR(__xludf.DUMMYFUNCTION("FILTER(D2:D995, E2:E995&lt;&gt;""✅"")"),"while; during; between")</f>
        <v>while; during; between</v>
      </c>
    </row>
    <row r="3">
      <c r="A3" s="20">
        <v>2.0</v>
      </c>
      <c r="B3" s="20" t="s">
        <v>1638</v>
      </c>
      <c r="C3" s="50" t="s">
        <v>2358</v>
      </c>
      <c r="D3" s="59" t="s">
        <v>2359</v>
      </c>
      <c r="E3" s="51"/>
      <c r="G3" s="20" t="s">
        <v>19</v>
      </c>
      <c r="H3" s="20">
        <f>COUNTIF(J3:J995, "&lt;&gt;")</f>
        <v>130</v>
      </c>
      <c r="J3" s="14" t="str">
        <f>IFERROR(__xludf.DUMMYFUNCTION("""COMPUTED_VALUE"""),"間に")</f>
        <v>間に</v>
      </c>
      <c r="K3" s="14" t="str">
        <f>IFERROR(__xludf.DUMMYFUNCTION("""COMPUTED_VALUE"""),"while/during~ something happened")</f>
        <v>while/during~ something happened</v>
      </c>
    </row>
    <row r="4">
      <c r="A4" s="20">
        <v>3.0</v>
      </c>
      <c r="B4" s="20" t="s">
        <v>1641</v>
      </c>
      <c r="C4" s="50" t="s">
        <v>2360</v>
      </c>
      <c r="D4" s="59" t="s">
        <v>2361</v>
      </c>
      <c r="E4" s="51"/>
      <c r="G4" s="20" t="s">
        <v>23</v>
      </c>
      <c r="H4" s="14">
        <f>COUNTIF(A1:A995, "&lt;&gt;")</f>
        <v>132</v>
      </c>
      <c r="J4" s="14" t="str">
        <f>IFERROR(__xludf.DUMMYFUNCTION("""COMPUTED_VALUE"""),"あまり～ない")</f>
        <v>あまり～ない</v>
      </c>
      <c r="K4" s="14" t="str">
        <f>IFERROR(__xludf.DUMMYFUNCTION("""COMPUTED_VALUE"""),"not very, not much")</f>
        <v>not very, not much</v>
      </c>
    </row>
    <row r="5">
      <c r="A5" s="20">
        <v>4.0</v>
      </c>
      <c r="B5" s="20" t="s">
        <v>1643</v>
      </c>
      <c r="C5" s="50" t="s">
        <v>2362</v>
      </c>
      <c r="D5" s="59" t="s">
        <v>2363</v>
      </c>
      <c r="E5" s="51"/>
      <c r="H5" s="14">
        <f>TRUNC((H3/H4)*100, 1)</f>
        <v>98.4</v>
      </c>
      <c r="J5" s="14" t="str">
        <f>IFERROR(__xludf.DUMMYFUNCTION("""COMPUTED_VALUE"""),"後で")</f>
        <v>後で</v>
      </c>
      <c r="K5" s="14" t="str">
        <f>IFERROR(__xludf.DUMMYFUNCTION("""COMPUTED_VALUE"""),"after ~; later")</f>
        <v>after ~; later</v>
      </c>
    </row>
    <row r="6">
      <c r="A6" s="20">
        <v>5.0</v>
      </c>
      <c r="B6" s="20" t="s">
        <v>1570</v>
      </c>
      <c r="C6" s="50" t="s">
        <v>1571</v>
      </c>
      <c r="D6" s="59" t="s">
        <v>1572</v>
      </c>
      <c r="E6" s="51"/>
      <c r="G6" s="20" t="s">
        <v>31</v>
      </c>
      <c r="H6" s="14">
        <f>100-H5</f>
        <v>1.6</v>
      </c>
      <c r="J6" s="14" t="str">
        <f>IFERROR(__xludf.DUMMYFUNCTION("""COMPUTED_VALUE"""),"ば")</f>
        <v>ば</v>
      </c>
      <c r="K6" s="14" t="str">
        <f>IFERROR(__xludf.DUMMYFUNCTION("""COMPUTED_VALUE"""),"conditional form; If [A] then [B]")</f>
        <v>conditional form; If [A] then [B]</v>
      </c>
    </row>
    <row r="7">
      <c r="A7" s="20">
        <v>6.0</v>
      </c>
      <c r="B7" s="20" t="s">
        <v>2364</v>
      </c>
      <c r="C7" s="50" t="s">
        <v>2365</v>
      </c>
      <c r="D7" s="59" t="s">
        <v>2366</v>
      </c>
      <c r="E7" s="51"/>
      <c r="G7" s="20" t="s">
        <v>35</v>
      </c>
      <c r="J7" s="14" t="str">
        <f>IFERROR(__xludf.DUMMYFUNCTION("""COMPUTED_VALUE"""),"場合は")</f>
        <v>場合は</v>
      </c>
      <c r="K7" s="14" t="str">
        <f>IFERROR(__xludf.DUMMYFUNCTION("""COMPUTED_VALUE"""),"in the event of; in the case that")</f>
        <v>in the event of; in the case that</v>
      </c>
    </row>
    <row r="8">
      <c r="A8" s="20">
        <v>7.0</v>
      </c>
      <c r="B8" s="20" t="s">
        <v>1573</v>
      </c>
      <c r="C8" s="50" t="s">
        <v>1574</v>
      </c>
      <c r="D8" s="59" t="s">
        <v>2367</v>
      </c>
      <c r="E8" s="51"/>
      <c r="J8" s="14" t="str">
        <f>IFERROR(__xludf.DUMMYFUNCTION("""COMPUTED_VALUE"""),"ばかり")</f>
        <v>ばかり</v>
      </c>
      <c r="K8" s="14" t="str">
        <f>IFERROR(__xludf.DUMMYFUNCTION("""COMPUTED_VALUE"""),"only; nothing but")</f>
        <v>only; nothing but</v>
      </c>
    </row>
    <row r="9">
      <c r="A9" s="20">
        <v>8.0</v>
      </c>
      <c r="B9" s="20" t="s">
        <v>2368</v>
      </c>
      <c r="C9" s="50" t="s">
        <v>2369</v>
      </c>
      <c r="D9" s="59" t="s">
        <v>2370</v>
      </c>
      <c r="E9" s="51"/>
      <c r="J9" s="14" t="str">
        <f>IFERROR(__xludf.DUMMYFUNCTION("""COMPUTED_VALUE"""),"だけで")</f>
        <v>だけで</v>
      </c>
      <c r="K9" s="14" t="str">
        <f>IFERROR(__xludf.DUMMYFUNCTION("""COMPUTED_VALUE"""),"just by; just by doing")</f>
        <v>just by; just by doing</v>
      </c>
    </row>
    <row r="10">
      <c r="A10" s="20">
        <v>9.0</v>
      </c>
      <c r="B10" s="20" t="s">
        <v>2371</v>
      </c>
      <c r="C10" s="50" t="s">
        <v>2372</v>
      </c>
      <c r="D10" s="59" t="s">
        <v>2373</v>
      </c>
      <c r="E10" s="51"/>
      <c r="J10" s="14" t="str">
        <f>IFERROR(__xludf.DUMMYFUNCTION("""COMPUTED_VALUE"""),"出す")</f>
        <v>出す</v>
      </c>
      <c r="K10" s="14" t="str">
        <f>IFERROR(__xludf.DUMMYFUNCTION("""COMPUTED_VALUE"""),"to suddenly begin; to suddenly appear")</f>
        <v>to suddenly begin; to suddenly appear</v>
      </c>
    </row>
    <row r="11">
      <c r="A11" s="20">
        <v>10.0</v>
      </c>
      <c r="B11" s="20" t="s">
        <v>2374</v>
      </c>
      <c r="C11" s="50" t="s">
        <v>2375</v>
      </c>
      <c r="D11" s="59" t="s">
        <v>2376</v>
      </c>
      <c r="E11" s="51"/>
      <c r="J11" s="14" t="str">
        <f>IFERROR(__xludf.DUMMYFUNCTION("""COMPUTED_VALUE"""),"でございます")</f>
        <v>でございます</v>
      </c>
      <c r="K11" s="14" t="str">
        <f>IFERROR(__xludf.DUMMYFUNCTION("""COMPUTED_VALUE"""),"to be (honorific)")</f>
        <v>to be (honorific)</v>
      </c>
    </row>
    <row r="12">
      <c r="A12" s="20">
        <v>11.0</v>
      </c>
      <c r="B12" s="20" t="s">
        <v>1576</v>
      </c>
      <c r="C12" s="50" t="s">
        <v>1577</v>
      </c>
      <c r="D12" s="59" t="s">
        <v>2377</v>
      </c>
      <c r="E12" s="51"/>
      <c r="J12" s="14" t="str">
        <f>IFERROR(__xludf.DUMMYFUNCTION("""COMPUTED_VALUE"""),"でも")</f>
        <v>でも</v>
      </c>
      <c r="K12" s="14" t="str">
        <f>IFERROR(__xludf.DUMMYFUNCTION("""COMPUTED_VALUE"""),"... or something")</f>
        <v>... or something</v>
      </c>
    </row>
    <row r="13">
      <c r="A13" s="20">
        <v>12.0</v>
      </c>
      <c r="B13" s="20" t="s">
        <v>2378</v>
      </c>
      <c r="C13" s="50" t="s">
        <v>2379</v>
      </c>
      <c r="D13" s="59" t="s">
        <v>2380</v>
      </c>
      <c r="E13" s="51"/>
      <c r="J13" s="14" t="str">
        <f>IFERROR(__xludf.DUMMYFUNCTION("""COMPUTED_VALUE"""),"ではないか")</f>
        <v>ではないか</v>
      </c>
      <c r="K13" s="14" t="str">
        <f>IFERROR(__xludf.DUMMYFUNCTION("""COMPUTED_VALUE"""),"right?; isn't it?")</f>
        <v>right?; isn't it?</v>
      </c>
    </row>
    <row r="14">
      <c r="A14" s="20">
        <v>13.0</v>
      </c>
      <c r="B14" s="20" t="s">
        <v>2381</v>
      </c>
      <c r="C14" s="50" t="s">
        <v>2382</v>
      </c>
      <c r="D14" s="59" t="s">
        <v>2383</v>
      </c>
      <c r="E14" s="51"/>
      <c r="J14" s="14" t="str">
        <f>IFERROR(__xludf.DUMMYFUNCTION("""COMPUTED_VALUE"""),"が必要")</f>
        <v>が必要</v>
      </c>
      <c r="K14" s="14" t="str">
        <f>IFERROR(__xludf.DUMMYFUNCTION("""COMPUTED_VALUE"""),"need; necessary")</f>
        <v>need; necessary</v>
      </c>
    </row>
    <row r="15">
      <c r="A15" s="20">
        <v>14.0</v>
      </c>
      <c r="B15" s="20" t="s">
        <v>2384</v>
      </c>
      <c r="C15" s="50" t="s">
        <v>2385</v>
      </c>
      <c r="D15" s="59" t="s">
        <v>2386</v>
      </c>
      <c r="E15" s="51"/>
      <c r="J15" s="14" t="str">
        <f>IFERROR(__xludf.DUMMYFUNCTION("""COMPUTED_VALUE"""),"がする")</f>
        <v>がする</v>
      </c>
      <c r="K15" s="14" t="str">
        <f>IFERROR(__xludf.DUMMYFUNCTION("""COMPUTED_VALUE"""),"to smell; hear; taste")</f>
        <v>to smell; hear; taste</v>
      </c>
    </row>
    <row r="16">
      <c r="A16" s="20">
        <v>15.0</v>
      </c>
      <c r="B16" s="20" t="s">
        <v>2387</v>
      </c>
      <c r="C16" s="50" t="s">
        <v>2388</v>
      </c>
      <c r="D16" s="59" t="s">
        <v>2389</v>
      </c>
      <c r="E16" s="51"/>
      <c r="J16" s="14" t="str">
        <f>IFERROR(__xludf.DUMMYFUNCTION("""COMPUTED_VALUE"""),"がり")</f>
        <v>がり</v>
      </c>
      <c r="K16" s="14" t="str">
        <f>IFERROR(__xludf.DUMMYFUNCTION("""COMPUTED_VALUE"""),"personality; tend to~; sensitivity towards~")</f>
        <v>personality; tend to~; sensitivity towards~</v>
      </c>
    </row>
    <row r="17">
      <c r="A17" s="20">
        <v>16.0</v>
      </c>
      <c r="B17" s="20" t="s">
        <v>2390</v>
      </c>
      <c r="C17" s="50" t="s">
        <v>2391</v>
      </c>
      <c r="D17" s="59" t="s">
        <v>2392</v>
      </c>
      <c r="E17" s="51"/>
      <c r="J17" s="14" t="str">
        <f>IFERROR(__xludf.DUMMYFUNCTION("""COMPUTED_VALUE"""),"がる・がっている")</f>
        <v>がる・がっている</v>
      </c>
      <c r="K17" s="14" t="str">
        <f>IFERROR(__xludf.DUMMYFUNCTION("""COMPUTED_VALUE"""),"to show signs of; to appear; to feel, to think")</f>
        <v>to show signs of; to appear; to feel, to think</v>
      </c>
    </row>
    <row r="18">
      <c r="A18" s="20">
        <v>17.0</v>
      </c>
      <c r="B18" s="20" t="s">
        <v>2393</v>
      </c>
      <c r="C18" s="50" t="s">
        <v>2394</v>
      </c>
      <c r="D18" s="59" t="s">
        <v>2395</v>
      </c>
      <c r="E18" s="51"/>
      <c r="J18" s="14" t="str">
        <f>IFERROR(__xludf.DUMMYFUNCTION("""COMPUTED_VALUE"""),"ございます")</f>
        <v>ございます</v>
      </c>
      <c r="K18" s="14" t="str">
        <f>IFERROR(__xludf.DUMMYFUNCTION("""COMPUTED_VALUE"""),"to be, to exist (the polite form of いる/ある)")</f>
        <v>to be, to exist (the polite form of いる/ある)</v>
      </c>
    </row>
    <row r="19">
      <c r="A19" s="20">
        <v>18.0</v>
      </c>
      <c r="B19" s="20" t="s">
        <v>2396</v>
      </c>
      <c r="C19" s="50" t="s">
        <v>2397</v>
      </c>
      <c r="D19" s="59" t="s">
        <v>2398</v>
      </c>
      <c r="E19" s="51"/>
      <c r="J19" s="14" t="str">
        <f>IFERROR(__xludf.DUMMYFUNCTION("""COMPUTED_VALUE"""),"始める")</f>
        <v>始める</v>
      </c>
      <c r="K19" s="14" t="str">
        <f>IFERROR(__xludf.DUMMYFUNCTION("""COMPUTED_VALUE"""),"to start; to begin to ~")</f>
        <v>to start; to begin to ~</v>
      </c>
    </row>
    <row r="20">
      <c r="A20" s="20">
        <v>19.0</v>
      </c>
      <c r="B20" s="20" t="s">
        <v>2399</v>
      </c>
      <c r="C20" s="50" t="s">
        <v>2400</v>
      </c>
      <c r="D20" s="59" t="s">
        <v>2401</v>
      </c>
      <c r="E20" s="51"/>
      <c r="J20" s="14" t="str">
        <f>IFERROR(__xludf.DUMMYFUNCTION("""COMPUTED_VALUE"""),"はずだ")</f>
        <v>はずだ</v>
      </c>
      <c r="K20" s="14" t="str">
        <f>IFERROR(__xludf.DUMMYFUNCTION("""COMPUTED_VALUE"""),"it must be; it should be (expectation)")</f>
        <v>it must be; it should be (expectation)</v>
      </c>
    </row>
    <row r="21">
      <c r="A21" s="20">
        <v>20.0</v>
      </c>
      <c r="B21" s="20" t="s">
        <v>2402</v>
      </c>
      <c r="C21" s="50" t="s">
        <v>2403</v>
      </c>
      <c r="D21" s="59" t="s">
        <v>2404</v>
      </c>
      <c r="E21" s="51"/>
      <c r="J21" s="14" t="str">
        <f>IFERROR(__xludf.DUMMYFUNCTION("""COMPUTED_VALUE"""),"はずがない")</f>
        <v>はずがない</v>
      </c>
      <c r="K21" s="14" t="str">
        <f>IFERROR(__xludf.DUMMYFUNCTION("""COMPUTED_VALUE"""),"cannot be (impossible)")</f>
        <v>cannot be (impossible)</v>
      </c>
    </row>
    <row r="22">
      <c r="A22" s="20">
        <v>21.0</v>
      </c>
      <c r="B22" s="20" t="s">
        <v>2405</v>
      </c>
      <c r="C22" s="50" t="s">
        <v>2406</v>
      </c>
      <c r="D22" s="59" t="s">
        <v>2407</v>
      </c>
      <c r="E22" s="51"/>
      <c r="J22" s="14" t="str">
        <f>IFERROR(__xludf.DUMMYFUNCTION("""COMPUTED_VALUE"""),"必要がある")</f>
        <v>必要がある</v>
      </c>
      <c r="K22" s="14" t="str">
        <f>IFERROR(__xludf.DUMMYFUNCTION("""COMPUTED_VALUE"""),"need to; it is necessary to")</f>
        <v>need to; it is necessary to</v>
      </c>
    </row>
    <row r="23">
      <c r="A23" s="20">
        <v>22.0</v>
      </c>
      <c r="B23" s="20" t="s">
        <v>2408</v>
      </c>
      <c r="C23" s="50" t="s">
        <v>2409</v>
      </c>
      <c r="D23" s="59" t="s">
        <v>2410</v>
      </c>
      <c r="E23" s="51"/>
      <c r="J23" s="14" t="str">
        <f>IFERROR(__xludf.DUMMYFUNCTION("""COMPUTED_VALUE"""),"意向形")</f>
        <v>意向形</v>
      </c>
      <c r="K23" s="14" t="str">
        <f>IFERROR(__xludf.DUMMYFUNCTION("""COMPUTED_VALUE"""),"volitional form​; let's do ~")</f>
        <v>volitional form​; let's do ~</v>
      </c>
    </row>
    <row r="24">
      <c r="A24" s="20">
        <v>23.0</v>
      </c>
      <c r="B24" s="20" t="s">
        <v>2411</v>
      </c>
      <c r="C24" s="50" t="s">
        <v>2412</v>
      </c>
      <c r="D24" s="59" t="s">
        <v>2413</v>
      </c>
      <c r="E24" s="51"/>
      <c r="J24" s="14" t="str">
        <f>IFERROR(__xludf.DUMMYFUNCTION("""COMPUTED_VALUE"""),"いらっしゃる")</f>
        <v>いらっしゃる</v>
      </c>
      <c r="K24" s="14" t="str">
        <f>IFERROR(__xludf.DUMMYFUNCTION("""COMPUTED_VALUE"""),"to be; to come; to go (polite version)")</f>
        <v>to be; to come; to go (polite version)</v>
      </c>
    </row>
    <row r="25">
      <c r="A25" s="20">
        <v>24.0</v>
      </c>
      <c r="B25" s="20" t="s">
        <v>2414</v>
      </c>
      <c r="C25" s="50" t="s">
        <v>2415</v>
      </c>
      <c r="D25" s="59" t="s">
        <v>2416</v>
      </c>
      <c r="E25" s="51"/>
      <c r="J25" s="14" t="str">
        <f>IFERROR(__xludf.DUMMYFUNCTION("""COMPUTED_VALUE"""),"いたします")</f>
        <v>いたします</v>
      </c>
      <c r="K25" s="14" t="str">
        <f>IFERROR(__xludf.DUMMYFUNCTION("""COMPUTED_VALUE"""),"to do (polite form of する)")</f>
        <v>to do (polite form of する)</v>
      </c>
    </row>
    <row r="26">
      <c r="A26" s="20">
        <v>25.0</v>
      </c>
      <c r="B26" s="20" t="s">
        <v>2417</v>
      </c>
      <c r="C26" s="50" t="s">
        <v>2418</v>
      </c>
      <c r="D26" s="59" t="s">
        <v>2419</v>
      </c>
      <c r="E26" s="51"/>
      <c r="J26" s="14" t="str">
        <f>IFERROR(__xludf.DUMMYFUNCTION("""COMPUTED_VALUE"""),"じゃないか")</f>
        <v>じゃないか</v>
      </c>
      <c r="K26" s="14" t="str">
        <f>IFERROR(__xludf.DUMMYFUNCTION("""COMPUTED_VALUE"""),"right? isn't it? let's~; confirmation")</f>
        <v>right? isn't it? let's~; confirmation</v>
      </c>
    </row>
    <row r="27">
      <c r="A27" s="20">
        <v>26.0</v>
      </c>
      <c r="B27" s="20" t="s">
        <v>1660</v>
      </c>
      <c r="C27" s="50" t="s">
        <v>2420</v>
      </c>
      <c r="D27" s="59" t="s">
        <v>2421</v>
      </c>
      <c r="E27" s="51"/>
      <c r="J27" s="14" t="str">
        <f>IFERROR(__xludf.DUMMYFUNCTION("""COMPUTED_VALUE"""),"かどうか")</f>
        <v>かどうか</v>
      </c>
      <c r="K27" s="14" t="str">
        <f>IFERROR(__xludf.DUMMYFUNCTION("""COMPUTED_VALUE"""),"whether or not")</f>
        <v>whether or not</v>
      </c>
    </row>
    <row r="28">
      <c r="A28" s="20">
        <v>27.0</v>
      </c>
      <c r="B28" s="20" t="s">
        <v>1579</v>
      </c>
      <c r="C28" s="50" t="s">
        <v>1580</v>
      </c>
      <c r="D28" s="59" t="s">
        <v>2422</v>
      </c>
      <c r="E28" s="51"/>
      <c r="J28" s="14" t="str">
        <f>IFERROR(__xludf.DUMMYFUNCTION("""COMPUTED_VALUE"""),"かしら")</f>
        <v>かしら</v>
      </c>
      <c r="K28" s="14" t="str">
        <f>IFERROR(__xludf.DUMMYFUNCTION("""COMPUTED_VALUE"""),"I wonder")</f>
        <v>I wonder</v>
      </c>
    </row>
    <row r="29">
      <c r="A29" s="20">
        <v>28.0</v>
      </c>
      <c r="B29" s="20" t="s">
        <v>1582</v>
      </c>
      <c r="C29" s="50" t="s">
        <v>1583</v>
      </c>
      <c r="D29" s="59" t="s">
        <v>2423</v>
      </c>
      <c r="E29" s="51"/>
      <c r="J29" s="14" t="str">
        <f>IFERROR(__xludf.DUMMYFUNCTION("""COMPUTED_VALUE"""),"かい")</f>
        <v>かい</v>
      </c>
      <c r="K29" s="14" t="str">
        <f>IFERROR(__xludf.DUMMYFUNCTION("""COMPUTED_VALUE"""),"turns a sentence into a yes/no question")</f>
        <v>turns a sentence into a yes/no question</v>
      </c>
    </row>
    <row r="30">
      <c r="A30" s="20">
        <v>29.0</v>
      </c>
      <c r="B30" s="20" t="s">
        <v>2424</v>
      </c>
      <c r="C30" s="50" t="s">
        <v>2425</v>
      </c>
      <c r="D30" s="59" t="s">
        <v>2426</v>
      </c>
      <c r="E30" s="51"/>
      <c r="J30" s="14" t="str">
        <f>IFERROR(__xludf.DUMMYFUNCTION("""COMPUTED_VALUE"""),"かもしれない")</f>
        <v>かもしれない</v>
      </c>
      <c r="K30" s="14" t="str">
        <f>IFERROR(__xludf.DUMMYFUNCTION("""COMPUTED_VALUE"""),"might; perhaps; indicates possibility")</f>
        <v>might; perhaps; indicates possibility</v>
      </c>
    </row>
    <row r="31">
      <c r="A31" s="20">
        <v>30.0</v>
      </c>
      <c r="B31" s="20" t="s">
        <v>2</v>
      </c>
      <c r="C31" s="50" t="s">
        <v>1585</v>
      </c>
      <c r="D31" s="59" t="s">
        <v>1586</v>
      </c>
      <c r="E31" s="51"/>
      <c r="J31" s="14" t="str">
        <f>IFERROR(__xludf.DUMMYFUNCTION("""COMPUTED_VALUE"""),"かな")</f>
        <v>かな</v>
      </c>
      <c r="K31" s="14" t="str">
        <f>IFERROR(__xludf.DUMMYFUNCTION("""COMPUTED_VALUE"""),"I wonder; should I?")</f>
        <v>I wonder; should I?</v>
      </c>
    </row>
    <row r="32">
      <c r="A32" s="20">
        <v>31.0</v>
      </c>
      <c r="B32" s="20" t="s">
        <v>2427</v>
      </c>
      <c r="C32" s="50" t="s">
        <v>2428</v>
      </c>
      <c r="D32" s="59" t="s">
        <v>2429</v>
      </c>
      <c r="E32" s="51"/>
      <c r="J32" s="14" t="str">
        <f>IFERROR(__xludf.DUMMYFUNCTION("""COMPUTED_VALUE"""),"から作る")</f>
        <v>から作る</v>
      </c>
      <c r="K32" s="14" t="str">
        <f>IFERROR(__xludf.DUMMYFUNCTION("""COMPUTED_VALUE"""),"made from; made with")</f>
        <v>made from; made with</v>
      </c>
    </row>
    <row r="33">
      <c r="A33" s="20">
        <v>32.0</v>
      </c>
      <c r="B33" s="20" t="s">
        <v>1665</v>
      </c>
      <c r="C33" s="50" t="s">
        <v>2430</v>
      </c>
      <c r="D33" s="59" t="s">
        <v>2431</v>
      </c>
      <c r="E33" s="51"/>
      <c r="J33" s="14" t="str">
        <f>IFERROR(__xludf.DUMMYFUNCTION("""COMPUTED_VALUE"""),"きっと")</f>
        <v>きっと</v>
      </c>
      <c r="K33" s="14" t="str">
        <f>IFERROR(__xludf.DUMMYFUNCTION("""COMPUTED_VALUE"""),"surely; undoubtedly; almost certainly; likely")</f>
        <v>surely; undoubtedly; almost certainly; likely</v>
      </c>
    </row>
    <row r="34">
      <c r="A34" s="20">
        <v>33.0</v>
      </c>
      <c r="B34" s="20" t="s">
        <v>2432</v>
      </c>
      <c r="C34" s="50" t="s">
        <v>2433</v>
      </c>
      <c r="D34" s="59" t="s">
        <v>2434</v>
      </c>
      <c r="E34" s="51"/>
      <c r="J34" s="14" t="str">
        <f>IFERROR(__xludf.DUMMYFUNCTION("""COMPUTED_VALUE"""),"頃")</f>
        <v>頃</v>
      </c>
      <c r="K34" s="14" t="str">
        <f>IFERROR(__xludf.DUMMYFUNCTION("""COMPUTED_VALUE"""),"around; about; when")</f>
        <v>around; about; when</v>
      </c>
    </row>
    <row r="35">
      <c r="A35" s="20">
        <v>34.0</v>
      </c>
      <c r="B35" s="20" t="s">
        <v>1820</v>
      </c>
      <c r="C35" s="50" t="s">
        <v>2435</v>
      </c>
      <c r="D35" s="59" t="s">
        <v>2436</v>
      </c>
      <c r="E35" s="51"/>
      <c r="J35" s="14" t="str">
        <f>IFERROR(__xludf.DUMMYFUNCTION("""COMPUTED_VALUE"""),"こと")</f>
        <v>こと</v>
      </c>
      <c r="K35" s="14" t="str">
        <f>IFERROR(__xludf.DUMMYFUNCTION("""COMPUTED_VALUE"""),"Verb nominalizer")</f>
        <v>Verb nominalizer</v>
      </c>
    </row>
    <row r="36">
      <c r="A36" s="20">
        <v>35.0</v>
      </c>
      <c r="B36" s="20" t="s">
        <v>2437</v>
      </c>
      <c r="C36" s="50" t="s">
        <v>2438</v>
      </c>
      <c r="D36" s="59" t="s">
        <v>2439</v>
      </c>
      <c r="E36" s="51"/>
      <c r="J36" s="14" t="str">
        <f>IFERROR(__xludf.DUMMYFUNCTION("""COMPUTED_VALUE"""),"ことがある")</f>
        <v>ことがある</v>
      </c>
      <c r="K36" s="14" t="str">
        <f>IFERROR(__xludf.DUMMYFUNCTION("""COMPUTED_VALUE"""),"there are times when")</f>
        <v>there are times when</v>
      </c>
    </row>
    <row r="37">
      <c r="A37" s="20">
        <v>36.0</v>
      </c>
      <c r="B37" s="20" t="s">
        <v>2440</v>
      </c>
      <c r="C37" s="50" t="s">
        <v>2441</v>
      </c>
      <c r="D37" s="59" t="s">
        <v>2442</v>
      </c>
      <c r="E37" s="51"/>
      <c r="J37" s="14" t="str">
        <f>IFERROR(__xludf.DUMMYFUNCTION("""COMPUTED_VALUE"""),"ことができる")</f>
        <v>ことができる</v>
      </c>
      <c r="K37" s="14" t="str">
        <f>IFERROR(__xludf.DUMMYFUNCTION("""COMPUTED_VALUE"""),"can; able to")</f>
        <v>can; able to</v>
      </c>
    </row>
    <row r="38">
      <c r="A38" s="20">
        <v>37.0</v>
      </c>
      <c r="B38" s="20" t="s">
        <v>2443</v>
      </c>
      <c r="C38" s="50" t="s">
        <v>2444</v>
      </c>
      <c r="D38" s="59" t="s">
        <v>2445</v>
      </c>
      <c r="E38" s="51"/>
      <c r="J38" s="14" t="str">
        <f>IFERROR(__xludf.DUMMYFUNCTION("""COMPUTED_VALUE"""),"ことになる")</f>
        <v>ことになる</v>
      </c>
      <c r="K38" s="14" t="str">
        <f>IFERROR(__xludf.DUMMYFUNCTION("""COMPUTED_VALUE"""),"It has been decided that..; it turns out that..")</f>
        <v>It has been decided that..; it turns out that..</v>
      </c>
    </row>
    <row r="39">
      <c r="A39" s="20">
        <v>38.0</v>
      </c>
      <c r="B39" s="20" t="s">
        <v>2446</v>
      </c>
      <c r="C39" s="50" t="s">
        <v>2447</v>
      </c>
      <c r="D39" s="59" t="s">
        <v>2448</v>
      </c>
      <c r="E39" s="51"/>
      <c r="J39" s="14" t="str">
        <f>IFERROR(__xludf.DUMMYFUNCTION("""COMPUTED_VALUE"""),"ことにする")</f>
        <v>ことにする</v>
      </c>
      <c r="K39" s="14" t="str">
        <f>IFERROR(__xludf.DUMMYFUNCTION("""COMPUTED_VALUE"""),"to decide on")</f>
        <v>to decide on</v>
      </c>
    </row>
    <row r="40">
      <c r="A40" s="20">
        <v>39.0</v>
      </c>
      <c r="B40" s="20" t="s">
        <v>1669</v>
      </c>
      <c r="C40" s="50" t="s">
        <v>2449</v>
      </c>
      <c r="D40" s="59" t="s">
        <v>1670</v>
      </c>
      <c r="E40" s="51"/>
      <c r="J40" s="14" t="str">
        <f>IFERROR(__xludf.DUMMYFUNCTION("""COMPUTED_VALUE"""),"くする")</f>
        <v>くする</v>
      </c>
      <c r="K40" s="14" t="str">
        <f>IFERROR(__xludf.DUMMYFUNCTION("""COMPUTED_VALUE"""),"to make something ~")</f>
        <v>to make something ~</v>
      </c>
    </row>
    <row r="41">
      <c r="A41" s="20">
        <v>40.0</v>
      </c>
      <c r="B41" s="20" t="s">
        <v>1671</v>
      </c>
      <c r="C41" s="50" t="s">
        <v>2450</v>
      </c>
      <c r="D41" s="59" t="s">
        <v>2451</v>
      </c>
      <c r="E41" s="51"/>
      <c r="J41" s="14" t="str">
        <f>IFERROR(__xludf.DUMMYFUNCTION("""COMPUTED_VALUE"""),"急に")</f>
        <v>急に</v>
      </c>
      <c r="K41" s="14" t="str">
        <f>IFERROR(__xludf.DUMMYFUNCTION("""COMPUTED_VALUE"""),"suddenly")</f>
        <v>suddenly</v>
      </c>
    </row>
    <row r="42">
      <c r="A42" s="20">
        <v>41.0</v>
      </c>
      <c r="B42" s="20" t="s">
        <v>1674</v>
      </c>
      <c r="C42" s="50" t="s">
        <v>2452</v>
      </c>
      <c r="D42" s="59" t="s">
        <v>2453</v>
      </c>
      <c r="E42" s="51"/>
      <c r="J42" s="14" t="str">
        <f>IFERROR(__xludf.DUMMYFUNCTION("""COMPUTED_VALUE"""),"までに")</f>
        <v>までに</v>
      </c>
      <c r="K42" s="14" t="str">
        <f>IFERROR(__xludf.DUMMYFUNCTION("""COMPUTED_VALUE"""),"by; by the time; indicates time limit")</f>
        <v>by; by the time; indicates time limit</v>
      </c>
    </row>
    <row r="43">
      <c r="A43" s="20">
        <v>42.0</v>
      </c>
      <c r="B43" s="20" t="s">
        <v>2454</v>
      </c>
      <c r="C43" s="50" t="s">
        <v>2455</v>
      </c>
      <c r="D43" s="59" t="s">
        <v>2456</v>
      </c>
      <c r="E43" s="51"/>
      <c r="J43" s="14" t="str">
        <f>IFERROR(__xludf.DUMMYFUNCTION("""COMPUTED_VALUE"""),"まま")</f>
        <v>まま</v>
      </c>
      <c r="K43" s="14" t="str">
        <f>IFERROR(__xludf.DUMMYFUNCTION("""COMPUTED_VALUE"""),"as it is; current state; without changing")</f>
        <v>as it is; current state; without changing</v>
      </c>
    </row>
    <row r="44">
      <c r="A44" s="20">
        <v>43.0</v>
      </c>
      <c r="B44" s="20" t="s">
        <v>2457</v>
      </c>
      <c r="C44" s="50" t="s">
        <v>2458</v>
      </c>
      <c r="D44" s="59" t="s">
        <v>2459</v>
      </c>
      <c r="E44" s="51"/>
      <c r="J44" s="14" t="str">
        <f>IFERROR(__xludf.DUMMYFUNCTION("""COMPUTED_VALUE"""),"または")</f>
        <v>または</v>
      </c>
      <c r="K44" s="14" t="str">
        <f>IFERROR(__xludf.DUMMYFUNCTION("""COMPUTED_VALUE"""),"both; or; otherwise​; choice between [A] or [B]")</f>
        <v>both; or; otherwise​; choice between [A] or [B]</v>
      </c>
    </row>
    <row r="45">
      <c r="A45" s="20">
        <v>44.0</v>
      </c>
      <c r="B45" s="20" t="s">
        <v>2460</v>
      </c>
      <c r="C45" s="50" t="s">
        <v>2461</v>
      </c>
      <c r="D45" s="59" t="s">
        <v>2462</v>
      </c>
      <c r="E45" s="51"/>
      <c r="J45" s="14" t="str">
        <f>IFERROR(__xludf.DUMMYFUNCTION("""COMPUTED_VALUE"""),"みたいだ")</f>
        <v>みたいだ</v>
      </c>
      <c r="K45" s="14" t="str">
        <f>IFERROR(__xludf.DUMMYFUNCTION("""COMPUTED_VALUE"""),"like, similar to, resembling")</f>
        <v>like, similar to, resembling</v>
      </c>
    </row>
    <row r="46">
      <c r="A46" s="20">
        <v>45.0</v>
      </c>
      <c r="B46" s="20" t="s">
        <v>2463</v>
      </c>
      <c r="C46" s="50" t="s">
        <v>2464</v>
      </c>
      <c r="D46" s="59" t="s">
        <v>2465</v>
      </c>
      <c r="E46" s="51"/>
      <c r="J46" s="14" t="str">
        <f>IFERROR(__xludf.DUMMYFUNCTION("""COMPUTED_VALUE"""),"みたいな")</f>
        <v>みたいな</v>
      </c>
      <c r="K46" s="14" t="str">
        <f>IFERROR(__xludf.DUMMYFUNCTION("""COMPUTED_VALUE"""),"like, similar to")</f>
        <v>like, similar to</v>
      </c>
    </row>
    <row r="47">
      <c r="A47" s="20">
        <v>46.0</v>
      </c>
      <c r="B47" s="20" t="s">
        <v>1678</v>
      </c>
      <c r="C47" s="50" t="s">
        <v>2466</v>
      </c>
      <c r="D47" s="59" t="s">
        <v>2465</v>
      </c>
      <c r="E47" s="51"/>
      <c r="J47" s="14" t="str">
        <f>IFERROR(__xludf.DUMMYFUNCTION("""COMPUTED_VALUE"""),"みたいに")</f>
        <v>みたいに</v>
      </c>
      <c r="K47" s="14" t="str">
        <f>IFERROR(__xludf.DUMMYFUNCTION("""COMPUTED_VALUE"""),"like, similar to")</f>
        <v>like, similar to</v>
      </c>
    </row>
    <row r="48">
      <c r="A48" s="20">
        <v>47.0</v>
      </c>
      <c r="B48" s="20" t="s">
        <v>1587</v>
      </c>
      <c r="C48" s="50" t="s">
        <v>1588</v>
      </c>
      <c r="D48" s="59" t="s">
        <v>2467</v>
      </c>
      <c r="E48" s="51"/>
      <c r="J48" s="14" t="str">
        <f>IFERROR(__xludf.DUMMYFUNCTION("""COMPUTED_VALUE"""),"も")</f>
        <v>も</v>
      </c>
      <c r="K48" s="14" t="str">
        <f>IFERROR(__xludf.DUMMYFUNCTION("""COMPUTED_VALUE"""),"as many as; as much as; up to; nearly")</f>
        <v>as many as; as much as; up to; nearly</v>
      </c>
    </row>
    <row r="49">
      <c r="A49" s="20">
        <v>48.0</v>
      </c>
      <c r="B49" s="20" t="s">
        <v>1590</v>
      </c>
      <c r="C49" s="50" t="s">
        <v>1591</v>
      </c>
      <c r="D49" s="59" t="s">
        <v>2468</v>
      </c>
      <c r="E49" s="51"/>
      <c r="J49" s="14" t="str">
        <f>IFERROR(__xludf.DUMMYFUNCTION("""COMPUTED_VALUE"""),"な")</f>
        <v>な</v>
      </c>
      <c r="K49" s="14" t="str">
        <f>IFERROR(__xludf.DUMMYFUNCTION("""COMPUTED_VALUE"""),"don’t ~ (order somebody to not do something)")</f>
        <v>don’t ~ (order somebody to not do something)</v>
      </c>
    </row>
    <row r="50">
      <c r="A50" s="20">
        <v>49.0</v>
      </c>
      <c r="B50" s="20" t="s">
        <v>1593</v>
      </c>
      <c r="C50" s="50" t="s">
        <v>1594</v>
      </c>
      <c r="D50" s="59" t="s">
        <v>2469</v>
      </c>
      <c r="E50" s="51"/>
      <c r="J50" s="14" t="str">
        <f>IFERROR(__xludf.DUMMYFUNCTION("""COMPUTED_VALUE"""),"など")</f>
        <v>など</v>
      </c>
      <c r="K50" s="14" t="str">
        <f>IFERROR(__xludf.DUMMYFUNCTION("""COMPUTED_VALUE"""),"such as, things like")</f>
        <v>such as, things like</v>
      </c>
    </row>
    <row r="51">
      <c r="A51" s="20">
        <v>50.0</v>
      </c>
      <c r="B51" s="20" t="s">
        <v>1596</v>
      </c>
      <c r="C51" s="50" t="s">
        <v>1597</v>
      </c>
      <c r="D51" s="59" t="s">
        <v>1598</v>
      </c>
      <c r="E51" s="51"/>
      <c r="J51" s="14" t="str">
        <f>IFERROR(__xludf.DUMMYFUNCTION("""COMPUTED_VALUE"""),"ながら")</f>
        <v>ながら</v>
      </c>
      <c r="K51" s="14" t="str">
        <f>IFERROR(__xludf.DUMMYFUNCTION("""COMPUTED_VALUE"""),"while; during; as; simultaneously")</f>
        <v>while; during; as; simultaneously</v>
      </c>
    </row>
    <row r="52">
      <c r="A52" s="20">
        <v>51.0</v>
      </c>
      <c r="B52" s="20" t="s">
        <v>1684</v>
      </c>
      <c r="C52" s="50" t="s">
        <v>2470</v>
      </c>
      <c r="D52" s="59" t="s">
        <v>2471</v>
      </c>
      <c r="E52" s="51"/>
      <c r="J52" s="14" t="str">
        <f>IFERROR(__xludf.DUMMYFUNCTION("""COMPUTED_VALUE"""),"なかなか～ない")</f>
        <v>なかなか～ない</v>
      </c>
      <c r="K52" s="14" t="str">
        <f>IFERROR(__xludf.DUMMYFUNCTION("""COMPUTED_VALUE"""),"not easy to; struggling to; not able to~")</f>
        <v>not easy to; struggling to; not able to~</v>
      </c>
    </row>
    <row r="53">
      <c r="A53" s="20">
        <v>52.0</v>
      </c>
      <c r="B53" s="20" t="s">
        <v>2472</v>
      </c>
      <c r="C53" s="50" t="s">
        <v>2473</v>
      </c>
      <c r="D53" s="59" t="s">
        <v>2474</v>
      </c>
      <c r="E53" s="51"/>
      <c r="J53" s="14" t="str">
        <f>IFERROR(__xludf.DUMMYFUNCTION("""COMPUTED_VALUE"""),"なければいけない")</f>
        <v>なければいけない</v>
      </c>
      <c r="K53" s="14" t="str">
        <f>IFERROR(__xludf.DUMMYFUNCTION("""COMPUTED_VALUE"""),"must do something; have to do something")</f>
        <v>must do something; have to do something</v>
      </c>
    </row>
    <row r="54">
      <c r="A54" s="20">
        <v>53.0</v>
      </c>
      <c r="B54" s="20" t="s">
        <v>2475</v>
      </c>
      <c r="C54" s="50" t="s">
        <v>2476</v>
      </c>
      <c r="D54" s="59" t="s">
        <v>2474</v>
      </c>
      <c r="E54" s="51"/>
      <c r="J54" s="14" t="str">
        <f>IFERROR(__xludf.DUMMYFUNCTION("""COMPUTED_VALUE"""),"なければならない")</f>
        <v>なければならない</v>
      </c>
      <c r="K54" s="14" t="str">
        <f>IFERROR(__xludf.DUMMYFUNCTION("""COMPUTED_VALUE"""),"must do something; have to do something")</f>
        <v>must do something; have to do something</v>
      </c>
    </row>
    <row r="55">
      <c r="A55" s="20">
        <v>54.0</v>
      </c>
      <c r="B55" s="20" t="s">
        <v>1599</v>
      </c>
      <c r="C55" s="50" t="s">
        <v>1600</v>
      </c>
      <c r="D55" s="59" t="s">
        <v>2477</v>
      </c>
      <c r="E55" s="51"/>
      <c r="J55" s="14" t="str">
        <f>IFERROR(__xludf.DUMMYFUNCTION("""COMPUTED_VALUE"""),"なら")</f>
        <v>なら</v>
      </c>
      <c r="K55" s="14" t="str">
        <f>IFERROR(__xludf.DUMMYFUNCTION("""COMPUTED_VALUE"""),"if; in the case that ~")</f>
        <v>if; in the case that ~</v>
      </c>
    </row>
    <row r="56">
      <c r="A56" s="20">
        <v>55.0</v>
      </c>
      <c r="B56" s="20" t="s">
        <v>2478</v>
      </c>
      <c r="C56" s="50" t="s">
        <v>2479</v>
      </c>
      <c r="D56" s="59" t="s">
        <v>2480</v>
      </c>
      <c r="E56" s="51"/>
      <c r="J56" s="14" t="str">
        <f>IFERROR(__xludf.DUMMYFUNCTION("""COMPUTED_VALUE"""),"なさい")</f>
        <v>なさい</v>
      </c>
      <c r="K56" s="14" t="str">
        <f>IFERROR(__xludf.DUMMYFUNCTION("""COMPUTED_VALUE"""),"do this (soft/firm command)")</f>
        <v>do this (soft/firm command)</v>
      </c>
    </row>
    <row r="57">
      <c r="A57" s="20">
        <v>56.0</v>
      </c>
      <c r="B57" s="20" t="s">
        <v>2481</v>
      </c>
      <c r="C57" s="50" t="s">
        <v>2482</v>
      </c>
      <c r="D57" s="59" t="s">
        <v>2483</v>
      </c>
      <c r="E57" s="51"/>
      <c r="J57" s="14" t="str">
        <f>IFERROR(__xludf.DUMMYFUNCTION("""COMPUTED_VALUE"""),"なさる")</f>
        <v>なさる</v>
      </c>
      <c r="K57" s="14" t="str">
        <f>IFERROR(__xludf.DUMMYFUNCTION("""COMPUTED_VALUE"""),"to do (honorific)")</f>
        <v>to do (honorific)</v>
      </c>
    </row>
    <row r="58">
      <c r="A58" s="20">
        <v>57.0</v>
      </c>
      <c r="B58" s="20" t="s">
        <v>2484</v>
      </c>
      <c r="C58" s="50" t="s">
        <v>2485</v>
      </c>
      <c r="D58" s="59" t="s">
        <v>2486</v>
      </c>
      <c r="E58" s="51"/>
      <c r="J58" s="14" t="str">
        <f>IFERROR(__xludf.DUMMYFUNCTION("""COMPUTED_VALUE"""),"に気がつく")</f>
        <v>に気がつく</v>
      </c>
      <c r="K58" s="14" t="str">
        <f>IFERROR(__xludf.DUMMYFUNCTION("""COMPUTED_VALUE"""),"to notice; to realize")</f>
        <v>to notice; to realize</v>
      </c>
    </row>
    <row r="59">
      <c r="A59" s="20">
        <v>58.0</v>
      </c>
      <c r="B59" s="20" t="s">
        <v>2487</v>
      </c>
      <c r="C59" s="50" t="s">
        <v>2488</v>
      </c>
      <c r="D59" s="59" t="s">
        <v>2489</v>
      </c>
      <c r="E59" s="51"/>
      <c r="J59" s="14" t="str">
        <f>IFERROR(__xludf.DUMMYFUNCTION("""COMPUTED_VALUE"""),"にみえる")</f>
        <v>にみえる</v>
      </c>
      <c r="K59" s="14" t="str">
        <f>IFERROR(__xludf.DUMMYFUNCTION("""COMPUTED_VALUE"""),"to look; to seem; to appear")</f>
        <v>to look; to seem; to appear</v>
      </c>
    </row>
    <row r="60">
      <c r="A60" s="20">
        <v>59.0</v>
      </c>
      <c r="B60" s="20" t="s">
        <v>2490</v>
      </c>
      <c r="C60" s="50" t="s">
        <v>2491</v>
      </c>
      <c r="D60" s="59" t="s">
        <v>1670</v>
      </c>
      <c r="E60" s="51"/>
      <c r="J60" s="14" t="str">
        <f>IFERROR(__xludf.DUMMYFUNCTION("""COMPUTED_VALUE"""),"にする")</f>
        <v>にする</v>
      </c>
      <c r="K60" s="14" t="str">
        <f>IFERROR(__xludf.DUMMYFUNCTION("""COMPUTED_VALUE"""),"to make something ~")</f>
        <v>to make something ~</v>
      </c>
    </row>
    <row r="61">
      <c r="A61" s="20">
        <v>60.0</v>
      </c>
      <c r="B61" s="20" t="s">
        <v>2492</v>
      </c>
      <c r="C61" s="50" t="s">
        <v>2493</v>
      </c>
      <c r="D61" s="59" t="s">
        <v>2494</v>
      </c>
      <c r="E61" s="51"/>
      <c r="J61" s="14" t="str">
        <f>IFERROR(__xludf.DUMMYFUNCTION("""COMPUTED_VALUE"""),"にくい")</f>
        <v>にくい</v>
      </c>
      <c r="K61" s="14" t="str">
        <f>IFERROR(__xludf.DUMMYFUNCTION("""COMPUTED_VALUE"""),"difficult to do")</f>
        <v>difficult to do</v>
      </c>
    </row>
    <row r="62">
      <c r="A62" s="20">
        <v>61.0</v>
      </c>
      <c r="B62" s="20" t="s">
        <v>1688</v>
      </c>
      <c r="C62" s="50" t="s">
        <v>2495</v>
      </c>
      <c r="D62" s="59" t="s">
        <v>2496</v>
      </c>
      <c r="E62" s="51"/>
      <c r="J62" s="14" t="str">
        <f>IFERROR(__xludf.DUMMYFUNCTION("""COMPUTED_VALUE"""),"の中で")</f>
        <v>の中で</v>
      </c>
      <c r="K62" s="14" t="str">
        <f>IFERROR(__xludf.DUMMYFUNCTION("""COMPUTED_VALUE"""),"in, among")</f>
        <v>in, among</v>
      </c>
    </row>
    <row r="63">
      <c r="A63" s="20">
        <v>62.0</v>
      </c>
      <c r="B63" s="20" t="s">
        <v>1602</v>
      </c>
      <c r="C63" s="50" t="s">
        <v>1603</v>
      </c>
      <c r="D63" s="59" t="s">
        <v>2497</v>
      </c>
      <c r="E63" s="51"/>
      <c r="J63" s="14" t="str">
        <f>IFERROR(__xludf.DUMMYFUNCTION("""COMPUTED_VALUE"""),"のに")</f>
        <v>のに</v>
      </c>
      <c r="K63" s="14" t="str">
        <f>IFERROR(__xludf.DUMMYFUNCTION("""COMPUTED_VALUE"""),"although, in spite of, even though")</f>
        <v>although, in spite of, even though</v>
      </c>
    </row>
    <row r="64">
      <c r="A64" s="20">
        <v>63.0</v>
      </c>
      <c r="B64" s="20" t="s">
        <v>1602</v>
      </c>
      <c r="C64" s="50" t="s">
        <v>1603</v>
      </c>
      <c r="D64" s="59" t="s">
        <v>2498</v>
      </c>
      <c r="E64" s="51"/>
      <c r="J64" s="14" t="str">
        <f>IFERROR(__xludf.DUMMYFUNCTION("""COMPUTED_VALUE"""),"のに")</f>
        <v>のに</v>
      </c>
      <c r="K64" s="14" t="str">
        <f>IFERROR(__xludf.DUMMYFUNCTION("""COMPUTED_VALUE"""),"to (do something); in order to")</f>
        <v>to (do something); in order to</v>
      </c>
    </row>
    <row r="65">
      <c r="A65" s="20">
        <v>64.0</v>
      </c>
      <c r="B65" s="20" t="s">
        <v>1606</v>
      </c>
      <c r="C65" s="50" t="s">
        <v>1607</v>
      </c>
      <c r="D65" s="59" t="s">
        <v>1608</v>
      </c>
      <c r="E65" s="51"/>
      <c r="J65" s="14" t="str">
        <f>IFERROR(__xludf.DUMMYFUNCTION("""COMPUTED_VALUE"""),"のは〜だ")</f>
        <v>のは〜だ</v>
      </c>
      <c r="K65" s="14" t="str">
        <f>IFERROR(__xludf.DUMMYFUNCTION("""COMPUTED_VALUE"""),"[A] is [B]; the reason for [A] is [B]")</f>
        <v>[A] is [B]; the reason for [A] is [B]</v>
      </c>
    </row>
    <row r="66">
      <c r="A66" s="20">
        <v>65.0</v>
      </c>
      <c r="B66" s="20" t="s">
        <v>2499</v>
      </c>
      <c r="C66" s="50" t="s">
        <v>2500</v>
      </c>
      <c r="D66" s="59" t="s">
        <v>2501</v>
      </c>
      <c r="E66" s="51"/>
      <c r="J66" s="14" t="str">
        <f>IFERROR(__xludf.DUMMYFUNCTION("""COMPUTED_VALUE"""),"お～ください")</f>
        <v>お～ください</v>
      </c>
      <c r="K66" s="14" t="str">
        <f>IFERROR(__xludf.DUMMYFUNCTION("""COMPUTED_VALUE"""),"please do (honorific)")</f>
        <v>please do (honorific)</v>
      </c>
    </row>
    <row r="67">
      <c r="A67" s="20">
        <v>66.0</v>
      </c>
      <c r="B67" s="20" t="s">
        <v>2502</v>
      </c>
      <c r="C67" s="50" t="s">
        <v>2503</v>
      </c>
      <c r="D67" s="59" t="s">
        <v>2483</v>
      </c>
      <c r="E67" s="51"/>
      <c r="J67" s="14" t="str">
        <f>IFERROR(__xludf.DUMMYFUNCTION("""COMPUTED_VALUE"""),"お～になる")</f>
        <v>お～になる</v>
      </c>
      <c r="K67" s="14" t="str">
        <f>IFERROR(__xludf.DUMMYFUNCTION("""COMPUTED_VALUE"""),"to do (honorific)")</f>
        <v>to do (honorific)</v>
      </c>
    </row>
    <row r="68">
      <c r="A68" s="20">
        <v>67.0</v>
      </c>
      <c r="B68" s="20" t="s">
        <v>2504</v>
      </c>
      <c r="C68" s="50" t="s">
        <v>2505</v>
      </c>
      <c r="D68" s="59" t="s">
        <v>2506</v>
      </c>
      <c r="E68" s="51"/>
      <c r="J68" s="14" t="str">
        <f>IFERROR(__xludf.DUMMYFUNCTION("""COMPUTED_VALUE"""),"おきに")</f>
        <v>おきに</v>
      </c>
      <c r="K68" s="14" t="str">
        <f>IFERROR(__xludf.DUMMYFUNCTION("""COMPUTED_VALUE"""),"repeated at intervals, every")</f>
        <v>repeated at intervals, every</v>
      </c>
    </row>
    <row r="69">
      <c r="A69" s="20">
        <v>68.0</v>
      </c>
      <c r="B69" s="20" t="s">
        <v>2507</v>
      </c>
      <c r="C69" s="50" t="s">
        <v>2508</v>
      </c>
      <c r="D69" s="59" t="s">
        <v>2509</v>
      </c>
      <c r="E69" s="51"/>
      <c r="J69" s="14" t="str">
        <f>IFERROR(__xludf.DUMMYFUNCTION("""COMPUTED_VALUE"""),"終わる")</f>
        <v>終わる</v>
      </c>
      <c r="K69" s="14" t="str">
        <f>IFERROR(__xludf.DUMMYFUNCTION("""COMPUTED_VALUE"""),"to finish; to end")</f>
        <v>to finish; to end</v>
      </c>
    </row>
    <row r="70">
      <c r="A70" s="20">
        <v>69.0</v>
      </c>
      <c r="B70" s="20" t="s">
        <v>2510</v>
      </c>
      <c r="C70" s="50" t="s">
        <v>2511</v>
      </c>
      <c r="D70" s="59" t="s">
        <v>2512</v>
      </c>
      <c r="E70" s="51"/>
      <c r="J70" s="14" t="str">
        <f>IFERROR(__xludf.DUMMYFUNCTION("""COMPUTED_VALUE"""),"られる")</f>
        <v>られる</v>
      </c>
      <c r="K70" s="14" t="str">
        <f>IFERROR(__xludf.DUMMYFUNCTION("""COMPUTED_VALUE"""),"potential form; ability/inability to do ~")</f>
        <v>potential form; ability/inability to do ~</v>
      </c>
    </row>
    <row r="71">
      <c r="A71" s="20">
        <v>70.0</v>
      </c>
      <c r="B71" s="20" t="s">
        <v>2513</v>
      </c>
      <c r="C71" s="50" t="s">
        <v>2514</v>
      </c>
      <c r="D71" s="59" t="s">
        <v>2515</v>
      </c>
      <c r="E71" s="51"/>
      <c r="J71" s="14" t="str">
        <f>IFERROR(__xludf.DUMMYFUNCTION("""COMPUTED_VALUE"""),"らしい")</f>
        <v>らしい</v>
      </c>
      <c r="K71" s="14" t="str">
        <f>IFERROR(__xludf.DUMMYFUNCTION("""COMPUTED_VALUE"""),"it seems like; I heard; apparently~")</f>
        <v>it seems like; I heard; apparently~</v>
      </c>
    </row>
    <row r="72">
      <c r="A72" s="20">
        <v>71.0</v>
      </c>
      <c r="B72" s="20" t="s">
        <v>2516</v>
      </c>
      <c r="C72" s="50" t="s">
        <v>2517</v>
      </c>
      <c r="D72" s="59" t="s">
        <v>2518</v>
      </c>
      <c r="E72" s="51"/>
      <c r="J72" s="14" t="str">
        <f>IFERROR(__xludf.DUMMYFUNCTION("""COMPUTED_VALUE"""),"さ")</f>
        <v>さ</v>
      </c>
      <c r="K72" s="14" t="str">
        <f>IFERROR(__xludf.DUMMYFUNCTION("""COMPUTED_VALUE"""),"-ness​ ; nominalizer for adjective")</f>
        <v>-ness​ ; nominalizer for adjective</v>
      </c>
    </row>
    <row r="73">
      <c r="A73" s="20">
        <v>72.0</v>
      </c>
      <c r="B73" s="20" t="s">
        <v>2519</v>
      </c>
      <c r="C73" s="50" t="s">
        <v>2520</v>
      </c>
      <c r="D73" s="59" t="s">
        <v>2521</v>
      </c>
      <c r="E73" s="51"/>
      <c r="J73" s="14" t="str">
        <f>IFERROR(__xludf.DUMMYFUNCTION("""COMPUTED_VALUE"""),"さっき")</f>
        <v>さっき</v>
      </c>
      <c r="K73" s="14" t="str">
        <f>IFERROR(__xludf.DUMMYFUNCTION("""COMPUTED_VALUE"""),"some time ago; just now")</f>
        <v>some time ago; just now</v>
      </c>
    </row>
    <row r="74">
      <c r="A74" s="20">
        <v>73.0</v>
      </c>
      <c r="B74" s="20" t="s">
        <v>2522</v>
      </c>
      <c r="C74" s="50" t="s">
        <v>2523</v>
      </c>
      <c r="D74" s="59" t="s">
        <v>2524</v>
      </c>
      <c r="E74" s="51"/>
      <c r="J74" s="14" t="str">
        <f>IFERROR(__xludf.DUMMYFUNCTION("""COMPUTED_VALUE"""),"させられる")</f>
        <v>させられる</v>
      </c>
      <c r="K74" s="14" t="str">
        <f>IFERROR(__xludf.DUMMYFUNCTION("""COMPUTED_VALUE"""),"causative-passive; to be made to do something")</f>
        <v>causative-passive; to be made to do something</v>
      </c>
    </row>
    <row r="75">
      <c r="A75" s="20">
        <v>74.0</v>
      </c>
      <c r="B75" s="20" t="s">
        <v>2525</v>
      </c>
      <c r="C75" s="50" t="s">
        <v>2526</v>
      </c>
      <c r="D75" s="59" t="s">
        <v>2527</v>
      </c>
      <c r="E75" s="51"/>
      <c r="J75" s="14" t="str">
        <f>IFERROR(__xludf.DUMMYFUNCTION("""COMPUTED_VALUE"""),"させる")</f>
        <v>させる</v>
      </c>
      <c r="K75" s="14" t="str">
        <f>IFERROR(__xludf.DUMMYFUNCTION("""COMPUTED_VALUE"""),"causative form; to make/let somebody do ~")</f>
        <v>causative form; to make/let somebody do ~</v>
      </c>
    </row>
    <row r="76">
      <c r="A76" s="20">
        <v>75.0</v>
      </c>
      <c r="B76" s="20" t="s">
        <v>2528</v>
      </c>
      <c r="C76" s="50" t="s">
        <v>2529</v>
      </c>
      <c r="D76" s="59" t="s">
        <v>2530</v>
      </c>
      <c r="E76" s="51"/>
      <c r="J76" s="14" t="str">
        <f>IFERROR(__xludf.DUMMYFUNCTION("""COMPUTED_VALUE"""),"させてください")</f>
        <v>させてください</v>
      </c>
      <c r="K76" s="14" t="str">
        <f>IFERROR(__xludf.DUMMYFUNCTION("""COMPUTED_VALUE"""),"please let me do")</f>
        <v>please let me do</v>
      </c>
    </row>
    <row r="77">
      <c r="A77" s="20">
        <v>76.0</v>
      </c>
      <c r="B77" s="20" t="s">
        <v>1691</v>
      </c>
      <c r="C77" s="50" t="s">
        <v>2531</v>
      </c>
      <c r="D77" s="59" t="s">
        <v>2532</v>
      </c>
      <c r="E77" s="51"/>
      <c r="J77" s="14" t="str">
        <f>IFERROR(__xludf.DUMMYFUNCTION("""COMPUTED_VALUE"""),"さすが")</f>
        <v>さすが</v>
      </c>
      <c r="K77" s="14" t="str">
        <f>IFERROR(__xludf.DUMMYFUNCTION("""COMPUTED_VALUE"""),"as one would expect; as is to be expected; even")</f>
        <v>as one would expect; as is to be expected; even</v>
      </c>
    </row>
    <row r="78">
      <c r="A78" s="20">
        <v>77.0</v>
      </c>
      <c r="B78" s="20" t="s">
        <v>1091</v>
      </c>
      <c r="C78" s="50" t="s">
        <v>1092</v>
      </c>
      <c r="D78" s="59" t="s">
        <v>2533</v>
      </c>
      <c r="E78" s="51"/>
      <c r="J78" s="14" t="str">
        <f>IFERROR(__xludf.DUMMYFUNCTION("""COMPUTED_VALUE"""),"し")</f>
        <v>し</v>
      </c>
      <c r="K78" s="14" t="str">
        <f>IFERROR(__xludf.DUMMYFUNCTION("""COMPUTED_VALUE"""),"and; and what’s more; emphasis")</f>
        <v>and; and what’s more; emphasis</v>
      </c>
    </row>
    <row r="79">
      <c r="A79" s="20">
        <v>78.0</v>
      </c>
      <c r="B79" s="20" t="s">
        <v>1695</v>
      </c>
      <c r="C79" s="50" t="s">
        <v>2534</v>
      </c>
      <c r="D79" s="59" t="s">
        <v>1696</v>
      </c>
      <c r="E79" s="51"/>
      <c r="J79" s="14" t="str">
        <f>IFERROR(__xludf.DUMMYFUNCTION("""COMPUTED_VALUE"""),"そんなに")</f>
        <v>そんなに</v>
      </c>
      <c r="K79" s="14" t="str">
        <f>IFERROR(__xludf.DUMMYFUNCTION("""COMPUTED_VALUE"""),"so much; so; like that")</f>
        <v>so much; so; like that</v>
      </c>
    </row>
    <row r="80">
      <c r="A80" s="20">
        <v>79.0</v>
      </c>
      <c r="B80" s="20" t="s">
        <v>2535</v>
      </c>
      <c r="C80" s="50" t="s">
        <v>2536</v>
      </c>
      <c r="D80" s="59" t="s">
        <v>2537</v>
      </c>
      <c r="E80" s="51"/>
      <c r="J80" s="14" t="str">
        <f>IFERROR(__xludf.DUMMYFUNCTION("""COMPUTED_VALUE"""),"それでも")</f>
        <v>それでも</v>
      </c>
      <c r="K80" s="14" t="str">
        <f>IFERROR(__xludf.DUMMYFUNCTION("""COMPUTED_VALUE"""),"but still; and yet; even so")</f>
        <v>but still; and yet; even so</v>
      </c>
    </row>
    <row r="81">
      <c r="A81" s="20">
        <v>80.0</v>
      </c>
      <c r="B81" s="20" t="s">
        <v>1701</v>
      </c>
      <c r="C81" s="50" t="s">
        <v>2538</v>
      </c>
      <c r="D81" s="59" t="s">
        <v>2539</v>
      </c>
      <c r="E81" s="51"/>
      <c r="J81" s="14" t="str">
        <f>IFERROR(__xludf.DUMMYFUNCTION("""COMPUTED_VALUE"""),"そうだ")</f>
        <v>そうだ</v>
      </c>
      <c r="K81" s="14" t="str">
        <f>IFERROR(__xludf.DUMMYFUNCTION("""COMPUTED_VALUE"""),"I heard that; it is said that")</f>
        <v>I heard that; it is said that</v>
      </c>
    </row>
    <row r="82">
      <c r="A82" s="20">
        <v>81.0</v>
      </c>
      <c r="B82" s="20" t="s">
        <v>1701</v>
      </c>
      <c r="C82" s="50" t="s">
        <v>2540</v>
      </c>
      <c r="D82" s="59" t="s">
        <v>2541</v>
      </c>
      <c r="E82" s="51"/>
      <c r="J82" s="14" t="str">
        <f>IFERROR(__xludf.DUMMYFUNCTION("""COMPUTED_VALUE"""),"そうだ")</f>
        <v>そうだ</v>
      </c>
      <c r="K82" s="14" t="str">
        <f>IFERROR(__xludf.DUMMYFUNCTION("""COMPUTED_VALUE"""),"looks like; appears like")</f>
        <v>looks like; appears like</v>
      </c>
    </row>
    <row r="83">
      <c r="A83" s="20">
        <v>82.0</v>
      </c>
      <c r="B83" s="20" t="s">
        <v>2542</v>
      </c>
      <c r="C83" s="50" t="s">
        <v>2543</v>
      </c>
      <c r="D83" s="59" t="s">
        <v>2544</v>
      </c>
      <c r="E83" s="51"/>
      <c r="J83" s="14" t="str">
        <f>IFERROR(__xludf.DUMMYFUNCTION("""COMPUTED_VALUE"""),"そうに・そうな")</f>
        <v>そうに・そうな</v>
      </c>
      <c r="K83" s="14" t="str">
        <f>IFERROR(__xludf.DUMMYFUNCTION("""COMPUTED_VALUE"""),"seems like; looks like")</f>
        <v>seems like; looks like</v>
      </c>
    </row>
    <row r="84">
      <c r="A84" s="20">
        <v>83.0</v>
      </c>
      <c r="B84" s="20" t="s">
        <v>1610</v>
      </c>
      <c r="C84" s="50" t="s">
        <v>1611</v>
      </c>
      <c r="D84" s="59" t="s">
        <v>2545</v>
      </c>
      <c r="E84" s="51"/>
      <c r="J84" s="14" t="str">
        <f>IFERROR(__xludf.DUMMYFUNCTION("""COMPUTED_VALUE"""),"たばかり")</f>
        <v>たばかり</v>
      </c>
      <c r="K84" s="14" t="str">
        <f>IFERROR(__xludf.DUMMYFUNCTION("""COMPUTED_VALUE"""),"just finished; something just occurred")</f>
        <v>just finished; something just occurred</v>
      </c>
    </row>
    <row r="85">
      <c r="A85" s="20">
        <v>84.0</v>
      </c>
      <c r="B85" s="20" t="s">
        <v>2546</v>
      </c>
      <c r="C85" s="50" t="s">
        <v>2547</v>
      </c>
      <c r="D85" s="59" t="s">
        <v>2548</v>
      </c>
      <c r="E85" s="51"/>
      <c r="J85" s="14" t="str">
        <f>IFERROR(__xludf.DUMMYFUNCTION("""COMPUTED_VALUE"""),"たところ")</f>
        <v>たところ</v>
      </c>
      <c r="K85" s="14" t="str">
        <f>IFERROR(__xludf.DUMMYFUNCTION("""COMPUTED_VALUE"""),"just finished doing, was just doing")</f>
        <v>just finished doing, was just doing</v>
      </c>
    </row>
    <row r="86">
      <c r="A86" s="20">
        <v>85.0</v>
      </c>
      <c r="B86" s="20" t="s">
        <v>2549</v>
      </c>
      <c r="C86" s="50" t="s">
        <v>2550</v>
      </c>
      <c r="D86" s="59" t="s">
        <v>2551</v>
      </c>
      <c r="J86" s="14" t="str">
        <f>IFERROR(__xludf.DUMMYFUNCTION("""COMPUTED_VALUE"""),"他動詞 &amp; 自動詞")</f>
        <v>他動詞 &amp; 自動詞</v>
      </c>
      <c r="K86" s="14" t="str">
        <f>IFERROR(__xludf.DUMMYFUNCTION("""COMPUTED_VALUE"""),"Transitive &amp; Intransitive Verbs")</f>
        <v>Transitive &amp; Intransitive Verbs</v>
      </c>
    </row>
    <row r="87">
      <c r="A87" s="20">
        <v>86.0</v>
      </c>
      <c r="B87" s="20" t="s">
        <v>2552</v>
      </c>
      <c r="C87" s="50" t="s">
        <v>2553</v>
      </c>
      <c r="D87" s="59" t="s">
        <v>2554</v>
      </c>
      <c r="J87" s="14" t="str">
        <f>IFERROR(__xludf.DUMMYFUNCTION("""COMPUTED_VALUE"""),"たがる")</f>
        <v>たがる</v>
      </c>
      <c r="K87" s="14" t="str">
        <f>IFERROR(__xludf.DUMMYFUNCTION("""COMPUTED_VALUE"""),"wants to do~ (third person)")</f>
        <v>wants to do~ (third person)</v>
      </c>
    </row>
    <row r="88">
      <c r="A88" s="20">
        <v>87.0</v>
      </c>
      <c r="B88" s="20" t="s">
        <v>1613</v>
      </c>
      <c r="C88" s="50" t="s">
        <v>1614</v>
      </c>
      <c r="D88" s="59" t="s">
        <v>2555</v>
      </c>
      <c r="J88" s="14" t="str">
        <f>IFERROR(__xludf.DUMMYFUNCTION("""COMPUTED_VALUE"""),"たら")</f>
        <v>たら</v>
      </c>
      <c r="K88" s="14" t="str">
        <f>IFERROR(__xludf.DUMMYFUNCTION("""COMPUTED_VALUE"""),"if, after, when")</f>
        <v>if, after, when</v>
      </c>
    </row>
    <row r="89">
      <c r="A89" s="20">
        <v>88.0</v>
      </c>
      <c r="B89" s="20" t="s">
        <v>2556</v>
      </c>
      <c r="C89" s="50" t="s">
        <v>2557</v>
      </c>
      <c r="D89" s="59" t="s">
        <v>2558</v>
      </c>
      <c r="J89" s="14" t="str">
        <f>IFERROR(__xludf.DUMMYFUNCTION("""COMPUTED_VALUE"""),"たらどう")</f>
        <v>たらどう</v>
      </c>
      <c r="K89" s="14" t="str">
        <f>IFERROR(__xludf.DUMMYFUNCTION("""COMPUTED_VALUE"""),"why don't you")</f>
        <v>why don't you</v>
      </c>
    </row>
    <row r="90">
      <c r="A90" s="20">
        <v>89.0</v>
      </c>
      <c r="B90" s="20" t="s">
        <v>2559</v>
      </c>
      <c r="C90" s="50" t="s">
        <v>2560</v>
      </c>
      <c r="D90" s="59" t="s">
        <v>2561</v>
      </c>
      <c r="J90" s="14" t="str">
        <f>IFERROR(__xludf.DUMMYFUNCTION("""COMPUTED_VALUE"""),"たらいいですか")</f>
        <v>たらいいですか</v>
      </c>
      <c r="K90" s="14" t="str">
        <f>IFERROR(__xludf.DUMMYFUNCTION("""COMPUTED_VALUE"""),"what should I do?; speaker seeking instruction")</f>
        <v>what should I do?; speaker seeking instruction</v>
      </c>
    </row>
    <row r="91">
      <c r="A91" s="20">
        <v>90.0</v>
      </c>
      <c r="B91" s="20" t="s">
        <v>1616</v>
      </c>
      <c r="C91" s="50" t="s">
        <v>1617</v>
      </c>
      <c r="D91" s="59" t="s">
        <v>2562</v>
      </c>
      <c r="J91" s="14" t="str">
        <f>IFERROR(__xludf.DUMMYFUNCTION("""COMPUTED_VALUE"""),"て / で")</f>
        <v>て / で</v>
      </c>
      <c r="K91" s="14" t="str">
        <f>IFERROR(__xludf.DUMMYFUNCTION("""COMPUTED_VALUE"""),"conjunctive particle; so; because of [A], [B]...")</f>
        <v>conjunctive particle; so; because of [A], [B]...</v>
      </c>
    </row>
    <row r="92">
      <c r="A92" s="20">
        <v>91.0</v>
      </c>
      <c r="B92" s="20" t="s">
        <v>2563</v>
      </c>
      <c r="C92" s="50" t="s">
        <v>2564</v>
      </c>
      <c r="D92" s="59" t="s">
        <v>2565</v>
      </c>
      <c r="J92" s="14" t="str">
        <f>IFERROR(__xludf.DUMMYFUNCTION("""COMPUTED_VALUE"""),"てあげる")</f>
        <v>てあげる</v>
      </c>
      <c r="K92" s="14" t="str">
        <f>IFERROR(__xludf.DUMMYFUNCTION("""COMPUTED_VALUE"""),"to do for; to do a favor")</f>
        <v>to do for; to do a favor</v>
      </c>
    </row>
    <row r="93">
      <c r="A93" s="20">
        <v>92.0</v>
      </c>
      <c r="B93" s="20" t="s">
        <v>2566</v>
      </c>
      <c r="C93" s="50" t="s">
        <v>2567</v>
      </c>
      <c r="D93" s="59" t="s">
        <v>2568</v>
      </c>
      <c r="J93" s="14" t="str">
        <f>IFERROR(__xludf.DUMMYFUNCTION("""COMPUTED_VALUE"""),"てほしい")</f>
        <v>てほしい</v>
      </c>
      <c r="K93" s="14" t="str">
        <f>IFERROR(__xludf.DUMMYFUNCTION("""COMPUTED_VALUE"""),"I want you to; need you to~")</f>
        <v>I want you to; need you to~</v>
      </c>
    </row>
    <row r="94">
      <c r="A94" s="20">
        <v>93.0</v>
      </c>
      <c r="B94" s="20" t="s">
        <v>2569</v>
      </c>
      <c r="C94" s="50" t="s">
        <v>2570</v>
      </c>
      <c r="D94" s="59" t="s">
        <v>2571</v>
      </c>
      <c r="J94" s="14" t="str">
        <f>IFERROR(__xludf.DUMMYFUNCTION("""COMPUTED_VALUE"""),"ていく")</f>
        <v>ていく</v>
      </c>
      <c r="K94" s="14" t="str">
        <f>IFERROR(__xludf.DUMMYFUNCTION("""COMPUTED_VALUE"""),"to start; to continue; to go on")</f>
        <v>to start; to continue; to go on</v>
      </c>
    </row>
    <row r="95">
      <c r="A95" s="20">
        <v>94.0</v>
      </c>
      <c r="B95" s="20" t="s">
        <v>2572</v>
      </c>
      <c r="C95" s="50" t="s">
        <v>2573</v>
      </c>
      <c r="D95" s="59" t="s">
        <v>2574</v>
      </c>
      <c r="J95" s="14" t="str">
        <f>IFERROR(__xludf.DUMMYFUNCTION("""COMPUTED_VALUE"""),"ていた")</f>
        <v>ていた</v>
      </c>
      <c r="K95" s="14" t="str">
        <f>IFERROR(__xludf.DUMMYFUNCTION("""COMPUTED_VALUE"""),"was doing something (past continuous)")</f>
        <v>was doing something (past continuous)</v>
      </c>
    </row>
    <row r="96">
      <c r="A96" s="20">
        <v>95.0</v>
      </c>
      <c r="B96" s="20" t="s">
        <v>2575</v>
      </c>
      <c r="C96" s="50" t="s">
        <v>2576</v>
      </c>
      <c r="D96" s="59" t="s">
        <v>2577</v>
      </c>
      <c r="J96" s="14" t="str">
        <f>IFERROR(__xludf.DUMMYFUNCTION("""COMPUTED_VALUE"""),"ていただけませんか")</f>
        <v>ていただけませんか</v>
      </c>
      <c r="K96" s="14" t="str">
        <f>IFERROR(__xludf.DUMMYFUNCTION("""COMPUTED_VALUE"""),"could you please")</f>
        <v>could you please</v>
      </c>
    </row>
    <row r="97">
      <c r="A97" s="20">
        <v>96.0</v>
      </c>
      <c r="B97" s="20" t="s">
        <v>2578</v>
      </c>
      <c r="C97" s="50" t="s">
        <v>2579</v>
      </c>
      <c r="D97" s="59" t="s">
        <v>2580</v>
      </c>
      <c r="J97" s="14" t="str">
        <f>IFERROR(__xludf.DUMMYFUNCTION("""COMPUTED_VALUE"""),"てくれる")</f>
        <v>てくれる</v>
      </c>
      <c r="K97" s="14" t="str">
        <f>IFERROR(__xludf.DUMMYFUNCTION("""COMPUTED_VALUE"""),"to do a favor; do something for someone")</f>
        <v>to do a favor; do something for someone</v>
      </c>
    </row>
    <row r="98">
      <c r="A98" s="20">
        <v>97.0</v>
      </c>
      <c r="B98" s="20" t="s">
        <v>2581</v>
      </c>
      <c r="C98" s="50" t="s">
        <v>2582</v>
      </c>
      <c r="D98" s="59" t="s">
        <v>2583</v>
      </c>
      <c r="J98" s="14" t="str">
        <f>IFERROR(__xludf.DUMMYFUNCTION("""COMPUTED_VALUE"""),"てくる")</f>
        <v>てくる</v>
      </c>
      <c r="K98" s="14" t="str">
        <f>IFERROR(__xludf.DUMMYFUNCTION("""COMPUTED_VALUE"""),"to do… and come back; to continue")</f>
        <v>to do… and come back; to continue</v>
      </c>
    </row>
    <row r="99">
      <c r="A99" s="20">
        <v>98.0</v>
      </c>
      <c r="B99" s="20" t="s">
        <v>2584</v>
      </c>
      <c r="C99" s="50" t="s">
        <v>2585</v>
      </c>
      <c r="D99" s="59" t="s">
        <v>2586</v>
      </c>
      <c r="J99" s="14" t="str">
        <f>IFERROR(__xludf.DUMMYFUNCTION("""COMPUTED_VALUE"""),"てみる")</f>
        <v>てみる</v>
      </c>
      <c r="K99" s="14" t="str">
        <f>IFERROR(__xludf.DUMMYFUNCTION("""COMPUTED_VALUE"""),"try doing")</f>
        <v>try doing</v>
      </c>
    </row>
    <row r="100">
      <c r="A100" s="20">
        <v>99.0</v>
      </c>
      <c r="B100" s="20" t="s">
        <v>2587</v>
      </c>
      <c r="C100" s="50" t="s">
        <v>2588</v>
      </c>
      <c r="D100" s="59" t="s">
        <v>2589</v>
      </c>
      <c r="J100" s="14" t="str">
        <f>IFERROR(__xludf.DUMMYFUNCTION("""COMPUTED_VALUE"""),"てもらう")</f>
        <v>てもらう</v>
      </c>
      <c r="K100" s="14" t="str">
        <f>IFERROR(__xludf.DUMMYFUNCTION("""COMPUTED_VALUE"""),"to get somebody to do something")</f>
        <v>to get somebody to do something</v>
      </c>
    </row>
    <row r="101">
      <c r="A101" s="20">
        <v>100.0</v>
      </c>
      <c r="B101" s="20" t="s">
        <v>2590</v>
      </c>
      <c r="C101" s="50" t="s">
        <v>2591</v>
      </c>
      <c r="D101" s="59" t="s">
        <v>2592</v>
      </c>
      <c r="J101" s="14" t="str">
        <f>IFERROR(__xludf.DUMMYFUNCTION("""COMPUTED_VALUE"""),"ておく")</f>
        <v>ておく</v>
      </c>
      <c r="K101" s="14" t="str">
        <f>IFERROR(__xludf.DUMMYFUNCTION("""COMPUTED_VALUE"""),"to do something in advance")</f>
        <v>to do something in advance</v>
      </c>
    </row>
    <row r="102">
      <c r="A102" s="20">
        <v>101.0</v>
      </c>
      <c r="B102" s="20" t="s">
        <v>2593</v>
      </c>
      <c r="C102" s="50" t="s">
        <v>2594</v>
      </c>
      <c r="D102" s="59" t="s">
        <v>2595</v>
      </c>
      <c r="J102" s="14" t="str">
        <f>IFERROR(__xludf.DUMMYFUNCTION("""COMPUTED_VALUE"""),"てしまう / ちゃう")</f>
        <v>てしまう / ちゃう</v>
      </c>
      <c r="K102" s="14" t="str">
        <f>IFERROR(__xludf.DUMMYFUNCTION("""COMPUTED_VALUE"""),"to do something by accident, to finish")</f>
        <v>to do something by accident, to finish</v>
      </c>
    </row>
    <row r="103">
      <c r="A103" s="20">
        <v>102.0</v>
      </c>
      <c r="B103" s="20" t="s">
        <v>2596</v>
      </c>
      <c r="C103" s="50" t="s">
        <v>2597</v>
      </c>
      <c r="D103" s="59" t="s">
        <v>2598</v>
      </c>
      <c r="J103" s="14" t="str">
        <f>IFERROR(__xludf.DUMMYFUNCTION("""COMPUTED_VALUE"""),"てすみません")</f>
        <v>てすみません</v>
      </c>
      <c r="K103" s="14" t="str">
        <f>IFERROR(__xludf.DUMMYFUNCTION("""COMPUTED_VALUE"""),"I’m sorry for")</f>
        <v>I’m sorry for</v>
      </c>
    </row>
    <row r="104">
      <c r="A104" s="20">
        <v>103.0</v>
      </c>
      <c r="B104" s="20" t="s">
        <v>2599</v>
      </c>
      <c r="C104" s="50" t="s">
        <v>2600</v>
      </c>
      <c r="D104" s="59" t="s">
        <v>2601</v>
      </c>
      <c r="J104" s="14" t="str">
        <f>IFERROR(__xludf.DUMMYFUNCTION("""COMPUTED_VALUE"""),"てやる")</f>
        <v>てやる</v>
      </c>
      <c r="K104" s="14" t="str">
        <f>IFERROR(__xludf.DUMMYFUNCTION("""COMPUTED_VALUE"""),"to do for; to do a favor (casual)")</f>
        <v>to do for; to do a favor (casual)</v>
      </c>
    </row>
    <row r="105">
      <c r="A105" s="20">
        <v>104.0</v>
      </c>
      <c r="B105" s="20" t="s">
        <v>2602</v>
      </c>
      <c r="C105" s="50" t="s">
        <v>2603</v>
      </c>
      <c r="D105" s="59" t="s">
        <v>2604</v>
      </c>
      <c r="J105" s="14" t="str">
        <f>IFERROR(__xludf.DUMMYFUNCTION("""COMPUTED_VALUE"""),"てよかった")</f>
        <v>てよかった</v>
      </c>
      <c r="K105" s="14" t="str">
        <f>IFERROR(__xludf.DUMMYFUNCTION("""COMPUTED_VALUE"""),"I’m glad that..")</f>
        <v>I’m glad that..</v>
      </c>
    </row>
    <row r="106">
      <c r="A106" s="20">
        <v>105.0</v>
      </c>
      <c r="B106" s="20" t="s">
        <v>2605</v>
      </c>
      <c r="C106" s="50" t="s">
        <v>2606</v>
      </c>
      <c r="D106" s="59" t="s">
        <v>2607</v>
      </c>
      <c r="J106" s="14" t="str">
        <f>IFERROR(__xludf.DUMMYFUNCTION("""COMPUTED_VALUE"""),"ているところ")</f>
        <v>ているところ</v>
      </c>
      <c r="K106" s="14" t="str">
        <f>IFERROR(__xludf.DUMMYFUNCTION("""COMPUTED_VALUE"""),"in the process of doing")</f>
        <v>in the process of doing</v>
      </c>
    </row>
    <row r="107">
      <c r="A107" s="20">
        <v>106.0</v>
      </c>
      <c r="B107" s="20" t="s">
        <v>1619</v>
      </c>
      <c r="C107" s="50" t="s">
        <v>1620</v>
      </c>
      <c r="D107" s="59" t="s">
        <v>2608</v>
      </c>
      <c r="J107" s="14" t="str">
        <f>IFERROR(__xludf.DUMMYFUNCTION("""COMPUTED_VALUE"""),"ても")</f>
        <v>ても</v>
      </c>
      <c r="K107" s="14" t="str">
        <f>IFERROR(__xludf.DUMMYFUNCTION("""COMPUTED_VALUE"""),"even; even if; even though")</f>
        <v>even; even if; even though</v>
      </c>
    </row>
    <row r="108">
      <c r="A108" s="20">
        <v>107.0</v>
      </c>
      <c r="B108" s="20" t="s">
        <v>1406</v>
      </c>
      <c r="C108" s="50" t="s">
        <v>1407</v>
      </c>
      <c r="D108" s="59" t="s">
        <v>2609</v>
      </c>
      <c r="J108" s="14" t="str">
        <f>IFERROR(__xludf.DUMMYFUNCTION("""COMPUTED_VALUE"""),"と")</f>
        <v>と</v>
      </c>
      <c r="K108" s="14" t="str">
        <f>IFERROR(__xludf.DUMMYFUNCTION("""COMPUTED_VALUE"""),"whenever [A] happens, [B] also happens")</f>
        <v>whenever [A] happens, [B] also happens</v>
      </c>
    </row>
    <row r="109">
      <c r="A109" s="20">
        <v>108.0</v>
      </c>
      <c r="B109" s="20" t="s">
        <v>2610</v>
      </c>
      <c r="C109" s="50" t="s">
        <v>2611</v>
      </c>
      <c r="D109" s="59" t="s">
        <v>2612</v>
      </c>
      <c r="J109" s="14" t="str">
        <f>IFERROR(__xludf.DUMMYFUNCTION("""COMPUTED_VALUE"""),"と言ってもいい")</f>
        <v>と言ってもいい</v>
      </c>
      <c r="K109" s="14" t="str">
        <f>IFERROR(__xludf.DUMMYFUNCTION("""COMPUTED_VALUE"""),"you could say; one might say; I'd say")</f>
        <v>you could say; one might say; I'd say</v>
      </c>
    </row>
    <row r="110">
      <c r="A110" s="20">
        <v>109.0</v>
      </c>
      <c r="B110" s="20" t="s">
        <v>1623</v>
      </c>
      <c r="C110" s="50" t="s">
        <v>1624</v>
      </c>
      <c r="D110" s="59" t="s">
        <v>2613</v>
      </c>
      <c r="J110" s="14" t="str">
        <f>IFERROR(__xludf.DUMMYFUNCTION("""COMPUTED_VALUE"""),"という")</f>
        <v>という</v>
      </c>
      <c r="K110" s="14" t="str">
        <f>IFERROR(__xludf.DUMMYFUNCTION("""COMPUTED_VALUE"""),"called; named; that")</f>
        <v>called; named; that</v>
      </c>
    </row>
    <row r="111">
      <c r="A111" s="20">
        <v>110.0</v>
      </c>
      <c r="B111" s="20" t="s">
        <v>2614</v>
      </c>
      <c r="C111" s="50" t="s">
        <v>2615</v>
      </c>
      <c r="D111" s="59" t="s">
        <v>2616</v>
      </c>
      <c r="J111" s="14" t="str">
        <f>IFERROR(__xludf.DUMMYFUNCTION("""COMPUTED_VALUE"""),"ということ")</f>
        <v>ということ</v>
      </c>
      <c r="K111" s="14" t="str">
        <f>IFERROR(__xludf.DUMMYFUNCTION("""COMPUTED_VALUE"""),"convert phrase into noun")</f>
        <v>convert phrase into noun</v>
      </c>
    </row>
    <row r="112">
      <c r="A112" s="20">
        <v>111.0</v>
      </c>
      <c r="B112" s="20" t="s">
        <v>2617</v>
      </c>
      <c r="C112" s="50" t="s">
        <v>2618</v>
      </c>
      <c r="D112" s="59" t="s">
        <v>2619</v>
      </c>
      <c r="J112" s="14" t="str">
        <f>IFERROR(__xludf.DUMMYFUNCTION("""COMPUTED_VALUE"""),"と言われている")</f>
        <v>と言われている</v>
      </c>
      <c r="K112" s="14" t="str">
        <f>IFERROR(__xludf.DUMMYFUNCTION("""COMPUTED_VALUE"""),"it is said that...")</f>
        <v>it is said that...</v>
      </c>
    </row>
    <row r="113">
      <c r="A113" s="20">
        <v>112.0</v>
      </c>
      <c r="B113" s="20" t="s">
        <v>2620</v>
      </c>
      <c r="C113" s="50" t="s">
        <v>2621</v>
      </c>
      <c r="D113" s="59" t="s">
        <v>2622</v>
      </c>
      <c r="J113" s="14" t="str">
        <f>IFERROR(__xludf.DUMMYFUNCTION("""COMPUTED_VALUE"""),"と聞いた")</f>
        <v>と聞いた</v>
      </c>
      <c r="K113" s="14" t="str">
        <f>IFERROR(__xludf.DUMMYFUNCTION("""COMPUTED_VALUE"""),"I heard...")</f>
        <v>I heard...</v>
      </c>
    </row>
    <row r="114">
      <c r="A114" s="20">
        <v>113.0</v>
      </c>
      <c r="B114" s="20" t="s">
        <v>2623</v>
      </c>
      <c r="C114" s="50" t="s">
        <v>2624</v>
      </c>
      <c r="D114" s="59" t="s">
        <v>2625</v>
      </c>
      <c r="J114" s="14" t="str">
        <f>IFERROR(__xludf.DUMMYFUNCTION("""COMPUTED_VALUE"""),"と思う")</f>
        <v>と思う</v>
      </c>
      <c r="K114" s="14" t="str">
        <f>IFERROR(__xludf.DUMMYFUNCTION("""COMPUTED_VALUE"""),"to think…; I think…; you think…")</f>
        <v>to think…; I think…; you think…</v>
      </c>
    </row>
    <row r="115">
      <c r="A115" s="20">
        <v>114.0</v>
      </c>
      <c r="B115" s="20" t="s">
        <v>1626</v>
      </c>
      <c r="C115" s="50" t="s">
        <v>1627</v>
      </c>
      <c r="D115" s="59" t="s">
        <v>2626</v>
      </c>
      <c r="J115" s="14" t="str">
        <f>IFERROR(__xludf.DUMMYFUNCTION("""COMPUTED_VALUE"""),"とか～とか")</f>
        <v>とか～とか</v>
      </c>
      <c r="K115" s="14" t="str">
        <f>IFERROR(__xludf.DUMMYFUNCTION("""COMPUTED_VALUE"""),"among other things; such as; like")</f>
        <v>among other things; such as; like</v>
      </c>
    </row>
    <row r="116">
      <c r="A116" s="20">
        <v>115.0</v>
      </c>
      <c r="B116" s="20" t="s">
        <v>1425</v>
      </c>
      <c r="C116" s="50" t="s">
        <v>1426</v>
      </c>
      <c r="D116" s="59" t="s">
        <v>2627</v>
      </c>
      <c r="J116" s="14" t="str">
        <f>IFERROR(__xludf.DUMMYFUNCTION("""COMPUTED_VALUE"""),"ところ")</f>
        <v>ところ</v>
      </c>
      <c r="K116" s="14" t="str">
        <f>IFERROR(__xludf.DUMMYFUNCTION("""COMPUTED_VALUE"""),"just about to; on the verge of doing something")</f>
        <v>just about to; on the verge of doing something</v>
      </c>
    </row>
    <row r="117">
      <c r="A117" s="20">
        <v>116.0</v>
      </c>
      <c r="B117" s="20" t="s">
        <v>2628</v>
      </c>
      <c r="C117" s="50" t="s">
        <v>2629</v>
      </c>
      <c r="D117" s="59" t="s">
        <v>2630</v>
      </c>
      <c r="J117" s="14" t="str">
        <f>IFERROR(__xludf.DUMMYFUNCTION("""COMPUTED_VALUE"""),"続ける")</f>
        <v>続ける</v>
      </c>
      <c r="K117" s="14" t="str">
        <f>IFERROR(__xludf.DUMMYFUNCTION("""COMPUTED_VALUE"""),"continue to; keen on")</f>
        <v>continue to; keen on</v>
      </c>
    </row>
    <row r="118">
      <c r="A118" s="20">
        <v>117.0</v>
      </c>
      <c r="B118" s="20" t="s">
        <v>1629</v>
      </c>
      <c r="C118" s="50" t="s">
        <v>1630</v>
      </c>
      <c r="D118" s="59" t="s">
        <v>2631</v>
      </c>
      <c r="J118" s="14" t="str">
        <f>IFERROR(__xludf.DUMMYFUNCTION("""COMPUTED_VALUE"""),"って")</f>
        <v>って</v>
      </c>
      <c r="K118" s="14" t="str">
        <f>IFERROR(__xludf.DUMMYFUNCTION("""COMPUTED_VALUE"""),"named; called")</f>
        <v>named; called</v>
      </c>
    </row>
    <row r="119">
      <c r="A119" s="20">
        <v>118.0</v>
      </c>
      <c r="B119" s="20" t="s">
        <v>2632</v>
      </c>
      <c r="C119" s="50" t="s">
        <v>2633</v>
      </c>
      <c r="D119" s="59" t="s">
        <v>2634</v>
      </c>
      <c r="J119" s="14" t="str">
        <f>IFERROR(__xludf.DUMMYFUNCTION("""COMPUTED_VALUE"""),"受身形")</f>
        <v>受身形</v>
      </c>
      <c r="K119" s="14" t="str">
        <f>IFERROR(__xludf.DUMMYFUNCTION("""COMPUTED_VALUE"""),"passive form; passive voice")</f>
        <v>passive form; passive voice</v>
      </c>
    </row>
    <row r="120">
      <c r="A120" s="20">
        <v>119.0</v>
      </c>
      <c r="B120" s="20" t="s">
        <v>2635</v>
      </c>
      <c r="C120" s="50" t="s">
        <v>2636</v>
      </c>
      <c r="D120" s="59" t="s">
        <v>2637</v>
      </c>
      <c r="J120" s="14" t="str">
        <f>IFERROR(__xludf.DUMMYFUNCTION("""COMPUTED_VALUE"""),"は〜が… は")</f>
        <v>は〜が… は</v>
      </c>
      <c r="K120" s="14" t="str">
        <f>IFERROR(__xludf.DUMMYFUNCTION("""COMPUTED_VALUE"""),"[A] but [B]; however; comparison")</f>
        <v>[A] but [B]; however; comparison</v>
      </c>
    </row>
    <row r="121">
      <c r="A121" s="20">
        <v>120.0</v>
      </c>
      <c r="B121" s="20" t="s">
        <v>2638</v>
      </c>
      <c r="C121" s="50" t="s">
        <v>2639</v>
      </c>
      <c r="D121" s="59" t="s">
        <v>2640</v>
      </c>
      <c r="J121" s="14" t="str">
        <f>IFERROR(__xludf.DUMMYFUNCTION("""COMPUTED_VALUE"""),"やすい")</f>
        <v>やすい</v>
      </c>
      <c r="K121" s="14" t="str">
        <f>IFERROR(__xludf.DUMMYFUNCTION("""COMPUTED_VALUE"""),"easy to; likely to; prone to; have a tendency to")</f>
        <v>easy to; likely to; prone to; have a tendency to</v>
      </c>
    </row>
    <row r="122">
      <c r="A122" s="20">
        <v>121.0</v>
      </c>
      <c r="B122" s="20" t="s">
        <v>1715</v>
      </c>
      <c r="C122" s="50" t="s">
        <v>2641</v>
      </c>
      <c r="D122" s="59" t="s">
        <v>2642</v>
      </c>
      <c r="J122" s="14" t="str">
        <f>IFERROR(__xludf.DUMMYFUNCTION("""COMPUTED_VALUE"""),"やっと")</f>
        <v>やっと</v>
      </c>
      <c r="K122" s="14" t="str">
        <f>IFERROR(__xludf.DUMMYFUNCTION("""COMPUTED_VALUE"""),"at last; finally; barely; narrowly")</f>
        <v>at last; finally; barely; narrowly</v>
      </c>
    </row>
    <row r="123">
      <c r="A123" s="20">
        <v>122.0</v>
      </c>
      <c r="B123" s="20" t="s">
        <v>1632</v>
      </c>
      <c r="C123" s="50" t="s">
        <v>1633</v>
      </c>
      <c r="D123" s="59" t="s">
        <v>2643</v>
      </c>
      <c r="J123" s="14" t="str">
        <f>IFERROR(__xludf.DUMMYFUNCTION("""COMPUTED_VALUE"""),"より")</f>
        <v>より</v>
      </c>
      <c r="K123" s="14" t="str">
        <f>IFERROR(__xludf.DUMMYFUNCTION("""COMPUTED_VALUE"""),"than; rather than; more than")</f>
        <v>than; rather than; more than</v>
      </c>
    </row>
    <row r="124">
      <c r="A124" s="20">
        <v>123.0</v>
      </c>
      <c r="B124" s="20" t="s">
        <v>2644</v>
      </c>
      <c r="C124" s="50" t="s">
        <v>2645</v>
      </c>
      <c r="D124" s="59" t="s">
        <v>2646</v>
      </c>
      <c r="J124" s="14" t="str">
        <f>IFERROR(__xludf.DUMMYFUNCTION("""COMPUTED_VALUE"""),"予定だ")</f>
        <v>予定だ</v>
      </c>
      <c r="K124" s="14" t="str">
        <f>IFERROR(__xludf.DUMMYFUNCTION("""COMPUTED_VALUE"""),"plan to, intend to")</f>
        <v>plan to, intend to</v>
      </c>
    </row>
    <row r="125">
      <c r="A125" s="20">
        <v>124.0</v>
      </c>
      <c r="B125" s="20" t="s">
        <v>2647</v>
      </c>
      <c r="C125" s="50" t="s">
        <v>2648</v>
      </c>
      <c r="D125" s="59" t="s">
        <v>2649</v>
      </c>
      <c r="J125" s="14" t="str">
        <f>IFERROR(__xludf.DUMMYFUNCTION("""COMPUTED_VALUE"""),"ようだ")</f>
        <v>ようだ</v>
      </c>
      <c r="K125" s="14" t="str">
        <f>IFERROR(__xludf.DUMMYFUNCTION("""COMPUTED_VALUE"""),"appears; seems; looks as if")</f>
        <v>appears; seems; looks as if</v>
      </c>
    </row>
    <row r="126">
      <c r="A126" s="20">
        <v>125.0</v>
      </c>
      <c r="B126" s="20" t="s">
        <v>2650</v>
      </c>
      <c r="C126" s="50" t="s">
        <v>2651</v>
      </c>
      <c r="D126" s="59" t="s">
        <v>2652</v>
      </c>
      <c r="J126" s="14" t="str">
        <f>IFERROR(__xludf.DUMMYFUNCTION("""COMPUTED_VALUE"""),"ように / ような")</f>
        <v>ように / ような</v>
      </c>
      <c r="K126" s="14" t="str">
        <f>IFERROR(__xludf.DUMMYFUNCTION("""COMPUTED_VALUE"""),"like; as; similar to")</f>
        <v>like; as; similar to</v>
      </c>
    </row>
    <row r="127">
      <c r="A127" s="20">
        <v>126.0</v>
      </c>
      <c r="B127" s="20" t="s">
        <v>2653</v>
      </c>
      <c r="C127" s="50" t="s">
        <v>2654</v>
      </c>
      <c r="D127" s="59" t="s">
        <v>2655</v>
      </c>
      <c r="J127" s="14" t="str">
        <f>IFERROR(__xludf.DUMMYFUNCTION("""COMPUTED_VALUE"""),"ようになる")</f>
        <v>ようになる</v>
      </c>
      <c r="K127" s="14" t="str">
        <f>IFERROR(__xludf.DUMMYFUNCTION("""COMPUTED_VALUE"""),"to reach the point that; to turn into")</f>
        <v>to reach the point that; to turn into</v>
      </c>
    </row>
    <row r="128">
      <c r="A128" s="20">
        <v>127.0</v>
      </c>
      <c r="B128" s="20" t="s">
        <v>2656</v>
      </c>
      <c r="C128" s="50" t="s">
        <v>2657</v>
      </c>
      <c r="D128" s="59" t="s">
        <v>2658</v>
      </c>
      <c r="J128" s="14" t="str">
        <f>IFERROR(__xludf.DUMMYFUNCTION("""COMPUTED_VALUE"""),"ようにする")</f>
        <v>ようにする</v>
      </c>
      <c r="K128" s="14" t="str">
        <f>IFERROR(__xludf.DUMMYFUNCTION("""COMPUTED_VALUE"""),"to try to; to make sure that")</f>
        <v>to try to; to make sure that</v>
      </c>
    </row>
    <row r="129">
      <c r="A129" s="20">
        <v>128.0</v>
      </c>
      <c r="B129" s="20" t="s">
        <v>2659</v>
      </c>
      <c r="C129" s="50" t="s">
        <v>2660</v>
      </c>
      <c r="D129" s="59" t="s">
        <v>2661</v>
      </c>
      <c r="J129" s="14" t="str">
        <f>IFERROR(__xludf.DUMMYFUNCTION("""COMPUTED_VALUE"""),"ようと思う")</f>
        <v>ようと思う</v>
      </c>
      <c r="K129" s="14" t="str">
        <f>IFERROR(__xludf.DUMMYFUNCTION("""COMPUTED_VALUE"""),"thinking of doing; planning to")</f>
        <v>thinking of doing; planning to</v>
      </c>
    </row>
    <row r="130">
      <c r="A130" s="20">
        <v>129.0</v>
      </c>
      <c r="B130" s="20" t="s">
        <v>1718</v>
      </c>
      <c r="C130" s="50" t="s">
        <v>2662</v>
      </c>
      <c r="D130" s="59" t="s">
        <v>2663</v>
      </c>
      <c r="J130" s="14" t="str">
        <f>IFERROR(__xludf.DUMMYFUNCTION("""COMPUTED_VALUE"""),"ぜひ")</f>
        <v>ぜひ</v>
      </c>
      <c r="K130" s="14" t="str">
        <f>IFERROR(__xludf.DUMMYFUNCTION("""COMPUTED_VALUE"""),"by all means; certainly; definitely")</f>
        <v>by all means; certainly; definitely</v>
      </c>
    </row>
    <row r="131">
      <c r="A131" s="20">
        <v>130.0</v>
      </c>
      <c r="B131" s="20" t="s">
        <v>1723</v>
      </c>
      <c r="C131" s="50" t="s">
        <v>2664</v>
      </c>
      <c r="D131" s="59" t="s">
        <v>1725</v>
      </c>
      <c r="J131" s="14" t="str">
        <f>IFERROR(__xludf.DUMMYFUNCTION("""COMPUTED_VALUE"""),"全然～ない")</f>
        <v>全然～ない</v>
      </c>
      <c r="K131" s="14" t="str">
        <f>IFERROR(__xludf.DUMMYFUNCTION("""COMPUTED_VALUE"""),"(not) at all")</f>
        <v>(not) at all</v>
      </c>
    </row>
    <row r="132">
      <c r="A132" s="20">
        <v>131.0</v>
      </c>
      <c r="B132" s="20" t="s">
        <v>2665</v>
      </c>
      <c r="C132" s="50" t="s">
        <v>2666</v>
      </c>
      <c r="D132" s="59" t="s">
        <v>2494</v>
      </c>
      <c r="J132" s="14" t="str">
        <f>IFERROR(__xludf.DUMMYFUNCTION("""COMPUTED_VALUE"""),"づらい")</f>
        <v>づらい</v>
      </c>
      <c r="K132" s="14" t="str">
        <f>IFERROR(__xludf.DUMMYFUNCTION("""COMPUTED_VALUE"""),"difficult to do")</f>
        <v>difficult to do</v>
      </c>
    </row>
    <row r="133">
      <c r="C133" s="54"/>
      <c r="D133" s="60"/>
      <c r="J133" s="14"/>
      <c r="K133" s="14"/>
    </row>
    <row r="134">
      <c r="C134" s="54"/>
      <c r="D134" s="60"/>
      <c r="J134" s="14"/>
      <c r="K134" s="14"/>
    </row>
    <row r="135">
      <c r="C135" s="54"/>
      <c r="D135" s="60"/>
      <c r="J135" s="14"/>
      <c r="K135" s="14"/>
    </row>
    <row r="136">
      <c r="C136" s="54"/>
      <c r="D136" s="60"/>
      <c r="J136" s="14"/>
      <c r="K136" s="14"/>
    </row>
    <row r="137">
      <c r="C137" s="54"/>
      <c r="D137" s="60"/>
      <c r="J137" s="14"/>
      <c r="K137" s="14"/>
    </row>
    <row r="138">
      <c r="C138" s="54"/>
      <c r="D138" s="60"/>
      <c r="J138" s="14"/>
      <c r="K138" s="14"/>
    </row>
    <row r="139">
      <c r="C139" s="54"/>
      <c r="D139" s="60"/>
      <c r="J139" s="14"/>
      <c r="K139" s="14"/>
    </row>
    <row r="140">
      <c r="C140" s="54"/>
      <c r="D140" s="60"/>
      <c r="J140" s="14"/>
      <c r="K140" s="14"/>
    </row>
    <row r="141">
      <c r="C141" s="54"/>
      <c r="D141" s="60"/>
      <c r="J141" s="14"/>
      <c r="K141" s="14"/>
    </row>
    <row r="142">
      <c r="C142" s="54"/>
      <c r="D142" s="60"/>
      <c r="J142" s="14"/>
      <c r="K142" s="14"/>
    </row>
    <row r="143">
      <c r="C143" s="54"/>
      <c r="D143" s="60"/>
      <c r="J143" s="14"/>
      <c r="K143" s="14"/>
    </row>
    <row r="144">
      <c r="C144" s="54"/>
      <c r="D144" s="60"/>
      <c r="J144" s="14"/>
      <c r="K144" s="14"/>
    </row>
    <row r="145">
      <c r="C145" s="54"/>
      <c r="D145" s="60"/>
      <c r="J145" s="14"/>
      <c r="K145" s="14"/>
    </row>
    <row r="146">
      <c r="C146" s="54"/>
      <c r="D146" s="60"/>
      <c r="J146" s="14"/>
      <c r="K146" s="14"/>
    </row>
    <row r="147">
      <c r="C147" s="54"/>
      <c r="D147" s="60"/>
      <c r="J147" s="14"/>
      <c r="K147" s="14"/>
    </row>
    <row r="148">
      <c r="C148" s="54"/>
      <c r="D148" s="60"/>
      <c r="J148" s="14"/>
      <c r="K148" s="14"/>
    </row>
    <row r="149">
      <c r="C149" s="54"/>
      <c r="D149" s="60"/>
      <c r="J149" s="14"/>
      <c r="K149" s="14"/>
    </row>
    <row r="150">
      <c r="C150" s="54"/>
      <c r="D150" s="60"/>
      <c r="J150" s="14"/>
      <c r="K150" s="14"/>
    </row>
    <row r="151">
      <c r="C151" s="54"/>
      <c r="D151" s="60"/>
      <c r="J151" s="14"/>
      <c r="K151" s="14"/>
    </row>
    <row r="152">
      <c r="C152" s="54"/>
      <c r="D152" s="60"/>
      <c r="J152" s="14"/>
      <c r="K152" s="14"/>
    </row>
    <row r="153">
      <c r="C153" s="54"/>
      <c r="D153" s="60"/>
      <c r="J153" s="14"/>
      <c r="K153" s="14"/>
    </row>
    <row r="154">
      <c r="C154" s="54"/>
      <c r="D154" s="60"/>
      <c r="J154" s="14"/>
      <c r="K154" s="14"/>
    </row>
    <row r="155">
      <c r="C155" s="54"/>
      <c r="D155" s="60"/>
      <c r="J155" s="14"/>
      <c r="K155" s="14"/>
    </row>
    <row r="156">
      <c r="C156" s="54"/>
      <c r="D156" s="60"/>
      <c r="J156" s="14"/>
      <c r="K156" s="14"/>
    </row>
    <row r="157">
      <c r="C157" s="54"/>
      <c r="D157" s="60"/>
      <c r="J157" s="14"/>
      <c r="K157" s="14"/>
    </row>
    <row r="158">
      <c r="C158" s="54"/>
      <c r="D158" s="60"/>
      <c r="J158" s="14"/>
      <c r="K158" s="14"/>
    </row>
    <row r="159">
      <c r="C159" s="54"/>
      <c r="D159" s="60"/>
      <c r="J159" s="14"/>
      <c r="K159" s="14"/>
    </row>
    <row r="160">
      <c r="C160" s="54"/>
      <c r="D160" s="60"/>
      <c r="J160" s="14"/>
      <c r="K160" s="14"/>
    </row>
    <row r="161">
      <c r="C161" s="54"/>
      <c r="D161" s="60"/>
      <c r="J161" s="14"/>
      <c r="K161" s="14"/>
    </row>
    <row r="162">
      <c r="C162" s="54"/>
      <c r="D162" s="60"/>
      <c r="J162" s="14"/>
      <c r="K162" s="14"/>
    </row>
    <row r="163">
      <c r="C163" s="54"/>
      <c r="D163" s="60"/>
      <c r="J163" s="14"/>
      <c r="K163" s="14"/>
    </row>
    <row r="164">
      <c r="C164" s="54"/>
      <c r="D164" s="60"/>
      <c r="J164" s="14"/>
      <c r="K164" s="14"/>
    </row>
    <row r="165">
      <c r="C165" s="54"/>
      <c r="D165" s="60"/>
      <c r="J165" s="14"/>
      <c r="K165" s="14"/>
    </row>
    <row r="166">
      <c r="C166" s="54"/>
      <c r="D166" s="60"/>
      <c r="J166" s="14"/>
      <c r="K166" s="14"/>
    </row>
    <row r="167">
      <c r="C167" s="54"/>
      <c r="D167" s="60"/>
      <c r="J167" s="14"/>
      <c r="K167" s="14"/>
    </row>
    <row r="168">
      <c r="C168" s="54"/>
      <c r="D168" s="60"/>
      <c r="J168" s="14"/>
      <c r="K168" s="14"/>
    </row>
    <row r="169">
      <c r="C169" s="54"/>
      <c r="D169" s="60"/>
      <c r="J169" s="14"/>
      <c r="K169" s="14"/>
    </row>
    <row r="170">
      <c r="C170" s="54"/>
      <c r="D170" s="60"/>
      <c r="J170" s="14"/>
      <c r="K170" s="14"/>
    </row>
    <row r="171">
      <c r="C171" s="54"/>
      <c r="D171" s="60"/>
      <c r="J171" s="14"/>
      <c r="K171" s="14"/>
    </row>
    <row r="172">
      <c r="C172" s="54"/>
      <c r="D172" s="60"/>
      <c r="J172" s="14"/>
      <c r="K172" s="14"/>
    </row>
    <row r="173">
      <c r="C173" s="54"/>
      <c r="D173" s="60"/>
      <c r="J173" s="14"/>
      <c r="K173" s="14"/>
    </row>
    <row r="174">
      <c r="C174" s="54"/>
      <c r="D174" s="60"/>
      <c r="J174" s="14"/>
      <c r="K174" s="14"/>
    </row>
    <row r="175">
      <c r="C175" s="54"/>
      <c r="D175" s="60"/>
      <c r="J175" s="14"/>
      <c r="K175" s="14"/>
    </row>
    <row r="176">
      <c r="C176" s="54"/>
      <c r="D176" s="60"/>
      <c r="J176" s="14"/>
      <c r="K176" s="14"/>
    </row>
    <row r="177">
      <c r="C177" s="54"/>
      <c r="D177" s="60"/>
      <c r="J177" s="14"/>
      <c r="K177" s="14"/>
    </row>
    <row r="178">
      <c r="C178" s="54"/>
      <c r="D178" s="60"/>
      <c r="J178" s="14"/>
      <c r="K178" s="14"/>
    </row>
    <row r="179">
      <c r="C179" s="54"/>
      <c r="D179" s="60"/>
      <c r="J179" s="14"/>
      <c r="K179" s="14"/>
    </row>
    <row r="180">
      <c r="C180" s="54"/>
      <c r="D180" s="60"/>
      <c r="J180" s="14"/>
      <c r="K180" s="14"/>
    </row>
    <row r="181">
      <c r="C181" s="54"/>
      <c r="D181" s="60"/>
      <c r="J181" s="14"/>
      <c r="K181" s="14"/>
    </row>
    <row r="182">
      <c r="C182" s="54"/>
      <c r="D182" s="60"/>
      <c r="J182" s="14"/>
      <c r="K182" s="14"/>
    </row>
    <row r="183">
      <c r="C183" s="54"/>
      <c r="D183" s="60"/>
      <c r="J183" s="14"/>
      <c r="K183" s="14"/>
    </row>
    <row r="184">
      <c r="C184" s="54"/>
      <c r="D184" s="60"/>
      <c r="J184" s="14"/>
      <c r="K184" s="14"/>
    </row>
    <row r="185">
      <c r="C185" s="54"/>
      <c r="D185" s="60"/>
      <c r="J185" s="14"/>
      <c r="K185" s="14"/>
    </row>
    <row r="186">
      <c r="C186" s="54"/>
      <c r="D186" s="60"/>
      <c r="J186" s="14"/>
      <c r="K186" s="14"/>
    </row>
    <row r="187">
      <c r="C187" s="54"/>
      <c r="D187" s="60"/>
      <c r="J187" s="14"/>
      <c r="K187" s="14"/>
    </row>
    <row r="188">
      <c r="C188" s="54"/>
      <c r="D188" s="60"/>
      <c r="J188" s="14"/>
      <c r="K188" s="14"/>
    </row>
    <row r="189">
      <c r="C189" s="54"/>
      <c r="D189" s="60"/>
      <c r="J189" s="14"/>
      <c r="K189" s="14"/>
    </row>
    <row r="190">
      <c r="C190" s="54"/>
      <c r="D190" s="60"/>
      <c r="J190" s="14"/>
      <c r="K190" s="14"/>
    </row>
    <row r="191">
      <c r="C191" s="54"/>
      <c r="D191" s="60"/>
      <c r="J191" s="14"/>
      <c r="K191" s="14"/>
    </row>
    <row r="192">
      <c r="C192" s="54"/>
      <c r="D192" s="60"/>
      <c r="J192" s="14"/>
      <c r="K192" s="14"/>
    </row>
    <row r="193">
      <c r="C193" s="54"/>
      <c r="D193" s="60"/>
      <c r="J193" s="14"/>
      <c r="K193" s="14"/>
    </row>
    <row r="194">
      <c r="C194" s="54"/>
      <c r="D194" s="60"/>
      <c r="J194" s="14"/>
      <c r="K194" s="14"/>
    </row>
    <row r="195">
      <c r="C195" s="54"/>
      <c r="D195" s="60"/>
      <c r="J195" s="14"/>
      <c r="K195" s="14"/>
    </row>
    <row r="196">
      <c r="C196" s="54"/>
      <c r="D196" s="60"/>
      <c r="J196" s="14"/>
      <c r="K196" s="14"/>
    </row>
    <row r="197">
      <c r="C197" s="54"/>
      <c r="D197" s="60"/>
      <c r="J197" s="14"/>
      <c r="K197" s="14"/>
    </row>
    <row r="198">
      <c r="C198" s="54"/>
      <c r="D198" s="60"/>
      <c r="J198" s="14"/>
      <c r="K198" s="14"/>
    </row>
    <row r="199">
      <c r="C199" s="54"/>
      <c r="D199" s="60"/>
      <c r="J199" s="14"/>
      <c r="K199" s="14"/>
    </row>
    <row r="200">
      <c r="C200" s="54"/>
      <c r="D200" s="60"/>
      <c r="J200" s="14"/>
      <c r="K200" s="14"/>
    </row>
    <row r="201">
      <c r="C201" s="54"/>
      <c r="D201" s="60"/>
      <c r="J201" s="14"/>
      <c r="K201" s="14"/>
    </row>
    <row r="202">
      <c r="C202" s="54"/>
      <c r="D202" s="60"/>
      <c r="J202" s="14"/>
      <c r="K202" s="14"/>
    </row>
    <row r="203">
      <c r="C203" s="54"/>
      <c r="D203" s="60"/>
      <c r="J203" s="14"/>
      <c r="K203" s="14"/>
    </row>
    <row r="204">
      <c r="C204" s="54"/>
      <c r="D204" s="60"/>
      <c r="J204" s="14"/>
      <c r="K204" s="14"/>
    </row>
    <row r="205">
      <c r="C205" s="54"/>
      <c r="D205" s="60"/>
      <c r="J205" s="14"/>
      <c r="K205" s="14"/>
    </row>
    <row r="206">
      <c r="C206" s="54"/>
      <c r="D206" s="60"/>
      <c r="J206" s="14"/>
      <c r="K206" s="14"/>
    </row>
    <row r="207">
      <c r="C207" s="54"/>
      <c r="D207" s="60"/>
      <c r="J207" s="14"/>
      <c r="K207" s="14"/>
    </row>
    <row r="208">
      <c r="C208" s="54"/>
      <c r="D208" s="60"/>
      <c r="J208" s="14"/>
      <c r="K208" s="14"/>
    </row>
    <row r="209">
      <c r="C209" s="54"/>
      <c r="D209" s="60"/>
      <c r="J209" s="14"/>
      <c r="K209" s="14"/>
    </row>
    <row r="210">
      <c r="C210" s="54"/>
      <c r="D210" s="60"/>
      <c r="J210" s="14"/>
      <c r="K210" s="14"/>
    </row>
    <row r="211">
      <c r="C211" s="54"/>
      <c r="D211" s="60"/>
      <c r="J211" s="14"/>
      <c r="K211" s="14"/>
    </row>
    <row r="212">
      <c r="C212" s="54"/>
      <c r="D212" s="60"/>
      <c r="J212" s="14"/>
      <c r="K212" s="14"/>
    </row>
    <row r="213">
      <c r="C213" s="54"/>
      <c r="D213" s="60"/>
      <c r="J213" s="14"/>
      <c r="K213" s="14"/>
    </row>
    <row r="214">
      <c r="C214" s="54"/>
      <c r="D214" s="60"/>
      <c r="J214" s="14"/>
      <c r="K214" s="14"/>
    </row>
    <row r="215">
      <c r="C215" s="54"/>
      <c r="D215" s="60"/>
      <c r="J215" s="14"/>
      <c r="K215" s="14"/>
    </row>
    <row r="216">
      <c r="C216" s="54"/>
      <c r="D216" s="60"/>
      <c r="J216" s="14"/>
      <c r="K216" s="14"/>
    </row>
    <row r="217">
      <c r="C217" s="54"/>
      <c r="D217" s="60"/>
      <c r="J217" s="14"/>
      <c r="K217" s="14"/>
    </row>
    <row r="218">
      <c r="C218" s="54"/>
      <c r="D218" s="60"/>
      <c r="J218" s="14"/>
      <c r="K218" s="14"/>
    </row>
    <row r="219">
      <c r="C219" s="54"/>
      <c r="D219" s="60"/>
      <c r="J219" s="14"/>
      <c r="K219" s="14"/>
    </row>
    <row r="220">
      <c r="C220" s="54"/>
      <c r="D220" s="60"/>
      <c r="J220" s="14"/>
      <c r="K220" s="14"/>
    </row>
    <row r="221">
      <c r="C221" s="54"/>
      <c r="D221" s="60"/>
      <c r="J221" s="14"/>
      <c r="K221" s="14"/>
    </row>
    <row r="222">
      <c r="C222" s="54"/>
      <c r="D222" s="60"/>
      <c r="J222" s="14"/>
      <c r="K222" s="14"/>
    </row>
    <row r="223">
      <c r="C223" s="54"/>
      <c r="D223" s="60"/>
      <c r="J223" s="14"/>
      <c r="K223" s="14"/>
    </row>
    <row r="224">
      <c r="C224" s="54"/>
      <c r="D224" s="60"/>
      <c r="J224" s="14"/>
      <c r="K224" s="14"/>
    </row>
    <row r="225">
      <c r="C225" s="54"/>
      <c r="D225" s="60"/>
      <c r="J225" s="14"/>
      <c r="K225" s="14"/>
    </row>
    <row r="226">
      <c r="C226" s="54"/>
      <c r="D226" s="60"/>
      <c r="J226" s="14"/>
      <c r="K226" s="14"/>
    </row>
    <row r="227">
      <c r="C227" s="54"/>
      <c r="D227" s="60"/>
      <c r="J227" s="14"/>
      <c r="K227" s="14"/>
    </row>
    <row r="228">
      <c r="C228" s="54"/>
      <c r="D228" s="60"/>
      <c r="J228" s="14"/>
      <c r="K228" s="14"/>
    </row>
    <row r="229">
      <c r="C229" s="54"/>
      <c r="D229" s="60"/>
      <c r="J229" s="14"/>
      <c r="K229" s="14"/>
    </row>
    <row r="230">
      <c r="C230" s="54"/>
      <c r="D230" s="60"/>
      <c r="J230" s="14"/>
      <c r="K230" s="14"/>
    </row>
    <row r="231">
      <c r="C231" s="54"/>
      <c r="D231" s="60"/>
      <c r="J231" s="14"/>
      <c r="K231" s="14"/>
    </row>
    <row r="232">
      <c r="C232" s="54"/>
      <c r="D232" s="60"/>
      <c r="J232" s="14"/>
      <c r="K232" s="14"/>
    </row>
    <row r="233">
      <c r="C233" s="54"/>
      <c r="D233" s="60"/>
      <c r="J233" s="14"/>
      <c r="K233" s="14"/>
    </row>
    <row r="234">
      <c r="C234" s="54"/>
      <c r="D234" s="60"/>
      <c r="J234" s="14"/>
      <c r="K234" s="14"/>
    </row>
    <row r="235">
      <c r="C235" s="54"/>
      <c r="D235" s="60"/>
      <c r="J235" s="14"/>
      <c r="K235" s="14"/>
    </row>
    <row r="236">
      <c r="C236" s="54"/>
      <c r="D236" s="60"/>
      <c r="J236" s="14"/>
      <c r="K236" s="14"/>
    </row>
    <row r="237">
      <c r="C237" s="54"/>
      <c r="D237" s="60"/>
      <c r="J237" s="14"/>
      <c r="K237" s="14"/>
    </row>
    <row r="238">
      <c r="C238" s="54"/>
      <c r="D238" s="60"/>
      <c r="J238" s="14"/>
      <c r="K238" s="14"/>
    </row>
    <row r="239">
      <c r="C239" s="54"/>
      <c r="D239" s="60"/>
      <c r="J239" s="14"/>
      <c r="K239" s="14"/>
    </row>
    <row r="240">
      <c r="C240" s="54"/>
      <c r="D240" s="60"/>
      <c r="J240" s="14"/>
      <c r="K240" s="14"/>
    </row>
    <row r="241">
      <c r="C241" s="54"/>
      <c r="D241" s="60"/>
      <c r="J241" s="14"/>
      <c r="K241" s="14"/>
    </row>
    <row r="242">
      <c r="C242" s="54"/>
      <c r="D242" s="60"/>
      <c r="J242" s="14"/>
      <c r="K242" s="14"/>
    </row>
    <row r="243">
      <c r="C243" s="54"/>
      <c r="D243" s="60"/>
      <c r="J243" s="14"/>
      <c r="K243" s="14"/>
    </row>
    <row r="244">
      <c r="C244" s="54"/>
      <c r="D244" s="60"/>
      <c r="J244" s="14"/>
      <c r="K244" s="14"/>
    </row>
    <row r="245">
      <c r="C245" s="54"/>
      <c r="D245" s="60"/>
      <c r="J245" s="14"/>
      <c r="K245" s="14"/>
    </row>
    <row r="246">
      <c r="C246" s="54"/>
      <c r="D246" s="60"/>
      <c r="J246" s="14"/>
      <c r="K246" s="14"/>
    </row>
    <row r="247">
      <c r="C247" s="54"/>
      <c r="D247" s="60"/>
      <c r="J247" s="14"/>
      <c r="K247" s="14"/>
    </row>
    <row r="248">
      <c r="C248" s="54"/>
      <c r="D248" s="60"/>
      <c r="J248" s="14"/>
      <c r="K248" s="14"/>
    </row>
    <row r="249">
      <c r="C249" s="54"/>
      <c r="D249" s="60"/>
      <c r="J249" s="14"/>
      <c r="K249" s="14"/>
    </row>
    <row r="250">
      <c r="C250" s="54"/>
      <c r="D250" s="60"/>
      <c r="J250" s="14"/>
      <c r="K250" s="14"/>
    </row>
    <row r="251">
      <c r="C251" s="54"/>
      <c r="D251" s="60"/>
      <c r="J251" s="14"/>
      <c r="K251" s="14"/>
    </row>
    <row r="252">
      <c r="C252" s="54"/>
      <c r="D252" s="60"/>
      <c r="J252" s="14"/>
      <c r="K252" s="14"/>
    </row>
    <row r="253">
      <c r="C253" s="54"/>
      <c r="D253" s="60"/>
      <c r="J253" s="14"/>
      <c r="K253" s="14"/>
    </row>
    <row r="254">
      <c r="C254" s="54"/>
      <c r="D254" s="60"/>
      <c r="J254" s="14"/>
      <c r="K254" s="14"/>
    </row>
    <row r="255">
      <c r="C255" s="54"/>
      <c r="D255" s="60"/>
      <c r="J255" s="14"/>
      <c r="K255" s="14"/>
    </row>
    <row r="256">
      <c r="C256" s="54"/>
      <c r="D256" s="60"/>
      <c r="J256" s="14"/>
      <c r="K256" s="14"/>
    </row>
    <row r="257">
      <c r="C257" s="54"/>
      <c r="D257" s="60"/>
      <c r="J257" s="14"/>
      <c r="K257" s="14"/>
    </row>
    <row r="258">
      <c r="C258" s="54"/>
      <c r="D258" s="60"/>
      <c r="J258" s="14"/>
      <c r="K258" s="14"/>
    </row>
    <row r="259">
      <c r="C259" s="54"/>
      <c r="D259" s="60"/>
      <c r="J259" s="14"/>
      <c r="K259" s="14"/>
    </row>
    <row r="260">
      <c r="C260" s="54"/>
      <c r="D260" s="60"/>
      <c r="J260" s="14"/>
      <c r="K260" s="14"/>
    </row>
    <row r="261">
      <c r="C261" s="54"/>
      <c r="D261" s="60"/>
      <c r="J261" s="14"/>
      <c r="K261" s="14"/>
    </row>
    <row r="262">
      <c r="C262" s="54"/>
      <c r="D262" s="60"/>
      <c r="J262" s="14"/>
      <c r="K262" s="14"/>
    </row>
    <row r="263">
      <c r="C263" s="54"/>
      <c r="D263" s="60"/>
      <c r="J263" s="14"/>
      <c r="K263" s="14"/>
    </row>
    <row r="264">
      <c r="C264" s="54"/>
      <c r="D264" s="60"/>
      <c r="J264" s="14"/>
      <c r="K264" s="14"/>
    </row>
    <row r="265">
      <c r="C265" s="54"/>
      <c r="D265" s="60"/>
      <c r="J265" s="14"/>
      <c r="K265" s="14"/>
    </row>
    <row r="266">
      <c r="C266" s="54"/>
      <c r="D266" s="60"/>
      <c r="J266" s="14"/>
      <c r="K266" s="14"/>
    </row>
    <row r="267">
      <c r="C267" s="54"/>
      <c r="D267" s="60"/>
      <c r="J267" s="14"/>
      <c r="K267" s="14"/>
    </row>
    <row r="268">
      <c r="C268" s="54"/>
      <c r="D268" s="60"/>
      <c r="J268" s="14"/>
      <c r="K268" s="14"/>
    </row>
    <row r="269">
      <c r="C269" s="54"/>
      <c r="D269" s="60"/>
      <c r="J269" s="14"/>
      <c r="K269" s="14"/>
    </row>
    <row r="270">
      <c r="C270" s="54"/>
      <c r="D270" s="60"/>
      <c r="J270" s="14"/>
      <c r="K270" s="14"/>
    </row>
    <row r="271">
      <c r="C271" s="54"/>
      <c r="D271" s="60"/>
      <c r="J271" s="14"/>
      <c r="K271" s="14"/>
    </row>
    <row r="272">
      <c r="C272" s="54"/>
      <c r="D272" s="60"/>
      <c r="J272" s="14"/>
      <c r="K272" s="14"/>
    </row>
    <row r="273">
      <c r="C273" s="54"/>
      <c r="D273" s="60"/>
      <c r="J273" s="14"/>
      <c r="K273" s="14"/>
    </row>
    <row r="274">
      <c r="C274" s="54"/>
      <c r="D274" s="60"/>
      <c r="J274" s="14"/>
      <c r="K274" s="14"/>
    </row>
    <row r="275">
      <c r="C275" s="54"/>
      <c r="D275" s="60"/>
      <c r="J275" s="14"/>
      <c r="K275" s="14"/>
    </row>
    <row r="276">
      <c r="C276" s="54"/>
      <c r="D276" s="60"/>
      <c r="J276" s="14"/>
      <c r="K276" s="14"/>
    </row>
    <row r="277">
      <c r="C277" s="54"/>
      <c r="D277" s="60"/>
      <c r="J277" s="14"/>
      <c r="K277" s="14"/>
    </row>
    <row r="278">
      <c r="C278" s="54"/>
      <c r="D278" s="60"/>
      <c r="J278" s="14"/>
      <c r="K278" s="14"/>
    </row>
    <row r="279">
      <c r="C279" s="54"/>
      <c r="D279" s="60"/>
      <c r="J279" s="14"/>
      <c r="K279" s="14"/>
    </row>
    <row r="280">
      <c r="C280" s="54"/>
      <c r="D280" s="60"/>
      <c r="J280" s="14"/>
      <c r="K280" s="14"/>
    </row>
    <row r="281">
      <c r="C281" s="54"/>
      <c r="D281" s="60"/>
      <c r="J281" s="14"/>
      <c r="K281" s="14"/>
    </row>
    <row r="282">
      <c r="C282" s="54"/>
      <c r="D282" s="60"/>
      <c r="J282" s="14"/>
      <c r="K282" s="14"/>
    </row>
    <row r="283">
      <c r="C283" s="54"/>
      <c r="D283" s="60"/>
      <c r="J283" s="14"/>
      <c r="K283" s="14"/>
    </row>
    <row r="284">
      <c r="C284" s="54"/>
      <c r="D284" s="60"/>
      <c r="J284" s="14"/>
      <c r="K284" s="14"/>
    </row>
    <row r="285">
      <c r="C285" s="54"/>
      <c r="D285" s="60"/>
      <c r="J285" s="14"/>
      <c r="K285" s="14"/>
    </row>
    <row r="286">
      <c r="C286" s="54"/>
      <c r="D286" s="60"/>
      <c r="J286" s="14"/>
      <c r="K286" s="14"/>
    </row>
    <row r="287">
      <c r="C287" s="54"/>
      <c r="D287" s="60"/>
      <c r="J287" s="14"/>
      <c r="K287" s="14"/>
    </row>
    <row r="288">
      <c r="C288" s="54"/>
      <c r="D288" s="60"/>
      <c r="J288" s="14"/>
      <c r="K288" s="14"/>
    </row>
    <row r="289">
      <c r="C289" s="54"/>
      <c r="D289" s="60"/>
      <c r="J289" s="14"/>
      <c r="K289" s="14"/>
    </row>
    <row r="290">
      <c r="C290" s="54"/>
      <c r="D290" s="60"/>
      <c r="J290" s="14"/>
      <c r="K290" s="14"/>
    </row>
    <row r="291">
      <c r="C291" s="54"/>
      <c r="D291" s="60"/>
      <c r="J291" s="14"/>
      <c r="K291" s="14"/>
    </row>
    <row r="292">
      <c r="C292" s="54"/>
      <c r="D292" s="60"/>
      <c r="J292" s="14"/>
      <c r="K292" s="14"/>
    </row>
    <row r="293">
      <c r="C293" s="54"/>
      <c r="D293" s="60"/>
      <c r="J293" s="14"/>
      <c r="K293" s="14"/>
    </row>
    <row r="294">
      <c r="C294" s="54"/>
      <c r="D294" s="60"/>
      <c r="J294" s="14"/>
      <c r="K294" s="14"/>
    </row>
    <row r="295">
      <c r="C295" s="54"/>
      <c r="D295" s="60"/>
      <c r="J295" s="14"/>
      <c r="K295" s="14"/>
    </row>
    <row r="296">
      <c r="C296" s="54"/>
      <c r="D296" s="60"/>
      <c r="J296" s="14"/>
      <c r="K296" s="14"/>
    </row>
    <row r="297">
      <c r="C297" s="54"/>
      <c r="D297" s="60"/>
      <c r="J297" s="14"/>
      <c r="K297" s="14"/>
    </row>
    <row r="298">
      <c r="C298" s="54"/>
      <c r="D298" s="60"/>
      <c r="J298" s="14"/>
      <c r="K298" s="14"/>
    </row>
    <row r="299">
      <c r="C299" s="54"/>
      <c r="D299" s="60"/>
      <c r="J299" s="14"/>
      <c r="K299" s="14"/>
    </row>
    <row r="300">
      <c r="C300" s="54"/>
      <c r="D300" s="60"/>
      <c r="J300" s="14"/>
      <c r="K300" s="14"/>
    </row>
    <row r="301">
      <c r="C301" s="54"/>
      <c r="D301" s="60"/>
      <c r="J301" s="14"/>
      <c r="K301" s="14"/>
    </row>
    <row r="302">
      <c r="C302" s="54"/>
      <c r="D302" s="60"/>
      <c r="J302" s="14"/>
      <c r="K302" s="14"/>
    </row>
    <row r="303">
      <c r="C303" s="54"/>
      <c r="D303" s="60"/>
      <c r="J303" s="14"/>
      <c r="K303" s="14"/>
    </row>
    <row r="304">
      <c r="C304" s="54"/>
      <c r="D304" s="60"/>
      <c r="J304" s="14"/>
      <c r="K304" s="14"/>
    </row>
    <row r="305">
      <c r="C305" s="54"/>
      <c r="D305" s="60"/>
      <c r="J305" s="14"/>
      <c r="K305" s="14"/>
    </row>
    <row r="306">
      <c r="C306" s="54"/>
      <c r="D306" s="60"/>
      <c r="J306" s="14"/>
      <c r="K306" s="14"/>
    </row>
    <row r="307">
      <c r="C307" s="54"/>
      <c r="D307" s="60"/>
      <c r="J307" s="14"/>
      <c r="K307" s="14"/>
    </row>
    <row r="308">
      <c r="C308" s="54"/>
      <c r="D308" s="60"/>
      <c r="J308" s="14"/>
      <c r="K308" s="14"/>
    </row>
    <row r="309">
      <c r="C309" s="54"/>
      <c r="D309" s="60"/>
      <c r="J309" s="14"/>
      <c r="K309" s="14"/>
    </row>
    <row r="310">
      <c r="C310" s="54"/>
      <c r="D310" s="60"/>
      <c r="J310" s="14"/>
      <c r="K310" s="14"/>
    </row>
    <row r="311">
      <c r="C311" s="54"/>
      <c r="D311" s="60"/>
      <c r="J311" s="14"/>
      <c r="K311" s="14"/>
    </row>
    <row r="312">
      <c r="C312" s="54"/>
      <c r="D312" s="60"/>
      <c r="J312" s="14"/>
      <c r="K312" s="14"/>
    </row>
    <row r="313">
      <c r="C313" s="54"/>
      <c r="D313" s="60"/>
      <c r="J313" s="14"/>
      <c r="K313" s="14"/>
    </row>
    <row r="314">
      <c r="C314" s="54"/>
      <c r="D314" s="60"/>
      <c r="J314" s="14"/>
      <c r="K314" s="14"/>
    </row>
    <row r="315">
      <c r="C315" s="54"/>
      <c r="D315" s="60"/>
      <c r="J315" s="14"/>
      <c r="K315" s="14"/>
    </row>
    <row r="316">
      <c r="C316" s="54"/>
      <c r="D316" s="60"/>
      <c r="J316" s="14"/>
      <c r="K316" s="14"/>
    </row>
    <row r="317">
      <c r="C317" s="54"/>
      <c r="D317" s="60"/>
      <c r="J317" s="14"/>
      <c r="K317" s="14"/>
    </row>
    <row r="318">
      <c r="C318" s="54"/>
      <c r="D318" s="60"/>
      <c r="J318" s="14"/>
      <c r="K318" s="14"/>
    </row>
    <row r="319">
      <c r="C319" s="54"/>
      <c r="D319" s="60"/>
      <c r="J319" s="14"/>
      <c r="K319" s="14"/>
    </row>
    <row r="320">
      <c r="C320" s="54"/>
      <c r="D320" s="60"/>
      <c r="J320" s="14"/>
      <c r="K320" s="14"/>
    </row>
    <row r="321">
      <c r="C321" s="54"/>
      <c r="D321" s="60"/>
      <c r="J321" s="14"/>
      <c r="K321" s="14"/>
    </row>
    <row r="322">
      <c r="C322" s="54"/>
      <c r="D322" s="60"/>
      <c r="J322" s="14"/>
      <c r="K322" s="14"/>
    </row>
    <row r="323">
      <c r="C323" s="54"/>
      <c r="D323" s="60"/>
      <c r="J323" s="14"/>
      <c r="K323" s="14"/>
    </row>
    <row r="324">
      <c r="C324" s="54"/>
      <c r="D324" s="60"/>
      <c r="J324" s="14"/>
      <c r="K324" s="14"/>
    </row>
    <row r="325">
      <c r="C325" s="54"/>
      <c r="D325" s="60"/>
      <c r="J325" s="14"/>
      <c r="K325" s="14"/>
    </row>
    <row r="326">
      <c r="C326" s="54"/>
      <c r="D326" s="60"/>
      <c r="J326" s="14"/>
      <c r="K326" s="14"/>
    </row>
    <row r="327">
      <c r="C327" s="54"/>
      <c r="D327" s="60"/>
      <c r="J327" s="14"/>
      <c r="K327" s="14"/>
    </row>
    <row r="328">
      <c r="C328" s="54"/>
      <c r="D328" s="60"/>
      <c r="J328" s="14"/>
      <c r="K328" s="14"/>
    </row>
    <row r="329">
      <c r="C329" s="54"/>
      <c r="D329" s="60"/>
      <c r="J329" s="14"/>
      <c r="K329" s="14"/>
    </row>
    <row r="330">
      <c r="C330" s="54"/>
      <c r="D330" s="60"/>
      <c r="J330" s="14"/>
      <c r="K330" s="14"/>
    </row>
    <row r="331">
      <c r="C331" s="54"/>
      <c r="D331" s="60"/>
      <c r="J331" s="14"/>
      <c r="K331" s="14"/>
    </row>
    <row r="332">
      <c r="C332" s="54"/>
      <c r="D332" s="60"/>
      <c r="J332" s="14"/>
      <c r="K332" s="14"/>
    </row>
    <row r="333">
      <c r="C333" s="54"/>
      <c r="D333" s="60"/>
      <c r="J333" s="14"/>
      <c r="K333" s="14"/>
    </row>
    <row r="334">
      <c r="C334" s="54"/>
      <c r="D334" s="60"/>
      <c r="J334" s="14"/>
      <c r="K334" s="14"/>
    </row>
    <row r="335">
      <c r="C335" s="54"/>
      <c r="D335" s="60"/>
      <c r="J335" s="14"/>
      <c r="K335" s="14"/>
    </row>
    <row r="336">
      <c r="C336" s="54"/>
      <c r="D336" s="60"/>
      <c r="J336" s="14"/>
      <c r="K336" s="14"/>
    </row>
    <row r="337">
      <c r="C337" s="54"/>
      <c r="D337" s="60"/>
      <c r="J337" s="14"/>
      <c r="K337" s="14"/>
    </row>
    <row r="338">
      <c r="C338" s="54"/>
      <c r="D338" s="60"/>
      <c r="J338" s="14"/>
      <c r="K338" s="14"/>
    </row>
    <row r="339">
      <c r="C339" s="54"/>
      <c r="D339" s="60"/>
      <c r="J339" s="14"/>
      <c r="K339" s="14"/>
    </row>
    <row r="340">
      <c r="C340" s="54"/>
      <c r="D340" s="60"/>
      <c r="J340" s="14"/>
      <c r="K340" s="14"/>
    </row>
    <row r="341">
      <c r="C341" s="54"/>
      <c r="D341" s="60"/>
      <c r="J341" s="14"/>
      <c r="K341" s="14"/>
    </row>
    <row r="342">
      <c r="C342" s="54"/>
      <c r="D342" s="60"/>
      <c r="J342" s="14"/>
      <c r="K342" s="14"/>
    </row>
    <row r="343">
      <c r="C343" s="54"/>
      <c r="D343" s="60"/>
      <c r="J343" s="14"/>
      <c r="K343" s="14"/>
    </row>
    <row r="344">
      <c r="C344" s="54"/>
      <c r="D344" s="60"/>
      <c r="J344" s="14"/>
      <c r="K344" s="14"/>
    </row>
    <row r="345">
      <c r="C345" s="54"/>
      <c r="D345" s="60"/>
      <c r="J345" s="14"/>
      <c r="K345" s="14"/>
    </row>
    <row r="346">
      <c r="C346" s="54"/>
      <c r="D346" s="60"/>
      <c r="J346" s="14"/>
      <c r="K346" s="14"/>
    </row>
    <row r="347">
      <c r="C347" s="54"/>
      <c r="D347" s="60"/>
      <c r="J347" s="14"/>
      <c r="K347" s="14"/>
    </row>
    <row r="348">
      <c r="C348" s="54"/>
      <c r="D348" s="60"/>
      <c r="J348" s="14"/>
      <c r="K348" s="14"/>
    </row>
    <row r="349">
      <c r="C349" s="54"/>
      <c r="D349" s="60"/>
      <c r="J349" s="14"/>
      <c r="K349" s="14"/>
    </row>
    <row r="350">
      <c r="C350" s="54"/>
      <c r="D350" s="60"/>
      <c r="J350" s="14"/>
      <c r="K350" s="14"/>
    </row>
    <row r="351">
      <c r="C351" s="54"/>
      <c r="D351" s="60"/>
      <c r="J351" s="14"/>
      <c r="K351" s="14"/>
    </row>
    <row r="352">
      <c r="C352" s="54"/>
      <c r="D352" s="60"/>
      <c r="J352" s="14"/>
      <c r="K352" s="14"/>
    </row>
    <row r="353">
      <c r="C353" s="54"/>
      <c r="D353" s="60"/>
      <c r="J353" s="14"/>
      <c r="K353" s="14"/>
    </row>
    <row r="354">
      <c r="C354" s="54"/>
      <c r="D354" s="60"/>
      <c r="J354" s="14"/>
      <c r="K354" s="14"/>
    </row>
    <row r="355">
      <c r="C355" s="54"/>
      <c r="D355" s="60"/>
      <c r="J355" s="14"/>
      <c r="K355" s="14"/>
    </row>
    <row r="356">
      <c r="C356" s="54"/>
      <c r="D356" s="60"/>
      <c r="J356" s="14"/>
      <c r="K356" s="14"/>
    </row>
    <row r="357">
      <c r="C357" s="54"/>
      <c r="D357" s="60"/>
      <c r="J357" s="14"/>
      <c r="K357" s="14"/>
    </row>
    <row r="358">
      <c r="C358" s="54"/>
      <c r="D358" s="60"/>
      <c r="J358" s="14"/>
      <c r="K358" s="14"/>
    </row>
    <row r="359">
      <c r="C359" s="54"/>
      <c r="D359" s="60"/>
      <c r="J359" s="14"/>
      <c r="K359" s="14"/>
    </row>
    <row r="360">
      <c r="C360" s="54"/>
      <c r="D360" s="60"/>
      <c r="J360" s="14"/>
      <c r="K360" s="14"/>
    </row>
    <row r="361">
      <c r="C361" s="54"/>
      <c r="D361" s="60"/>
      <c r="J361" s="14"/>
      <c r="K361" s="14"/>
    </row>
    <row r="362">
      <c r="C362" s="54"/>
      <c r="D362" s="60"/>
      <c r="J362" s="14"/>
      <c r="K362" s="14"/>
    </row>
    <row r="363">
      <c r="C363" s="54"/>
      <c r="D363" s="60"/>
      <c r="J363" s="14"/>
      <c r="K363" s="14"/>
    </row>
    <row r="364">
      <c r="C364" s="54"/>
      <c r="D364" s="60"/>
      <c r="J364" s="14"/>
      <c r="K364" s="14"/>
    </row>
    <row r="365">
      <c r="C365" s="54"/>
      <c r="D365" s="60"/>
      <c r="J365" s="14"/>
      <c r="K365" s="14"/>
    </row>
    <row r="366">
      <c r="C366" s="54"/>
      <c r="D366" s="60"/>
      <c r="J366" s="14"/>
      <c r="K366" s="14"/>
    </row>
    <row r="367">
      <c r="C367" s="54"/>
      <c r="D367" s="60"/>
      <c r="J367" s="14"/>
      <c r="K367" s="14"/>
    </row>
    <row r="368">
      <c r="C368" s="54"/>
      <c r="D368" s="60"/>
      <c r="J368" s="14"/>
      <c r="K368" s="14"/>
    </row>
    <row r="369">
      <c r="C369" s="54"/>
      <c r="D369" s="60"/>
      <c r="J369" s="14"/>
      <c r="K369" s="14"/>
    </row>
    <row r="370">
      <c r="C370" s="54"/>
      <c r="D370" s="60"/>
      <c r="J370" s="14"/>
      <c r="K370" s="14"/>
    </row>
    <row r="371">
      <c r="C371" s="54"/>
      <c r="D371" s="60"/>
      <c r="J371" s="14"/>
      <c r="K371" s="14"/>
    </row>
    <row r="372">
      <c r="C372" s="54"/>
      <c r="D372" s="60"/>
      <c r="J372" s="14"/>
      <c r="K372" s="14"/>
    </row>
    <row r="373">
      <c r="C373" s="54"/>
      <c r="D373" s="60"/>
      <c r="J373" s="14"/>
      <c r="K373" s="14"/>
    </row>
    <row r="374">
      <c r="C374" s="54"/>
      <c r="D374" s="60"/>
      <c r="J374" s="14"/>
      <c r="K374" s="14"/>
    </row>
    <row r="375">
      <c r="C375" s="54"/>
      <c r="D375" s="60"/>
      <c r="J375" s="14"/>
      <c r="K375" s="14"/>
    </row>
    <row r="376">
      <c r="C376" s="54"/>
      <c r="D376" s="60"/>
      <c r="J376" s="14"/>
      <c r="K376" s="14"/>
    </row>
    <row r="377">
      <c r="C377" s="54"/>
      <c r="D377" s="60"/>
      <c r="J377" s="14"/>
      <c r="K377" s="14"/>
    </row>
    <row r="378">
      <c r="C378" s="54"/>
      <c r="D378" s="60"/>
      <c r="J378" s="14"/>
      <c r="K378" s="14"/>
    </row>
    <row r="379">
      <c r="C379" s="54"/>
      <c r="D379" s="60"/>
      <c r="J379" s="14"/>
      <c r="K379" s="14"/>
    </row>
    <row r="380">
      <c r="C380" s="54"/>
      <c r="D380" s="60"/>
      <c r="J380" s="14"/>
      <c r="K380" s="14"/>
    </row>
    <row r="381">
      <c r="C381" s="54"/>
      <c r="D381" s="60"/>
      <c r="J381" s="14"/>
      <c r="K381" s="14"/>
    </row>
    <row r="382">
      <c r="C382" s="54"/>
      <c r="D382" s="60"/>
      <c r="J382" s="14"/>
      <c r="K382" s="14"/>
    </row>
    <row r="383">
      <c r="C383" s="54"/>
      <c r="D383" s="60"/>
      <c r="J383" s="14"/>
      <c r="K383" s="14"/>
    </row>
    <row r="384">
      <c r="C384" s="54"/>
      <c r="D384" s="60"/>
      <c r="J384" s="14"/>
      <c r="K384" s="14"/>
    </row>
    <row r="385">
      <c r="C385" s="54"/>
      <c r="D385" s="60"/>
      <c r="J385" s="14"/>
      <c r="K385" s="14"/>
    </row>
    <row r="386">
      <c r="C386" s="54"/>
      <c r="D386" s="60"/>
      <c r="J386" s="14"/>
      <c r="K386" s="14"/>
    </row>
    <row r="387">
      <c r="C387" s="54"/>
      <c r="D387" s="60"/>
      <c r="J387" s="14"/>
      <c r="K387" s="14"/>
    </row>
    <row r="388">
      <c r="C388" s="54"/>
      <c r="D388" s="60"/>
      <c r="J388" s="14"/>
      <c r="K388" s="14"/>
    </row>
    <row r="389">
      <c r="C389" s="54"/>
      <c r="D389" s="60"/>
      <c r="J389" s="14"/>
      <c r="K389" s="14"/>
    </row>
    <row r="390">
      <c r="C390" s="54"/>
      <c r="D390" s="60"/>
      <c r="J390" s="14"/>
      <c r="K390" s="14"/>
    </row>
    <row r="391">
      <c r="C391" s="54"/>
      <c r="D391" s="60"/>
      <c r="J391" s="14"/>
      <c r="K391" s="14"/>
    </row>
    <row r="392">
      <c r="C392" s="54"/>
      <c r="D392" s="60"/>
      <c r="J392" s="14"/>
      <c r="K392" s="14"/>
    </row>
    <row r="393">
      <c r="C393" s="54"/>
      <c r="D393" s="60"/>
      <c r="J393" s="14"/>
      <c r="K393" s="14"/>
    </row>
    <row r="394">
      <c r="C394" s="54"/>
      <c r="D394" s="60"/>
      <c r="J394" s="14"/>
      <c r="K394" s="14"/>
    </row>
    <row r="395">
      <c r="C395" s="54"/>
      <c r="D395" s="60"/>
      <c r="J395" s="14"/>
      <c r="K395" s="14"/>
    </row>
    <row r="396">
      <c r="C396" s="54"/>
      <c r="D396" s="60"/>
      <c r="J396" s="14"/>
      <c r="K396" s="14"/>
    </row>
    <row r="397">
      <c r="C397" s="54"/>
      <c r="D397" s="60"/>
      <c r="J397" s="14"/>
      <c r="K397" s="14"/>
    </row>
    <row r="398">
      <c r="C398" s="54"/>
      <c r="D398" s="60"/>
      <c r="J398" s="14"/>
      <c r="K398" s="14"/>
    </row>
    <row r="399">
      <c r="C399" s="54"/>
      <c r="D399" s="60"/>
      <c r="J399" s="14"/>
      <c r="K399" s="14"/>
    </row>
    <row r="400">
      <c r="C400" s="54"/>
      <c r="D400" s="60"/>
      <c r="J400" s="14"/>
      <c r="K400" s="14"/>
    </row>
    <row r="401">
      <c r="C401" s="54"/>
      <c r="D401" s="60"/>
      <c r="J401" s="14"/>
      <c r="K401" s="14"/>
    </row>
    <row r="402">
      <c r="C402" s="54"/>
      <c r="D402" s="60"/>
      <c r="J402" s="14"/>
      <c r="K402" s="14"/>
    </row>
    <row r="403">
      <c r="C403" s="54"/>
      <c r="D403" s="60"/>
      <c r="J403" s="14"/>
      <c r="K403" s="14"/>
    </row>
    <row r="404">
      <c r="C404" s="54"/>
      <c r="D404" s="60"/>
      <c r="J404" s="14"/>
      <c r="K404" s="14"/>
    </row>
    <row r="405">
      <c r="C405" s="54"/>
      <c r="D405" s="60"/>
      <c r="J405" s="14"/>
      <c r="K405" s="14"/>
    </row>
    <row r="406">
      <c r="C406" s="54"/>
      <c r="D406" s="60"/>
      <c r="J406" s="14"/>
      <c r="K406" s="14"/>
    </row>
    <row r="407">
      <c r="C407" s="54"/>
      <c r="D407" s="60"/>
      <c r="J407" s="14"/>
      <c r="K407" s="14"/>
    </row>
    <row r="408">
      <c r="C408" s="54"/>
      <c r="D408" s="60"/>
      <c r="J408" s="14"/>
      <c r="K408" s="14"/>
    </row>
    <row r="409">
      <c r="C409" s="54"/>
      <c r="D409" s="60"/>
      <c r="J409" s="14"/>
      <c r="K409" s="14"/>
    </row>
    <row r="410">
      <c r="C410" s="54"/>
      <c r="D410" s="60"/>
      <c r="J410" s="14"/>
      <c r="K410" s="14"/>
    </row>
    <row r="411">
      <c r="C411" s="54"/>
      <c r="D411" s="60"/>
      <c r="J411" s="14"/>
      <c r="K411" s="14"/>
    </row>
    <row r="412">
      <c r="C412" s="54"/>
      <c r="D412" s="60"/>
      <c r="J412" s="14"/>
      <c r="K412" s="14"/>
    </row>
    <row r="413">
      <c r="C413" s="54"/>
      <c r="D413" s="60"/>
      <c r="J413" s="14"/>
      <c r="K413" s="14"/>
    </row>
    <row r="414">
      <c r="C414" s="54"/>
      <c r="D414" s="60"/>
      <c r="J414" s="14"/>
      <c r="K414" s="14"/>
    </row>
    <row r="415">
      <c r="C415" s="54"/>
      <c r="D415" s="60"/>
      <c r="J415" s="14"/>
      <c r="K415" s="14"/>
    </row>
    <row r="416">
      <c r="C416" s="54"/>
      <c r="D416" s="60"/>
      <c r="J416" s="14"/>
      <c r="K416" s="14"/>
    </row>
    <row r="417">
      <c r="C417" s="54"/>
      <c r="D417" s="60"/>
      <c r="J417" s="14"/>
      <c r="K417" s="14"/>
    </row>
    <row r="418">
      <c r="C418" s="54"/>
      <c r="D418" s="60"/>
      <c r="J418" s="14"/>
      <c r="K418" s="14"/>
    </row>
    <row r="419">
      <c r="C419" s="54"/>
      <c r="D419" s="60"/>
      <c r="J419" s="14"/>
      <c r="K419" s="14"/>
    </row>
    <row r="420">
      <c r="C420" s="54"/>
      <c r="D420" s="60"/>
      <c r="J420" s="14"/>
      <c r="K420" s="14"/>
    </row>
    <row r="421">
      <c r="C421" s="54"/>
      <c r="D421" s="60"/>
      <c r="J421" s="14"/>
      <c r="K421" s="14"/>
    </row>
    <row r="422">
      <c r="C422" s="54"/>
      <c r="D422" s="60"/>
      <c r="J422" s="14"/>
      <c r="K422" s="14"/>
    </row>
    <row r="423">
      <c r="C423" s="54"/>
      <c r="D423" s="60"/>
      <c r="J423" s="14"/>
      <c r="K423" s="14"/>
    </row>
    <row r="424">
      <c r="C424" s="54"/>
      <c r="D424" s="60"/>
      <c r="J424" s="14"/>
      <c r="K424" s="14"/>
    </row>
    <row r="425">
      <c r="C425" s="54"/>
      <c r="D425" s="60"/>
      <c r="J425" s="14"/>
      <c r="K425" s="14"/>
    </row>
    <row r="426">
      <c r="C426" s="54"/>
      <c r="D426" s="60"/>
      <c r="J426" s="14"/>
      <c r="K426" s="14"/>
    </row>
    <row r="427">
      <c r="C427" s="54"/>
      <c r="D427" s="60"/>
      <c r="J427" s="14"/>
      <c r="K427" s="14"/>
    </row>
    <row r="428">
      <c r="C428" s="54"/>
      <c r="D428" s="60"/>
      <c r="J428" s="14"/>
      <c r="K428" s="14"/>
    </row>
    <row r="429">
      <c r="C429" s="54"/>
      <c r="D429" s="60"/>
      <c r="J429" s="14"/>
      <c r="K429" s="14"/>
    </row>
    <row r="430">
      <c r="C430" s="54"/>
      <c r="D430" s="60"/>
      <c r="J430" s="14"/>
      <c r="K430" s="14"/>
    </row>
    <row r="431">
      <c r="C431" s="54"/>
      <c r="D431" s="60"/>
      <c r="J431" s="14"/>
      <c r="K431" s="14"/>
    </row>
    <row r="432">
      <c r="C432" s="54"/>
      <c r="D432" s="60"/>
      <c r="J432" s="14"/>
      <c r="K432" s="14"/>
    </row>
    <row r="433">
      <c r="C433" s="54"/>
      <c r="D433" s="60"/>
      <c r="J433" s="14"/>
      <c r="K433" s="14"/>
    </row>
    <row r="434">
      <c r="C434" s="54"/>
      <c r="D434" s="60"/>
      <c r="J434" s="14"/>
      <c r="K434" s="14"/>
    </row>
    <row r="435">
      <c r="C435" s="54"/>
      <c r="D435" s="60"/>
      <c r="J435" s="14"/>
      <c r="K435" s="14"/>
    </row>
    <row r="436">
      <c r="C436" s="54"/>
      <c r="D436" s="60"/>
      <c r="J436" s="14"/>
      <c r="K436" s="14"/>
    </row>
    <row r="437">
      <c r="C437" s="54"/>
      <c r="D437" s="60"/>
      <c r="J437" s="14"/>
      <c r="K437" s="14"/>
    </row>
    <row r="438">
      <c r="C438" s="54"/>
      <c r="D438" s="60"/>
      <c r="J438" s="14"/>
      <c r="K438" s="14"/>
    </row>
    <row r="439">
      <c r="C439" s="54"/>
      <c r="D439" s="60"/>
      <c r="J439" s="14"/>
      <c r="K439" s="14"/>
    </row>
    <row r="440">
      <c r="C440" s="54"/>
      <c r="D440" s="60"/>
      <c r="J440" s="14"/>
      <c r="K440" s="14"/>
    </row>
    <row r="441">
      <c r="C441" s="54"/>
      <c r="D441" s="60"/>
      <c r="J441" s="14"/>
      <c r="K441" s="14"/>
    </row>
    <row r="442">
      <c r="C442" s="54"/>
      <c r="D442" s="60"/>
      <c r="J442" s="14"/>
      <c r="K442" s="14"/>
    </row>
    <row r="443">
      <c r="C443" s="54"/>
      <c r="D443" s="60"/>
      <c r="J443" s="14"/>
      <c r="K443" s="14"/>
    </row>
    <row r="444">
      <c r="C444" s="54"/>
      <c r="D444" s="60"/>
      <c r="J444" s="14"/>
      <c r="K444" s="14"/>
    </row>
    <row r="445">
      <c r="C445" s="54"/>
      <c r="D445" s="60"/>
      <c r="J445" s="14"/>
      <c r="K445" s="14"/>
    </row>
    <row r="446">
      <c r="C446" s="54"/>
      <c r="D446" s="60"/>
      <c r="J446" s="14"/>
      <c r="K446" s="14"/>
    </row>
    <row r="447">
      <c r="C447" s="54"/>
      <c r="D447" s="60"/>
      <c r="J447" s="14"/>
      <c r="K447" s="14"/>
    </row>
    <row r="448">
      <c r="C448" s="54"/>
      <c r="D448" s="60"/>
      <c r="J448" s="14"/>
      <c r="K448" s="14"/>
    </row>
    <row r="449">
      <c r="C449" s="54"/>
      <c r="D449" s="60"/>
      <c r="J449" s="14"/>
      <c r="K449" s="14"/>
    </row>
    <row r="450">
      <c r="C450" s="54"/>
      <c r="D450" s="60"/>
      <c r="J450" s="14"/>
      <c r="K450" s="14"/>
    </row>
    <row r="451">
      <c r="C451" s="54"/>
      <c r="D451" s="60"/>
      <c r="J451" s="14"/>
      <c r="K451" s="14"/>
    </row>
    <row r="452">
      <c r="C452" s="54"/>
      <c r="D452" s="60"/>
      <c r="J452" s="14"/>
      <c r="K452" s="14"/>
    </row>
    <row r="453">
      <c r="C453" s="54"/>
      <c r="D453" s="60"/>
      <c r="J453" s="14"/>
      <c r="K453" s="14"/>
    </row>
    <row r="454">
      <c r="C454" s="54"/>
      <c r="D454" s="60"/>
      <c r="J454" s="14"/>
      <c r="K454" s="14"/>
    </row>
    <row r="455">
      <c r="C455" s="54"/>
      <c r="D455" s="60"/>
      <c r="J455" s="14"/>
      <c r="K455" s="14"/>
    </row>
    <row r="456">
      <c r="C456" s="54"/>
      <c r="D456" s="60"/>
      <c r="J456" s="14"/>
      <c r="K456" s="14"/>
    </row>
    <row r="457">
      <c r="C457" s="54"/>
      <c r="D457" s="60"/>
      <c r="J457" s="14"/>
      <c r="K457" s="14"/>
    </row>
    <row r="458">
      <c r="C458" s="54"/>
      <c r="D458" s="60"/>
      <c r="J458" s="14"/>
      <c r="K458" s="14"/>
    </row>
    <row r="459">
      <c r="C459" s="54"/>
      <c r="D459" s="60"/>
      <c r="J459" s="14"/>
      <c r="K459" s="14"/>
    </row>
    <row r="460">
      <c r="C460" s="54"/>
      <c r="D460" s="60"/>
      <c r="J460" s="14"/>
      <c r="K460" s="14"/>
    </row>
    <row r="461">
      <c r="C461" s="54"/>
      <c r="D461" s="60"/>
      <c r="J461" s="14"/>
      <c r="K461" s="14"/>
    </row>
    <row r="462">
      <c r="C462" s="54"/>
      <c r="D462" s="60"/>
      <c r="J462" s="14"/>
      <c r="K462" s="14"/>
    </row>
    <row r="463">
      <c r="C463" s="54"/>
      <c r="D463" s="60"/>
      <c r="J463" s="14"/>
      <c r="K463" s="14"/>
    </row>
    <row r="464">
      <c r="C464" s="54"/>
      <c r="D464" s="60"/>
      <c r="J464" s="14"/>
      <c r="K464" s="14"/>
    </row>
    <row r="465">
      <c r="C465" s="54"/>
      <c r="D465" s="60"/>
      <c r="J465" s="14"/>
      <c r="K465" s="14"/>
    </row>
    <row r="466">
      <c r="C466" s="54"/>
      <c r="D466" s="60"/>
      <c r="J466" s="14"/>
      <c r="K466" s="14"/>
    </row>
    <row r="467">
      <c r="C467" s="54"/>
      <c r="D467" s="60"/>
      <c r="J467" s="14"/>
      <c r="K467" s="14"/>
    </row>
    <row r="468">
      <c r="C468" s="54"/>
      <c r="D468" s="60"/>
      <c r="J468" s="14"/>
      <c r="K468" s="14"/>
    </row>
    <row r="469">
      <c r="C469" s="54"/>
      <c r="D469" s="60"/>
      <c r="J469" s="14"/>
      <c r="K469" s="14"/>
    </row>
    <row r="470">
      <c r="C470" s="54"/>
      <c r="D470" s="60"/>
      <c r="J470" s="14"/>
      <c r="K470" s="14"/>
    </row>
    <row r="471">
      <c r="C471" s="54"/>
      <c r="D471" s="60"/>
      <c r="J471" s="14"/>
      <c r="K471" s="14"/>
    </row>
    <row r="472">
      <c r="C472" s="54"/>
      <c r="D472" s="60"/>
      <c r="J472" s="14"/>
      <c r="K472" s="14"/>
    </row>
    <row r="473">
      <c r="C473" s="54"/>
      <c r="D473" s="60"/>
      <c r="J473" s="14"/>
      <c r="K473" s="14"/>
    </row>
    <row r="474">
      <c r="C474" s="54"/>
      <c r="D474" s="60"/>
      <c r="J474" s="14"/>
      <c r="K474" s="14"/>
    </row>
    <row r="475">
      <c r="C475" s="54"/>
      <c r="D475" s="60"/>
      <c r="J475" s="14"/>
      <c r="K475" s="14"/>
    </row>
    <row r="476">
      <c r="C476" s="54"/>
      <c r="D476" s="60"/>
      <c r="J476" s="14"/>
      <c r="K476" s="14"/>
    </row>
    <row r="477">
      <c r="C477" s="54"/>
      <c r="D477" s="60"/>
      <c r="J477" s="14"/>
      <c r="K477" s="14"/>
    </row>
    <row r="478">
      <c r="C478" s="54"/>
      <c r="D478" s="60"/>
      <c r="J478" s="14"/>
      <c r="K478" s="14"/>
    </row>
    <row r="479">
      <c r="C479" s="54"/>
      <c r="D479" s="60"/>
      <c r="J479" s="14"/>
      <c r="K479" s="14"/>
    </row>
    <row r="480">
      <c r="C480" s="54"/>
      <c r="D480" s="60"/>
      <c r="J480" s="14"/>
      <c r="K480" s="14"/>
    </row>
    <row r="481">
      <c r="C481" s="54"/>
      <c r="D481" s="60"/>
      <c r="J481" s="14"/>
      <c r="K481" s="14"/>
    </row>
    <row r="482">
      <c r="C482" s="54"/>
      <c r="D482" s="60"/>
      <c r="J482" s="14"/>
      <c r="K482" s="14"/>
    </row>
    <row r="483">
      <c r="C483" s="54"/>
      <c r="D483" s="60"/>
      <c r="J483" s="14"/>
      <c r="K483" s="14"/>
    </row>
    <row r="484">
      <c r="C484" s="54"/>
      <c r="D484" s="60"/>
      <c r="J484" s="14"/>
      <c r="K484" s="14"/>
    </row>
    <row r="485">
      <c r="C485" s="54"/>
      <c r="D485" s="60"/>
      <c r="J485" s="14"/>
      <c r="K485" s="14"/>
    </row>
    <row r="486">
      <c r="C486" s="54"/>
      <c r="D486" s="60"/>
      <c r="J486" s="14"/>
      <c r="K486" s="14"/>
    </row>
    <row r="487">
      <c r="C487" s="54"/>
      <c r="D487" s="60"/>
      <c r="J487" s="14"/>
      <c r="K487" s="14"/>
    </row>
    <row r="488">
      <c r="C488" s="54"/>
      <c r="D488" s="60"/>
      <c r="J488" s="14"/>
      <c r="K488" s="14"/>
    </row>
    <row r="489">
      <c r="C489" s="54"/>
      <c r="D489" s="60"/>
      <c r="J489" s="14"/>
      <c r="K489" s="14"/>
    </row>
    <row r="490">
      <c r="C490" s="54"/>
      <c r="D490" s="60"/>
      <c r="J490" s="14"/>
      <c r="K490" s="14"/>
    </row>
    <row r="491">
      <c r="C491" s="54"/>
      <c r="D491" s="60"/>
      <c r="J491" s="14"/>
      <c r="K491" s="14"/>
    </row>
    <row r="492">
      <c r="C492" s="54"/>
      <c r="D492" s="60"/>
      <c r="J492" s="14"/>
      <c r="K492" s="14"/>
    </row>
    <row r="493">
      <c r="C493" s="54"/>
      <c r="D493" s="60"/>
      <c r="J493" s="14"/>
      <c r="K493" s="14"/>
    </row>
    <row r="494">
      <c r="C494" s="54"/>
      <c r="D494" s="60"/>
      <c r="J494" s="14"/>
      <c r="K494" s="14"/>
    </row>
    <row r="495">
      <c r="C495" s="54"/>
      <c r="D495" s="60"/>
      <c r="J495" s="14"/>
      <c r="K495" s="14"/>
    </row>
    <row r="496">
      <c r="C496" s="54"/>
      <c r="D496" s="60"/>
      <c r="J496" s="14"/>
      <c r="K496" s="14"/>
    </row>
    <row r="497">
      <c r="C497" s="54"/>
      <c r="D497" s="60"/>
      <c r="J497" s="14"/>
      <c r="K497" s="14"/>
    </row>
    <row r="498">
      <c r="C498" s="54"/>
      <c r="D498" s="60"/>
      <c r="J498" s="14"/>
      <c r="K498" s="14"/>
    </row>
    <row r="499">
      <c r="C499" s="54"/>
      <c r="D499" s="60"/>
      <c r="J499" s="14"/>
      <c r="K499" s="14"/>
    </row>
    <row r="500">
      <c r="C500" s="54"/>
      <c r="D500" s="60"/>
      <c r="J500" s="14"/>
      <c r="K500" s="14"/>
    </row>
    <row r="501">
      <c r="C501" s="54"/>
      <c r="D501" s="60"/>
      <c r="J501" s="14"/>
      <c r="K501" s="14"/>
    </row>
    <row r="502">
      <c r="C502" s="54"/>
      <c r="D502" s="60"/>
      <c r="J502" s="14"/>
      <c r="K502" s="14"/>
    </row>
    <row r="503">
      <c r="C503" s="54"/>
      <c r="D503" s="60"/>
      <c r="J503" s="14"/>
      <c r="K503" s="14"/>
    </row>
    <row r="504">
      <c r="C504" s="54"/>
      <c r="D504" s="60"/>
      <c r="J504" s="14"/>
      <c r="K504" s="14"/>
    </row>
    <row r="505">
      <c r="C505" s="54"/>
      <c r="D505" s="60"/>
      <c r="J505" s="14"/>
      <c r="K505" s="14"/>
    </row>
    <row r="506">
      <c r="C506" s="54"/>
      <c r="D506" s="60"/>
      <c r="J506" s="14"/>
      <c r="K506" s="14"/>
    </row>
    <row r="507">
      <c r="C507" s="54"/>
      <c r="D507" s="60"/>
      <c r="J507" s="14"/>
      <c r="K507" s="14"/>
    </row>
    <row r="508">
      <c r="C508" s="54"/>
      <c r="D508" s="60"/>
      <c r="J508" s="14"/>
      <c r="K508" s="14"/>
    </row>
    <row r="509">
      <c r="C509" s="54"/>
      <c r="D509" s="60"/>
      <c r="J509" s="14"/>
      <c r="K509" s="14"/>
    </row>
    <row r="510">
      <c r="C510" s="54"/>
      <c r="D510" s="60"/>
      <c r="J510" s="14"/>
      <c r="K510" s="14"/>
    </row>
    <row r="511">
      <c r="C511" s="54"/>
      <c r="D511" s="60"/>
      <c r="J511" s="14"/>
      <c r="K511" s="14"/>
    </row>
    <row r="512">
      <c r="C512" s="54"/>
      <c r="D512" s="60"/>
      <c r="J512" s="14"/>
      <c r="K512" s="14"/>
    </row>
    <row r="513">
      <c r="C513" s="54"/>
      <c r="D513" s="60"/>
      <c r="J513" s="14"/>
      <c r="K513" s="14"/>
    </row>
    <row r="514">
      <c r="C514" s="54"/>
      <c r="D514" s="60"/>
      <c r="J514" s="14"/>
      <c r="K514" s="14"/>
    </row>
    <row r="515">
      <c r="C515" s="54"/>
      <c r="D515" s="60"/>
      <c r="J515" s="14"/>
      <c r="K515" s="14"/>
    </row>
    <row r="516">
      <c r="C516" s="54"/>
      <c r="D516" s="60"/>
      <c r="J516" s="14"/>
      <c r="K516" s="14"/>
    </row>
    <row r="517">
      <c r="C517" s="54"/>
      <c r="D517" s="60"/>
      <c r="J517" s="14"/>
      <c r="K517" s="14"/>
    </row>
    <row r="518">
      <c r="C518" s="54"/>
      <c r="D518" s="60"/>
      <c r="J518" s="14"/>
      <c r="K518" s="14"/>
    </row>
    <row r="519">
      <c r="C519" s="54"/>
      <c r="D519" s="60"/>
      <c r="J519" s="14"/>
      <c r="K519" s="14"/>
    </row>
    <row r="520">
      <c r="C520" s="54"/>
      <c r="D520" s="60"/>
      <c r="J520" s="14"/>
      <c r="K520" s="14"/>
    </row>
    <row r="521">
      <c r="C521" s="54"/>
      <c r="D521" s="60"/>
      <c r="J521" s="14"/>
      <c r="K521" s="14"/>
    </row>
    <row r="522">
      <c r="C522" s="54"/>
      <c r="D522" s="60"/>
      <c r="J522" s="14"/>
      <c r="K522" s="14"/>
    </row>
    <row r="523">
      <c r="C523" s="54"/>
      <c r="D523" s="60"/>
      <c r="J523" s="14"/>
      <c r="K523" s="14"/>
    </row>
    <row r="524">
      <c r="C524" s="54"/>
      <c r="D524" s="60"/>
      <c r="J524" s="14"/>
      <c r="K524" s="14"/>
    </row>
    <row r="525">
      <c r="C525" s="54"/>
      <c r="D525" s="60"/>
      <c r="J525" s="14"/>
      <c r="K525" s="14"/>
    </row>
    <row r="526">
      <c r="C526" s="54"/>
      <c r="D526" s="60"/>
      <c r="J526" s="14"/>
      <c r="K526" s="14"/>
    </row>
    <row r="527">
      <c r="C527" s="54"/>
      <c r="D527" s="60"/>
      <c r="J527" s="14"/>
      <c r="K527" s="14"/>
    </row>
    <row r="528">
      <c r="C528" s="54"/>
      <c r="D528" s="60"/>
      <c r="J528" s="14"/>
      <c r="K528" s="14"/>
    </row>
    <row r="529">
      <c r="C529" s="54"/>
      <c r="D529" s="60"/>
      <c r="J529" s="14"/>
      <c r="K529" s="14"/>
    </row>
    <row r="530">
      <c r="C530" s="54"/>
      <c r="D530" s="60"/>
      <c r="J530" s="14"/>
      <c r="K530" s="14"/>
    </row>
    <row r="531">
      <c r="C531" s="54"/>
      <c r="D531" s="60"/>
      <c r="J531" s="14"/>
      <c r="K531" s="14"/>
    </row>
    <row r="532">
      <c r="C532" s="54"/>
      <c r="D532" s="60"/>
      <c r="J532" s="14"/>
      <c r="K532" s="14"/>
    </row>
    <row r="533">
      <c r="C533" s="54"/>
      <c r="D533" s="60"/>
      <c r="J533" s="14"/>
      <c r="K533" s="14"/>
    </row>
    <row r="534">
      <c r="C534" s="54"/>
      <c r="D534" s="60"/>
      <c r="J534" s="14"/>
      <c r="K534" s="14"/>
    </row>
    <row r="535">
      <c r="C535" s="54"/>
      <c r="D535" s="60"/>
      <c r="J535" s="14"/>
      <c r="K535" s="14"/>
    </row>
    <row r="536">
      <c r="C536" s="54"/>
      <c r="D536" s="60"/>
      <c r="J536" s="14"/>
      <c r="K536" s="14"/>
    </row>
    <row r="537">
      <c r="C537" s="54"/>
      <c r="D537" s="60"/>
      <c r="J537" s="14"/>
      <c r="K537" s="14"/>
    </row>
    <row r="538">
      <c r="C538" s="54"/>
      <c r="D538" s="60"/>
      <c r="J538" s="14"/>
      <c r="K538" s="14"/>
    </row>
    <row r="539">
      <c r="C539" s="54"/>
      <c r="D539" s="60"/>
      <c r="J539" s="14"/>
      <c r="K539" s="14"/>
    </row>
    <row r="540">
      <c r="C540" s="54"/>
      <c r="D540" s="60"/>
      <c r="J540" s="14"/>
      <c r="K540" s="14"/>
    </row>
    <row r="541">
      <c r="C541" s="54"/>
      <c r="D541" s="60"/>
      <c r="J541" s="14"/>
      <c r="K541" s="14"/>
    </row>
    <row r="542">
      <c r="C542" s="54"/>
      <c r="D542" s="60"/>
      <c r="J542" s="14"/>
      <c r="K542" s="14"/>
    </row>
    <row r="543">
      <c r="C543" s="54"/>
      <c r="D543" s="60"/>
      <c r="J543" s="14"/>
      <c r="K543" s="14"/>
    </row>
    <row r="544">
      <c r="C544" s="54"/>
      <c r="D544" s="60"/>
      <c r="J544" s="14"/>
      <c r="K544" s="14"/>
    </row>
    <row r="545">
      <c r="C545" s="54"/>
      <c r="D545" s="60"/>
      <c r="J545" s="14"/>
      <c r="K545" s="14"/>
    </row>
    <row r="546">
      <c r="C546" s="54"/>
      <c r="D546" s="60"/>
      <c r="J546" s="14"/>
      <c r="K546" s="14"/>
    </row>
    <row r="547">
      <c r="C547" s="54"/>
      <c r="D547" s="60"/>
      <c r="J547" s="14"/>
      <c r="K547" s="14"/>
    </row>
    <row r="548">
      <c r="C548" s="54"/>
      <c r="D548" s="60"/>
      <c r="J548" s="14"/>
      <c r="K548" s="14"/>
    </row>
    <row r="549">
      <c r="C549" s="54"/>
      <c r="D549" s="60"/>
      <c r="J549" s="14"/>
      <c r="K549" s="14"/>
    </row>
    <row r="550">
      <c r="C550" s="54"/>
      <c r="D550" s="60"/>
      <c r="J550" s="14"/>
      <c r="K550" s="14"/>
    </row>
    <row r="551">
      <c r="C551" s="54"/>
      <c r="D551" s="60"/>
      <c r="J551" s="14"/>
      <c r="K551" s="14"/>
    </row>
    <row r="552">
      <c r="C552" s="54"/>
      <c r="D552" s="60"/>
      <c r="J552" s="14"/>
      <c r="K552" s="14"/>
    </row>
    <row r="553">
      <c r="C553" s="54"/>
      <c r="D553" s="60"/>
      <c r="J553" s="14"/>
      <c r="K553" s="14"/>
    </row>
    <row r="554">
      <c r="C554" s="54"/>
      <c r="D554" s="60"/>
      <c r="J554" s="14"/>
      <c r="K554" s="14"/>
    </row>
    <row r="555">
      <c r="C555" s="54"/>
      <c r="D555" s="60"/>
      <c r="J555" s="14"/>
      <c r="K555" s="14"/>
    </row>
    <row r="556">
      <c r="C556" s="54"/>
      <c r="D556" s="60"/>
      <c r="J556" s="14"/>
      <c r="K556" s="14"/>
    </row>
    <row r="557">
      <c r="C557" s="54"/>
      <c r="D557" s="60"/>
      <c r="J557" s="14"/>
      <c r="K557" s="14"/>
    </row>
    <row r="558">
      <c r="C558" s="54"/>
      <c r="D558" s="60"/>
      <c r="J558" s="14"/>
      <c r="K558" s="14"/>
    </row>
    <row r="559">
      <c r="C559" s="54"/>
      <c r="D559" s="60"/>
      <c r="J559" s="14"/>
      <c r="K559" s="14"/>
    </row>
    <row r="560">
      <c r="C560" s="54"/>
      <c r="D560" s="60"/>
      <c r="J560" s="14"/>
      <c r="K560" s="14"/>
    </row>
    <row r="561">
      <c r="C561" s="54"/>
      <c r="D561" s="60"/>
      <c r="J561" s="14"/>
      <c r="K561" s="14"/>
    </row>
    <row r="562">
      <c r="C562" s="54"/>
      <c r="D562" s="60"/>
      <c r="J562" s="14"/>
      <c r="K562" s="14"/>
    </row>
    <row r="563">
      <c r="C563" s="54"/>
      <c r="D563" s="60"/>
      <c r="J563" s="14"/>
      <c r="K563" s="14"/>
    </row>
    <row r="564">
      <c r="C564" s="54"/>
      <c r="D564" s="60"/>
      <c r="J564" s="14"/>
      <c r="K564" s="14"/>
    </row>
    <row r="565">
      <c r="C565" s="54"/>
      <c r="D565" s="60"/>
      <c r="J565" s="14"/>
      <c r="K565" s="14"/>
    </row>
    <row r="566">
      <c r="C566" s="54"/>
      <c r="D566" s="60"/>
      <c r="J566" s="14"/>
      <c r="K566" s="14"/>
    </row>
    <row r="567">
      <c r="C567" s="54"/>
      <c r="D567" s="60"/>
      <c r="J567" s="14"/>
      <c r="K567" s="14"/>
    </row>
    <row r="568">
      <c r="C568" s="54"/>
      <c r="D568" s="60"/>
      <c r="J568" s="14"/>
      <c r="K568" s="14"/>
    </row>
    <row r="569">
      <c r="C569" s="54"/>
      <c r="D569" s="60"/>
      <c r="J569" s="14"/>
      <c r="K569" s="14"/>
    </row>
    <row r="570">
      <c r="C570" s="54"/>
      <c r="D570" s="60"/>
      <c r="J570" s="14"/>
      <c r="K570" s="14"/>
    </row>
    <row r="571">
      <c r="C571" s="54"/>
      <c r="D571" s="60"/>
      <c r="J571" s="14"/>
      <c r="K571" s="14"/>
    </row>
    <row r="572">
      <c r="C572" s="54"/>
      <c r="D572" s="60"/>
      <c r="J572" s="14"/>
      <c r="K572" s="14"/>
    </row>
    <row r="573">
      <c r="C573" s="54"/>
      <c r="D573" s="60"/>
      <c r="J573" s="14"/>
      <c r="K573" s="14"/>
    </row>
    <row r="574">
      <c r="C574" s="54"/>
      <c r="D574" s="60"/>
      <c r="J574" s="14"/>
      <c r="K574" s="14"/>
    </row>
    <row r="575">
      <c r="C575" s="54"/>
      <c r="D575" s="60"/>
      <c r="J575" s="14"/>
      <c r="K575" s="14"/>
    </row>
    <row r="576">
      <c r="C576" s="54"/>
      <c r="D576" s="60"/>
      <c r="J576" s="14"/>
      <c r="K576" s="14"/>
    </row>
    <row r="577">
      <c r="C577" s="54"/>
      <c r="D577" s="60"/>
      <c r="J577" s="14"/>
      <c r="K577" s="14"/>
    </row>
    <row r="578">
      <c r="C578" s="54"/>
      <c r="D578" s="60"/>
      <c r="J578" s="14"/>
      <c r="K578" s="14"/>
    </row>
    <row r="579">
      <c r="C579" s="54"/>
      <c r="D579" s="60"/>
      <c r="J579" s="14"/>
      <c r="K579" s="14"/>
    </row>
    <row r="580">
      <c r="C580" s="54"/>
      <c r="D580" s="60"/>
      <c r="J580" s="14"/>
      <c r="K580" s="14"/>
    </row>
    <row r="581">
      <c r="C581" s="54"/>
      <c r="D581" s="60"/>
      <c r="J581" s="14"/>
      <c r="K581" s="14"/>
    </row>
    <row r="582">
      <c r="C582" s="54"/>
      <c r="D582" s="60"/>
      <c r="J582" s="14"/>
      <c r="K582" s="14"/>
    </row>
    <row r="583">
      <c r="C583" s="54"/>
      <c r="D583" s="60"/>
      <c r="J583" s="14"/>
      <c r="K583" s="14"/>
    </row>
    <row r="584">
      <c r="C584" s="54"/>
      <c r="D584" s="60"/>
      <c r="J584" s="14"/>
      <c r="K584" s="14"/>
    </row>
    <row r="585">
      <c r="C585" s="54"/>
      <c r="D585" s="60"/>
      <c r="J585" s="14"/>
      <c r="K585" s="14"/>
    </row>
    <row r="586">
      <c r="C586" s="54"/>
      <c r="D586" s="60"/>
      <c r="J586" s="14"/>
      <c r="K586" s="14"/>
    </row>
    <row r="587">
      <c r="C587" s="54"/>
      <c r="D587" s="60"/>
      <c r="J587" s="14"/>
      <c r="K587" s="14"/>
    </row>
    <row r="588">
      <c r="C588" s="54"/>
      <c r="D588" s="60"/>
      <c r="J588" s="14"/>
      <c r="K588" s="14"/>
    </row>
    <row r="589">
      <c r="C589" s="54"/>
      <c r="D589" s="60"/>
      <c r="J589" s="14"/>
      <c r="K589" s="14"/>
    </row>
    <row r="590">
      <c r="C590" s="54"/>
      <c r="D590" s="60"/>
      <c r="J590" s="14"/>
      <c r="K590" s="14"/>
    </row>
    <row r="591">
      <c r="C591" s="54"/>
      <c r="D591" s="60"/>
      <c r="J591" s="14"/>
      <c r="K591" s="14"/>
    </row>
    <row r="592">
      <c r="C592" s="54"/>
      <c r="D592" s="60"/>
      <c r="J592" s="14"/>
      <c r="K592" s="14"/>
    </row>
    <row r="593">
      <c r="C593" s="54"/>
      <c r="D593" s="60"/>
      <c r="J593" s="14"/>
      <c r="K593" s="14"/>
    </row>
    <row r="594">
      <c r="C594" s="54"/>
      <c r="D594" s="60"/>
      <c r="J594" s="14"/>
      <c r="K594" s="14"/>
    </row>
    <row r="595">
      <c r="C595" s="54"/>
      <c r="D595" s="60"/>
      <c r="J595" s="14"/>
      <c r="K595" s="14"/>
    </row>
    <row r="596">
      <c r="C596" s="54"/>
      <c r="D596" s="60"/>
      <c r="J596" s="14"/>
      <c r="K596" s="14"/>
    </row>
    <row r="597">
      <c r="C597" s="54"/>
      <c r="D597" s="60"/>
      <c r="J597" s="14"/>
      <c r="K597" s="14"/>
    </row>
    <row r="598">
      <c r="C598" s="54"/>
      <c r="D598" s="60"/>
      <c r="J598" s="14"/>
      <c r="K598" s="14"/>
    </row>
    <row r="599">
      <c r="C599" s="54"/>
      <c r="D599" s="60"/>
      <c r="J599" s="14"/>
      <c r="K599" s="14"/>
    </row>
    <row r="600">
      <c r="C600" s="54"/>
      <c r="D600" s="60"/>
      <c r="J600" s="14"/>
      <c r="K600" s="14"/>
    </row>
    <row r="601">
      <c r="C601" s="54"/>
      <c r="D601" s="60"/>
      <c r="J601" s="14"/>
      <c r="K601" s="14"/>
    </row>
    <row r="602">
      <c r="C602" s="54"/>
      <c r="D602" s="60"/>
      <c r="J602" s="14"/>
      <c r="K602" s="14"/>
    </row>
    <row r="603">
      <c r="C603" s="54"/>
      <c r="D603" s="60"/>
      <c r="J603" s="14"/>
      <c r="K603" s="14"/>
    </row>
    <row r="604">
      <c r="C604" s="54"/>
      <c r="D604" s="60"/>
      <c r="J604" s="14"/>
      <c r="K604" s="14"/>
    </row>
    <row r="605">
      <c r="C605" s="54"/>
      <c r="D605" s="60"/>
      <c r="J605" s="14"/>
      <c r="K605" s="14"/>
    </row>
    <row r="606">
      <c r="C606" s="54"/>
      <c r="D606" s="60"/>
      <c r="J606" s="14"/>
      <c r="K606" s="14"/>
    </row>
    <row r="607">
      <c r="C607" s="54"/>
      <c r="D607" s="60"/>
      <c r="J607" s="14"/>
      <c r="K607" s="14"/>
    </row>
    <row r="608">
      <c r="C608" s="54"/>
      <c r="D608" s="60"/>
      <c r="J608" s="14"/>
      <c r="K608" s="14"/>
    </row>
    <row r="609">
      <c r="C609" s="54"/>
      <c r="D609" s="60"/>
      <c r="J609" s="14"/>
      <c r="K609" s="14"/>
    </row>
    <row r="610">
      <c r="C610" s="54"/>
      <c r="D610" s="60"/>
      <c r="J610" s="14"/>
      <c r="K610" s="14"/>
    </row>
    <row r="611">
      <c r="C611" s="54"/>
      <c r="D611" s="60"/>
      <c r="J611" s="14"/>
      <c r="K611" s="14"/>
    </row>
    <row r="612">
      <c r="C612" s="54"/>
      <c r="D612" s="60"/>
      <c r="J612" s="14"/>
      <c r="K612" s="14"/>
    </row>
    <row r="613">
      <c r="C613" s="54"/>
      <c r="D613" s="60"/>
      <c r="J613" s="14"/>
      <c r="K613" s="14"/>
    </row>
    <row r="614">
      <c r="C614" s="54"/>
      <c r="D614" s="60"/>
      <c r="J614" s="14"/>
      <c r="K614" s="14"/>
    </row>
    <row r="615">
      <c r="C615" s="54"/>
      <c r="D615" s="60"/>
      <c r="J615" s="14"/>
      <c r="K615" s="14"/>
    </row>
    <row r="616">
      <c r="C616" s="54"/>
      <c r="D616" s="60"/>
      <c r="J616" s="14"/>
      <c r="K616" s="14"/>
    </row>
    <row r="617">
      <c r="C617" s="54"/>
      <c r="D617" s="60"/>
      <c r="J617" s="14"/>
      <c r="K617" s="14"/>
    </row>
    <row r="618">
      <c r="C618" s="54"/>
      <c r="D618" s="60"/>
      <c r="J618" s="14"/>
      <c r="K618" s="14"/>
    </row>
    <row r="619">
      <c r="C619" s="54"/>
      <c r="D619" s="60"/>
      <c r="J619" s="14"/>
      <c r="K619" s="14"/>
    </row>
    <row r="620">
      <c r="C620" s="54"/>
      <c r="D620" s="60"/>
      <c r="J620" s="14"/>
      <c r="K620" s="14"/>
    </row>
    <row r="621">
      <c r="C621" s="54"/>
      <c r="D621" s="60"/>
      <c r="J621" s="14"/>
      <c r="K621" s="14"/>
    </row>
    <row r="622">
      <c r="C622" s="54"/>
      <c r="D622" s="60"/>
      <c r="J622" s="14"/>
      <c r="K622" s="14"/>
    </row>
    <row r="623">
      <c r="C623" s="54"/>
      <c r="D623" s="60"/>
      <c r="J623" s="14"/>
      <c r="K623" s="14"/>
    </row>
    <row r="624">
      <c r="C624" s="54"/>
      <c r="D624" s="60"/>
      <c r="J624" s="14"/>
      <c r="K624" s="14"/>
    </row>
    <row r="625">
      <c r="C625" s="54"/>
      <c r="D625" s="60"/>
      <c r="J625" s="14"/>
      <c r="K625" s="14"/>
    </row>
    <row r="626">
      <c r="C626" s="54"/>
      <c r="D626" s="60"/>
      <c r="J626" s="14"/>
      <c r="K626" s="14"/>
    </row>
    <row r="627">
      <c r="C627" s="54"/>
      <c r="D627" s="60"/>
      <c r="J627" s="14"/>
      <c r="K627" s="14"/>
    </row>
    <row r="628">
      <c r="C628" s="54"/>
      <c r="D628" s="60"/>
      <c r="J628" s="14"/>
      <c r="K628" s="14"/>
    </row>
    <row r="629">
      <c r="C629" s="54"/>
      <c r="D629" s="60"/>
      <c r="J629" s="14"/>
      <c r="K629" s="14"/>
    </row>
    <row r="630">
      <c r="C630" s="54"/>
      <c r="D630" s="60"/>
      <c r="J630" s="14"/>
      <c r="K630" s="14"/>
    </row>
    <row r="631">
      <c r="C631" s="54"/>
      <c r="D631" s="60"/>
      <c r="J631" s="14"/>
      <c r="K631" s="14"/>
    </row>
    <row r="632">
      <c r="C632" s="54"/>
      <c r="D632" s="60"/>
      <c r="J632" s="14"/>
      <c r="K632" s="14"/>
    </row>
    <row r="633">
      <c r="C633" s="54"/>
      <c r="D633" s="60"/>
      <c r="J633" s="14"/>
      <c r="K633" s="14"/>
    </row>
    <row r="634">
      <c r="C634" s="54"/>
      <c r="D634" s="60"/>
      <c r="J634" s="14"/>
      <c r="K634" s="14"/>
    </row>
    <row r="635">
      <c r="C635" s="54"/>
      <c r="D635" s="60"/>
      <c r="J635" s="14"/>
      <c r="K635" s="14"/>
    </row>
    <row r="636">
      <c r="C636" s="54"/>
      <c r="D636" s="60"/>
      <c r="J636" s="14"/>
      <c r="K636" s="14"/>
    </row>
    <row r="637">
      <c r="C637" s="54"/>
      <c r="D637" s="60"/>
      <c r="J637" s="14"/>
      <c r="K637" s="14"/>
    </row>
    <row r="638">
      <c r="C638" s="54"/>
      <c r="D638" s="60"/>
      <c r="J638" s="14"/>
      <c r="K638" s="14"/>
    </row>
    <row r="639">
      <c r="C639" s="54"/>
      <c r="D639" s="60"/>
      <c r="J639" s="14"/>
      <c r="K639" s="14"/>
    </row>
    <row r="640">
      <c r="C640" s="54"/>
      <c r="D640" s="60"/>
      <c r="J640" s="14"/>
      <c r="K640" s="14"/>
    </row>
    <row r="641">
      <c r="C641" s="54"/>
      <c r="D641" s="60"/>
      <c r="J641" s="14"/>
      <c r="K641" s="14"/>
    </row>
    <row r="642">
      <c r="C642" s="54"/>
      <c r="D642" s="60"/>
      <c r="J642" s="14"/>
      <c r="K642" s="14"/>
    </row>
    <row r="643">
      <c r="C643" s="54"/>
      <c r="D643" s="60"/>
      <c r="J643" s="14"/>
      <c r="K643" s="14"/>
    </row>
    <row r="644">
      <c r="C644" s="54"/>
      <c r="D644" s="60"/>
      <c r="J644" s="14"/>
      <c r="K644" s="14"/>
    </row>
    <row r="645">
      <c r="C645" s="54"/>
      <c r="D645" s="60"/>
      <c r="J645" s="14"/>
      <c r="K645" s="14"/>
    </row>
    <row r="646">
      <c r="C646" s="54"/>
      <c r="D646" s="60"/>
      <c r="J646" s="14"/>
      <c r="K646" s="14"/>
    </row>
    <row r="647">
      <c r="C647" s="54"/>
      <c r="D647" s="60"/>
      <c r="J647" s="14"/>
      <c r="K647" s="14"/>
    </row>
    <row r="648">
      <c r="C648" s="54"/>
      <c r="D648" s="60"/>
      <c r="J648" s="14"/>
      <c r="K648" s="14"/>
    </row>
    <row r="649">
      <c r="C649" s="54"/>
      <c r="D649" s="60"/>
      <c r="J649" s="14"/>
      <c r="K649" s="14"/>
    </row>
    <row r="650">
      <c r="C650" s="54"/>
      <c r="D650" s="60"/>
      <c r="J650" s="14"/>
      <c r="K650" s="14"/>
    </row>
    <row r="651">
      <c r="C651" s="54"/>
      <c r="D651" s="60"/>
      <c r="J651" s="14"/>
      <c r="K651" s="14"/>
    </row>
    <row r="652">
      <c r="C652" s="54"/>
      <c r="D652" s="60"/>
      <c r="J652" s="14"/>
      <c r="K652" s="14"/>
    </row>
    <row r="653">
      <c r="C653" s="54"/>
      <c r="D653" s="60"/>
      <c r="J653" s="14"/>
      <c r="K653" s="14"/>
    </row>
    <row r="654">
      <c r="C654" s="54"/>
      <c r="D654" s="60"/>
      <c r="J654" s="14"/>
      <c r="K654" s="14"/>
    </row>
    <row r="655">
      <c r="C655" s="54"/>
      <c r="D655" s="60"/>
      <c r="J655" s="14"/>
      <c r="K655" s="14"/>
    </row>
    <row r="656">
      <c r="C656" s="54"/>
      <c r="D656" s="60"/>
      <c r="J656" s="14"/>
      <c r="K656" s="14"/>
    </row>
    <row r="657">
      <c r="C657" s="54"/>
      <c r="D657" s="60"/>
      <c r="J657" s="14"/>
      <c r="K657" s="14"/>
    </row>
    <row r="658">
      <c r="C658" s="54"/>
      <c r="D658" s="60"/>
      <c r="J658" s="14"/>
      <c r="K658" s="14"/>
    </row>
    <row r="659">
      <c r="C659" s="54"/>
      <c r="D659" s="60"/>
      <c r="J659" s="14"/>
      <c r="K659" s="14"/>
    </row>
    <row r="660">
      <c r="C660" s="54"/>
      <c r="D660" s="60"/>
      <c r="J660" s="14"/>
      <c r="K660" s="14"/>
    </row>
    <row r="661">
      <c r="C661" s="54"/>
      <c r="D661" s="60"/>
      <c r="J661" s="14"/>
      <c r="K661" s="14"/>
    </row>
    <row r="662">
      <c r="C662" s="54"/>
      <c r="D662" s="60"/>
      <c r="J662" s="14"/>
      <c r="K662" s="14"/>
    </row>
    <row r="663">
      <c r="C663" s="54"/>
      <c r="D663" s="60"/>
      <c r="J663" s="14"/>
      <c r="K663" s="14"/>
    </row>
    <row r="664">
      <c r="C664" s="54"/>
      <c r="D664" s="60"/>
      <c r="J664" s="14"/>
      <c r="K664" s="14"/>
    </row>
    <row r="665">
      <c r="C665" s="54"/>
      <c r="D665" s="60"/>
      <c r="J665" s="14"/>
      <c r="K665" s="14"/>
    </row>
    <row r="666">
      <c r="C666" s="54"/>
      <c r="D666" s="60"/>
      <c r="J666" s="14"/>
      <c r="K666" s="14"/>
    </row>
    <row r="667">
      <c r="C667" s="54"/>
      <c r="D667" s="60"/>
      <c r="J667" s="14"/>
      <c r="K667" s="14"/>
    </row>
    <row r="668">
      <c r="C668" s="54"/>
      <c r="D668" s="60"/>
      <c r="J668" s="14"/>
      <c r="K668" s="14"/>
    </row>
    <row r="669">
      <c r="C669" s="54"/>
      <c r="D669" s="60"/>
      <c r="J669" s="14"/>
      <c r="K669" s="14"/>
    </row>
    <row r="670">
      <c r="C670" s="54"/>
      <c r="D670" s="60"/>
      <c r="J670" s="14"/>
      <c r="K670" s="14"/>
    </row>
    <row r="671">
      <c r="C671" s="54"/>
      <c r="D671" s="60"/>
      <c r="J671" s="14"/>
      <c r="K671" s="14"/>
    </row>
    <row r="672">
      <c r="C672" s="54"/>
      <c r="D672" s="60"/>
      <c r="J672" s="14"/>
      <c r="K672" s="14"/>
    </row>
    <row r="673">
      <c r="C673" s="54"/>
      <c r="D673" s="60"/>
      <c r="J673" s="14"/>
      <c r="K673" s="14"/>
    </row>
    <row r="674">
      <c r="C674" s="54"/>
      <c r="D674" s="60"/>
      <c r="J674" s="14"/>
      <c r="K674" s="14"/>
    </row>
    <row r="675">
      <c r="C675" s="54"/>
      <c r="D675" s="60"/>
      <c r="J675" s="14"/>
      <c r="K675" s="14"/>
    </row>
    <row r="676">
      <c r="C676" s="54"/>
      <c r="D676" s="60"/>
      <c r="J676" s="14"/>
      <c r="K676" s="14"/>
    </row>
    <row r="677">
      <c r="C677" s="54"/>
      <c r="D677" s="60"/>
      <c r="J677" s="14"/>
      <c r="K677" s="14"/>
    </row>
    <row r="678">
      <c r="C678" s="54"/>
      <c r="D678" s="60"/>
      <c r="J678" s="14"/>
      <c r="K678" s="14"/>
    </row>
    <row r="679">
      <c r="C679" s="54"/>
      <c r="D679" s="60"/>
      <c r="J679" s="14"/>
      <c r="K679" s="14"/>
    </row>
    <row r="680">
      <c r="C680" s="54"/>
      <c r="D680" s="60"/>
      <c r="J680" s="14"/>
      <c r="K680" s="14"/>
    </row>
    <row r="681">
      <c r="C681" s="54"/>
      <c r="D681" s="60"/>
      <c r="J681" s="14"/>
      <c r="K681" s="14"/>
    </row>
    <row r="682">
      <c r="C682" s="54"/>
      <c r="D682" s="60"/>
      <c r="J682" s="14"/>
      <c r="K682" s="14"/>
    </row>
    <row r="683">
      <c r="C683" s="54"/>
      <c r="D683" s="60"/>
      <c r="J683" s="14"/>
      <c r="K683" s="14"/>
    </row>
    <row r="684">
      <c r="C684" s="54"/>
      <c r="D684" s="60"/>
      <c r="J684" s="14"/>
      <c r="K684" s="14"/>
    </row>
    <row r="685">
      <c r="C685" s="54"/>
      <c r="D685" s="60"/>
      <c r="J685" s="14"/>
      <c r="K685" s="14"/>
    </row>
    <row r="686">
      <c r="C686" s="54"/>
      <c r="D686" s="60"/>
      <c r="J686" s="14"/>
      <c r="K686" s="14"/>
    </row>
    <row r="687">
      <c r="C687" s="54"/>
      <c r="D687" s="60"/>
      <c r="J687" s="14"/>
      <c r="K687" s="14"/>
    </row>
    <row r="688">
      <c r="C688" s="54"/>
      <c r="D688" s="60"/>
      <c r="J688" s="14"/>
      <c r="K688" s="14"/>
    </row>
    <row r="689">
      <c r="C689" s="54"/>
      <c r="D689" s="60"/>
      <c r="J689" s="14"/>
      <c r="K689" s="14"/>
    </row>
    <row r="690">
      <c r="C690" s="54"/>
      <c r="D690" s="60"/>
      <c r="J690" s="14"/>
      <c r="K690" s="14"/>
    </row>
    <row r="691">
      <c r="C691" s="54"/>
      <c r="D691" s="60"/>
      <c r="J691" s="14"/>
      <c r="K691" s="14"/>
    </row>
    <row r="692">
      <c r="C692" s="54"/>
      <c r="D692" s="60"/>
      <c r="J692" s="14"/>
      <c r="K692" s="14"/>
    </row>
    <row r="693">
      <c r="C693" s="54"/>
      <c r="D693" s="60"/>
      <c r="J693" s="14"/>
      <c r="K693" s="14"/>
    </row>
    <row r="694">
      <c r="C694" s="54"/>
      <c r="D694" s="60"/>
      <c r="J694" s="14"/>
      <c r="K694" s="14"/>
    </row>
    <row r="695">
      <c r="C695" s="54"/>
      <c r="D695" s="60"/>
      <c r="J695" s="14"/>
      <c r="K695" s="14"/>
    </row>
    <row r="696">
      <c r="C696" s="54"/>
      <c r="D696" s="60"/>
      <c r="J696" s="14"/>
      <c r="K696" s="14"/>
    </row>
    <row r="697">
      <c r="C697" s="54"/>
      <c r="D697" s="60"/>
      <c r="J697" s="14"/>
      <c r="K697" s="14"/>
    </row>
    <row r="698">
      <c r="C698" s="54"/>
      <c r="D698" s="60"/>
      <c r="J698" s="14"/>
      <c r="K698" s="14"/>
    </row>
    <row r="699">
      <c r="C699" s="54"/>
      <c r="D699" s="60"/>
      <c r="J699" s="14"/>
      <c r="K699" s="14"/>
    </row>
    <row r="700">
      <c r="C700" s="54"/>
      <c r="D700" s="60"/>
      <c r="J700" s="14"/>
      <c r="K700" s="14"/>
    </row>
    <row r="701">
      <c r="C701" s="54"/>
      <c r="D701" s="60"/>
      <c r="J701" s="14"/>
      <c r="K701" s="14"/>
    </row>
    <row r="702">
      <c r="C702" s="54"/>
      <c r="D702" s="60"/>
      <c r="J702" s="14"/>
      <c r="K702" s="14"/>
    </row>
    <row r="703">
      <c r="C703" s="54"/>
      <c r="D703" s="60"/>
      <c r="J703" s="14"/>
      <c r="K703" s="14"/>
    </row>
    <row r="704">
      <c r="C704" s="54"/>
      <c r="D704" s="60"/>
      <c r="J704" s="14"/>
      <c r="K704" s="14"/>
    </row>
    <row r="705">
      <c r="C705" s="54"/>
      <c r="D705" s="60"/>
      <c r="J705" s="14"/>
      <c r="K705" s="14"/>
    </row>
    <row r="706">
      <c r="C706" s="54"/>
      <c r="D706" s="60"/>
      <c r="J706" s="14"/>
      <c r="K706" s="14"/>
    </row>
    <row r="707">
      <c r="C707" s="54"/>
      <c r="D707" s="60"/>
      <c r="J707" s="14"/>
      <c r="K707" s="14"/>
    </row>
    <row r="708">
      <c r="C708" s="54"/>
      <c r="D708" s="60"/>
      <c r="J708" s="14"/>
      <c r="K708" s="14"/>
    </row>
    <row r="709">
      <c r="C709" s="54"/>
      <c r="D709" s="60"/>
      <c r="J709" s="14"/>
      <c r="K709" s="14"/>
    </row>
    <row r="710">
      <c r="C710" s="54"/>
      <c r="D710" s="60"/>
      <c r="J710" s="14"/>
      <c r="K710" s="14"/>
    </row>
    <row r="711">
      <c r="C711" s="54"/>
      <c r="D711" s="60"/>
      <c r="J711" s="14"/>
      <c r="K711" s="14"/>
    </row>
    <row r="712">
      <c r="C712" s="54"/>
      <c r="D712" s="60"/>
      <c r="J712" s="14"/>
      <c r="K712" s="14"/>
    </row>
    <row r="713">
      <c r="C713" s="54"/>
      <c r="D713" s="60"/>
      <c r="J713" s="14"/>
      <c r="K713" s="14"/>
    </row>
    <row r="714">
      <c r="C714" s="54"/>
      <c r="D714" s="60"/>
      <c r="J714" s="14"/>
      <c r="K714" s="14"/>
    </row>
    <row r="715">
      <c r="C715" s="54"/>
      <c r="D715" s="60"/>
      <c r="J715" s="14"/>
      <c r="K715" s="14"/>
    </row>
    <row r="716">
      <c r="C716" s="54"/>
      <c r="D716" s="60"/>
      <c r="J716" s="14"/>
      <c r="K716" s="14"/>
    </row>
    <row r="717">
      <c r="C717" s="54"/>
      <c r="D717" s="60"/>
      <c r="J717" s="14"/>
      <c r="K717" s="14"/>
    </row>
    <row r="718">
      <c r="C718" s="54"/>
      <c r="D718" s="60"/>
      <c r="J718" s="14"/>
      <c r="K718" s="14"/>
    </row>
    <row r="719">
      <c r="C719" s="54"/>
      <c r="D719" s="60"/>
      <c r="J719" s="14"/>
      <c r="K719" s="14"/>
    </row>
    <row r="720">
      <c r="C720" s="54"/>
      <c r="D720" s="60"/>
      <c r="J720" s="14"/>
      <c r="K720" s="14"/>
    </row>
    <row r="721">
      <c r="C721" s="54"/>
      <c r="D721" s="60"/>
      <c r="J721" s="14"/>
      <c r="K721" s="14"/>
    </row>
    <row r="722">
      <c r="C722" s="54"/>
      <c r="D722" s="60"/>
      <c r="J722" s="14"/>
      <c r="K722" s="14"/>
    </row>
    <row r="723">
      <c r="C723" s="54"/>
      <c r="D723" s="60"/>
      <c r="J723" s="14"/>
      <c r="K723" s="14"/>
    </row>
    <row r="724">
      <c r="C724" s="54"/>
      <c r="D724" s="60"/>
      <c r="J724" s="14"/>
      <c r="K724" s="14"/>
    </row>
    <row r="725">
      <c r="C725" s="54"/>
      <c r="D725" s="60"/>
      <c r="J725" s="14"/>
      <c r="K725" s="14"/>
    </row>
    <row r="726">
      <c r="C726" s="54"/>
      <c r="D726" s="60"/>
      <c r="J726" s="14"/>
      <c r="K726" s="14"/>
    </row>
    <row r="727">
      <c r="C727" s="54"/>
      <c r="D727" s="60"/>
      <c r="J727" s="14"/>
      <c r="K727" s="14"/>
    </row>
    <row r="728">
      <c r="C728" s="54"/>
      <c r="D728" s="60"/>
      <c r="J728" s="14"/>
      <c r="K728" s="14"/>
    </row>
    <row r="729">
      <c r="C729" s="54"/>
      <c r="D729" s="60"/>
      <c r="J729" s="14"/>
      <c r="K729" s="14"/>
    </row>
    <row r="730">
      <c r="C730" s="54"/>
      <c r="D730" s="60"/>
      <c r="J730" s="14"/>
      <c r="K730" s="14"/>
    </row>
    <row r="731">
      <c r="C731" s="54"/>
      <c r="D731" s="60"/>
      <c r="J731" s="14"/>
      <c r="K731" s="14"/>
    </row>
    <row r="732">
      <c r="C732" s="54"/>
      <c r="D732" s="60"/>
      <c r="J732" s="14"/>
      <c r="K732" s="14"/>
    </row>
    <row r="733">
      <c r="C733" s="54"/>
      <c r="D733" s="60"/>
      <c r="J733" s="14"/>
      <c r="K733" s="14"/>
    </row>
    <row r="734">
      <c r="C734" s="54"/>
      <c r="D734" s="60"/>
      <c r="J734" s="14"/>
      <c r="K734" s="14"/>
    </row>
    <row r="735">
      <c r="C735" s="54"/>
      <c r="D735" s="60"/>
      <c r="J735" s="14"/>
      <c r="K735" s="14"/>
    </row>
    <row r="736">
      <c r="C736" s="54"/>
      <c r="D736" s="60"/>
      <c r="J736" s="14"/>
      <c r="K736" s="14"/>
    </row>
    <row r="737">
      <c r="C737" s="54"/>
      <c r="D737" s="60"/>
      <c r="J737" s="14"/>
      <c r="K737" s="14"/>
    </row>
    <row r="738">
      <c r="C738" s="54"/>
      <c r="D738" s="60"/>
      <c r="J738" s="14"/>
      <c r="K738" s="14"/>
    </row>
    <row r="739">
      <c r="C739" s="54"/>
      <c r="D739" s="60"/>
      <c r="J739" s="14"/>
      <c r="K739" s="14"/>
    </row>
    <row r="740">
      <c r="C740" s="54"/>
      <c r="D740" s="60"/>
      <c r="J740" s="14"/>
      <c r="K740" s="14"/>
    </row>
    <row r="741">
      <c r="C741" s="54"/>
      <c r="D741" s="60"/>
      <c r="J741" s="14"/>
      <c r="K741" s="14"/>
    </row>
    <row r="742">
      <c r="C742" s="54"/>
      <c r="D742" s="60"/>
      <c r="J742" s="14"/>
      <c r="K742" s="14"/>
    </row>
    <row r="743">
      <c r="C743" s="54"/>
      <c r="D743" s="60"/>
      <c r="J743" s="14"/>
      <c r="K743" s="14"/>
    </row>
    <row r="744">
      <c r="C744" s="54"/>
      <c r="D744" s="60"/>
      <c r="J744" s="14"/>
      <c r="K744" s="14"/>
    </row>
    <row r="745">
      <c r="C745" s="54"/>
      <c r="D745" s="60"/>
      <c r="J745" s="14"/>
      <c r="K745" s="14"/>
    </row>
    <row r="746">
      <c r="C746" s="54"/>
      <c r="D746" s="60"/>
      <c r="J746" s="14"/>
      <c r="K746" s="14"/>
    </row>
    <row r="747">
      <c r="C747" s="54"/>
      <c r="D747" s="60"/>
      <c r="J747" s="14"/>
      <c r="K747" s="14"/>
    </row>
    <row r="748">
      <c r="C748" s="54"/>
      <c r="D748" s="60"/>
      <c r="J748" s="14"/>
      <c r="K748" s="14"/>
    </row>
    <row r="749">
      <c r="C749" s="54"/>
      <c r="D749" s="60"/>
      <c r="J749" s="14"/>
      <c r="K749" s="14"/>
    </row>
    <row r="750">
      <c r="C750" s="54"/>
      <c r="D750" s="60"/>
      <c r="J750" s="14"/>
      <c r="K750" s="14"/>
    </row>
    <row r="751">
      <c r="C751" s="54"/>
      <c r="D751" s="60"/>
      <c r="J751" s="14"/>
      <c r="K751" s="14"/>
    </row>
    <row r="752">
      <c r="C752" s="54"/>
      <c r="D752" s="60"/>
      <c r="J752" s="14"/>
      <c r="K752" s="14"/>
    </row>
    <row r="753">
      <c r="C753" s="54"/>
      <c r="D753" s="60"/>
      <c r="J753" s="14"/>
      <c r="K753" s="14"/>
    </row>
    <row r="754">
      <c r="C754" s="54"/>
      <c r="D754" s="60"/>
      <c r="J754" s="14"/>
      <c r="K754" s="14"/>
    </row>
    <row r="755">
      <c r="C755" s="54"/>
      <c r="D755" s="60"/>
      <c r="J755" s="14"/>
      <c r="K755" s="14"/>
    </row>
    <row r="756">
      <c r="C756" s="54"/>
      <c r="D756" s="60"/>
      <c r="J756" s="14"/>
      <c r="K756" s="14"/>
    </row>
    <row r="757">
      <c r="C757" s="54"/>
      <c r="D757" s="60"/>
      <c r="J757" s="14"/>
      <c r="K757" s="14"/>
    </row>
    <row r="758">
      <c r="C758" s="54"/>
      <c r="D758" s="60"/>
      <c r="J758" s="14"/>
      <c r="K758" s="14"/>
    </row>
    <row r="759">
      <c r="C759" s="54"/>
      <c r="D759" s="60"/>
      <c r="J759" s="14"/>
      <c r="K759" s="14"/>
    </row>
    <row r="760">
      <c r="C760" s="54"/>
      <c r="D760" s="60"/>
      <c r="J760" s="14"/>
      <c r="K760" s="14"/>
    </row>
    <row r="761">
      <c r="C761" s="54"/>
      <c r="D761" s="60"/>
      <c r="J761" s="14"/>
      <c r="K761" s="14"/>
    </row>
    <row r="762">
      <c r="C762" s="54"/>
      <c r="D762" s="60"/>
      <c r="J762" s="14"/>
      <c r="K762" s="14"/>
    </row>
    <row r="763">
      <c r="C763" s="54"/>
      <c r="D763" s="60"/>
      <c r="J763" s="14"/>
      <c r="K763" s="14"/>
    </row>
    <row r="764">
      <c r="C764" s="54"/>
      <c r="D764" s="60"/>
      <c r="J764" s="14"/>
      <c r="K764" s="14"/>
    </row>
    <row r="765">
      <c r="C765" s="54"/>
      <c r="D765" s="60"/>
      <c r="J765" s="14"/>
      <c r="K765" s="14"/>
    </row>
    <row r="766">
      <c r="C766" s="54"/>
      <c r="D766" s="60"/>
      <c r="J766" s="14"/>
      <c r="K766" s="14"/>
    </row>
    <row r="767">
      <c r="C767" s="54"/>
      <c r="D767" s="60"/>
      <c r="J767" s="14"/>
      <c r="K767" s="14"/>
    </row>
    <row r="768">
      <c r="C768" s="54"/>
      <c r="D768" s="60"/>
      <c r="J768" s="14"/>
      <c r="K768" s="14"/>
    </row>
    <row r="769">
      <c r="C769" s="54"/>
      <c r="D769" s="60"/>
      <c r="J769" s="14"/>
      <c r="K769" s="14"/>
    </row>
    <row r="770">
      <c r="C770" s="54"/>
      <c r="D770" s="60"/>
      <c r="J770" s="14"/>
      <c r="K770" s="14"/>
    </row>
    <row r="771">
      <c r="C771" s="54"/>
      <c r="D771" s="60"/>
      <c r="J771" s="14"/>
      <c r="K771" s="14"/>
    </row>
    <row r="772">
      <c r="C772" s="54"/>
      <c r="D772" s="60"/>
      <c r="J772" s="14"/>
      <c r="K772" s="14"/>
    </row>
    <row r="773">
      <c r="C773" s="54"/>
      <c r="D773" s="60"/>
      <c r="J773" s="14"/>
      <c r="K773" s="14"/>
    </row>
    <row r="774">
      <c r="C774" s="54"/>
      <c r="D774" s="60"/>
      <c r="J774" s="14"/>
      <c r="K774" s="14"/>
    </row>
    <row r="775">
      <c r="C775" s="54"/>
      <c r="D775" s="60"/>
      <c r="J775" s="14"/>
      <c r="K775" s="14"/>
    </row>
    <row r="776">
      <c r="C776" s="54"/>
      <c r="D776" s="60"/>
      <c r="J776" s="14"/>
      <c r="K776" s="14"/>
    </row>
    <row r="777">
      <c r="C777" s="54"/>
      <c r="D777" s="60"/>
      <c r="J777" s="14"/>
      <c r="K777" s="14"/>
    </row>
    <row r="778">
      <c r="C778" s="54"/>
      <c r="D778" s="60"/>
      <c r="J778" s="14"/>
      <c r="K778" s="14"/>
    </row>
    <row r="779">
      <c r="C779" s="54"/>
      <c r="D779" s="60"/>
      <c r="J779" s="14"/>
      <c r="K779" s="14"/>
    </row>
    <row r="780">
      <c r="C780" s="54"/>
      <c r="D780" s="60"/>
      <c r="J780" s="14"/>
      <c r="K780" s="14"/>
    </row>
    <row r="781">
      <c r="C781" s="54"/>
      <c r="D781" s="60"/>
      <c r="J781" s="14"/>
      <c r="K781" s="14"/>
    </row>
    <row r="782">
      <c r="C782" s="54"/>
      <c r="D782" s="60"/>
      <c r="J782" s="14"/>
      <c r="K782" s="14"/>
    </row>
    <row r="783">
      <c r="C783" s="54"/>
      <c r="D783" s="60"/>
      <c r="J783" s="14"/>
      <c r="K783" s="14"/>
    </row>
    <row r="784">
      <c r="C784" s="54"/>
      <c r="D784" s="60"/>
      <c r="J784" s="14"/>
      <c r="K784" s="14"/>
    </row>
    <row r="785">
      <c r="C785" s="54"/>
      <c r="D785" s="60"/>
      <c r="J785" s="14"/>
      <c r="K785" s="14"/>
    </row>
    <row r="786">
      <c r="C786" s="54"/>
      <c r="D786" s="60"/>
      <c r="J786" s="14"/>
      <c r="K786" s="14"/>
    </row>
    <row r="787">
      <c r="C787" s="54"/>
      <c r="D787" s="60"/>
      <c r="J787" s="14"/>
      <c r="K787" s="14"/>
    </row>
    <row r="788">
      <c r="C788" s="54"/>
      <c r="D788" s="60"/>
      <c r="J788" s="14"/>
      <c r="K788" s="14"/>
    </row>
    <row r="789">
      <c r="C789" s="54"/>
      <c r="D789" s="60"/>
      <c r="J789" s="14"/>
      <c r="K789" s="14"/>
    </row>
    <row r="790">
      <c r="C790" s="54"/>
      <c r="D790" s="60"/>
      <c r="J790" s="14"/>
      <c r="K790" s="14"/>
    </row>
    <row r="791">
      <c r="C791" s="54"/>
      <c r="D791" s="60"/>
      <c r="J791" s="14"/>
      <c r="K791" s="14"/>
    </row>
    <row r="792">
      <c r="C792" s="54"/>
      <c r="D792" s="60"/>
      <c r="J792" s="14"/>
      <c r="K792" s="14"/>
    </row>
    <row r="793">
      <c r="C793" s="54"/>
      <c r="D793" s="60"/>
      <c r="J793" s="14"/>
      <c r="K793" s="14"/>
    </row>
    <row r="794">
      <c r="C794" s="54"/>
      <c r="D794" s="60"/>
      <c r="J794" s="14"/>
      <c r="K794" s="14"/>
    </row>
    <row r="795">
      <c r="C795" s="54"/>
      <c r="D795" s="60"/>
      <c r="J795" s="14"/>
      <c r="K795" s="14"/>
    </row>
    <row r="796">
      <c r="C796" s="54"/>
      <c r="D796" s="60"/>
      <c r="J796" s="14"/>
      <c r="K796" s="14"/>
    </row>
    <row r="797">
      <c r="C797" s="54"/>
      <c r="D797" s="60"/>
      <c r="J797" s="14"/>
      <c r="K797" s="14"/>
    </row>
    <row r="798">
      <c r="C798" s="54"/>
      <c r="D798" s="60"/>
      <c r="J798" s="14"/>
      <c r="K798" s="14"/>
    </row>
    <row r="799">
      <c r="C799" s="54"/>
      <c r="D799" s="60"/>
      <c r="J799" s="14"/>
      <c r="K799" s="14"/>
    </row>
    <row r="800">
      <c r="C800" s="54"/>
      <c r="D800" s="60"/>
      <c r="J800" s="14"/>
      <c r="K800" s="14"/>
    </row>
    <row r="801">
      <c r="C801" s="54"/>
      <c r="D801" s="60"/>
      <c r="J801" s="14"/>
      <c r="K801" s="14"/>
    </row>
    <row r="802">
      <c r="C802" s="54"/>
      <c r="D802" s="60"/>
      <c r="J802" s="14"/>
      <c r="K802" s="14"/>
    </row>
    <row r="803">
      <c r="C803" s="54"/>
      <c r="D803" s="60"/>
      <c r="J803" s="14"/>
      <c r="K803" s="14"/>
    </row>
    <row r="804">
      <c r="C804" s="54"/>
      <c r="D804" s="60"/>
      <c r="J804" s="14"/>
      <c r="K804" s="14"/>
    </row>
    <row r="805">
      <c r="C805" s="54"/>
      <c r="D805" s="60"/>
      <c r="J805" s="14"/>
      <c r="K805" s="14"/>
    </row>
    <row r="806">
      <c r="C806" s="54"/>
      <c r="D806" s="60"/>
      <c r="J806" s="14"/>
      <c r="K806" s="14"/>
    </row>
    <row r="807">
      <c r="C807" s="54"/>
      <c r="D807" s="60"/>
      <c r="J807" s="14"/>
      <c r="K807" s="14"/>
    </row>
    <row r="808">
      <c r="C808" s="54"/>
      <c r="D808" s="60"/>
      <c r="J808" s="14"/>
      <c r="K808" s="14"/>
    </row>
    <row r="809">
      <c r="C809" s="54"/>
      <c r="D809" s="60"/>
      <c r="J809" s="14"/>
      <c r="K809" s="14"/>
    </row>
    <row r="810">
      <c r="C810" s="54"/>
      <c r="D810" s="60"/>
      <c r="J810" s="14"/>
      <c r="K810" s="14"/>
    </row>
    <row r="811">
      <c r="C811" s="54"/>
      <c r="D811" s="60"/>
      <c r="J811" s="14"/>
      <c r="K811" s="14"/>
    </row>
    <row r="812">
      <c r="C812" s="54"/>
      <c r="D812" s="60"/>
      <c r="J812" s="14"/>
      <c r="K812" s="14"/>
    </row>
    <row r="813">
      <c r="C813" s="54"/>
      <c r="D813" s="60"/>
      <c r="J813" s="14"/>
      <c r="K813" s="14"/>
    </row>
    <row r="814">
      <c r="C814" s="54"/>
      <c r="D814" s="60"/>
      <c r="J814" s="14"/>
      <c r="K814" s="14"/>
    </row>
    <row r="815">
      <c r="C815" s="54"/>
      <c r="D815" s="60"/>
      <c r="J815" s="14"/>
      <c r="K815" s="14"/>
    </row>
    <row r="816">
      <c r="C816" s="54"/>
      <c r="D816" s="60"/>
      <c r="J816" s="14"/>
      <c r="K816" s="14"/>
    </row>
    <row r="817">
      <c r="C817" s="54"/>
      <c r="D817" s="60"/>
      <c r="J817" s="14"/>
      <c r="K817" s="14"/>
    </row>
    <row r="818">
      <c r="C818" s="54"/>
      <c r="D818" s="60"/>
      <c r="J818" s="14"/>
      <c r="K818" s="14"/>
    </row>
    <row r="819">
      <c r="C819" s="54"/>
      <c r="D819" s="60"/>
      <c r="J819" s="14"/>
      <c r="K819" s="14"/>
    </row>
    <row r="820">
      <c r="C820" s="54"/>
      <c r="D820" s="60"/>
      <c r="J820" s="14"/>
      <c r="K820" s="14"/>
    </row>
    <row r="821">
      <c r="C821" s="54"/>
      <c r="D821" s="60"/>
      <c r="J821" s="14"/>
      <c r="K821" s="14"/>
    </row>
    <row r="822">
      <c r="C822" s="54"/>
      <c r="D822" s="60"/>
      <c r="J822" s="14"/>
      <c r="K822" s="14"/>
    </row>
    <row r="823">
      <c r="C823" s="54"/>
      <c r="D823" s="60"/>
      <c r="J823" s="14"/>
      <c r="K823" s="14"/>
    </row>
    <row r="824">
      <c r="C824" s="54"/>
      <c r="D824" s="60"/>
      <c r="J824" s="14"/>
      <c r="K824" s="14"/>
    </row>
    <row r="825">
      <c r="C825" s="54"/>
      <c r="D825" s="60"/>
      <c r="J825" s="14"/>
      <c r="K825" s="14"/>
    </row>
    <row r="826">
      <c r="C826" s="54"/>
      <c r="D826" s="60"/>
      <c r="J826" s="14"/>
      <c r="K826" s="14"/>
    </row>
    <row r="827">
      <c r="C827" s="54"/>
      <c r="D827" s="60"/>
      <c r="J827" s="14"/>
      <c r="K827" s="14"/>
    </row>
    <row r="828">
      <c r="C828" s="54"/>
      <c r="D828" s="60"/>
      <c r="J828" s="14"/>
      <c r="K828" s="14"/>
    </row>
    <row r="829">
      <c r="C829" s="54"/>
      <c r="D829" s="60"/>
      <c r="J829" s="14"/>
      <c r="K829" s="14"/>
    </row>
    <row r="830">
      <c r="C830" s="54"/>
      <c r="D830" s="60"/>
      <c r="J830" s="14"/>
      <c r="K830" s="14"/>
    </row>
    <row r="831">
      <c r="C831" s="54"/>
      <c r="D831" s="60"/>
      <c r="J831" s="14"/>
      <c r="K831" s="14"/>
    </row>
    <row r="832">
      <c r="C832" s="54"/>
      <c r="D832" s="60"/>
      <c r="J832" s="14"/>
      <c r="K832" s="14"/>
    </row>
    <row r="833">
      <c r="C833" s="54"/>
      <c r="D833" s="60"/>
      <c r="J833" s="14"/>
      <c r="K833" s="14"/>
    </row>
    <row r="834">
      <c r="C834" s="54"/>
      <c r="D834" s="60"/>
      <c r="J834" s="14"/>
      <c r="K834" s="14"/>
    </row>
    <row r="835">
      <c r="C835" s="54"/>
      <c r="D835" s="60"/>
      <c r="J835" s="14"/>
      <c r="K835" s="14"/>
    </row>
    <row r="836">
      <c r="C836" s="54"/>
      <c r="D836" s="60"/>
      <c r="J836" s="14"/>
      <c r="K836" s="14"/>
    </row>
    <row r="837">
      <c r="C837" s="54"/>
      <c r="D837" s="60"/>
      <c r="J837" s="14"/>
      <c r="K837" s="14"/>
    </row>
    <row r="838">
      <c r="C838" s="54"/>
      <c r="D838" s="60"/>
      <c r="J838" s="14"/>
      <c r="K838" s="14"/>
    </row>
    <row r="839">
      <c r="C839" s="54"/>
      <c r="D839" s="60"/>
      <c r="J839" s="14"/>
      <c r="K839" s="14"/>
    </row>
    <row r="840">
      <c r="C840" s="54"/>
      <c r="D840" s="60"/>
      <c r="J840" s="14"/>
      <c r="K840" s="14"/>
    </row>
    <row r="841">
      <c r="C841" s="54"/>
      <c r="D841" s="60"/>
      <c r="J841" s="14"/>
      <c r="K841" s="14"/>
    </row>
    <row r="842">
      <c r="C842" s="54"/>
      <c r="D842" s="60"/>
      <c r="J842" s="14"/>
      <c r="K842" s="14"/>
    </row>
    <row r="843">
      <c r="C843" s="54"/>
      <c r="D843" s="60"/>
      <c r="J843" s="14"/>
      <c r="K843" s="14"/>
    </row>
    <row r="844">
      <c r="C844" s="54"/>
      <c r="D844" s="60"/>
      <c r="J844" s="14"/>
      <c r="K844" s="14"/>
    </row>
    <row r="845">
      <c r="C845" s="54"/>
      <c r="D845" s="60"/>
      <c r="J845" s="14"/>
      <c r="K845" s="14"/>
    </row>
    <row r="846">
      <c r="C846" s="54"/>
      <c r="D846" s="60"/>
      <c r="J846" s="14"/>
      <c r="K846" s="14"/>
    </row>
    <row r="847">
      <c r="C847" s="54"/>
      <c r="D847" s="60"/>
      <c r="J847" s="14"/>
      <c r="K847" s="14"/>
    </row>
    <row r="848">
      <c r="C848" s="54"/>
      <c r="D848" s="60"/>
      <c r="J848" s="14"/>
      <c r="K848" s="14"/>
    </row>
    <row r="849">
      <c r="C849" s="54"/>
      <c r="D849" s="60"/>
      <c r="J849" s="14"/>
      <c r="K849" s="14"/>
    </row>
    <row r="850">
      <c r="C850" s="54"/>
      <c r="D850" s="60"/>
      <c r="J850" s="14"/>
      <c r="K850" s="14"/>
    </row>
    <row r="851">
      <c r="C851" s="54"/>
      <c r="D851" s="60"/>
      <c r="J851" s="14"/>
      <c r="K851" s="14"/>
    </row>
    <row r="852">
      <c r="C852" s="54"/>
      <c r="D852" s="60"/>
      <c r="J852" s="14"/>
      <c r="K852" s="14"/>
    </row>
    <row r="853">
      <c r="C853" s="54"/>
      <c r="D853" s="60"/>
      <c r="J853" s="14"/>
      <c r="K853" s="14"/>
    </row>
    <row r="854">
      <c r="C854" s="54"/>
      <c r="D854" s="60"/>
      <c r="J854" s="14"/>
      <c r="K854" s="14"/>
    </row>
    <row r="855">
      <c r="C855" s="54"/>
      <c r="D855" s="60"/>
      <c r="J855" s="14"/>
      <c r="K855" s="14"/>
    </row>
    <row r="856">
      <c r="C856" s="54"/>
      <c r="D856" s="60"/>
      <c r="J856" s="14"/>
      <c r="K856" s="14"/>
    </row>
    <row r="857">
      <c r="C857" s="54"/>
      <c r="D857" s="60"/>
      <c r="J857" s="14"/>
      <c r="K857" s="14"/>
    </row>
    <row r="858">
      <c r="C858" s="54"/>
      <c r="D858" s="60"/>
      <c r="J858" s="14"/>
      <c r="K858" s="14"/>
    </row>
    <row r="859">
      <c r="C859" s="54"/>
      <c r="D859" s="60"/>
      <c r="J859" s="14"/>
      <c r="K859" s="14"/>
    </row>
    <row r="860">
      <c r="C860" s="54"/>
      <c r="D860" s="60"/>
      <c r="J860" s="14"/>
      <c r="K860" s="14"/>
    </row>
    <row r="861">
      <c r="C861" s="54"/>
      <c r="D861" s="60"/>
      <c r="J861" s="14"/>
      <c r="K861" s="14"/>
    </row>
    <row r="862">
      <c r="C862" s="54"/>
      <c r="D862" s="60"/>
      <c r="J862" s="14"/>
      <c r="K862" s="14"/>
    </row>
    <row r="863">
      <c r="C863" s="54"/>
      <c r="D863" s="60"/>
      <c r="J863" s="14"/>
      <c r="K863" s="14"/>
    </row>
    <row r="864">
      <c r="C864" s="54"/>
      <c r="D864" s="60"/>
      <c r="J864" s="14"/>
      <c r="K864" s="14"/>
    </row>
    <row r="865">
      <c r="C865" s="54"/>
      <c r="D865" s="60"/>
      <c r="J865" s="14"/>
      <c r="K865" s="14"/>
    </row>
    <row r="866">
      <c r="C866" s="54"/>
      <c r="D866" s="60"/>
      <c r="J866" s="14"/>
      <c r="K866" s="14"/>
    </row>
    <row r="867">
      <c r="C867" s="54"/>
      <c r="D867" s="60"/>
      <c r="J867" s="14"/>
      <c r="K867" s="14"/>
    </row>
    <row r="868">
      <c r="C868" s="54"/>
      <c r="D868" s="60"/>
      <c r="J868" s="14"/>
      <c r="K868" s="14"/>
    </row>
    <row r="869">
      <c r="C869" s="54"/>
      <c r="D869" s="60"/>
      <c r="J869" s="14"/>
      <c r="K869" s="14"/>
    </row>
    <row r="870">
      <c r="C870" s="54"/>
      <c r="D870" s="60"/>
      <c r="J870" s="14"/>
      <c r="K870" s="14"/>
    </row>
    <row r="871">
      <c r="C871" s="54"/>
      <c r="D871" s="60"/>
      <c r="J871" s="14"/>
      <c r="K871" s="14"/>
    </row>
    <row r="872">
      <c r="C872" s="54"/>
      <c r="D872" s="60"/>
      <c r="J872" s="14"/>
      <c r="K872" s="14"/>
    </row>
    <row r="873">
      <c r="C873" s="54"/>
      <c r="D873" s="60"/>
      <c r="J873" s="14"/>
      <c r="K873" s="14"/>
    </row>
    <row r="874">
      <c r="C874" s="54"/>
      <c r="D874" s="60"/>
      <c r="J874" s="14"/>
      <c r="K874" s="14"/>
    </row>
    <row r="875">
      <c r="C875" s="54"/>
      <c r="D875" s="60"/>
      <c r="J875" s="14"/>
      <c r="K875" s="14"/>
    </row>
    <row r="876">
      <c r="C876" s="54"/>
      <c r="D876" s="60"/>
      <c r="J876" s="14"/>
      <c r="K876" s="14"/>
    </row>
    <row r="877">
      <c r="C877" s="54"/>
      <c r="D877" s="60"/>
      <c r="J877" s="14"/>
      <c r="K877" s="14"/>
    </row>
    <row r="878">
      <c r="C878" s="54"/>
      <c r="D878" s="60"/>
      <c r="J878" s="14"/>
      <c r="K878" s="14"/>
    </row>
    <row r="879">
      <c r="C879" s="54"/>
      <c r="D879" s="60"/>
      <c r="J879" s="14"/>
      <c r="K879" s="14"/>
    </row>
    <row r="880">
      <c r="C880" s="54"/>
      <c r="D880" s="60"/>
      <c r="J880" s="14"/>
      <c r="K880" s="14"/>
    </row>
    <row r="881">
      <c r="C881" s="54"/>
      <c r="D881" s="60"/>
      <c r="J881" s="14"/>
      <c r="K881" s="14"/>
    </row>
    <row r="882">
      <c r="C882" s="54"/>
      <c r="D882" s="60"/>
      <c r="J882" s="14"/>
      <c r="K882" s="14"/>
    </row>
    <row r="883">
      <c r="C883" s="54"/>
      <c r="D883" s="60"/>
      <c r="J883" s="14"/>
      <c r="K883" s="14"/>
    </row>
    <row r="884">
      <c r="C884" s="54"/>
      <c r="D884" s="60"/>
      <c r="J884" s="14"/>
      <c r="K884" s="14"/>
    </row>
    <row r="885">
      <c r="C885" s="54"/>
      <c r="D885" s="60"/>
      <c r="J885" s="14"/>
      <c r="K885" s="14"/>
    </row>
    <row r="886">
      <c r="C886" s="54"/>
      <c r="D886" s="60"/>
      <c r="J886" s="14"/>
      <c r="K886" s="14"/>
    </row>
    <row r="887">
      <c r="C887" s="54"/>
      <c r="D887" s="60"/>
      <c r="J887" s="14"/>
      <c r="K887" s="14"/>
    </row>
    <row r="888">
      <c r="C888" s="54"/>
      <c r="D888" s="60"/>
      <c r="J888" s="14"/>
      <c r="K888" s="14"/>
    </row>
    <row r="889">
      <c r="C889" s="54"/>
      <c r="D889" s="60"/>
      <c r="J889" s="14"/>
      <c r="K889" s="14"/>
    </row>
    <row r="890">
      <c r="C890" s="54"/>
      <c r="D890" s="60"/>
      <c r="J890" s="14"/>
      <c r="K890" s="14"/>
    </row>
    <row r="891">
      <c r="C891" s="54"/>
      <c r="D891" s="60"/>
      <c r="J891" s="14"/>
      <c r="K891" s="14"/>
    </row>
    <row r="892">
      <c r="C892" s="54"/>
      <c r="D892" s="60"/>
      <c r="J892" s="14"/>
      <c r="K892" s="14"/>
    </row>
    <row r="893">
      <c r="C893" s="54"/>
      <c r="D893" s="60"/>
      <c r="J893" s="14"/>
      <c r="K893" s="14"/>
    </row>
    <row r="894">
      <c r="C894" s="54"/>
      <c r="D894" s="60"/>
      <c r="J894" s="14"/>
      <c r="K894" s="14"/>
    </row>
    <row r="895">
      <c r="C895" s="54"/>
      <c r="D895" s="60"/>
      <c r="J895" s="14"/>
      <c r="K895" s="14"/>
    </row>
    <row r="896">
      <c r="C896" s="54"/>
      <c r="D896" s="60"/>
      <c r="J896" s="14"/>
      <c r="K896" s="14"/>
    </row>
    <row r="897">
      <c r="C897" s="54"/>
      <c r="D897" s="60"/>
      <c r="J897" s="14"/>
      <c r="K897" s="14"/>
    </row>
    <row r="898">
      <c r="C898" s="54"/>
      <c r="D898" s="60"/>
      <c r="J898" s="14"/>
      <c r="K898" s="14"/>
    </row>
    <row r="899">
      <c r="C899" s="54"/>
      <c r="D899" s="60"/>
      <c r="J899" s="14"/>
      <c r="K899" s="14"/>
    </row>
    <row r="900">
      <c r="C900" s="54"/>
      <c r="D900" s="60"/>
      <c r="J900" s="14"/>
      <c r="K900" s="14"/>
    </row>
    <row r="901">
      <c r="C901" s="54"/>
      <c r="D901" s="60"/>
      <c r="J901" s="14"/>
      <c r="K901" s="14"/>
    </row>
    <row r="902">
      <c r="C902" s="54"/>
      <c r="D902" s="60"/>
      <c r="J902" s="14"/>
      <c r="K902" s="14"/>
    </row>
    <row r="903">
      <c r="C903" s="54"/>
      <c r="D903" s="60"/>
      <c r="J903" s="14"/>
      <c r="K903" s="14"/>
    </row>
    <row r="904">
      <c r="C904" s="54"/>
      <c r="D904" s="60"/>
      <c r="J904" s="14"/>
      <c r="K904" s="14"/>
    </row>
    <row r="905">
      <c r="C905" s="54"/>
      <c r="D905" s="60"/>
      <c r="J905" s="14"/>
      <c r="K905" s="14"/>
    </row>
    <row r="906">
      <c r="C906" s="54"/>
      <c r="D906" s="60"/>
      <c r="J906" s="14"/>
      <c r="K906" s="14"/>
    </row>
    <row r="907">
      <c r="C907" s="54"/>
      <c r="D907" s="60"/>
      <c r="J907" s="14"/>
      <c r="K907" s="14"/>
    </row>
    <row r="908">
      <c r="C908" s="54"/>
      <c r="D908" s="60"/>
      <c r="J908" s="14"/>
      <c r="K908" s="14"/>
    </row>
    <row r="909">
      <c r="C909" s="54"/>
      <c r="D909" s="60"/>
      <c r="J909" s="14"/>
      <c r="K909" s="14"/>
    </row>
    <row r="910">
      <c r="C910" s="54"/>
      <c r="D910" s="60"/>
      <c r="J910" s="14"/>
      <c r="K910" s="14"/>
    </row>
    <row r="911">
      <c r="C911" s="54"/>
      <c r="D911" s="60"/>
      <c r="J911" s="14"/>
      <c r="K911" s="14"/>
    </row>
    <row r="912">
      <c r="C912" s="54"/>
      <c r="D912" s="60"/>
      <c r="J912" s="14"/>
      <c r="K912" s="14"/>
    </row>
    <row r="913">
      <c r="C913" s="54"/>
      <c r="D913" s="60"/>
      <c r="J913" s="14"/>
      <c r="K913" s="14"/>
    </row>
    <row r="914">
      <c r="C914" s="54"/>
      <c r="D914" s="60"/>
      <c r="J914" s="14"/>
      <c r="K914" s="14"/>
    </row>
    <row r="915">
      <c r="C915" s="54"/>
      <c r="D915" s="60"/>
      <c r="J915" s="14"/>
      <c r="K915" s="14"/>
    </row>
    <row r="916">
      <c r="C916" s="54"/>
      <c r="D916" s="60"/>
      <c r="J916" s="14"/>
      <c r="K916" s="14"/>
    </row>
    <row r="917">
      <c r="C917" s="54"/>
      <c r="D917" s="60"/>
      <c r="J917" s="14"/>
      <c r="K917" s="14"/>
    </row>
    <row r="918">
      <c r="C918" s="54"/>
      <c r="D918" s="60"/>
      <c r="J918" s="14"/>
      <c r="K918" s="14"/>
    </row>
    <row r="919">
      <c r="C919" s="54"/>
      <c r="D919" s="60"/>
      <c r="J919" s="14"/>
      <c r="K919" s="14"/>
    </row>
    <row r="920">
      <c r="C920" s="54"/>
      <c r="D920" s="60"/>
      <c r="J920" s="14"/>
      <c r="K920" s="14"/>
    </row>
    <row r="921">
      <c r="C921" s="54"/>
      <c r="D921" s="60"/>
      <c r="J921" s="14"/>
      <c r="K921" s="14"/>
    </row>
    <row r="922">
      <c r="C922" s="54"/>
      <c r="D922" s="60"/>
      <c r="J922" s="14"/>
      <c r="K922" s="14"/>
    </row>
    <row r="923">
      <c r="C923" s="54"/>
      <c r="D923" s="60"/>
      <c r="J923" s="14"/>
      <c r="K923" s="14"/>
    </row>
    <row r="924">
      <c r="C924" s="54"/>
      <c r="D924" s="60"/>
      <c r="J924" s="14"/>
      <c r="K924" s="14"/>
    </row>
    <row r="925">
      <c r="C925" s="54"/>
      <c r="D925" s="60"/>
      <c r="J925" s="14"/>
      <c r="K925" s="14"/>
    </row>
    <row r="926">
      <c r="C926" s="54"/>
      <c r="D926" s="60"/>
      <c r="J926" s="14"/>
      <c r="K926" s="14"/>
    </row>
    <row r="927">
      <c r="C927" s="54"/>
      <c r="D927" s="60"/>
      <c r="J927" s="14"/>
      <c r="K927" s="14"/>
    </row>
    <row r="928">
      <c r="C928" s="54"/>
      <c r="D928" s="60"/>
      <c r="J928" s="14"/>
      <c r="K928" s="14"/>
    </row>
    <row r="929">
      <c r="C929" s="54"/>
      <c r="D929" s="60"/>
      <c r="J929" s="14"/>
      <c r="K929" s="14"/>
    </row>
    <row r="930">
      <c r="C930" s="54"/>
      <c r="D930" s="60"/>
      <c r="J930" s="14"/>
      <c r="K930" s="14"/>
    </row>
    <row r="931">
      <c r="C931" s="54"/>
      <c r="D931" s="60"/>
      <c r="J931" s="14"/>
      <c r="K931" s="14"/>
    </row>
    <row r="932">
      <c r="C932" s="54"/>
      <c r="D932" s="60"/>
      <c r="J932" s="14"/>
      <c r="K932" s="14"/>
    </row>
    <row r="933">
      <c r="C933" s="54"/>
      <c r="D933" s="60"/>
      <c r="J933" s="14"/>
      <c r="K933" s="14"/>
    </row>
    <row r="934">
      <c r="C934" s="54"/>
      <c r="D934" s="60"/>
      <c r="J934" s="14"/>
      <c r="K934" s="14"/>
    </row>
    <row r="935">
      <c r="C935" s="54"/>
      <c r="D935" s="60"/>
      <c r="J935" s="14"/>
      <c r="K935" s="14"/>
    </row>
    <row r="936">
      <c r="C936" s="54"/>
      <c r="D936" s="60"/>
      <c r="J936" s="14"/>
      <c r="K936" s="14"/>
    </row>
    <row r="937">
      <c r="C937" s="54"/>
      <c r="D937" s="60"/>
      <c r="J937" s="14"/>
      <c r="K937" s="14"/>
    </row>
    <row r="938">
      <c r="C938" s="54"/>
      <c r="D938" s="60"/>
      <c r="J938" s="14"/>
      <c r="K938" s="14"/>
    </row>
    <row r="939">
      <c r="C939" s="54"/>
      <c r="D939" s="60"/>
      <c r="J939" s="14"/>
      <c r="K939" s="14"/>
    </row>
    <row r="940">
      <c r="C940" s="54"/>
      <c r="D940" s="60"/>
      <c r="J940" s="14"/>
      <c r="K940" s="14"/>
    </row>
    <row r="941">
      <c r="C941" s="54"/>
      <c r="D941" s="60"/>
      <c r="J941" s="14"/>
      <c r="K941" s="14"/>
    </row>
    <row r="942">
      <c r="C942" s="54"/>
      <c r="D942" s="60"/>
      <c r="J942" s="14"/>
      <c r="K942" s="14"/>
    </row>
    <row r="943">
      <c r="C943" s="54"/>
      <c r="D943" s="60"/>
      <c r="J943" s="14"/>
      <c r="K943" s="14"/>
    </row>
    <row r="944">
      <c r="C944" s="54"/>
      <c r="D944" s="60"/>
      <c r="J944" s="14"/>
      <c r="K944" s="14"/>
    </row>
    <row r="945">
      <c r="C945" s="54"/>
      <c r="D945" s="60"/>
      <c r="J945" s="14"/>
      <c r="K945" s="14"/>
    </row>
    <row r="946">
      <c r="C946" s="54"/>
      <c r="D946" s="60"/>
      <c r="J946" s="14"/>
      <c r="K946" s="14"/>
    </row>
    <row r="947">
      <c r="C947" s="54"/>
      <c r="D947" s="60"/>
      <c r="J947" s="14"/>
      <c r="K947" s="14"/>
    </row>
    <row r="948">
      <c r="C948" s="54"/>
      <c r="D948" s="60"/>
      <c r="J948" s="14"/>
      <c r="K948" s="14"/>
    </row>
    <row r="949">
      <c r="C949" s="54"/>
      <c r="D949" s="60"/>
      <c r="J949" s="14"/>
      <c r="K949" s="14"/>
    </row>
    <row r="950">
      <c r="C950" s="54"/>
      <c r="D950" s="60"/>
      <c r="J950" s="14"/>
      <c r="K950" s="14"/>
    </row>
    <row r="951">
      <c r="C951" s="54"/>
      <c r="D951" s="60"/>
      <c r="J951" s="14"/>
      <c r="K951" s="14"/>
    </row>
    <row r="952">
      <c r="C952" s="54"/>
      <c r="D952" s="60"/>
      <c r="J952" s="14"/>
      <c r="K952" s="14"/>
    </row>
    <row r="953">
      <c r="C953" s="54"/>
      <c r="D953" s="60"/>
      <c r="J953" s="14"/>
      <c r="K953" s="14"/>
    </row>
    <row r="954">
      <c r="C954" s="54"/>
      <c r="D954" s="60"/>
      <c r="J954" s="14"/>
      <c r="K954" s="14"/>
    </row>
    <row r="955">
      <c r="C955" s="54"/>
      <c r="D955" s="60"/>
      <c r="J955" s="14"/>
      <c r="K955" s="14"/>
    </row>
    <row r="956">
      <c r="C956" s="54"/>
      <c r="D956" s="60"/>
      <c r="J956" s="14"/>
      <c r="K956" s="14"/>
    </row>
    <row r="957">
      <c r="C957" s="54"/>
      <c r="D957" s="60"/>
      <c r="J957" s="14"/>
      <c r="K957" s="14"/>
    </row>
    <row r="958">
      <c r="C958" s="54"/>
      <c r="D958" s="60"/>
      <c r="J958" s="14"/>
      <c r="K958" s="14"/>
    </row>
    <row r="959">
      <c r="C959" s="54"/>
      <c r="D959" s="60"/>
      <c r="J959" s="14"/>
      <c r="K959" s="14"/>
    </row>
    <row r="960">
      <c r="C960" s="54"/>
      <c r="D960" s="60"/>
      <c r="J960" s="14"/>
      <c r="K960" s="14"/>
    </row>
    <row r="961">
      <c r="C961" s="54"/>
      <c r="D961" s="60"/>
      <c r="J961" s="14"/>
      <c r="K961" s="14"/>
    </row>
    <row r="962">
      <c r="C962" s="54"/>
      <c r="D962" s="60"/>
      <c r="J962" s="14"/>
      <c r="K962" s="14"/>
    </row>
    <row r="963">
      <c r="C963" s="54"/>
      <c r="D963" s="60"/>
      <c r="J963" s="14"/>
      <c r="K963" s="14"/>
    </row>
    <row r="964">
      <c r="C964" s="54"/>
      <c r="D964" s="60"/>
      <c r="J964" s="14"/>
      <c r="K964" s="14"/>
    </row>
    <row r="965">
      <c r="C965" s="54"/>
      <c r="D965" s="60"/>
      <c r="J965" s="14"/>
      <c r="K965" s="14"/>
    </row>
    <row r="966">
      <c r="C966" s="54"/>
      <c r="D966" s="60"/>
      <c r="J966" s="14"/>
      <c r="K966" s="14"/>
    </row>
    <row r="967">
      <c r="C967" s="54"/>
      <c r="D967" s="60"/>
      <c r="J967" s="14"/>
      <c r="K967" s="14"/>
    </row>
    <row r="968">
      <c r="C968" s="54"/>
      <c r="D968" s="60"/>
      <c r="J968" s="14"/>
      <c r="K968" s="14"/>
    </row>
    <row r="969">
      <c r="C969" s="54"/>
      <c r="D969" s="60"/>
      <c r="J969" s="14"/>
      <c r="K969" s="14"/>
    </row>
    <row r="970">
      <c r="C970" s="54"/>
      <c r="D970" s="60"/>
      <c r="J970" s="14"/>
      <c r="K970" s="14"/>
    </row>
    <row r="971">
      <c r="C971" s="54"/>
      <c r="D971" s="60"/>
      <c r="J971" s="14"/>
      <c r="K971" s="14"/>
    </row>
    <row r="972">
      <c r="C972" s="54"/>
      <c r="D972" s="60"/>
      <c r="J972" s="14"/>
      <c r="K972" s="14"/>
    </row>
    <row r="973">
      <c r="C973" s="54"/>
      <c r="D973" s="60"/>
      <c r="J973" s="14"/>
      <c r="K973" s="14"/>
    </row>
    <row r="974">
      <c r="C974" s="54"/>
      <c r="D974" s="60"/>
      <c r="J974" s="14"/>
      <c r="K974" s="14"/>
    </row>
    <row r="975">
      <c r="C975" s="54"/>
      <c r="D975" s="60"/>
      <c r="J975" s="14"/>
      <c r="K975" s="14"/>
    </row>
    <row r="976">
      <c r="C976" s="54"/>
      <c r="D976" s="60"/>
      <c r="J976" s="14"/>
      <c r="K976" s="14"/>
    </row>
    <row r="977">
      <c r="C977" s="54"/>
      <c r="D977" s="60"/>
      <c r="J977" s="14"/>
      <c r="K977" s="14"/>
    </row>
    <row r="978">
      <c r="C978" s="54"/>
      <c r="D978" s="60"/>
      <c r="J978" s="14"/>
      <c r="K978" s="14"/>
    </row>
    <row r="979">
      <c r="C979" s="54"/>
      <c r="D979" s="60"/>
      <c r="J979" s="14"/>
      <c r="K979" s="14"/>
    </row>
    <row r="980">
      <c r="C980" s="54"/>
      <c r="D980" s="60"/>
      <c r="J980" s="14"/>
      <c r="K980" s="14"/>
    </row>
    <row r="981">
      <c r="C981" s="54"/>
      <c r="D981" s="60"/>
      <c r="J981" s="14"/>
      <c r="K981" s="14"/>
    </row>
    <row r="982">
      <c r="C982" s="54"/>
      <c r="D982" s="60"/>
      <c r="J982" s="14"/>
      <c r="K982" s="14"/>
    </row>
    <row r="983">
      <c r="C983" s="54"/>
      <c r="D983" s="60"/>
      <c r="J983" s="14"/>
      <c r="K983" s="14"/>
    </row>
    <row r="984">
      <c r="C984" s="54"/>
      <c r="D984" s="60"/>
      <c r="J984" s="14"/>
      <c r="K984" s="14"/>
    </row>
    <row r="985">
      <c r="C985" s="54"/>
      <c r="D985" s="60"/>
      <c r="J985" s="14"/>
      <c r="K985" s="14"/>
    </row>
    <row r="986">
      <c r="C986" s="54"/>
      <c r="D986" s="60"/>
      <c r="J986" s="14"/>
      <c r="K986" s="14"/>
    </row>
    <row r="987">
      <c r="C987" s="54"/>
      <c r="D987" s="60"/>
      <c r="J987" s="14"/>
      <c r="K987" s="14"/>
    </row>
    <row r="988">
      <c r="C988" s="54"/>
      <c r="D988" s="60"/>
      <c r="J988" s="14"/>
      <c r="K988" s="14"/>
    </row>
    <row r="989">
      <c r="C989" s="54"/>
      <c r="D989" s="60"/>
      <c r="J989" s="14"/>
      <c r="K989" s="14"/>
    </row>
    <row r="990">
      <c r="C990" s="54"/>
      <c r="D990" s="60"/>
      <c r="J990" s="14"/>
      <c r="K990" s="14"/>
    </row>
    <row r="991">
      <c r="C991" s="54"/>
      <c r="D991" s="60"/>
      <c r="J991" s="14"/>
      <c r="K991" s="14"/>
    </row>
    <row r="992">
      <c r="C992" s="54"/>
      <c r="D992" s="60"/>
      <c r="J992" s="14"/>
      <c r="K992" s="14"/>
    </row>
    <row r="993">
      <c r="C993" s="54"/>
      <c r="D993" s="60"/>
      <c r="J993" s="14"/>
      <c r="K993" s="14"/>
    </row>
    <row r="994">
      <c r="C994" s="54"/>
      <c r="D994" s="60"/>
      <c r="J994" s="14"/>
      <c r="K994" s="14"/>
    </row>
    <row r="995">
      <c r="C995" s="54"/>
      <c r="D995" s="60"/>
      <c r="J995" s="14"/>
      <c r="K995" s="14"/>
    </row>
  </sheetData>
  <mergeCells count="1">
    <mergeCell ref="J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4.88"/>
    <col customWidth="1" min="3" max="3" width="21.25"/>
    <col customWidth="1" min="4" max="4" width="51.25"/>
    <col customWidth="1" min="9" max="9" width="45.5"/>
  </cols>
  <sheetData>
    <row r="1">
      <c r="A1" s="63" t="s">
        <v>0</v>
      </c>
      <c r="B1" s="64" t="s">
        <v>2667</v>
      </c>
      <c r="C1" s="64" t="s">
        <v>2668</v>
      </c>
      <c r="D1" s="65" t="s">
        <v>4</v>
      </c>
      <c r="E1" s="66" t="s">
        <v>5</v>
      </c>
      <c r="J1" s="61" t="s">
        <v>6</v>
      </c>
    </row>
    <row r="2">
      <c r="A2" s="67">
        <v>1.0</v>
      </c>
      <c r="B2" s="68" t="s">
        <v>2669</v>
      </c>
      <c r="C2" s="69" t="s">
        <v>2670</v>
      </c>
      <c r="D2" s="69" t="s">
        <v>2671</v>
      </c>
      <c r="J2" s="52" t="str">
        <f>IFERROR(__xludf.DUMMYFUNCTION("FILTER(B2:B997, E2:E997&lt;&gt;""✅"")"),"浴びる")</f>
        <v>浴びる</v>
      </c>
      <c r="K2" s="52" t="str">
        <f>IFERROR(__xludf.DUMMYFUNCTION("FILTER(C2:C997, E2:E997&lt;&gt;""✅"")"),"abiruあびる")</f>
        <v>abiruあびる</v>
      </c>
      <c r="L2" s="52" t="str">
        <f>IFERROR(__xludf.DUMMYFUNCTION("FILTER(D2:D997, E2:E997&lt;&gt;""✅"")"),"to bathe, to shower")</f>
        <v>to bathe, to shower</v>
      </c>
    </row>
    <row r="3">
      <c r="A3" s="67">
        <v>2.0</v>
      </c>
      <c r="B3" s="68" t="s">
        <v>2672</v>
      </c>
      <c r="C3" s="69" t="s">
        <v>2673</v>
      </c>
      <c r="D3" s="69" t="s">
        <v>2674</v>
      </c>
      <c r="G3" s="20" t="s">
        <v>14</v>
      </c>
      <c r="J3" s="14" t="str">
        <f>IFERROR(__xludf.DUMMYFUNCTION("""COMPUTED_VALUE"""),"上げる")</f>
        <v>上げる</v>
      </c>
      <c r="K3" s="14" t="str">
        <f>IFERROR(__xludf.DUMMYFUNCTION("""COMPUTED_VALUE"""),"ageruあげる")</f>
        <v>ageruあげる</v>
      </c>
      <c r="L3" s="14" t="str">
        <f>IFERROR(__xludf.DUMMYFUNCTION("""COMPUTED_VALUE"""),"to raise; to elevate; to give")</f>
        <v>to raise; to elevate; to give</v>
      </c>
    </row>
    <row r="4">
      <c r="A4" s="67">
        <v>3.0</v>
      </c>
      <c r="B4" s="68" t="s">
        <v>2675</v>
      </c>
      <c r="C4" s="69" t="s">
        <v>2676</v>
      </c>
      <c r="D4" s="69" t="s">
        <v>2677</v>
      </c>
      <c r="G4" s="20" t="s">
        <v>19</v>
      </c>
      <c r="H4" s="20">
        <f>COUNTIF(J4:J997, "&lt;&gt;")</f>
        <v>98</v>
      </c>
      <c r="J4" s="14" t="str">
        <f>IFERROR(__xludf.DUMMYFUNCTION("""COMPUTED_VALUE"""),"開ける")</f>
        <v>開ける</v>
      </c>
      <c r="K4" s="14" t="str">
        <f>IFERROR(__xludf.DUMMYFUNCTION("""COMPUTED_VALUE"""),"akeruあける")</f>
        <v>akeruあける</v>
      </c>
      <c r="L4" s="14" t="str">
        <f>IFERROR(__xludf.DUMMYFUNCTION("""COMPUTED_VALUE"""),"to open (a door, etc.); to unwrap (e.g. parcel, package); to unlock")</f>
        <v>to open (a door, etc.); to unwrap (e.g. parcel, package); to unlock</v>
      </c>
    </row>
    <row r="5">
      <c r="A5" s="67">
        <v>4.0</v>
      </c>
      <c r="B5" s="68" t="s">
        <v>2678</v>
      </c>
      <c r="C5" s="69" t="s">
        <v>2679</v>
      </c>
      <c r="D5" s="69" t="s">
        <v>2680</v>
      </c>
      <c r="G5" s="20" t="s">
        <v>23</v>
      </c>
      <c r="H5" s="14">
        <f>COUNTIF(A2:A997, "&lt;&gt;")</f>
        <v>100</v>
      </c>
      <c r="J5" s="14" t="str">
        <f>IFERROR(__xludf.DUMMYFUNCTION("""COMPUTED_VALUE"""),"開く")</f>
        <v>開く</v>
      </c>
      <c r="K5" s="14" t="str">
        <f>IFERROR(__xludf.DUMMYFUNCTION("""COMPUTED_VALUE"""),"akuあく")</f>
        <v>akuあく</v>
      </c>
      <c r="L5" s="14" t="str">
        <f>IFERROR(__xludf.DUMMYFUNCTION("""COMPUTED_VALUE"""),"to open (e.g. doors, business, etc)")</f>
        <v>to open (e.g. doors, business, etc)</v>
      </c>
    </row>
    <row r="6">
      <c r="A6" s="67">
        <v>5.0</v>
      </c>
      <c r="B6" s="68" t="s">
        <v>2681</v>
      </c>
      <c r="C6" s="69" t="s">
        <v>2682</v>
      </c>
      <c r="D6" s="69" t="s">
        <v>2683</v>
      </c>
      <c r="H6" s="14">
        <f>TRUNC((H4/H5)*100, 1)</f>
        <v>98</v>
      </c>
      <c r="J6" s="14" t="str">
        <f>IFERROR(__xludf.DUMMYFUNCTION("""COMPUTED_VALUE"""),"洗う")</f>
        <v>洗う</v>
      </c>
      <c r="K6" s="14" t="str">
        <f>IFERROR(__xludf.DUMMYFUNCTION("""COMPUTED_VALUE"""),"arauあらう")</f>
        <v>arauあらう</v>
      </c>
      <c r="L6" s="14" t="str">
        <f>IFERROR(__xludf.DUMMYFUNCTION("""COMPUTED_VALUE"""),"to wash")</f>
        <v>to wash</v>
      </c>
    </row>
    <row r="7">
      <c r="A7" s="67">
        <v>6.0</v>
      </c>
      <c r="B7" s="68" t="s">
        <v>2684</v>
      </c>
      <c r="C7" s="69" t="s">
        <v>2685</v>
      </c>
      <c r="D7" s="69" t="s">
        <v>2686</v>
      </c>
      <c r="G7" s="20" t="s">
        <v>31</v>
      </c>
      <c r="H7" s="14">
        <f>100-H6</f>
        <v>2</v>
      </c>
      <c r="J7" s="14" t="str">
        <f>IFERROR(__xludf.DUMMYFUNCTION("""COMPUTED_VALUE"""),"ある")</f>
        <v>ある</v>
      </c>
      <c r="K7" s="14" t="str">
        <f>IFERROR(__xludf.DUMMYFUNCTION("""COMPUTED_VALUE"""),"aru")</f>
        <v>aru</v>
      </c>
      <c r="L7" s="14" t="str">
        <f>IFERROR(__xludf.DUMMYFUNCTION("""COMPUTED_VALUE"""),"to be, to have")</f>
        <v>to be, to have</v>
      </c>
    </row>
    <row r="8">
      <c r="A8" s="67">
        <v>7.0</v>
      </c>
      <c r="B8" s="68" t="s">
        <v>2687</v>
      </c>
      <c r="C8" s="69" t="s">
        <v>2688</v>
      </c>
      <c r="D8" s="69" t="s">
        <v>2689</v>
      </c>
      <c r="G8" s="20" t="s">
        <v>35</v>
      </c>
      <c r="J8" s="14" t="str">
        <f>IFERROR(__xludf.DUMMYFUNCTION("""COMPUTED_VALUE"""),"歩く")</f>
        <v>歩く</v>
      </c>
      <c r="K8" s="14" t="str">
        <f>IFERROR(__xludf.DUMMYFUNCTION("""COMPUTED_VALUE"""),"arukuあるく")</f>
        <v>arukuあるく</v>
      </c>
      <c r="L8" s="14" t="str">
        <f>IFERROR(__xludf.DUMMYFUNCTION("""COMPUTED_VALUE"""),"to walk")</f>
        <v>to walk</v>
      </c>
    </row>
    <row r="9">
      <c r="A9" s="67">
        <v>8.0</v>
      </c>
      <c r="B9" s="68" t="s">
        <v>2690</v>
      </c>
      <c r="C9" s="69" t="s">
        <v>2691</v>
      </c>
      <c r="D9" s="69" t="s">
        <v>2692</v>
      </c>
      <c r="J9" s="14" t="str">
        <f>IFERROR(__xludf.DUMMYFUNCTION("""COMPUTED_VALUE"""),"遊ぶ")</f>
        <v>遊ぶ</v>
      </c>
      <c r="K9" s="14" t="str">
        <f>IFERROR(__xludf.DUMMYFUNCTION("""COMPUTED_VALUE"""),"asobuあそぶ")</f>
        <v>asobuあそぶ</v>
      </c>
      <c r="L9" s="14" t="str">
        <f>IFERROR(__xludf.DUMMYFUNCTION("""COMPUTED_VALUE"""),"to play; to enjoy oneself")</f>
        <v>to play; to enjoy oneself</v>
      </c>
    </row>
    <row r="10">
      <c r="A10" s="67">
        <v>9.0</v>
      </c>
      <c r="B10" s="68" t="s">
        <v>2693</v>
      </c>
      <c r="C10" s="69" t="s">
        <v>2694</v>
      </c>
      <c r="D10" s="69" t="s">
        <v>2695</v>
      </c>
      <c r="J10" s="14" t="str">
        <f>IFERROR(__xludf.DUMMYFUNCTION("""COMPUTED_VALUE"""),"会う")</f>
        <v>会う</v>
      </c>
      <c r="K10" s="14" t="str">
        <f>IFERROR(__xludf.DUMMYFUNCTION("""COMPUTED_VALUE"""),"auあう")</f>
        <v>auあう</v>
      </c>
      <c r="L10" s="14" t="str">
        <f>IFERROR(__xludf.DUMMYFUNCTION("""COMPUTED_VALUE"""),"to meet; to encounter; to see")</f>
        <v>to meet; to encounter; to see</v>
      </c>
    </row>
    <row r="11">
      <c r="A11" s="67">
        <v>10.0</v>
      </c>
      <c r="B11" s="68" t="s">
        <v>2696</v>
      </c>
      <c r="C11" s="69" t="s">
        <v>2697</v>
      </c>
      <c r="D11" s="69" t="s">
        <v>2698</v>
      </c>
      <c r="J11" s="14" t="str">
        <f>IFERROR(__xludf.DUMMYFUNCTION("""COMPUTED_VALUE"""),"勉強")</f>
        <v>勉強</v>
      </c>
      <c r="K11" s="14" t="str">
        <f>IFERROR(__xludf.DUMMYFUNCTION("""COMPUTED_VALUE"""),"benkyouべんきょう")</f>
        <v>benkyouべんきょう</v>
      </c>
      <c r="L11" s="14" t="str">
        <f>IFERROR(__xludf.DUMMYFUNCTION("""COMPUTED_VALUE"""),"to study")</f>
        <v>to study</v>
      </c>
    </row>
    <row r="12">
      <c r="A12" s="67">
        <v>11.0</v>
      </c>
      <c r="B12" s="68" t="s">
        <v>2699</v>
      </c>
      <c r="C12" s="69" t="s">
        <v>2700</v>
      </c>
      <c r="D12" s="69" t="s">
        <v>2701</v>
      </c>
      <c r="J12" s="14" t="str">
        <f>IFERROR(__xludf.DUMMYFUNCTION("""COMPUTED_VALUE"""),"違う")</f>
        <v>違う</v>
      </c>
      <c r="K12" s="14" t="str">
        <f>IFERROR(__xludf.DUMMYFUNCTION("""COMPUTED_VALUE"""),"chigauちがう")</f>
        <v>chigauちがう</v>
      </c>
      <c r="L12" s="14" t="str">
        <f>IFERROR(__xludf.DUMMYFUNCTION("""COMPUTED_VALUE"""),"to differ")</f>
        <v>to differ</v>
      </c>
    </row>
    <row r="13">
      <c r="A13" s="67">
        <v>12.0</v>
      </c>
      <c r="B13" s="68" t="s">
        <v>2371</v>
      </c>
      <c r="C13" s="69" t="s">
        <v>2702</v>
      </c>
      <c r="D13" s="69" t="s">
        <v>2703</v>
      </c>
      <c r="J13" s="14" t="str">
        <f>IFERROR(__xludf.DUMMYFUNCTION("""COMPUTED_VALUE"""),"出す")</f>
        <v>出す</v>
      </c>
      <c r="K13" s="14" t="str">
        <f>IFERROR(__xludf.DUMMYFUNCTION("""COMPUTED_VALUE"""),"dasuだす")</f>
        <v>dasuだす</v>
      </c>
      <c r="L13" s="14" t="str">
        <f>IFERROR(__xludf.DUMMYFUNCTION("""COMPUTED_VALUE"""),"to take out; to get out; to put out; to reveal")</f>
        <v>to take out; to get out; to put out; to reveal</v>
      </c>
    </row>
    <row r="14">
      <c r="A14" s="67">
        <v>13.0</v>
      </c>
      <c r="B14" s="68" t="s">
        <v>2704</v>
      </c>
      <c r="C14" s="69" t="s">
        <v>2705</v>
      </c>
      <c r="D14" s="69" t="s">
        <v>2706</v>
      </c>
      <c r="J14" s="14" t="str">
        <f>IFERROR(__xludf.DUMMYFUNCTION("""COMPUTED_VALUE"""),"出かける")</f>
        <v>出かける</v>
      </c>
      <c r="K14" s="14" t="str">
        <f>IFERROR(__xludf.DUMMYFUNCTION("""COMPUTED_VALUE"""),"dekakeruでかける")</f>
        <v>dekakeruでかける</v>
      </c>
      <c r="L14" s="14" t="str">
        <f>IFERROR(__xludf.DUMMYFUNCTION("""COMPUTED_VALUE"""),"to go out; to leave; to depart")</f>
        <v>to go out; to leave; to depart</v>
      </c>
    </row>
    <row r="15">
      <c r="A15" s="67">
        <v>14.0</v>
      </c>
      <c r="B15" s="68" t="s">
        <v>2707</v>
      </c>
      <c r="C15" s="69" t="s">
        <v>2708</v>
      </c>
      <c r="D15" s="69" t="s">
        <v>2709</v>
      </c>
      <c r="J15" s="14" t="str">
        <f>IFERROR(__xludf.DUMMYFUNCTION("""COMPUTED_VALUE"""),"電話")</f>
        <v>電話</v>
      </c>
      <c r="K15" s="14" t="str">
        <f>IFERROR(__xludf.DUMMYFUNCTION("""COMPUTED_VALUE"""),"denwaでんわ")</f>
        <v>denwaでんわ</v>
      </c>
      <c r="L15" s="14" t="str">
        <f>IFERROR(__xludf.DUMMYFUNCTION("""COMPUTED_VALUE"""),"telephone (call / device)l; phone call")</f>
        <v>telephone (call / device)l; phone call</v>
      </c>
    </row>
    <row r="16">
      <c r="A16" s="67">
        <v>15.0</v>
      </c>
      <c r="B16" s="68" t="s">
        <v>2710</v>
      </c>
      <c r="C16" s="69" t="s">
        <v>2711</v>
      </c>
      <c r="D16" s="69" t="s">
        <v>2712</v>
      </c>
      <c r="J16" s="14" t="str">
        <f>IFERROR(__xludf.DUMMYFUNCTION("""COMPUTED_VALUE"""),"出る")</f>
        <v>出る</v>
      </c>
      <c r="K16" s="14" t="str">
        <f>IFERROR(__xludf.DUMMYFUNCTION("""COMPUTED_VALUE"""),"deruでる")</f>
        <v>deruでる</v>
      </c>
      <c r="L16" s="14" t="str">
        <f>IFERROR(__xludf.DUMMYFUNCTION("""COMPUTED_VALUE"""),"to leave; to exit; to appear; to go out")</f>
        <v>to leave; to exit; to appear; to go out</v>
      </c>
    </row>
    <row r="17">
      <c r="A17" s="67">
        <v>16.0</v>
      </c>
      <c r="B17" s="68" t="s">
        <v>2713</v>
      </c>
      <c r="C17" s="69" t="s">
        <v>2714</v>
      </c>
      <c r="D17" s="69" t="s">
        <v>2715</v>
      </c>
      <c r="J17" s="14" t="str">
        <f>IFERROR(__xludf.DUMMYFUNCTION("""COMPUTED_VALUE"""),"吹く")</f>
        <v>吹く</v>
      </c>
      <c r="K17" s="14" t="str">
        <f>IFERROR(__xludf.DUMMYFUNCTION("""COMPUTED_VALUE"""),"fukuふく")</f>
        <v>fukuふく</v>
      </c>
      <c r="L17" s="14" t="str">
        <f>IFERROR(__xludf.DUMMYFUNCTION("""COMPUTED_VALUE"""),"to blow (of the wind)")</f>
        <v>to blow (of the wind)</v>
      </c>
    </row>
    <row r="18">
      <c r="A18" s="67">
        <v>17.0</v>
      </c>
      <c r="B18" s="68" t="s">
        <v>2716</v>
      </c>
      <c r="C18" s="69" t="s">
        <v>2717</v>
      </c>
      <c r="D18" s="69" t="s">
        <v>2718</v>
      </c>
      <c r="J18" s="14" t="str">
        <f>IFERROR(__xludf.DUMMYFUNCTION("""COMPUTED_VALUE"""),"降る")</f>
        <v>降る</v>
      </c>
      <c r="K18" s="14" t="str">
        <f>IFERROR(__xludf.DUMMYFUNCTION("""COMPUTED_VALUE"""),"furuふる")</f>
        <v>furuふる</v>
      </c>
      <c r="L18" s="14" t="str">
        <f>IFERROR(__xludf.DUMMYFUNCTION("""COMPUTED_VALUE"""),"to fall")</f>
        <v>to fall</v>
      </c>
    </row>
    <row r="19">
      <c r="A19" s="67">
        <v>18.0</v>
      </c>
      <c r="B19" s="68" t="s">
        <v>2719</v>
      </c>
      <c r="C19" s="69" t="s">
        <v>2720</v>
      </c>
      <c r="D19" s="69" t="s">
        <v>2721</v>
      </c>
      <c r="J19" s="14" t="str">
        <f>IFERROR(__xludf.DUMMYFUNCTION("""COMPUTED_VALUE"""),"入る")</f>
        <v>入る</v>
      </c>
      <c r="K19" s="14" t="str">
        <f>IFERROR(__xludf.DUMMYFUNCTION("""COMPUTED_VALUE"""),"hairuはいる")</f>
        <v>hairuはいる</v>
      </c>
      <c r="L19" s="14" t="str">
        <f>IFERROR(__xludf.DUMMYFUNCTION("""COMPUTED_VALUE"""),"to enter; to go into")</f>
        <v>to enter; to go into</v>
      </c>
    </row>
    <row r="20">
      <c r="A20" s="67">
        <v>19.0</v>
      </c>
      <c r="B20" s="68" t="s">
        <v>2722</v>
      </c>
      <c r="C20" s="69" t="s">
        <v>2723</v>
      </c>
      <c r="D20" s="69" t="s">
        <v>2724</v>
      </c>
      <c r="J20" s="14" t="str">
        <f>IFERROR(__xludf.DUMMYFUNCTION("""COMPUTED_VALUE"""),"始まる")</f>
        <v>始まる</v>
      </c>
      <c r="K20" s="14" t="str">
        <f>IFERROR(__xludf.DUMMYFUNCTION("""COMPUTED_VALUE"""),"hajimaruはじまる")</f>
        <v>hajimaruはじまる</v>
      </c>
      <c r="L20" s="14" t="str">
        <f>IFERROR(__xludf.DUMMYFUNCTION("""COMPUTED_VALUE"""),"to begin")</f>
        <v>to begin</v>
      </c>
    </row>
    <row r="21">
      <c r="A21" s="67">
        <v>20.0</v>
      </c>
      <c r="B21" s="68" t="s">
        <v>2725</v>
      </c>
      <c r="C21" s="69" t="s">
        <v>2726</v>
      </c>
      <c r="D21" s="69" t="s">
        <v>2727</v>
      </c>
      <c r="J21" s="14" t="str">
        <f>IFERROR(__xludf.DUMMYFUNCTION("""COMPUTED_VALUE"""),"履く")</f>
        <v>履く</v>
      </c>
      <c r="K21" s="14" t="str">
        <f>IFERROR(__xludf.DUMMYFUNCTION("""COMPUTED_VALUE"""),"hakuはく")</f>
        <v>hakuはく</v>
      </c>
      <c r="L21" s="14" t="str">
        <f>IFERROR(__xludf.DUMMYFUNCTION("""COMPUTED_VALUE"""),"to wear, to put on trousers")</f>
        <v>to wear, to put on trousers</v>
      </c>
    </row>
    <row r="22">
      <c r="A22" s="67">
        <v>21.0</v>
      </c>
      <c r="B22" s="68" t="s">
        <v>2728</v>
      </c>
      <c r="C22" s="69" t="s">
        <v>2729</v>
      </c>
      <c r="D22" s="69" t="s">
        <v>2730</v>
      </c>
      <c r="J22" s="14" t="str">
        <f>IFERROR(__xludf.DUMMYFUNCTION("""COMPUTED_VALUE"""),"話す")</f>
        <v>話す</v>
      </c>
      <c r="K22" s="14" t="str">
        <f>IFERROR(__xludf.DUMMYFUNCTION("""COMPUTED_VALUE"""),"hanasuはなす")</f>
        <v>hanasuはなす</v>
      </c>
      <c r="L22" s="14" t="str">
        <f>IFERROR(__xludf.DUMMYFUNCTION("""COMPUTED_VALUE"""),"to speak; to talk; to converse")</f>
        <v>to speak; to talk; to converse</v>
      </c>
    </row>
    <row r="23">
      <c r="A23" s="67">
        <v>22.0</v>
      </c>
      <c r="B23" s="68" t="s">
        <v>2731</v>
      </c>
      <c r="C23" s="69" t="s">
        <v>2732</v>
      </c>
      <c r="D23" s="69" t="s">
        <v>2733</v>
      </c>
      <c r="J23" s="14" t="str">
        <f>IFERROR(__xludf.DUMMYFUNCTION("""COMPUTED_VALUE"""),"晴れる")</f>
        <v>晴れる</v>
      </c>
      <c r="K23" s="14" t="str">
        <f>IFERROR(__xludf.DUMMYFUNCTION("""COMPUTED_VALUE"""),"hareruはれる")</f>
        <v>hareruはれる</v>
      </c>
      <c r="L23" s="14" t="str">
        <f>IFERROR(__xludf.DUMMYFUNCTION("""COMPUTED_VALUE"""),"to be sunny")</f>
        <v>to be sunny</v>
      </c>
    </row>
    <row r="24">
      <c r="A24" s="67">
        <v>23.0</v>
      </c>
      <c r="B24" s="68" t="s">
        <v>2734</v>
      </c>
      <c r="C24" s="69" t="s">
        <v>2735</v>
      </c>
      <c r="D24" s="69" t="s">
        <v>2736</v>
      </c>
      <c r="J24" s="14" t="str">
        <f>IFERROR(__xludf.DUMMYFUNCTION("""COMPUTED_VALUE"""),"貼る")</f>
        <v>貼る</v>
      </c>
      <c r="K24" s="14" t="str">
        <f>IFERROR(__xludf.DUMMYFUNCTION("""COMPUTED_VALUE"""),"haruはる")</f>
        <v>haruはる</v>
      </c>
      <c r="L24" s="14" t="str">
        <f>IFERROR(__xludf.DUMMYFUNCTION("""COMPUTED_VALUE"""),"to stick; to paste")</f>
        <v>to stick; to paste</v>
      </c>
    </row>
    <row r="25">
      <c r="A25" s="67">
        <v>24.0</v>
      </c>
      <c r="B25" s="68" t="s">
        <v>2737</v>
      </c>
      <c r="C25" s="69" t="s">
        <v>2738</v>
      </c>
      <c r="D25" s="69" t="s">
        <v>2739</v>
      </c>
      <c r="J25" s="14" t="str">
        <f>IFERROR(__xludf.DUMMYFUNCTION("""COMPUTED_VALUE"""),"走る")</f>
        <v>走る</v>
      </c>
      <c r="K25" s="14" t="str">
        <f>IFERROR(__xludf.DUMMYFUNCTION("""COMPUTED_VALUE"""),"hashiruはしる")</f>
        <v>hashiruはしる</v>
      </c>
      <c r="L25" s="14" t="str">
        <f>IFERROR(__xludf.DUMMYFUNCTION("""COMPUTED_VALUE"""),"to run")</f>
        <v>to run</v>
      </c>
    </row>
    <row r="26">
      <c r="A26" s="67">
        <v>25.0</v>
      </c>
      <c r="B26" s="68" t="s">
        <v>2740</v>
      </c>
      <c r="C26" s="69" t="s">
        <v>2741</v>
      </c>
      <c r="D26" s="69" t="s">
        <v>2742</v>
      </c>
      <c r="J26" s="14" t="str">
        <f>IFERROR(__xludf.DUMMYFUNCTION("""COMPUTED_VALUE"""),"働く")</f>
        <v>働く</v>
      </c>
      <c r="K26" s="14" t="str">
        <f>IFERROR(__xludf.DUMMYFUNCTION("""COMPUTED_VALUE"""),"hatarakuはたらく")</f>
        <v>hatarakuはたらく</v>
      </c>
      <c r="L26" s="14" t="str">
        <f>IFERROR(__xludf.DUMMYFUNCTION("""COMPUTED_VALUE"""),"to work")</f>
        <v>to work</v>
      </c>
    </row>
    <row r="27">
      <c r="A27" s="67">
        <v>26.0</v>
      </c>
      <c r="B27" s="68" t="s">
        <v>2743</v>
      </c>
      <c r="C27" s="69" t="s">
        <v>2744</v>
      </c>
      <c r="D27" s="69" t="s">
        <v>2745</v>
      </c>
      <c r="J27" s="14" t="str">
        <f>IFERROR(__xludf.DUMMYFUNCTION("""COMPUTED_VALUE"""),"引く")</f>
        <v>引く</v>
      </c>
      <c r="K27" s="14" t="str">
        <f>IFERROR(__xludf.DUMMYFUNCTION("""COMPUTED_VALUE"""),"hikuひく")</f>
        <v>hikuひく</v>
      </c>
      <c r="L27" s="14" t="str">
        <f>IFERROR(__xludf.DUMMYFUNCTION("""COMPUTED_VALUE"""),"to pull")</f>
        <v>to pull</v>
      </c>
    </row>
    <row r="28">
      <c r="A28" s="67">
        <v>27.0</v>
      </c>
      <c r="B28" s="68" t="s">
        <v>2746</v>
      </c>
      <c r="C28" s="69" t="s">
        <v>2744</v>
      </c>
      <c r="D28" s="69" t="s">
        <v>2747</v>
      </c>
      <c r="J28" s="14" t="str">
        <f>IFERROR(__xludf.DUMMYFUNCTION("""COMPUTED_VALUE"""),"弾く")</f>
        <v>弾く</v>
      </c>
      <c r="K28" s="14" t="str">
        <f>IFERROR(__xludf.DUMMYFUNCTION("""COMPUTED_VALUE"""),"hikuひく")</f>
        <v>hikuひく</v>
      </c>
      <c r="L28" s="14" t="str">
        <f>IFERROR(__xludf.DUMMYFUNCTION("""COMPUTED_VALUE"""),"to play")</f>
        <v>to play</v>
      </c>
    </row>
    <row r="29">
      <c r="A29" s="67">
        <v>28.0</v>
      </c>
      <c r="B29" s="68" t="s">
        <v>2748</v>
      </c>
      <c r="C29" s="69" t="s">
        <v>2749</v>
      </c>
      <c r="D29" s="69" t="s">
        <v>2750</v>
      </c>
      <c r="J29" s="14" t="str">
        <f>IFERROR(__xludf.DUMMYFUNCTION("""COMPUTED_VALUE"""),"行く")</f>
        <v>行く</v>
      </c>
      <c r="K29" s="14" t="str">
        <f>IFERROR(__xludf.DUMMYFUNCTION("""COMPUTED_VALUE"""),"ikuいく")</f>
        <v>ikuいく</v>
      </c>
      <c r="L29" s="14" t="str">
        <f>IFERROR(__xludf.DUMMYFUNCTION("""COMPUTED_VALUE"""),"to go; to move")</f>
        <v>to go; to move</v>
      </c>
    </row>
    <row r="30">
      <c r="A30" s="67">
        <v>29.0</v>
      </c>
      <c r="B30" s="68" t="s">
        <v>2751</v>
      </c>
      <c r="C30" s="69" t="s">
        <v>2752</v>
      </c>
      <c r="D30" s="69" t="s">
        <v>2753</v>
      </c>
      <c r="J30" s="14" t="str">
        <f>IFERROR(__xludf.DUMMYFUNCTION("""COMPUTED_VALUE"""),"入れる")</f>
        <v>入れる</v>
      </c>
      <c r="K30" s="14" t="str">
        <f>IFERROR(__xludf.DUMMYFUNCTION("""COMPUTED_VALUE"""),"ireruいれる")</f>
        <v>ireruいれる</v>
      </c>
      <c r="L30" s="14" t="str">
        <f>IFERROR(__xludf.DUMMYFUNCTION("""COMPUTED_VALUE"""),"to put in; to let in; to take in; to bring in; to insert; to install")</f>
        <v>to put in; to let in; to take in; to bring in; to insert; to install</v>
      </c>
    </row>
    <row r="31">
      <c r="A31" s="67">
        <v>30.0</v>
      </c>
      <c r="B31" s="68" t="s">
        <v>2754</v>
      </c>
      <c r="C31" s="69" t="s">
        <v>2755</v>
      </c>
      <c r="D31" s="69" t="s">
        <v>2756</v>
      </c>
      <c r="J31" s="14" t="str">
        <f>IFERROR(__xludf.DUMMYFUNCTION("""COMPUTED_VALUE"""),"要る")</f>
        <v>要る</v>
      </c>
      <c r="K31" s="14" t="str">
        <f>IFERROR(__xludf.DUMMYFUNCTION("""COMPUTED_VALUE"""),"iruいる")</f>
        <v>iruいる</v>
      </c>
      <c r="L31" s="14" t="str">
        <f>IFERROR(__xludf.DUMMYFUNCTION("""COMPUTED_VALUE"""),"to be needed")</f>
        <v>to be needed</v>
      </c>
    </row>
    <row r="32">
      <c r="A32" s="67">
        <v>31.0</v>
      </c>
      <c r="B32" s="68" t="s">
        <v>2757</v>
      </c>
      <c r="C32" s="69" t="s">
        <v>2755</v>
      </c>
      <c r="D32" s="69" t="s">
        <v>2686</v>
      </c>
      <c r="J32" s="14" t="str">
        <f>IFERROR(__xludf.DUMMYFUNCTION("""COMPUTED_VALUE"""),"居る")</f>
        <v>居る</v>
      </c>
      <c r="K32" s="14" t="str">
        <f>IFERROR(__xludf.DUMMYFUNCTION("""COMPUTED_VALUE"""),"iruいる")</f>
        <v>iruいる</v>
      </c>
      <c r="L32" s="14" t="str">
        <f>IFERROR(__xludf.DUMMYFUNCTION("""COMPUTED_VALUE"""),"to be, to have")</f>
        <v>to be, to have</v>
      </c>
    </row>
    <row r="33">
      <c r="A33" s="67">
        <v>32.0</v>
      </c>
      <c r="B33" s="68" t="s">
        <v>2758</v>
      </c>
      <c r="C33" s="69" t="s">
        <v>2759</v>
      </c>
      <c r="D33" s="69" t="s">
        <v>2760</v>
      </c>
      <c r="J33" s="14" t="str">
        <f>IFERROR(__xludf.DUMMYFUNCTION("""COMPUTED_VALUE"""),"言う")</f>
        <v>言う</v>
      </c>
      <c r="K33" s="14" t="str">
        <f>IFERROR(__xludf.DUMMYFUNCTION("""COMPUTED_VALUE"""),"iuいう")</f>
        <v>iuいう</v>
      </c>
      <c r="L33" s="14" t="str">
        <f>IFERROR(__xludf.DUMMYFUNCTION("""COMPUTED_VALUE"""),"to say; to call")</f>
        <v>to say; to call</v>
      </c>
    </row>
    <row r="34">
      <c r="A34" s="67">
        <v>33.0</v>
      </c>
      <c r="B34" s="68" t="s">
        <v>2761</v>
      </c>
      <c r="C34" s="69" t="s">
        <v>2762</v>
      </c>
      <c r="D34" s="69" t="s">
        <v>2763</v>
      </c>
      <c r="J34" s="14" t="str">
        <f>IFERROR(__xludf.DUMMYFUNCTION("""COMPUTED_VALUE"""),"授業")</f>
        <v>授業</v>
      </c>
      <c r="K34" s="14" t="str">
        <f>IFERROR(__xludf.DUMMYFUNCTION("""COMPUTED_VALUE"""),"jugyouじゅぎょう")</f>
        <v>jugyouじゅぎょう</v>
      </c>
      <c r="L34" s="14" t="str">
        <f>IFERROR(__xludf.DUMMYFUNCTION("""COMPUTED_VALUE"""),"lesson; class work")</f>
        <v>lesson; class work</v>
      </c>
    </row>
    <row r="35">
      <c r="A35" s="67">
        <v>34.0</v>
      </c>
      <c r="B35" s="68" t="s">
        <v>2764</v>
      </c>
      <c r="C35" s="69" t="s">
        <v>2765</v>
      </c>
      <c r="D35" s="69" t="s">
        <v>2766</v>
      </c>
      <c r="J35" s="14" t="str">
        <f>IFERROR(__xludf.DUMMYFUNCTION("""COMPUTED_VALUE"""),"帰る")</f>
        <v>帰る</v>
      </c>
      <c r="K35" s="14" t="str">
        <f>IFERROR(__xludf.DUMMYFUNCTION("""COMPUTED_VALUE"""),"kaeruかえる")</f>
        <v>kaeruかえる</v>
      </c>
      <c r="L35" s="14" t="str">
        <f>IFERROR(__xludf.DUMMYFUNCTION("""COMPUTED_VALUE"""),"to go back​")</f>
        <v>to go back​</v>
      </c>
    </row>
    <row r="36">
      <c r="A36" s="67">
        <v>35.0</v>
      </c>
      <c r="B36" s="68" t="s">
        <v>2767</v>
      </c>
      <c r="C36" s="69" t="s">
        <v>2768</v>
      </c>
      <c r="D36" s="69" t="s">
        <v>2769</v>
      </c>
      <c r="J36" s="14" t="str">
        <f>IFERROR(__xludf.DUMMYFUNCTION("""COMPUTED_VALUE"""),"返す")</f>
        <v>返す</v>
      </c>
      <c r="K36" s="14" t="str">
        <f>IFERROR(__xludf.DUMMYFUNCTION("""COMPUTED_VALUE"""),"kaesuかえす")</f>
        <v>kaesuかえす</v>
      </c>
      <c r="L36" s="14" t="str">
        <f>IFERROR(__xludf.DUMMYFUNCTION("""COMPUTED_VALUE"""),"to return something")</f>
        <v>to return something</v>
      </c>
    </row>
    <row r="37">
      <c r="A37" s="67">
        <v>36.0</v>
      </c>
      <c r="B37" s="68" t="s">
        <v>2770</v>
      </c>
      <c r="C37" s="69" t="s">
        <v>2771</v>
      </c>
      <c r="D37" s="69" t="s">
        <v>2772</v>
      </c>
      <c r="J37" s="14" t="str">
        <f>IFERROR(__xludf.DUMMYFUNCTION("""COMPUTED_VALUE"""),"掛かる")</f>
        <v>掛かる</v>
      </c>
      <c r="K37" s="14" t="str">
        <f>IFERROR(__xludf.DUMMYFUNCTION("""COMPUTED_VALUE"""),"kakaruかかる")</f>
        <v>kakaruかかる</v>
      </c>
      <c r="L37" s="14" t="str">
        <f>IFERROR(__xludf.DUMMYFUNCTION("""COMPUTED_VALUE"""),"to take (a resource, e.g. time or money)")</f>
        <v>to take (a resource, e.g. time or money)</v>
      </c>
    </row>
    <row r="38">
      <c r="A38" s="67">
        <v>37.0</v>
      </c>
      <c r="B38" s="68" t="s">
        <v>2773</v>
      </c>
      <c r="C38" s="69" t="s">
        <v>2774</v>
      </c>
      <c r="D38" s="69" t="s">
        <v>2775</v>
      </c>
      <c r="J38" s="14" t="str">
        <f>IFERROR(__xludf.DUMMYFUNCTION("""COMPUTED_VALUE"""),"掛ける")</f>
        <v>掛ける</v>
      </c>
      <c r="K38" s="14" t="str">
        <f>IFERROR(__xludf.DUMMYFUNCTION("""COMPUTED_VALUE"""),"kakeruかける")</f>
        <v>kakeruかける</v>
      </c>
      <c r="L38" s="14" t="str">
        <f>IFERROR(__xludf.DUMMYFUNCTION("""COMPUTED_VALUE"""),"to hang up; to make (a call)​;")</f>
        <v>to hang up; to make (a call)​;</v>
      </c>
    </row>
    <row r="39">
      <c r="A39" s="67">
        <v>38.0</v>
      </c>
      <c r="B39" s="68" t="s">
        <v>2776</v>
      </c>
      <c r="C39" s="69" t="s">
        <v>2777</v>
      </c>
      <c r="D39" s="69" t="s">
        <v>2778</v>
      </c>
      <c r="J39" s="14" t="str">
        <f>IFERROR(__xludf.DUMMYFUNCTION("""COMPUTED_VALUE"""),"書く")</f>
        <v>書く</v>
      </c>
      <c r="K39" s="14" t="str">
        <f>IFERROR(__xludf.DUMMYFUNCTION("""COMPUTED_VALUE"""),"kakuかく")</f>
        <v>kakuかく</v>
      </c>
      <c r="L39" s="14" t="str">
        <f>IFERROR(__xludf.DUMMYFUNCTION("""COMPUTED_VALUE"""),"to write; to compose; to pen; to draw")</f>
        <v>to write; to compose; to pen; to draw</v>
      </c>
    </row>
    <row r="40">
      <c r="A40" s="67">
        <v>39.0</v>
      </c>
      <c r="B40" s="68" t="s">
        <v>2779</v>
      </c>
      <c r="C40" s="69" t="s">
        <v>2780</v>
      </c>
      <c r="D40" s="69" t="s">
        <v>2781</v>
      </c>
      <c r="J40" s="14" t="str">
        <f>IFERROR(__xludf.DUMMYFUNCTION("""COMPUTED_VALUE"""),"借りる")</f>
        <v>借りる</v>
      </c>
      <c r="K40" s="14" t="str">
        <f>IFERROR(__xludf.DUMMYFUNCTION("""COMPUTED_VALUE"""),"kariruかりる")</f>
        <v>kariruかりる</v>
      </c>
      <c r="L40" s="14" t="str">
        <f>IFERROR(__xludf.DUMMYFUNCTION("""COMPUTED_VALUE"""),"to borrow")</f>
        <v>to borrow</v>
      </c>
    </row>
    <row r="41">
      <c r="A41" s="67">
        <v>40.0</v>
      </c>
      <c r="B41" s="68" t="s">
        <v>2782</v>
      </c>
      <c r="C41" s="69" t="s">
        <v>2783</v>
      </c>
      <c r="D41" s="69" t="s">
        <v>2784</v>
      </c>
      <c r="J41" s="14" t="str">
        <f>IFERROR(__xludf.DUMMYFUNCTION("""COMPUTED_VALUE"""),"貸す")</f>
        <v>貸す</v>
      </c>
      <c r="K41" s="14" t="str">
        <f>IFERROR(__xludf.DUMMYFUNCTION("""COMPUTED_VALUE"""),"kasuかす")</f>
        <v>kasuかす</v>
      </c>
      <c r="L41" s="14" t="str">
        <f>IFERROR(__xludf.DUMMYFUNCTION("""COMPUTED_VALUE"""),"to lend; to loan")</f>
        <v>to lend; to loan</v>
      </c>
    </row>
    <row r="42">
      <c r="A42" s="67">
        <v>41.0</v>
      </c>
      <c r="B42" s="68" t="s">
        <v>2785</v>
      </c>
      <c r="C42" s="69" t="s">
        <v>2786</v>
      </c>
      <c r="D42" s="69" t="s">
        <v>2787</v>
      </c>
      <c r="J42" s="14" t="str">
        <f>IFERROR(__xludf.DUMMYFUNCTION("""COMPUTED_VALUE"""),"買う")</f>
        <v>買う</v>
      </c>
      <c r="K42" s="14" t="str">
        <f>IFERROR(__xludf.DUMMYFUNCTION("""COMPUTED_VALUE"""),"kauかう")</f>
        <v>kauかう</v>
      </c>
      <c r="L42" s="14" t="str">
        <f>IFERROR(__xludf.DUMMYFUNCTION("""COMPUTED_VALUE"""),"to buy; to purchase")</f>
        <v>to buy; to purchase</v>
      </c>
    </row>
    <row r="43">
      <c r="A43" s="67">
        <v>42.0</v>
      </c>
      <c r="B43" s="68" t="s">
        <v>2788</v>
      </c>
      <c r="C43" s="69" t="s">
        <v>2789</v>
      </c>
      <c r="D43" s="69" t="s">
        <v>2790</v>
      </c>
      <c r="J43" s="14" t="str">
        <f>IFERROR(__xludf.DUMMYFUNCTION("""COMPUTED_VALUE"""),"結婚")</f>
        <v>結婚</v>
      </c>
      <c r="K43" s="14" t="str">
        <f>IFERROR(__xludf.DUMMYFUNCTION("""COMPUTED_VALUE"""),"kekkonけっこん")</f>
        <v>kekkonけっこん</v>
      </c>
      <c r="L43" s="14" t="str">
        <f>IFERROR(__xludf.DUMMYFUNCTION("""COMPUTED_VALUE"""),"marriage")</f>
        <v>marriage</v>
      </c>
    </row>
    <row r="44">
      <c r="A44" s="67">
        <v>43.0</v>
      </c>
      <c r="B44" s="68" t="s">
        <v>2791</v>
      </c>
      <c r="C44" s="69" t="s">
        <v>2792</v>
      </c>
      <c r="D44" s="69" t="s">
        <v>2793</v>
      </c>
      <c r="J44" s="14" t="str">
        <f>IFERROR(__xludf.DUMMYFUNCTION("""COMPUTED_VALUE"""),"消す")</f>
        <v>消す</v>
      </c>
      <c r="K44" s="14" t="str">
        <f>IFERROR(__xludf.DUMMYFUNCTION("""COMPUTED_VALUE"""),"kesuけす")</f>
        <v>kesuけす</v>
      </c>
      <c r="L44" s="14" t="str">
        <f>IFERROR(__xludf.DUMMYFUNCTION("""COMPUTED_VALUE"""),"to erase, to turn off power")</f>
        <v>to erase, to turn off power</v>
      </c>
    </row>
    <row r="45">
      <c r="A45" s="67">
        <v>44.0</v>
      </c>
      <c r="B45" s="68" t="s">
        <v>2794</v>
      </c>
      <c r="C45" s="69" t="s">
        <v>2795</v>
      </c>
      <c r="D45" s="69" t="s">
        <v>2796</v>
      </c>
      <c r="J45" s="14" t="str">
        <f>IFERROR(__xludf.DUMMYFUNCTION("""COMPUTED_VALUE"""),"消える")</f>
        <v>消える</v>
      </c>
      <c r="K45" s="14" t="str">
        <f>IFERROR(__xludf.DUMMYFUNCTION("""COMPUTED_VALUE"""),"kieruきえる")</f>
        <v>kieruきえる</v>
      </c>
      <c r="L45" s="14" t="str">
        <f>IFERROR(__xludf.DUMMYFUNCTION("""COMPUTED_VALUE"""),"to disappear")</f>
        <v>to disappear</v>
      </c>
    </row>
    <row r="46">
      <c r="A46" s="67">
        <v>45.0</v>
      </c>
      <c r="B46" s="68" t="s">
        <v>2797</v>
      </c>
      <c r="C46" s="69" t="s">
        <v>2798</v>
      </c>
      <c r="D46" s="69" t="s">
        <v>2799</v>
      </c>
      <c r="J46" s="14" t="str">
        <f>IFERROR(__xludf.DUMMYFUNCTION("""COMPUTED_VALUE"""),"聞く")</f>
        <v>聞く</v>
      </c>
      <c r="K46" s="14" t="str">
        <f>IFERROR(__xludf.DUMMYFUNCTION("""COMPUTED_VALUE"""),"kikuきく")</f>
        <v>kikuきく</v>
      </c>
      <c r="L46" s="14" t="str">
        <f>IFERROR(__xludf.DUMMYFUNCTION("""COMPUTED_VALUE"""),"to hear; to listen (to music); to ask; to learn of")</f>
        <v>to hear; to listen (to music); to ask; to learn of</v>
      </c>
    </row>
    <row r="47">
      <c r="A47" s="67">
        <v>46.0</v>
      </c>
      <c r="B47" s="68" t="s">
        <v>2800</v>
      </c>
      <c r="C47" s="69" t="s">
        <v>2801</v>
      </c>
      <c r="D47" s="69" t="s">
        <v>2802</v>
      </c>
      <c r="J47" s="14" t="str">
        <f>IFERROR(__xludf.DUMMYFUNCTION("""COMPUTED_VALUE"""),"切る")</f>
        <v>切る</v>
      </c>
      <c r="K47" s="14" t="str">
        <f>IFERROR(__xludf.DUMMYFUNCTION("""COMPUTED_VALUE"""),"kiruきる")</f>
        <v>kiruきる</v>
      </c>
      <c r="L47" s="14" t="str">
        <f>IFERROR(__xludf.DUMMYFUNCTION("""COMPUTED_VALUE"""),"to cut")</f>
        <v>to cut</v>
      </c>
    </row>
    <row r="48">
      <c r="A48" s="67">
        <v>47.0</v>
      </c>
      <c r="B48" s="68" t="s">
        <v>2803</v>
      </c>
      <c r="C48" s="69" t="s">
        <v>2801</v>
      </c>
      <c r="D48" s="69" t="s">
        <v>2804</v>
      </c>
      <c r="J48" s="14" t="str">
        <f>IFERROR(__xludf.DUMMYFUNCTION("""COMPUTED_VALUE"""),"着る")</f>
        <v>着る</v>
      </c>
      <c r="K48" s="14" t="str">
        <f>IFERROR(__xludf.DUMMYFUNCTION("""COMPUTED_VALUE"""),"kiruきる")</f>
        <v>kiruきる</v>
      </c>
      <c r="L48" s="14" t="str">
        <f>IFERROR(__xludf.DUMMYFUNCTION("""COMPUTED_VALUE"""),"to wear")</f>
        <v>to wear</v>
      </c>
    </row>
    <row r="49">
      <c r="A49" s="67">
        <v>48.0</v>
      </c>
      <c r="B49" s="68" t="s">
        <v>2805</v>
      </c>
      <c r="C49" s="69" t="s">
        <v>2806</v>
      </c>
      <c r="D49" s="69" t="s">
        <v>2807</v>
      </c>
      <c r="J49" s="14" t="str">
        <f>IFERROR(__xludf.DUMMYFUNCTION("""COMPUTED_VALUE"""),"困る")</f>
        <v>困る</v>
      </c>
      <c r="K49" s="14" t="str">
        <f>IFERROR(__xludf.DUMMYFUNCTION("""COMPUTED_VALUE"""),"komaruこまる")</f>
        <v>komaruこまる</v>
      </c>
      <c r="L49" s="14" t="str">
        <f>IFERROR(__xludf.DUMMYFUNCTION("""COMPUTED_VALUE"""),"to be troubled")</f>
        <v>to be troubled</v>
      </c>
    </row>
    <row r="50">
      <c r="A50" s="67">
        <v>49.0</v>
      </c>
      <c r="B50" s="68" t="s">
        <v>2808</v>
      </c>
      <c r="C50" s="69" t="s">
        <v>2809</v>
      </c>
      <c r="D50" s="69" t="s">
        <v>2810</v>
      </c>
      <c r="J50" s="14" t="str">
        <f>IFERROR(__xludf.DUMMYFUNCTION("""COMPUTED_VALUE"""),"コピー")</f>
        <v>コピー</v>
      </c>
      <c r="K50" s="14" t="str">
        <f>IFERROR(__xludf.DUMMYFUNCTION("""COMPUTED_VALUE"""),"kopii")</f>
        <v>kopii</v>
      </c>
      <c r="L50" s="14" t="str">
        <f>IFERROR(__xludf.DUMMYFUNCTION("""COMPUTED_VALUE"""),"copy; photocopy")</f>
        <v>copy; photocopy</v>
      </c>
    </row>
    <row r="51">
      <c r="A51" s="67">
        <v>50.0</v>
      </c>
      <c r="B51" s="68" t="s">
        <v>2811</v>
      </c>
      <c r="C51" s="69" t="s">
        <v>2812</v>
      </c>
      <c r="D51" s="69" t="s">
        <v>2813</v>
      </c>
      <c r="J51" s="14" t="str">
        <f>IFERROR(__xludf.DUMMYFUNCTION("""COMPUTED_VALUE"""),"答える")</f>
        <v>答える</v>
      </c>
      <c r="K51" s="14" t="str">
        <f>IFERROR(__xludf.DUMMYFUNCTION("""COMPUTED_VALUE"""),"kotaeruこたえる")</f>
        <v>kotaeruこたえる</v>
      </c>
      <c r="L51" s="14" t="str">
        <f>IFERROR(__xludf.DUMMYFUNCTION("""COMPUTED_VALUE"""),"to answer")</f>
        <v>to answer</v>
      </c>
    </row>
    <row r="52">
      <c r="A52" s="67">
        <v>51.0</v>
      </c>
      <c r="B52" s="68" t="s">
        <v>2814</v>
      </c>
      <c r="C52" s="69" t="s">
        <v>2815</v>
      </c>
      <c r="D52" s="69" t="s">
        <v>2816</v>
      </c>
      <c r="J52" s="14" t="str">
        <f>IFERROR(__xludf.DUMMYFUNCTION("""COMPUTED_VALUE"""),"曇る")</f>
        <v>曇る</v>
      </c>
      <c r="K52" s="14" t="str">
        <f>IFERROR(__xludf.DUMMYFUNCTION("""COMPUTED_VALUE"""),"kumoruくもる")</f>
        <v>kumoruくもる</v>
      </c>
      <c r="L52" s="14" t="str">
        <f>IFERROR(__xludf.DUMMYFUNCTION("""COMPUTED_VALUE"""),"to become cloudy, to become dim")</f>
        <v>to become cloudy, to become dim</v>
      </c>
    </row>
    <row r="53">
      <c r="A53" s="67">
        <v>52.0</v>
      </c>
      <c r="B53" s="68" t="s">
        <v>2817</v>
      </c>
      <c r="C53" s="69" t="s">
        <v>2818</v>
      </c>
      <c r="D53" s="69" t="s">
        <v>2819</v>
      </c>
      <c r="J53" s="14" t="str">
        <f>IFERROR(__xludf.DUMMYFUNCTION("""COMPUTED_VALUE"""),"来る")</f>
        <v>来る</v>
      </c>
      <c r="K53" s="14" t="str">
        <f>IFERROR(__xludf.DUMMYFUNCTION("""COMPUTED_VALUE"""),"kuruくる")</f>
        <v>kuruくる</v>
      </c>
      <c r="L53" s="14" t="str">
        <f>IFERROR(__xludf.DUMMYFUNCTION("""COMPUTED_VALUE"""),"to come")</f>
        <v>to come</v>
      </c>
    </row>
    <row r="54">
      <c r="A54" s="67">
        <v>53.0</v>
      </c>
      <c r="B54" s="68" t="s">
        <v>2820</v>
      </c>
      <c r="C54" s="69" t="s">
        <v>2821</v>
      </c>
      <c r="D54" s="69" t="s">
        <v>2822</v>
      </c>
      <c r="J54" s="14" t="str">
        <f>IFERROR(__xludf.DUMMYFUNCTION("""COMPUTED_VALUE"""),"曲がる")</f>
        <v>曲がる</v>
      </c>
      <c r="K54" s="14" t="str">
        <f>IFERROR(__xludf.DUMMYFUNCTION("""COMPUTED_VALUE"""),"magaruまがる")</f>
        <v>magaruまがる</v>
      </c>
      <c r="L54" s="14" t="str">
        <f>IFERROR(__xludf.DUMMYFUNCTION("""COMPUTED_VALUE"""),"to turn, to bend")</f>
        <v>to turn, to bend</v>
      </c>
    </row>
    <row r="55">
      <c r="A55" s="67">
        <v>54.0</v>
      </c>
      <c r="B55" s="68" t="s">
        <v>2823</v>
      </c>
      <c r="C55" s="69" t="s">
        <v>2824</v>
      </c>
      <c r="D55" s="69" t="s">
        <v>2825</v>
      </c>
      <c r="J55" s="14" t="str">
        <f>IFERROR(__xludf.DUMMYFUNCTION("""COMPUTED_VALUE"""),"待つ")</f>
        <v>待つ</v>
      </c>
      <c r="K55" s="14" t="str">
        <f>IFERROR(__xludf.DUMMYFUNCTION("""COMPUTED_VALUE"""),"matsuまつ")</f>
        <v>matsuまつ</v>
      </c>
      <c r="L55" s="14" t="str">
        <f>IFERROR(__xludf.DUMMYFUNCTION("""COMPUTED_VALUE"""),"to wait​")</f>
        <v>to wait​</v>
      </c>
    </row>
    <row r="56">
      <c r="A56" s="67">
        <v>55.0</v>
      </c>
      <c r="B56" s="68" t="s">
        <v>2826</v>
      </c>
      <c r="C56" s="69" t="s">
        <v>2827</v>
      </c>
      <c r="D56" s="69" t="s">
        <v>2828</v>
      </c>
      <c r="J56" s="14" t="str">
        <f>IFERROR(__xludf.DUMMYFUNCTION("""COMPUTED_VALUE"""),"磨く")</f>
        <v>磨く</v>
      </c>
      <c r="K56" s="14" t="str">
        <f>IFERROR(__xludf.DUMMYFUNCTION("""COMPUTED_VALUE"""),"migakuみがく")</f>
        <v>migakuみがく</v>
      </c>
      <c r="L56" s="14" t="str">
        <f>IFERROR(__xludf.DUMMYFUNCTION("""COMPUTED_VALUE"""),"to polish; to shine; to brush (e.g. teeth)")</f>
        <v>to polish; to shine; to brush (e.g. teeth)</v>
      </c>
    </row>
    <row r="57">
      <c r="A57" s="67">
        <v>56.0</v>
      </c>
      <c r="B57" s="68" t="s">
        <v>2829</v>
      </c>
      <c r="C57" s="69" t="s">
        <v>2830</v>
      </c>
      <c r="D57" s="69" t="s">
        <v>2831</v>
      </c>
      <c r="J57" s="14" t="str">
        <f>IFERROR(__xludf.DUMMYFUNCTION("""COMPUTED_VALUE"""),"見る")</f>
        <v>見る</v>
      </c>
      <c r="K57" s="14" t="str">
        <f>IFERROR(__xludf.DUMMYFUNCTION("""COMPUTED_VALUE"""),"miruみる")</f>
        <v>miruみる</v>
      </c>
      <c r="L57" s="14" t="str">
        <f>IFERROR(__xludf.DUMMYFUNCTION("""COMPUTED_VALUE"""),"to see; to look; to watch; to view; to observe")</f>
        <v>to see; to look; to watch; to view; to observe</v>
      </c>
    </row>
    <row r="58">
      <c r="A58" s="67">
        <v>57.0</v>
      </c>
      <c r="B58" s="68" t="s">
        <v>2832</v>
      </c>
      <c r="C58" s="69" t="s">
        <v>2833</v>
      </c>
      <c r="D58" s="69" t="s">
        <v>2834</v>
      </c>
      <c r="J58" s="14" t="str">
        <f>IFERROR(__xludf.DUMMYFUNCTION("""COMPUTED_VALUE"""),"見せる")</f>
        <v>見せる</v>
      </c>
      <c r="K58" s="14" t="str">
        <f>IFERROR(__xludf.DUMMYFUNCTION("""COMPUTED_VALUE"""),"miseruみせる")</f>
        <v>miseruみせる</v>
      </c>
      <c r="L58" s="14" t="str">
        <f>IFERROR(__xludf.DUMMYFUNCTION("""COMPUTED_VALUE"""),"to show; to display")</f>
        <v>to show; to display</v>
      </c>
    </row>
    <row r="59">
      <c r="A59" s="67">
        <v>58.0</v>
      </c>
      <c r="B59" s="68" t="s">
        <v>2835</v>
      </c>
      <c r="C59" s="69" t="s">
        <v>2836</v>
      </c>
      <c r="D59" s="69" t="s">
        <v>2837</v>
      </c>
      <c r="J59" s="14" t="str">
        <f>IFERROR(__xludf.DUMMYFUNCTION("""COMPUTED_VALUE"""),"持つ")</f>
        <v>持つ</v>
      </c>
      <c r="K59" s="14" t="str">
        <f>IFERROR(__xludf.DUMMYFUNCTION("""COMPUTED_VALUE"""),"motsuもつ")</f>
        <v>motsuもつ</v>
      </c>
      <c r="L59" s="14" t="str">
        <f>IFERROR(__xludf.DUMMYFUNCTION("""COMPUTED_VALUE"""),"to hold")</f>
        <v>to hold</v>
      </c>
    </row>
    <row r="60">
      <c r="A60" s="67">
        <v>59.0</v>
      </c>
      <c r="B60" s="68" t="s">
        <v>2838</v>
      </c>
      <c r="C60" s="69" t="s">
        <v>2839</v>
      </c>
      <c r="D60" s="69" t="s">
        <v>2840</v>
      </c>
      <c r="J60" s="14" t="str">
        <f>IFERROR(__xludf.DUMMYFUNCTION("""COMPUTED_VALUE"""),"鳴く")</f>
        <v>鳴く</v>
      </c>
      <c r="K60" s="14" t="str">
        <f>IFERROR(__xludf.DUMMYFUNCTION("""COMPUTED_VALUE"""),"nakuなく")</f>
        <v>nakuなく</v>
      </c>
      <c r="L60" s="14" t="str">
        <f>IFERROR(__xludf.DUMMYFUNCTION("""COMPUTED_VALUE"""),"animal noise. to chirp")</f>
        <v>animal noise. to chirp</v>
      </c>
    </row>
    <row r="61">
      <c r="A61" s="67">
        <v>60.0</v>
      </c>
      <c r="B61" s="68" t="s">
        <v>2841</v>
      </c>
      <c r="C61" s="69" t="s">
        <v>2842</v>
      </c>
      <c r="D61" s="69" t="s">
        <v>2843</v>
      </c>
      <c r="J61" s="14" t="str">
        <f>IFERROR(__xludf.DUMMYFUNCTION("""COMPUTED_VALUE"""),"無くす")</f>
        <v>無くす</v>
      </c>
      <c r="K61" s="14" t="str">
        <f>IFERROR(__xludf.DUMMYFUNCTION("""COMPUTED_VALUE"""),"nakusuなくす")</f>
        <v>nakusuなくす</v>
      </c>
      <c r="L61" s="14" t="str">
        <f>IFERROR(__xludf.DUMMYFUNCTION("""COMPUTED_VALUE"""),"to lose (something)")</f>
        <v>to lose (something)</v>
      </c>
    </row>
    <row r="62">
      <c r="A62" s="67">
        <v>61.0</v>
      </c>
      <c r="B62" s="68" t="s">
        <v>2844</v>
      </c>
      <c r="C62" s="69" t="s">
        <v>2845</v>
      </c>
      <c r="D62" s="69" t="s">
        <v>2846</v>
      </c>
      <c r="J62" s="14" t="str">
        <f>IFERROR(__xludf.DUMMYFUNCTION("""COMPUTED_VALUE"""),"並べる")</f>
        <v>並べる</v>
      </c>
      <c r="K62" s="14" t="str">
        <f>IFERROR(__xludf.DUMMYFUNCTION("""COMPUTED_VALUE"""),"naraberuならべる")</f>
        <v>naraberuならべる</v>
      </c>
      <c r="L62" s="14" t="str">
        <f>IFERROR(__xludf.DUMMYFUNCTION("""COMPUTED_VALUE"""),"to line up,to set up")</f>
        <v>to line up,to set up</v>
      </c>
    </row>
    <row r="63">
      <c r="A63" s="67">
        <v>62.0</v>
      </c>
      <c r="B63" s="68" t="s">
        <v>2847</v>
      </c>
      <c r="C63" s="69" t="s">
        <v>2848</v>
      </c>
      <c r="D63" s="69" t="s">
        <v>2849</v>
      </c>
      <c r="J63" s="14" t="str">
        <f>IFERROR(__xludf.DUMMYFUNCTION("""COMPUTED_VALUE"""),"並ぶ")</f>
        <v>並ぶ</v>
      </c>
      <c r="K63" s="14" t="str">
        <f>IFERROR(__xludf.DUMMYFUNCTION("""COMPUTED_VALUE"""),"narabuならぶ")</f>
        <v>narabuならぶ</v>
      </c>
      <c r="L63" s="14" t="str">
        <f>IFERROR(__xludf.DUMMYFUNCTION("""COMPUTED_VALUE"""),"to line up,to stand in a line")</f>
        <v>to line up,to stand in a line</v>
      </c>
    </row>
    <row r="64">
      <c r="A64" s="67">
        <v>63.0</v>
      </c>
      <c r="B64" s="68" t="s">
        <v>2850</v>
      </c>
      <c r="C64" s="69" t="s">
        <v>2851</v>
      </c>
      <c r="D64" s="69" t="s">
        <v>2852</v>
      </c>
      <c r="J64" s="14" t="str">
        <f>IFERROR(__xludf.DUMMYFUNCTION("""COMPUTED_VALUE"""),"習う")</f>
        <v>習う</v>
      </c>
      <c r="K64" s="14" t="str">
        <f>IFERROR(__xludf.DUMMYFUNCTION("""COMPUTED_VALUE"""),"narauならう")</f>
        <v>narauならう</v>
      </c>
      <c r="L64" s="14" t="str">
        <f>IFERROR(__xludf.DUMMYFUNCTION("""COMPUTED_VALUE"""),"to be taught; to learn (from a teacher)")</f>
        <v>to be taught; to learn (from a teacher)</v>
      </c>
    </row>
    <row r="65">
      <c r="A65" s="67">
        <v>64.0</v>
      </c>
      <c r="B65" s="68" t="s">
        <v>2853</v>
      </c>
      <c r="C65" s="69" t="s">
        <v>2854</v>
      </c>
      <c r="D65" s="69" t="s">
        <v>2855</v>
      </c>
      <c r="J65" s="14" t="str">
        <f>IFERROR(__xludf.DUMMYFUNCTION("""COMPUTED_VALUE"""),"寝る")</f>
        <v>寝る</v>
      </c>
      <c r="K65" s="14" t="str">
        <f>IFERROR(__xludf.DUMMYFUNCTION("""COMPUTED_VALUE"""),"neruねる")</f>
        <v>neruねる</v>
      </c>
      <c r="L65" s="14" t="str">
        <f>IFERROR(__xludf.DUMMYFUNCTION("""COMPUTED_VALUE"""),"to sleep; to go to bed; to lie down")</f>
        <v>to sleep; to go to bed; to lie down</v>
      </c>
    </row>
    <row r="66">
      <c r="A66" s="67">
        <v>65.0</v>
      </c>
      <c r="B66" s="68" t="s">
        <v>2856</v>
      </c>
      <c r="C66" s="69" t="s">
        <v>2857</v>
      </c>
      <c r="D66" s="69" t="s">
        <v>2858</v>
      </c>
      <c r="J66" s="14" t="str">
        <f>IFERROR(__xludf.DUMMYFUNCTION("""COMPUTED_VALUE"""),"登る")</f>
        <v>登る</v>
      </c>
      <c r="K66" s="14" t="str">
        <f>IFERROR(__xludf.DUMMYFUNCTION("""COMPUTED_VALUE"""),"noboruのぼる")</f>
        <v>noboruのぼる</v>
      </c>
      <c r="L66" s="14" t="str">
        <f>IFERROR(__xludf.DUMMYFUNCTION("""COMPUTED_VALUE"""),"to climb")</f>
        <v>to climb</v>
      </c>
    </row>
    <row r="67">
      <c r="A67" s="67">
        <v>66.0</v>
      </c>
      <c r="B67" s="68" t="s">
        <v>2859</v>
      </c>
      <c r="C67" s="69" t="s">
        <v>2860</v>
      </c>
      <c r="D67" s="69" t="s">
        <v>2861</v>
      </c>
      <c r="J67" s="14" t="str">
        <f>IFERROR(__xludf.DUMMYFUNCTION("""COMPUTED_VALUE"""),"飲む")</f>
        <v>飲む</v>
      </c>
      <c r="K67" s="14" t="str">
        <f>IFERROR(__xludf.DUMMYFUNCTION("""COMPUTED_VALUE"""),"nomuのむ")</f>
        <v>nomuのむ</v>
      </c>
      <c r="L67" s="14" t="str">
        <f>IFERROR(__xludf.DUMMYFUNCTION("""COMPUTED_VALUE"""),"to drink")</f>
        <v>to drink</v>
      </c>
    </row>
    <row r="68">
      <c r="A68" s="67">
        <v>67.0</v>
      </c>
      <c r="B68" s="68" t="s">
        <v>2862</v>
      </c>
      <c r="C68" s="69" t="s">
        <v>2863</v>
      </c>
      <c r="D68" s="69" t="s">
        <v>2864</v>
      </c>
      <c r="J68" s="14" t="str">
        <f>IFERROR(__xludf.DUMMYFUNCTION("""COMPUTED_VALUE"""),"乗る")</f>
        <v>乗る</v>
      </c>
      <c r="K68" s="14" t="str">
        <f>IFERROR(__xludf.DUMMYFUNCTION("""COMPUTED_VALUE"""),"noruのる")</f>
        <v>noruのる</v>
      </c>
      <c r="L68" s="14" t="str">
        <f>IFERROR(__xludf.DUMMYFUNCTION("""COMPUTED_VALUE"""),"to get on (train, plane, bus, ship, etc.)")</f>
        <v>to get on (train, plane, bus, ship, etc.)</v>
      </c>
    </row>
    <row r="69">
      <c r="A69" s="67">
        <v>68.0</v>
      </c>
      <c r="B69" s="68" t="s">
        <v>2865</v>
      </c>
      <c r="C69" s="69" t="s">
        <v>2866</v>
      </c>
      <c r="D69" s="69" t="s">
        <v>2867</v>
      </c>
      <c r="J69" s="14" t="str">
        <f>IFERROR(__xludf.DUMMYFUNCTION("""COMPUTED_VALUE"""),"脱ぐ")</f>
        <v>脱ぐ</v>
      </c>
      <c r="K69" s="14" t="str">
        <f>IFERROR(__xludf.DUMMYFUNCTION("""COMPUTED_VALUE"""),"nuguぬぐ")</f>
        <v>nuguぬぐ</v>
      </c>
      <c r="L69" s="14" t="str">
        <f>IFERROR(__xludf.DUMMYFUNCTION("""COMPUTED_VALUE"""),"to take off clothes")</f>
        <v>to take off clothes</v>
      </c>
    </row>
    <row r="70">
      <c r="A70" s="67">
        <v>69.0</v>
      </c>
      <c r="B70" s="68" t="s">
        <v>2868</v>
      </c>
      <c r="C70" s="69" t="s">
        <v>2869</v>
      </c>
      <c r="D70" s="69" t="s">
        <v>2870</v>
      </c>
      <c r="J70" s="14" t="str">
        <f>IFERROR(__xludf.DUMMYFUNCTION("""COMPUTED_VALUE"""),"覚える")</f>
        <v>覚える</v>
      </c>
      <c r="K70" s="14" t="str">
        <f>IFERROR(__xludf.DUMMYFUNCTION("""COMPUTED_VALUE"""),"oboeruおぼえる")</f>
        <v>oboeruおぼえる</v>
      </c>
      <c r="L70" s="14" t="str">
        <f>IFERROR(__xludf.DUMMYFUNCTION("""COMPUTED_VALUE"""),"to remember")</f>
        <v>to remember</v>
      </c>
    </row>
    <row r="71">
      <c r="A71" s="67">
        <v>70.0</v>
      </c>
      <c r="B71" s="68" t="s">
        <v>2871</v>
      </c>
      <c r="C71" s="69" t="s">
        <v>2872</v>
      </c>
      <c r="D71" s="69" t="s">
        <v>2873</v>
      </c>
      <c r="J71" s="14" t="str">
        <f>IFERROR(__xludf.DUMMYFUNCTION("""COMPUTED_VALUE"""),"起きる")</f>
        <v>起きる</v>
      </c>
      <c r="K71" s="14" t="str">
        <f>IFERROR(__xludf.DUMMYFUNCTION("""COMPUTED_VALUE"""),"okiruおきる")</f>
        <v>okiruおきる</v>
      </c>
      <c r="L71" s="14" t="str">
        <f>IFERROR(__xludf.DUMMYFUNCTION("""COMPUTED_VALUE"""),"to get up; to wake up")</f>
        <v>to get up; to wake up</v>
      </c>
    </row>
    <row r="72">
      <c r="A72" s="67">
        <v>71.0</v>
      </c>
      <c r="B72" s="68" t="s">
        <v>2874</v>
      </c>
      <c r="C72" s="69" t="s">
        <v>2875</v>
      </c>
      <c r="D72" s="69" t="s">
        <v>2876</v>
      </c>
      <c r="J72" s="14" t="str">
        <f>IFERROR(__xludf.DUMMYFUNCTION("""COMPUTED_VALUE"""),"置く")</f>
        <v>置く</v>
      </c>
      <c r="K72" s="14" t="str">
        <f>IFERROR(__xludf.DUMMYFUNCTION("""COMPUTED_VALUE"""),"okuおく")</f>
        <v>okuおく</v>
      </c>
      <c r="L72" s="14" t="str">
        <f>IFERROR(__xludf.DUMMYFUNCTION("""COMPUTED_VALUE"""),"to put; to place​")</f>
        <v>to put; to place​</v>
      </c>
    </row>
    <row r="73">
      <c r="A73" s="67">
        <v>72.0</v>
      </c>
      <c r="B73" s="68" t="s">
        <v>2877</v>
      </c>
      <c r="C73" s="69" t="s">
        <v>2878</v>
      </c>
      <c r="D73" s="69" t="s">
        <v>2879</v>
      </c>
      <c r="J73" s="14" t="str">
        <f>IFERROR(__xludf.DUMMYFUNCTION("""COMPUTED_VALUE"""),"降りる")</f>
        <v>降りる</v>
      </c>
      <c r="K73" s="14" t="str">
        <f>IFERROR(__xludf.DUMMYFUNCTION("""COMPUTED_VALUE"""),"oriruおりる")</f>
        <v>oriruおりる</v>
      </c>
      <c r="L73" s="14" t="str">
        <f>IFERROR(__xludf.DUMMYFUNCTION("""COMPUTED_VALUE"""),"to get off")</f>
        <v>to get off</v>
      </c>
    </row>
    <row r="74">
      <c r="A74" s="67">
        <v>73.0</v>
      </c>
      <c r="B74" s="68" t="s">
        <v>2880</v>
      </c>
      <c r="C74" s="69" t="s">
        <v>2881</v>
      </c>
      <c r="D74" s="69" t="s">
        <v>2882</v>
      </c>
      <c r="J74" s="14" t="str">
        <f>IFERROR(__xludf.DUMMYFUNCTION("""COMPUTED_VALUE"""),"教える")</f>
        <v>教える</v>
      </c>
      <c r="K74" s="14" t="str">
        <f>IFERROR(__xludf.DUMMYFUNCTION("""COMPUTED_VALUE"""),"oshieruおしえる")</f>
        <v>oshieruおしえる</v>
      </c>
      <c r="L74" s="14" t="str">
        <f>IFERROR(__xludf.DUMMYFUNCTION("""COMPUTED_VALUE"""),"to teach")</f>
        <v>to teach</v>
      </c>
    </row>
    <row r="75">
      <c r="A75" s="67">
        <v>74.0</v>
      </c>
      <c r="B75" s="68" t="s">
        <v>2883</v>
      </c>
      <c r="C75" s="69" t="s">
        <v>2884</v>
      </c>
      <c r="D75" s="69" t="s">
        <v>2885</v>
      </c>
      <c r="J75" s="14" t="str">
        <f>IFERROR(__xludf.DUMMYFUNCTION("""COMPUTED_VALUE"""),"押す")</f>
        <v>押す</v>
      </c>
      <c r="K75" s="14" t="str">
        <f>IFERROR(__xludf.DUMMYFUNCTION("""COMPUTED_VALUE"""),"osuおす")</f>
        <v>osuおす</v>
      </c>
      <c r="L75" s="14" t="str">
        <f>IFERROR(__xludf.DUMMYFUNCTION("""COMPUTED_VALUE"""),"to push; to press​")</f>
        <v>to push; to press​</v>
      </c>
    </row>
    <row r="76">
      <c r="A76" s="67">
        <v>75.0</v>
      </c>
      <c r="B76" s="68" t="s">
        <v>2507</v>
      </c>
      <c r="C76" s="69" t="s">
        <v>2886</v>
      </c>
      <c r="D76" s="69" t="s">
        <v>2509</v>
      </c>
      <c r="J76" s="14" t="str">
        <f>IFERROR(__xludf.DUMMYFUNCTION("""COMPUTED_VALUE"""),"終わる")</f>
        <v>終わる</v>
      </c>
      <c r="K76" s="14" t="str">
        <f>IFERROR(__xludf.DUMMYFUNCTION("""COMPUTED_VALUE"""),"owaruおわる")</f>
        <v>owaruおわる</v>
      </c>
      <c r="L76" s="14" t="str">
        <f>IFERROR(__xludf.DUMMYFUNCTION("""COMPUTED_VALUE"""),"to finish; to end")</f>
        <v>to finish; to end</v>
      </c>
    </row>
    <row r="77">
      <c r="A77" s="67">
        <v>76.0</v>
      </c>
      <c r="B77" s="68" t="s">
        <v>2887</v>
      </c>
      <c r="C77" s="69" t="s">
        <v>2888</v>
      </c>
      <c r="D77" s="69" t="s">
        <v>2889</v>
      </c>
      <c r="J77" s="14" t="str">
        <f>IFERROR(__xludf.DUMMYFUNCTION("""COMPUTED_VALUE"""),"泳ぐ")</f>
        <v>泳ぐ</v>
      </c>
      <c r="K77" s="14" t="str">
        <f>IFERROR(__xludf.DUMMYFUNCTION("""COMPUTED_VALUE"""),"oyoguおよぐ")</f>
        <v>oyoguおよぐ</v>
      </c>
      <c r="L77" s="14" t="str">
        <f>IFERROR(__xludf.DUMMYFUNCTION("""COMPUTED_VALUE"""),"to swim")</f>
        <v>to swim</v>
      </c>
    </row>
    <row r="78">
      <c r="A78" s="67">
        <v>77.0</v>
      </c>
      <c r="B78" s="68" t="s">
        <v>2890</v>
      </c>
      <c r="C78" s="69" t="s">
        <v>2891</v>
      </c>
      <c r="D78" s="69" t="s">
        <v>2892</v>
      </c>
      <c r="J78" s="14" t="str">
        <f>IFERROR(__xludf.DUMMYFUNCTION("""COMPUTED_VALUE"""),"練習")</f>
        <v>練習</v>
      </c>
      <c r="K78" s="14" t="str">
        <f>IFERROR(__xludf.DUMMYFUNCTION("""COMPUTED_VALUE"""),"renshuuれんしゅう")</f>
        <v>renshuuれんしゅう</v>
      </c>
      <c r="L78" s="14" t="str">
        <f>IFERROR(__xludf.DUMMYFUNCTION("""COMPUTED_VALUE"""),"practice; practicing")</f>
        <v>practice; practicing</v>
      </c>
    </row>
    <row r="79">
      <c r="A79" s="67">
        <v>78.0</v>
      </c>
      <c r="B79" s="68" t="s">
        <v>2893</v>
      </c>
      <c r="C79" s="69" t="s">
        <v>2894</v>
      </c>
      <c r="D79" s="69" t="s">
        <v>2895</v>
      </c>
      <c r="J79" s="14" t="str">
        <f>IFERROR(__xludf.DUMMYFUNCTION("""COMPUTED_VALUE"""),"旅行")</f>
        <v>旅行</v>
      </c>
      <c r="K79" s="14" t="str">
        <f>IFERROR(__xludf.DUMMYFUNCTION("""COMPUTED_VALUE"""),"ryokouりょこう")</f>
        <v>ryokouりょこう</v>
      </c>
      <c r="L79" s="14" t="str">
        <f>IFERROR(__xludf.DUMMYFUNCTION("""COMPUTED_VALUE"""),"travel; trip; journey; excursion; tour")</f>
        <v>travel; trip; journey; excursion; tour</v>
      </c>
    </row>
    <row r="80">
      <c r="A80" s="67">
        <v>79.0</v>
      </c>
      <c r="B80" s="68" t="s">
        <v>2896</v>
      </c>
      <c r="C80" s="69" t="s">
        <v>2897</v>
      </c>
      <c r="D80" s="69" t="s">
        <v>2898</v>
      </c>
      <c r="J80" s="14" t="str">
        <f>IFERROR(__xludf.DUMMYFUNCTION("""COMPUTED_VALUE"""),"料理")</f>
        <v>料理</v>
      </c>
      <c r="K80" s="14" t="str">
        <f>IFERROR(__xludf.DUMMYFUNCTION("""COMPUTED_VALUE"""),"ryouriりょうり")</f>
        <v>ryouriりょうり</v>
      </c>
      <c r="L80" s="14" t="str">
        <f>IFERROR(__xludf.DUMMYFUNCTION("""COMPUTED_VALUE"""),"cuisine")</f>
        <v>cuisine</v>
      </c>
    </row>
    <row r="81">
      <c r="A81" s="67">
        <v>80.0</v>
      </c>
      <c r="B81" s="68" t="s">
        <v>2899</v>
      </c>
      <c r="C81" s="69" t="s">
        <v>2900</v>
      </c>
      <c r="D81" s="69" t="s">
        <v>2901</v>
      </c>
      <c r="J81" s="14" t="str">
        <f>IFERROR(__xludf.DUMMYFUNCTION("""COMPUTED_VALUE"""),"咲く")</f>
        <v>咲く</v>
      </c>
      <c r="K81" s="14" t="str">
        <f>IFERROR(__xludf.DUMMYFUNCTION("""COMPUTED_VALUE"""),"sakuさく")</f>
        <v>sakuさく</v>
      </c>
      <c r="L81" s="14" t="str">
        <f>IFERROR(__xludf.DUMMYFUNCTION("""COMPUTED_VALUE"""),"to bloom")</f>
        <v>to bloom</v>
      </c>
    </row>
    <row r="82">
      <c r="A82" s="67">
        <v>81.0</v>
      </c>
      <c r="B82" s="68" t="s">
        <v>2902</v>
      </c>
      <c r="C82" s="69" t="s">
        <v>2903</v>
      </c>
      <c r="D82" s="69" t="s">
        <v>2904</v>
      </c>
      <c r="J82" s="14" t="str">
        <f>IFERROR(__xludf.DUMMYFUNCTION("""COMPUTED_VALUE"""),"散歩")</f>
        <v>散歩</v>
      </c>
      <c r="K82" s="14" t="str">
        <f>IFERROR(__xludf.DUMMYFUNCTION("""COMPUTED_VALUE"""),"sanpoさんぽ")</f>
        <v>sanpoさんぽ</v>
      </c>
      <c r="L82" s="14" t="str">
        <f>IFERROR(__xludf.DUMMYFUNCTION("""COMPUTED_VALUE"""),"walk; stroll")</f>
        <v>walk; stroll</v>
      </c>
    </row>
    <row r="83">
      <c r="A83" s="67">
        <v>82.0</v>
      </c>
      <c r="B83" s="68" t="s">
        <v>2905</v>
      </c>
      <c r="C83" s="69" t="s">
        <v>2906</v>
      </c>
      <c r="D83" s="69" t="s">
        <v>2907</v>
      </c>
      <c r="J83" s="14" t="str">
        <f>IFERROR(__xludf.DUMMYFUNCTION("""COMPUTED_VALUE"""),"差す")</f>
        <v>差す</v>
      </c>
      <c r="K83" s="14" t="str">
        <f>IFERROR(__xludf.DUMMYFUNCTION("""COMPUTED_VALUE"""),"sasuさす")</f>
        <v>sasuさす</v>
      </c>
      <c r="L83" s="14" t="str">
        <f>IFERROR(__xludf.DUMMYFUNCTION("""COMPUTED_VALUE"""),"to stretch out hands, to raise an umbrella")</f>
        <v>to stretch out hands, to raise an umbrella</v>
      </c>
    </row>
    <row r="84">
      <c r="A84" s="67">
        <v>83.0</v>
      </c>
      <c r="B84" s="68" t="s">
        <v>2908</v>
      </c>
      <c r="C84" s="69" t="s">
        <v>2909</v>
      </c>
      <c r="D84" s="69" t="s">
        <v>2910</v>
      </c>
      <c r="J84" s="14" t="str">
        <f>IFERROR(__xludf.DUMMYFUNCTION("""COMPUTED_VALUE"""),"洗濯")</f>
        <v>洗濯</v>
      </c>
      <c r="K84" s="14" t="str">
        <f>IFERROR(__xludf.DUMMYFUNCTION("""COMPUTED_VALUE"""),"sentakuせんたく")</f>
        <v>sentakuせんたく</v>
      </c>
      <c r="L84" s="14" t="str">
        <f>IFERROR(__xludf.DUMMYFUNCTION("""COMPUTED_VALUE"""),"washing; laundry")</f>
        <v>washing; laundry</v>
      </c>
    </row>
    <row r="85">
      <c r="A85" s="67">
        <v>84.0</v>
      </c>
      <c r="B85" s="68" t="s">
        <v>2911</v>
      </c>
      <c r="C85" s="69" t="s">
        <v>2912</v>
      </c>
      <c r="D85" s="69" t="s">
        <v>2913</v>
      </c>
      <c r="J85" s="14" t="str">
        <f>IFERROR(__xludf.DUMMYFUNCTION("""COMPUTED_VALUE"""),"仕事")</f>
        <v>仕事</v>
      </c>
      <c r="K85" s="14" t="str">
        <f>IFERROR(__xludf.DUMMYFUNCTION("""COMPUTED_VALUE"""),"shigotoしごと")</f>
        <v>shigotoしごと</v>
      </c>
      <c r="L85" s="14" t="str">
        <f>IFERROR(__xludf.DUMMYFUNCTION("""COMPUTED_VALUE"""),"work; job; business")</f>
        <v>work; job; business</v>
      </c>
    </row>
    <row r="86">
      <c r="A86" s="67">
        <v>85.0</v>
      </c>
      <c r="B86" s="68" t="s">
        <v>2914</v>
      </c>
      <c r="C86" s="69" t="s">
        <v>2915</v>
      </c>
      <c r="D86" s="69" t="s">
        <v>2916</v>
      </c>
      <c r="J86" s="14" t="str">
        <f>IFERROR(__xludf.DUMMYFUNCTION("""COMPUTED_VALUE"""),"閉まる")</f>
        <v>閉まる</v>
      </c>
      <c r="K86" s="14" t="str">
        <f>IFERROR(__xludf.DUMMYFUNCTION("""COMPUTED_VALUE"""),"shimaruしまる")</f>
        <v>shimaruしまる</v>
      </c>
      <c r="L86" s="14" t="str">
        <f>IFERROR(__xludf.DUMMYFUNCTION("""COMPUTED_VALUE"""),"to close, to be closed")</f>
        <v>to close, to be closed</v>
      </c>
    </row>
    <row r="87">
      <c r="A87" s="67">
        <v>86.0</v>
      </c>
      <c r="B87" s="68" t="s">
        <v>2917</v>
      </c>
      <c r="C87" s="69" t="s">
        <v>2918</v>
      </c>
      <c r="D87" s="69" t="s">
        <v>2919</v>
      </c>
      <c r="J87" s="14" t="str">
        <f>IFERROR(__xludf.DUMMYFUNCTION("""COMPUTED_VALUE"""),"閉める")</f>
        <v>閉める</v>
      </c>
      <c r="K87" s="14" t="str">
        <f>IFERROR(__xludf.DUMMYFUNCTION("""COMPUTED_VALUE"""),"shimeruしめる")</f>
        <v>shimeruしめる</v>
      </c>
      <c r="L87" s="14" t="str">
        <f>IFERROR(__xludf.DUMMYFUNCTION("""COMPUTED_VALUE"""),"to close; to shut")</f>
        <v>to close; to shut</v>
      </c>
    </row>
    <row r="88">
      <c r="A88" s="67">
        <v>87.0</v>
      </c>
      <c r="B88" s="68" t="s">
        <v>2920</v>
      </c>
      <c r="C88" s="69" t="s">
        <v>2918</v>
      </c>
      <c r="D88" s="69" t="s">
        <v>2921</v>
      </c>
      <c r="J88" s="14" t="str">
        <f>IFERROR(__xludf.DUMMYFUNCTION("""COMPUTED_VALUE"""),"締める")</f>
        <v>締める</v>
      </c>
      <c r="K88" s="14" t="str">
        <f>IFERROR(__xludf.DUMMYFUNCTION("""COMPUTED_VALUE"""),"shimeruしめる")</f>
        <v>shimeruしめる</v>
      </c>
      <c r="L88" s="14" t="str">
        <f>IFERROR(__xludf.DUMMYFUNCTION("""COMPUTED_VALUE"""),"to tie; to fasten; to tighten​")</f>
        <v>to tie; to fasten; to tighten​</v>
      </c>
    </row>
    <row r="89">
      <c r="A89" s="67">
        <v>88.0</v>
      </c>
      <c r="B89" s="68" t="s">
        <v>2922</v>
      </c>
      <c r="C89" s="69" t="s">
        <v>2923</v>
      </c>
      <c r="D89" s="69" t="s">
        <v>2924</v>
      </c>
      <c r="J89" s="14" t="str">
        <f>IFERROR(__xludf.DUMMYFUNCTION("""COMPUTED_VALUE"""),"死ぬ")</f>
        <v>死ぬ</v>
      </c>
      <c r="K89" s="14" t="str">
        <f>IFERROR(__xludf.DUMMYFUNCTION("""COMPUTED_VALUE"""),"shinuしぬ")</f>
        <v>shinuしぬ</v>
      </c>
      <c r="L89" s="14" t="str">
        <f>IFERROR(__xludf.DUMMYFUNCTION("""COMPUTED_VALUE"""),"to die")</f>
        <v>to die</v>
      </c>
    </row>
    <row r="90">
      <c r="A90" s="67">
        <v>89.0</v>
      </c>
      <c r="B90" s="68" t="s">
        <v>2925</v>
      </c>
      <c r="C90" s="69" t="s">
        <v>2926</v>
      </c>
      <c r="D90" s="69" t="s">
        <v>2927</v>
      </c>
      <c r="J90" s="14" t="str">
        <f>IFERROR(__xludf.DUMMYFUNCTION("""COMPUTED_VALUE"""),"知る")</f>
        <v>知る</v>
      </c>
      <c r="K90" s="14" t="str">
        <f>IFERROR(__xludf.DUMMYFUNCTION("""COMPUTED_VALUE"""),"shiruしる")</f>
        <v>shiruしる</v>
      </c>
      <c r="L90" s="14" t="str">
        <f>IFERROR(__xludf.DUMMYFUNCTION("""COMPUTED_VALUE"""),"to know")</f>
        <v>to know</v>
      </c>
    </row>
    <row r="91">
      <c r="A91" s="67">
        <v>90.0</v>
      </c>
      <c r="B91" s="68" t="s">
        <v>2928</v>
      </c>
      <c r="C91" s="69" t="s">
        <v>2929</v>
      </c>
      <c r="D91" s="69" t="s">
        <v>2930</v>
      </c>
      <c r="J91" s="14" t="str">
        <f>IFERROR(__xludf.DUMMYFUNCTION("""COMPUTED_VALUE"""),"質問")</f>
        <v>質問</v>
      </c>
      <c r="K91" s="14" t="str">
        <f>IFERROR(__xludf.DUMMYFUNCTION("""COMPUTED_VALUE"""),"shitsumonしつもん")</f>
        <v>shitsumonしつもん</v>
      </c>
      <c r="L91" s="14" t="str">
        <f>IFERROR(__xludf.DUMMYFUNCTION("""COMPUTED_VALUE"""),"question; inquiry")</f>
        <v>question; inquiry</v>
      </c>
    </row>
    <row r="92">
      <c r="A92" s="67">
        <v>91.0</v>
      </c>
      <c r="B92" s="68" t="s">
        <v>2931</v>
      </c>
      <c r="C92" s="69" t="s">
        <v>2932</v>
      </c>
      <c r="D92" s="69" t="s">
        <v>2933</v>
      </c>
      <c r="J92" s="14" t="str">
        <f>IFERROR(__xludf.DUMMYFUNCTION("""COMPUTED_VALUE"""),"掃除")</f>
        <v>掃除</v>
      </c>
      <c r="K92" s="14" t="str">
        <f>IFERROR(__xludf.DUMMYFUNCTION("""COMPUTED_VALUE"""),"soujiそうじ")</f>
        <v>soujiそうじ</v>
      </c>
      <c r="L92" s="14" t="str">
        <f>IFERROR(__xludf.DUMMYFUNCTION("""COMPUTED_VALUE"""),"to clean, to sweep")</f>
        <v>to clean, to sweep</v>
      </c>
    </row>
    <row r="93">
      <c r="A93" s="67">
        <v>92.0</v>
      </c>
      <c r="B93" s="68" t="s">
        <v>2934</v>
      </c>
      <c r="C93" s="69" t="s">
        <v>2935</v>
      </c>
      <c r="D93" s="69" t="s">
        <v>2936</v>
      </c>
      <c r="J93" s="14" t="str">
        <f>IFERROR(__xludf.DUMMYFUNCTION("""COMPUTED_VALUE"""),"住む")</f>
        <v>住む</v>
      </c>
      <c r="K93" s="14" t="str">
        <f>IFERROR(__xludf.DUMMYFUNCTION("""COMPUTED_VALUE"""),"sumuすむ")</f>
        <v>sumuすむ</v>
      </c>
      <c r="L93" s="14" t="str">
        <f>IFERROR(__xludf.DUMMYFUNCTION("""COMPUTED_VALUE"""),"to live in; to reside; to inhabit; to dwell; to abide")</f>
        <v>to live in; to reside; to inhabit; to dwell; to abide</v>
      </c>
    </row>
    <row r="94">
      <c r="A94" s="67">
        <v>93.0</v>
      </c>
      <c r="B94" s="68" t="s">
        <v>2937</v>
      </c>
      <c r="C94" s="69" t="s">
        <v>2938</v>
      </c>
      <c r="D94" s="69" t="s">
        <v>2939</v>
      </c>
      <c r="J94" s="14" t="str">
        <f>IFERROR(__xludf.DUMMYFUNCTION("""COMPUTED_VALUE"""),"吸う")</f>
        <v>吸う</v>
      </c>
      <c r="K94" s="14" t="str">
        <f>IFERROR(__xludf.DUMMYFUNCTION("""COMPUTED_VALUE"""),"suuすう")</f>
        <v>suuすう</v>
      </c>
      <c r="L94" s="14" t="str">
        <f>IFERROR(__xludf.DUMMYFUNCTION("""COMPUTED_VALUE"""),"to smoke, to suck")</f>
        <v>to smoke, to suck</v>
      </c>
    </row>
    <row r="95">
      <c r="A95" s="67">
        <v>94.0</v>
      </c>
      <c r="B95" s="68" t="s">
        <v>2940</v>
      </c>
      <c r="C95" s="69" t="s">
        <v>2941</v>
      </c>
      <c r="D95" s="69" t="s">
        <v>2942</v>
      </c>
      <c r="J95" s="14" t="str">
        <f>IFERROR(__xludf.DUMMYFUNCTION("""COMPUTED_VALUE"""),"座る")</f>
        <v>座る</v>
      </c>
      <c r="K95" s="14" t="str">
        <f>IFERROR(__xludf.DUMMYFUNCTION("""COMPUTED_VALUE"""),"suwaruすわる")</f>
        <v>suwaruすわる</v>
      </c>
      <c r="L95" s="14" t="str">
        <f>IFERROR(__xludf.DUMMYFUNCTION("""COMPUTED_VALUE"""),"to sit")</f>
        <v>to sit</v>
      </c>
    </row>
    <row r="96">
      <c r="A96" s="67">
        <v>95.0</v>
      </c>
      <c r="B96" s="68" t="s">
        <v>2943</v>
      </c>
      <c r="C96" s="69" t="s">
        <v>2944</v>
      </c>
      <c r="D96" s="69" t="s">
        <v>2945</v>
      </c>
      <c r="J96" s="14" t="str">
        <f>IFERROR(__xludf.DUMMYFUNCTION("""COMPUTED_VALUE"""),"食べる")</f>
        <v>食べる</v>
      </c>
      <c r="K96" s="14" t="str">
        <f>IFERROR(__xludf.DUMMYFUNCTION("""COMPUTED_VALUE"""),"taberuたべる")</f>
        <v>taberuたべる</v>
      </c>
      <c r="L96" s="14" t="str">
        <f>IFERROR(__xludf.DUMMYFUNCTION("""COMPUTED_VALUE"""),"to eat")</f>
        <v>to eat</v>
      </c>
    </row>
    <row r="97">
      <c r="A97" s="67">
        <v>96.0</v>
      </c>
      <c r="B97" s="68" t="s">
        <v>2946</v>
      </c>
      <c r="C97" s="69" t="s">
        <v>2947</v>
      </c>
      <c r="D97" s="69" t="s">
        <v>2948</v>
      </c>
      <c r="J97" s="14" t="str">
        <f>IFERROR(__xludf.DUMMYFUNCTION("""COMPUTED_VALUE"""),"頼む")</f>
        <v>頼む</v>
      </c>
      <c r="K97" s="14" t="str">
        <f>IFERROR(__xludf.DUMMYFUNCTION("""COMPUTED_VALUE"""),"tanomuたのむ")</f>
        <v>tanomuたのむ</v>
      </c>
      <c r="L97" s="14" t="str">
        <f>IFERROR(__xludf.DUMMYFUNCTION("""COMPUTED_VALUE"""),"to ask")</f>
        <v>to ask</v>
      </c>
    </row>
    <row r="98">
      <c r="A98" s="67">
        <v>97.0</v>
      </c>
      <c r="B98" s="68" t="s">
        <v>2949</v>
      </c>
      <c r="C98" s="69" t="s">
        <v>2950</v>
      </c>
      <c r="D98" s="69" t="s">
        <v>2951</v>
      </c>
      <c r="J98" s="14" t="str">
        <f>IFERROR(__xludf.DUMMYFUNCTION("""COMPUTED_VALUE"""),"立つ")</f>
        <v>立つ</v>
      </c>
      <c r="K98" s="14" t="str">
        <f>IFERROR(__xludf.DUMMYFUNCTION("""COMPUTED_VALUE"""),"tatsuたつ")</f>
        <v>tatsuたつ</v>
      </c>
      <c r="L98" s="14" t="str">
        <f>IFERROR(__xludf.DUMMYFUNCTION("""COMPUTED_VALUE"""),"to stand; to stand up​")</f>
        <v>to stand; to stand up​</v>
      </c>
    </row>
    <row r="99">
      <c r="A99" s="67">
        <v>98.0</v>
      </c>
      <c r="B99" s="68" t="s">
        <v>1402</v>
      </c>
      <c r="C99" s="69" t="s">
        <v>1403</v>
      </c>
      <c r="D99" s="69" t="s">
        <v>1404</v>
      </c>
      <c r="J99" s="14" t="str">
        <f>IFERROR(__xludf.DUMMYFUNCTION("""COMPUTED_VALUE"""),"テスト")</f>
        <v>テスト</v>
      </c>
      <c r="K99" s="14" t="str">
        <f>IFERROR(__xludf.DUMMYFUNCTION("""COMPUTED_VALUE"""),"tesuto")</f>
        <v>tesuto</v>
      </c>
      <c r="L99" s="14" t="str">
        <f>IFERROR(__xludf.DUMMYFUNCTION("""COMPUTED_VALUE"""),"examination; quiz; test")</f>
        <v>examination; quiz; test</v>
      </c>
    </row>
    <row r="100">
      <c r="A100" s="67">
        <v>99.0</v>
      </c>
      <c r="B100" s="68" t="s">
        <v>2952</v>
      </c>
      <c r="C100" s="69" t="s">
        <v>2953</v>
      </c>
      <c r="D100" s="69" t="s">
        <v>2954</v>
      </c>
      <c r="J100" s="14" t="str">
        <f>IFERROR(__xludf.DUMMYFUNCTION("""COMPUTED_VALUE"""),"飛ぶ")</f>
        <v>飛ぶ</v>
      </c>
      <c r="K100" s="14" t="str">
        <f>IFERROR(__xludf.DUMMYFUNCTION("""COMPUTED_VALUE"""),"tobuとぶ")</f>
        <v>tobuとぶ</v>
      </c>
      <c r="L100" s="14" t="str">
        <f>IFERROR(__xludf.DUMMYFUNCTION("""COMPUTED_VALUE"""),"to fly; to hop")</f>
        <v>to fly; to hop</v>
      </c>
    </row>
    <row r="101">
      <c r="A101" s="70">
        <v>100.0</v>
      </c>
      <c r="B101" s="71" t="s">
        <v>2955</v>
      </c>
      <c r="C101" s="72" t="s">
        <v>2956</v>
      </c>
      <c r="D101" s="72" t="s">
        <v>2957</v>
      </c>
      <c r="J101" s="14" t="str">
        <f>IFERROR(__xludf.DUMMYFUNCTION("""COMPUTED_VALUE"""),"止まる")</f>
        <v>止まる</v>
      </c>
      <c r="K101" s="14" t="str">
        <f>IFERROR(__xludf.DUMMYFUNCTION("""COMPUTED_VALUE"""),"tomaruとまる")</f>
        <v>tomaruとまる</v>
      </c>
      <c r="L101" s="14" t="str">
        <f>IFERROR(__xludf.DUMMYFUNCTION("""COMPUTED_VALUE"""),"to stop; to come to a halt")</f>
        <v>to stop; to come to a halt</v>
      </c>
    </row>
    <row r="102">
      <c r="C102" s="60"/>
      <c r="D102" s="60"/>
      <c r="J102" s="14"/>
      <c r="K102" s="14"/>
      <c r="L102" s="14"/>
    </row>
    <row r="103">
      <c r="C103" s="60"/>
      <c r="D103" s="60"/>
      <c r="J103" s="14"/>
      <c r="K103" s="14"/>
      <c r="L103" s="14"/>
    </row>
    <row r="104">
      <c r="C104" s="60"/>
      <c r="D104" s="60"/>
      <c r="J104" s="14"/>
      <c r="K104" s="14"/>
      <c r="L104" s="14"/>
    </row>
    <row r="105">
      <c r="C105" s="60"/>
      <c r="D105" s="60"/>
      <c r="J105" s="14"/>
      <c r="K105" s="14"/>
      <c r="L105" s="14"/>
    </row>
    <row r="106">
      <c r="C106" s="60"/>
      <c r="D106" s="60"/>
      <c r="J106" s="14"/>
      <c r="K106" s="14"/>
      <c r="L106" s="14"/>
    </row>
    <row r="107">
      <c r="C107" s="60"/>
      <c r="D107" s="60"/>
      <c r="J107" s="14"/>
      <c r="K107" s="14"/>
      <c r="L107" s="14"/>
    </row>
    <row r="108">
      <c r="C108" s="60"/>
      <c r="D108" s="60"/>
      <c r="J108" s="14"/>
      <c r="K108" s="14"/>
      <c r="L108" s="14"/>
    </row>
    <row r="109">
      <c r="C109" s="60"/>
      <c r="D109" s="60"/>
      <c r="J109" s="14"/>
      <c r="K109" s="14"/>
      <c r="L109" s="14"/>
    </row>
    <row r="110">
      <c r="C110" s="60"/>
      <c r="D110" s="60"/>
      <c r="J110" s="14"/>
      <c r="K110" s="14"/>
      <c r="L110" s="14"/>
    </row>
    <row r="111">
      <c r="C111" s="60"/>
      <c r="D111" s="60"/>
      <c r="J111" s="14"/>
      <c r="K111" s="14"/>
      <c r="L111" s="14"/>
    </row>
    <row r="112">
      <c r="C112" s="60"/>
      <c r="D112" s="60"/>
      <c r="J112" s="14"/>
      <c r="K112" s="14"/>
      <c r="L112" s="14"/>
    </row>
    <row r="113">
      <c r="C113" s="60"/>
      <c r="D113" s="60"/>
      <c r="J113" s="14"/>
      <c r="K113" s="14"/>
      <c r="L113" s="14"/>
    </row>
    <row r="114">
      <c r="C114" s="60"/>
      <c r="D114" s="60"/>
      <c r="J114" s="14"/>
      <c r="K114" s="14"/>
      <c r="L114" s="14"/>
    </row>
    <row r="115">
      <c r="C115" s="60"/>
      <c r="D115" s="60"/>
      <c r="J115" s="14"/>
      <c r="K115" s="14"/>
      <c r="L115" s="14"/>
    </row>
    <row r="116">
      <c r="C116" s="60"/>
      <c r="D116" s="60"/>
      <c r="J116" s="14"/>
      <c r="K116" s="14"/>
      <c r="L116" s="14"/>
    </row>
    <row r="117">
      <c r="C117" s="60"/>
      <c r="D117" s="60"/>
      <c r="J117" s="14"/>
      <c r="K117" s="14"/>
      <c r="L117" s="14"/>
    </row>
    <row r="118">
      <c r="C118" s="60"/>
      <c r="D118" s="60"/>
      <c r="J118" s="14"/>
      <c r="K118" s="14"/>
      <c r="L118" s="14"/>
    </row>
    <row r="119">
      <c r="C119" s="60"/>
      <c r="D119" s="60"/>
      <c r="J119" s="14"/>
      <c r="K119" s="14"/>
      <c r="L119" s="14"/>
    </row>
    <row r="120">
      <c r="C120" s="60"/>
      <c r="D120" s="60"/>
      <c r="J120" s="14"/>
      <c r="K120" s="14"/>
      <c r="L120" s="14"/>
    </row>
    <row r="121">
      <c r="C121" s="60"/>
      <c r="D121" s="60"/>
      <c r="J121" s="14"/>
      <c r="K121" s="14"/>
      <c r="L121" s="14"/>
    </row>
    <row r="122">
      <c r="C122" s="60"/>
      <c r="D122" s="60"/>
      <c r="J122" s="14"/>
      <c r="K122" s="14"/>
      <c r="L122" s="14"/>
    </row>
    <row r="123">
      <c r="C123" s="60"/>
      <c r="D123" s="60"/>
      <c r="J123" s="14"/>
      <c r="K123" s="14"/>
      <c r="L123" s="14"/>
    </row>
    <row r="124">
      <c r="C124" s="60"/>
      <c r="D124" s="60"/>
      <c r="J124" s="14"/>
      <c r="K124" s="14"/>
      <c r="L124" s="14"/>
    </row>
    <row r="125">
      <c r="C125" s="60"/>
      <c r="D125" s="60"/>
      <c r="J125" s="14"/>
      <c r="K125" s="14"/>
      <c r="L125" s="14"/>
    </row>
    <row r="126">
      <c r="C126" s="60"/>
      <c r="D126" s="60"/>
      <c r="J126" s="14"/>
      <c r="K126" s="14"/>
      <c r="L126" s="14"/>
    </row>
    <row r="127">
      <c r="C127" s="60"/>
      <c r="D127" s="60"/>
      <c r="J127" s="14"/>
      <c r="K127" s="14"/>
      <c r="L127" s="14"/>
    </row>
    <row r="128">
      <c r="C128" s="60"/>
      <c r="D128" s="60"/>
      <c r="J128" s="14"/>
      <c r="K128" s="14"/>
      <c r="L128" s="14"/>
    </row>
    <row r="129">
      <c r="C129" s="60"/>
      <c r="D129" s="60"/>
      <c r="J129" s="14"/>
      <c r="K129" s="14"/>
      <c r="L129" s="14"/>
    </row>
    <row r="130">
      <c r="C130" s="60"/>
      <c r="D130" s="60"/>
      <c r="J130" s="14"/>
      <c r="K130" s="14"/>
      <c r="L130" s="14"/>
    </row>
    <row r="131">
      <c r="C131" s="60"/>
      <c r="D131" s="60"/>
      <c r="J131" s="14"/>
      <c r="K131" s="14"/>
      <c r="L131" s="14"/>
    </row>
    <row r="132">
      <c r="C132" s="60"/>
      <c r="D132" s="60"/>
      <c r="J132" s="14"/>
      <c r="K132" s="14"/>
      <c r="L132" s="14"/>
    </row>
    <row r="133">
      <c r="C133" s="60"/>
      <c r="D133" s="60"/>
      <c r="J133" s="14"/>
      <c r="K133" s="14"/>
      <c r="L133" s="14"/>
    </row>
    <row r="134">
      <c r="C134" s="60"/>
      <c r="D134" s="60"/>
      <c r="J134" s="14"/>
      <c r="K134" s="14"/>
      <c r="L134" s="14"/>
    </row>
    <row r="135">
      <c r="C135" s="60"/>
      <c r="D135" s="60"/>
      <c r="J135" s="14"/>
      <c r="K135" s="14"/>
      <c r="L135" s="14"/>
    </row>
    <row r="136">
      <c r="C136" s="60"/>
      <c r="D136" s="60"/>
      <c r="J136" s="14"/>
      <c r="K136" s="14"/>
      <c r="L136" s="14"/>
    </row>
    <row r="137">
      <c r="C137" s="60"/>
      <c r="D137" s="60"/>
      <c r="J137" s="14"/>
      <c r="K137" s="14"/>
      <c r="L137" s="14"/>
    </row>
    <row r="138">
      <c r="C138" s="60"/>
      <c r="D138" s="60"/>
      <c r="J138" s="14"/>
      <c r="K138" s="14"/>
      <c r="L138" s="14"/>
    </row>
    <row r="139">
      <c r="C139" s="60"/>
      <c r="D139" s="60"/>
      <c r="J139" s="14"/>
      <c r="K139" s="14"/>
      <c r="L139" s="14"/>
    </row>
    <row r="140">
      <c r="C140" s="60"/>
      <c r="D140" s="60"/>
      <c r="J140" s="14"/>
      <c r="K140" s="14"/>
      <c r="L140" s="14"/>
    </row>
    <row r="141">
      <c r="C141" s="60"/>
      <c r="D141" s="60"/>
      <c r="J141" s="14"/>
      <c r="K141" s="14"/>
      <c r="L141" s="14"/>
    </row>
    <row r="142">
      <c r="C142" s="60"/>
      <c r="D142" s="60"/>
      <c r="J142" s="14"/>
      <c r="K142" s="14"/>
      <c r="L142" s="14"/>
    </row>
    <row r="143">
      <c r="C143" s="60"/>
      <c r="D143" s="60"/>
      <c r="J143" s="14"/>
      <c r="K143" s="14"/>
      <c r="L143" s="14"/>
    </row>
    <row r="144">
      <c r="C144" s="60"/>
      <c r="D144" s="60"/>
      <c r="J144" s="14"/>
      <c r="K144" s="14"/>
      <c r="L144" s="14"/>
    </row>
    <row r="145">
      <c r="C145" s="60"/>
      <c r="D145" s="60"/>
      <c r="J145" s="14"/>
      <c r="K145" s="14"/>
      <c r="L145" s="14"/>
    </row>
    <row r="146">
      <c r="C146" s="60"/>
      <c r="D146" s="60"/>
      <c r="J146" s="14"/>
      <c r="K146" s="14"/>
      <c r="L146" s="14"/>
    </row>
    <row r="147">
      <c r="C147" s="60"/>
      <c r="D147" s="60"/>
      <c r="J147" s="14"/>
      <c r="K147" s="14"/>
      <c r="L147" s="14"/>
    </row>
    <row r="148">
      <c r="C148" s="60"/>
      <c r="D148" s="60"/>
      <c r="J148" s="14"/>
      <c r="K148" s="14"/>
      <c r="L148" s="14"/>
    </row>
    <row r="149">
      <c r="C149" s="60"/>
      <c r="D149" s="60"/>
      <c r="J149" s="14"/>
      <c r="K149" s="14"/>
      <c r="L149" s="14"/>
    </row>
    <row r="150">
      <c r="C150" s="60"/>
      <c r="D150" s="60"/>
      <c r="J150" s="14"/>
      <c r="K150" s="14"/>
      <c r="L150" s="14"/>
    </row>
    <row r="151">
      <c r="C151" s="60"/>
      <c r="D151" s="60"/>
      <c r="J151" s="14"/>
      <c r="K151" s="14"/>
      <c r="L151" s="14"/>
    </row>
    <row r="152">
      <c r="C152" s="60"/>
      <c r="D152" s="60"/>
      <c r="J152" s="14"/>
      <c r="K152" s="14"/>
      <c r="L152" s="14"/>
    </row>
    <row r="153">
      <c r="C153" s="60"/>
      <c r="D153" s="60"/>
      <c r="J153" s="14"/>
      <c r="K153" s="14"/>
      <c r="L153" s="14"/>
    </row>
    <row r="154">
      <c r="C154" s="60"/>
      <c r="D154" s="60"/>
      <c r="J154" s="14"/>
      <c r="K154" s="14"/>
      <c r="L154" s="14"/>
    </row>
    <row r="155">
      <c r="C155" s="60"/>
      <c r="D155" s="60"/>
      <c r="J155" s="14"/>
      <c r="K155" s="14"/>
      <c r="L155" s="14"/>
    </row>
    <row r="156">
      <c r="C156" s="60"/>
      <c r="D156" s="60"/>
      <c r="J156" s="14"/>
      <c r="K156" s="14"/>
      <c r="L156" s="14"/>
    </row>
    <row r="157">
      <c r="C157" s="60"/>
      <c r="D157" s="60"/>
      <c r="J157" s="14"/>
      <c r="K157" s="14"/>
      <c r="L157" s="14"/>
    </row>
    <row r="158">
      <c r="C158" s="60"/>
      <c r="D158" s="60"/>
      <c r="J158" s="14"/>
      <c r="K158" s="14"/>
      <c r="L158" s="14"/>
    </row>
    <row r="159">
      <c r="C159" s="60"/>
      <c r="D159" s="60"/>
      <c r="J159" s="14"/>
      <c r="K159" s="14"/>
      <c r="L159" s="14"/>
    </row>
    <row r="160">
      <c r="C160" s="60"/>
      <c r="D160" s="60"/>
      <c r="J160" s="14"/>
      <c r="K160" s="14"/>
      <c r="L160" s="14"/>
    </row>
    <row r="161">
      <c r="C161" s="60"/>
      <c r="D161" s="60"/>
      <c r="J161" s="14"/>
      <c r="K161" s="14"/>
      <c r="L161" s="14"/>
    </row>
    <row r="162">
      <c r="C162" s="60"/>
      <c r="D162" s="60"/>
      <c r="J162" s="14"/>
      <c r="K162" s="14"/>
      <c r="L162" s="14"/>
    </row>
    <row r="163">
      <c r="C163" s="60"/>
      <c r="D163" s="60"/>
      <c r="J163" s="14"/>
      <c r="K163" s="14"/>
      <c r="L163" s="14"/>
    </row>
    <row r="164">
      <c r="C164" s="60"/>
      <c r="D164" s="60"/>
      <c r="J164" s="14"/>
      <c r="K164" s="14"/>
      <c r="L164" s="14"/>
    </row>
    <row r="165">
      <c r="C165" s="60"/>
      <c r="D165" s="60"/>
      <c r="J165" s="14"/>
      <c r="K165" s="14"/>
      <c r="L165" s="14"/>
    </row>
    <row r="166">
      <c r="C166" s="60"/>
      <c r="D166" s="60"/>
      <c r="J166" s="14"/>
      <c r="K166" s="14"/>
      <c r="L166" s="14"/>
    </row>
    <row r="167">
      <c r="C167" s="60"/>
      <c r="D167" s="60"/>
      <c r="J167" s="14"/>
      <c r="K167" s="14"/>
      <c r="L167" s="14"/>
    </row>
    <row r="168">
      <c r="C168" s="60"/>
      <c r="D168" s="60"/>
      <c r="J168" s="14"/>
      <c r="K168" s="14"/>
      <c r="L168" s="14"/>
    </row>
    <row r="169">
      <c r="C169" s="60"/>
      <c r="D169" s="60"/>
      <c r="J169" s="14"/>
      <c r="K169" s="14"/>
      <c r="L169" s="14"/>
    </row>
    <row r="170">
      <c r="C170" s="60"/>
      <c r="D170" s="60"/>
      <c r="J170" s="14"/>
      <c r="K170" s="14"/>
      <c r="L170" s="14"/>
    </row>
    <row r="171">
      <c r="C171" s="60"/>
      <c r="D171" s="60"/>
      <c r="J171" s="14"/>
      <c r="K171" s="14"/>
      <c r="L171" s="14"/>
    </row>
    <row r="172">
      <c r="C172" s="60"/>
      <c r="D172" s="60"/>
      <c r="J172" s="14"/>
      <c r="K172" s="14"/>
      <c r="L172" s="14"/>
    </row>
    <row r="173">
      <c r="C173" s="60"/>
      <c r="D173" s="60"/>
      <c r="J173" s="14"/>
      <c r="K173" s="14"/>
      <c r="L173" s="14"/>
    </row>
    <row r="174">
      <c r="C174" s="60"/>
      <c r="D174" s="60"/>
      <c r="J174" s="14"/>
      <c r="K174" s="14"/>
      <c r="L174" s="14"/>
    </row>
    <row r="175">
      <c r="C175" s="60"/>
      <c r="D175" s="60"/>
      <c r="J175" s="14"/>
      <c r="K175" s="14"/>
      <c r="L175" s="14"/>
    </row>
    <row r="176">
      <c r="C176" s="60"/>
      <c r="D176" s="60"/>
      <c r="J176" s="14"/>
      <c r="K176" s="14"/>
      <c r="L176" s="14"/>
    </row>
    <row r="177">
      <c r="C177" s="60"/>
      <c r="D177" s="60"/>
      <c r="J177" s="14"/>
      <c r="K177" s="14"/>
      <c r="L177" s="14"/>
    </row>
    <row r="178">
      <c r="C178" s="60"/>
      <c r="D178" s="60"/>
      <c r="J178" s="14"/>
      <c r="K178" s="14"/>
      <c r="L178" s="14"/>
    </row>
    <row r="179">
      <c r="C179" s="60"/>
      <c r="D179" s="60"/>
      <c r="J179" s="14"/>
      <c r="K179" s="14"/>
      <c r="L179" s="14"/>
    </row>
    <row r="180">
      <c r="C180" s="60"/>
      <c r="D180" s="60"/>
      <c r="J180" s="14"/>
      <c r="K180" s="14"/>
      <c r="L180" s="14"/>
    </row>
    <row r="181">
      <c r="C181" s="60"/>
      <c r="D181" s="60"/>
      <c r="J181" s="14"/>
      <c r="K181" s="14"/>
      <c r="L181" s="14"/>
    </row>
    <row r="182">
      <c r="C182" s="60"/>
      <c r="D182" s="60"/>
      <c r="J182" s="14"/>
      <c r="K182" s="14"/>
      <c r="L182" s="14"/>
    </row>
    <row r="183">
      <c r="C183" s="60"/>
      <c r="D183" s="60"/>
      <c r="J183" s="14"/>
      <c r="K183" s="14"/>
      <c r="L183" s="14"/>
    </row>
    <row r="184">
      <c r="C184" s="60"/>
      <c r="D184" s="60"/>
      <c r="J184" s="14"/>
      <c r="K184" s="14"/>
      <c r="L184" s="14"/>
    </row>
    <row r="185">
      <c r="C185" s="60"/>
      <c r="D185" s="60"/>
      <c r="J185" s="14"/>
      <c r="K185" s="14"/>
      <c r="L185" s="14"/>
    </row>
    <row r="186">
      <c r="C186" s="60"/>
      <c r="D186" s="60"/>
      <c r="J186" s="14"/>
      <c r="K186" s="14"/>
      <c r="L186" s="14"/>
    </row>
    <row r="187">
      <c r="C187" s="60"/>
      <c r="D187" s="60"/>
      <c r="J187" s="14"/>
      <c r="K187" s="14"/>
      <c r="L187" s="14"/>
    </row>
    <row r="188">
      <c r="C188" s="60"/>
      <c r="D188" s="60"/>
      <c r="J188" s="14"/>
      <c r="K188" s="14"/>
      <c r="L188" s="14"/>
    </row>
    <row r="189">
      <c r="C189" s="60"/>
      <c r="D189" s="60"/>
      <c r="J189" s="14"/>
      <c r="K189" s="14"/>
      <c r="L189" s="14"/>
    </row>
    <row r="190">
      <c r="C190" s="60"/>
      <c r="D190" s="60"/>
      <c r="J190" s="14"/>
      <c r="K190" s="14"/>
      <c r="L190" s="14"/>
    </row>
    <row r="191">
      <c r="C191" s="60"/>
      <c r="D191" s="60"/>
      <c r="J191" s="14"/>
      <c r="K191" s="14"/>
      <c r="L191" s="14"/>
    </row>
    <row r="192">
      <c r="C192" s="60"/>
      <c r="D192" s="60"/>
      <c r="J192" s="14"/>
      <c r="K192" s="14"/>
      <c r="L192" s="14"/>
    </row>
    <row r="193">
      <c r="C193" s="60"/>
      <c r="D193" s="60"/>
      <c r="J193" s="14"/>
      <c r="K193" s="14"/>
      <c r="L193" s="14"/>
    </row>
    <row r="194">
      <c r="C194" s="60"/>
      <c r="D194" s="60"/>
      <c r="J194" s="14"/>
      <c r="K194" s="14"/>
      <c r="L194" s="14"/>
    </row>
    <row r="195">
      <c r="C195" s="60"/>
      <c r="D195" s="60"/>
      <c r="J195" s="14"/>
      <c r="K195" s="14"/>
      <c r="L195" s="14"/>
    </row>
    <row r="196">
      <c r="C196" s="60"/>
      <c r="D196" s="60"/>
      <c r="J196" s="14"/>
      <c r="K196" s="14"/>
      <c r="L196" s="14"/>
    </row>
    <row r="197">
      <c r="C197" s="60"/>
      <c r="D197" s="60"/>
      <c r="J197" s="14"/>
      <c r="K197" s="14"/>
      <c r="L197" s="14"/>
    </row>
    <row r="198">
      <c r="C198" s="60"/>
      <c r="D198" s="60"/>
      <c r="J198" s="14"/>
      <c r="K198" s="14"/>
      <c r="L198" s="14"/>
    </row>
    <row r="199">
      <c r="C199" s="60"/>
      <c r="D199" s="60"/>
      <c r="J199" s="14"/>
      <c r="K199" s="14"/>
      <c r="L199" s="14"/>
    </row>
    <row r="200">
      <c r="C200" s="60"/>
      <c r="D200" s="60"/>
      <c r="J200" s="14"/>
      <c r="K200" s="14"/>
      <c r="L200" s="14"/>
    </row>
    <row r="201">
      <c r="C201" s="60"/>
      <c r="D201" s="60"/>
      <c r="J201" s="14"/>
      <c r="K201" s="14"/>
      <c r="L201" s="14"/>
    </row>
    <row r="202">
      <c r="C202" s="60"/>
      <c r="D202" s="60"/>
      <c r="J202" s="14"/>
      <c r="K202" s="14"/>
      <c r="L202" s="14"/>
    </row>
    <row r="203">
      <c r="C203" s="60"/>
      <c r="D203" s="60"/>
      <c r="J203" s="14"/>
      <c r="K203" s="14"/>
      <c r="L203" s="14"/>
    </row>
    <row r="204">
      <c r="C204" s="60"/>
      <c r="D204" s="60"/>
      <c r="J204" s="14"/>
      <c r="K204" s="14"/>
      <c r="L204" s="14"/>
    </row>
    <row r="205">
      <c r="C205" s="60"/>
      <c r="D205" s="60"/>
      <c r="J205" s="14"/>
      <c r="K205" s="14"/>
      <c r="L205" s="14"/>
    </row>
    <row r="206">
      <c r="C206" s="60"/>
      <c r="D206" s="60"/>
      <c r="J206" s="14"/>
      <c r="K206" s="14"/>
      <c r="L206" s="14"/>
    </row>
    <row r="207">
      <c r="C207" s="60"/>
      <c r="D207" s="60"/>
      <c r="J207" s="14"/>
      <c r="K207" s="14"/>
      <c r="L207" s="14"/>
    </row>
    <row r="208">
      <c r="C208" s="60"/>
      <c r="D208" s="60"/>
      <c r="J208" s="14"/>
      <c r="K208" s="14"/>
      <c r="L208" s="14"/>
    </row>
    <row r="209">
      <c r="C209" s="60"/>
      <c r="D209" s="60"/>
      <c r="J209" s="14"/>
      <c r="K209" s="14"/>
      <c r="L209" s="14"/>
    </row>
    <row r="210">
      <c r="C210" s="60"/>
      <c r="D210" s="60"/>
      <c r="J210" s="14"/>
      <c r="K210" s="14"/>
      <c r="L210" s="14"/>
    </row>
    <row r="211">
      <c r="C211" s="60"/>
      <c r="D211" s="60"/>
      <c r="J211" s="14"/>
      <c r="K211" s="14"/>
      <c r="L211" s="14"/>
    </row>
    <row r="212">
      <c r="C212" s="60"/>
      <c r="D212" s="60"/>
      <c r="J212" s="14"/>
      <c r="K212" s="14"/>
      <c r="L212" s="14"/>
    </row>
    <row r="213">
      <c r="C213" s="60"/>
      <c r="D213" s="60"/>
      <c r="J213" s="14"/>
      <c r="K213" s="14"/>
      <c r="L213" s="14"/>
    </row>
    <row r="214">
      <c r="C214" s="60"/>
      <c r="D214" s="60"/>
      <c r="J214" s="14"/>
      <c r="K214" s="14"/>
      <c r="L214" s="14"/>
    </row>
    <row r="215">
      <c r="C215" s="60"/>
      <c r="D215" s="60"/>
      <c r="J215" s="14"/>
      <c r="K215" s="14"/>
      <c r="L215" s="14"/>
    </row>
    <row r="216">
      <c r="C216" s="60"/>
      <c r="D216" s="60"/>
      <c r="J216" s="14"/>
      <c r="K216" s="14"/>
      <c r="L216" s="14"/>
    </row>
    <row r="217">
      <c r="C217" s="60"/>
      <c r="D217" s="60"/>
      <c r="J217" s="14"/>
      <c r="K217" s="14"/>
      <c r="L217" s="14"/>
    </row>
    <row r="218">
      <c r="C218" s="60"/>
      <c r="D218" s="60"/>
      <c r="J218" s="14"/>
      <c r="K218" s="14"/>
      <c r="L218" s="14"/>
    </row>
    <row r="219">
      <c r="C219" s="60"/>
      <c r="D219" s="60"/>
      <c r="J219" s="14"/>
      <c r="K219" s="14"/>
      <c r="L219" s="14"/>
    </row>
    <row r="220">
      <c r="C220" s="60"/>
      <c r="D220" s="60"/>
      <c r="J220" s="14"/>
      <c r="K220" s="14"/>
      <c r="L220" s="14"/>
    </row>
    <row r="221">
      <c r="C221" s="60"/>
      <c r="D221" s="60"/>
      <c r="J221" s="14"/>
      <c r="K221" s="14"/>
      <c r="L221" s="14"/>
    </row>
    <row r="222">
      <c r="C222" s="60"/>
      <c r="D222" s="60"/>
      <c r="J222" s="14"/>
      <c r="K222" s="14"/>
      <c r="L222" s="14"/>
    </row>
    <row r="223">
      <c r="C223" s="60"/>
      <c r="D223" s="60"/>
      <c r="J223" s="14"/>
      <c r="K223" s="14"/>
      <c r="L223" s="14"/>
    </row>
    <row r="224">
      <c r="C224" s="60"/>
      <c r="D224" s="60"/>
      <c r="J224" s="14"/>
      <c r="K224" s="14"/>
      <c r="L224" s="14"/>
    </row>
    <row r="225">
      <c r="C225" s="60"/>
      <c r="D225" s="60"/>
      <c r="J225" s="14"/>
      <c r="K225" s="14"/>
      <c r="L225" s="14"/>
    </row>
    <row r="226">
      <c r="C226" s="60"/>
      <c r="D226" s="60"/>
      <c r="J226" s="14"/>
      <c r="K226" s="14"/>
      <c r="L226" s="14"/>
    </row>
    <row r="227">
      <c r="C227" s="60"/>
      <c r="D227" s="60"/>
      <c r="J227" s="14"/>
      <c r="K227" s="14"/>
      <c r="L227" s="14"/>
    </row>
    <row r="228">
      <c r="C228" s="60"/>
      <c r="D228" s="60"/>
      <c r="J228" s="14"/>
      <c r="K228" s="14"/>
      <c r="L228" s="14"/>
    </row>
    <row r="229">
      <c r="C229" s="60"/>
      <c r="D229" s="60"/>
      <c r="J229" s="14"/>
      <c r="K229" s="14"/>
      <c r="L229" s="14"/>
    </row>
    <row r="230">
      <c r="C230" s="60"/>
      <c r="D230" s="60"/>
      <c r="J230" s="14"/>
      <c r="K230" s="14"/>
      <c r="L230" s="14"/>
    </row>
    <row r="231">
      <c r="C231" s="60"/>
      <c r="D231" s="60"/>
      <c r="J231" s="14"/>
      <c r="K231" s="14"/>
      <c r="L231" s="14"/>
    </row>
    <row r="232">
      <c r="C232" s="60"/>
      <c r="D232" s="60"/>
      <c r="J232" s="14"/>
      <c r="K232" s="14"/>
      <c r="L232" s="14"/>
    </row>
    <row r="233">
      <c r="C233" s="60"/>
      <c r="D233" s="60"/>
      <c r="J233" s="14"/>
      <c r="K233" s="14"/>
      <c r="L233" s="14"/>
    </row>
    <row r="234">
      <c r="C234" s="60"/>
      <c r="D234" s="60"/>
      <c r="J234" s="14"/>
      <c r="K234" s="14"/>
      <c r="L234" s="14"/>
    </row>
    <row r="235">
      <c r="C235" s="60"/>
      <c r="D235" s="60"/>
      <c r="J235" s="14"/>
      <c r="K235" s="14"/>
      <c r="L235" s="14"/>
    </row>
    <row r="236">
      <c r="C236" s="60"/>
      <c r="D236" s="60"/>
      <c r="J236" s="14"/>
      <c r="K236" s="14"/>
      <c r="L236" s="14"/>
    </row>
    <row r="237">
      <c r="C237" s="60"/>
      <c r="D237" s="60"/>
      <c r="J237" s="14"/>
      <c r="K237" s="14"/>
      <c r="L237" s="14"/>
    </row>
    <row r="238">
      <c r="C238" s="60"/>
      <c r="D238" s="60"/>
      <c r="J238" s="14"/>
      <c r="K238" s="14"/>
      <c r="L238" s="14"/>
    </row>
    <row r="239">
      <c r="C239" s="60"/>
      <c r="D239" s="60"/>
      <c r="J239" s="14"/>
      <c r="K239" s="14"/>
      <c r="L239" s="14"/>
    </row>
    <row r="240">
      <c r="C240" s="60"/>
      <c r="D240" s="60"/>
      <c r="J240" s="14"/>
      <c r="K240" s="14"/>
      <c r="L240" s="14"/>
    </row>
    <row r="241">
      <c r="C241" s="60"/>
      <c r="D241" s="60"/>
      <c r="J241" s="14"/>
      <c r="K241" s="14"/>
      <c r="L241" s="14"/>
    </row>
    <row r="242">
      <c r="C242" s="60"/>
      <c r="D242" s="60"/>
      <c r="J242" s="14"/>
      <c r="K242" s="14"/>
      <c r="L242" s="14"/>
    </row>
    <row r="243">
      <c r="C243" s="60"/>
      <c r="D243" s="60"/>
      <c r="J243" s="14"/>
      <c r="K243" s="14"/>
      <c r="L243" s="14"/>
    </row>
    <row r="244">
      <c r="C244" s="60"/>
      <c r="D244" s="60"/>
      <c r="J244" s="14"/>
      <c r="K244" s="14"/>
      <c r="L244" s="14"/>
    </row>
    <row r="245">
      <c r="C245" s="60"/>
      <c r="D245" s="60"/>
      <c r="J245" s="14"/>
      <c r="K245" s="14"/>
      <c r="L245" s="14"/>
    </row>
    <row r="246">
      <c r="C246" s="60"/>
      <c r="D246" s="60"/>
      <c r="J246" s="14"/>
      <c r="K246" s="14"/>
      <c r="L246" s="14"/>
    </row>
    <row r="247">
      <c r="C247" s="60"/>
      <c r="D247" s="60"/>
      <c r="J247" s="14"/>
      <c r="K247" s="14"/>
      <c r="L247" s="14"/>
    </row>
    <row r="248">
      <c r="C248" s="60"/>
      <c r="D248" s="60"/>
      <c r="J248" s="14"/>
      <c r="K248" s="14"/>
      <c r="L248" s="14"/>
    </row>
    <row r="249">
      <c r="C249" s="60"/>
      <c r="D249" s="60"/>
      <c r="J249" s="14"/>
      <c r="K249" s="14"/>
      <c r="L249" s="14"/>
    </row>
    <row r="250">
      <c r="C250" s="60"/>
      <c r="D250" s="60"/>
      <c r="J250" s="14"/>
      <c r="K250" s="14"/>
      <c r="L250" s="14"/>
    </row>
    <row r="251">
      <c r="C251" s="60"/>
      <c r="D251" s="60"/>
      <c r="J251" s="14"/>
      <c r="K251" s="14"/>
      <c r="L251" s="14"/>
    </row>
    <row r="252">
      <c r="C252" s="60"/>
      <c r="D252" s="60"/>
      <c r="J252" s="14"/>
      <c r="K252" s="14"/>
      <c r="L252" s="14"/>
    </row>
    <row r="253">
      <c r="C253" s="60"/>
      <c r="D253" s="60"/>
      <c r="J253" s="14"/>
      <c r="K253" s="14"/>
      <c r="L253" s="14"/>
    </row>
    <row r="254">
      <c r="C254" s="60"/>
      <c r="D254" s="60"/>
      <c r="J254" s="14"/>
      <c r="K254" s="14"/>
      <c r="L254" s="14"/>
    </row>
    <row r="255">
      <c r="C255" s="60"/>
      <c r="D255" s="60"/>
      <c r="J255" s="14"/>
      <c r="K255" s="14"/>
      <c r="L255" s="14"/>
    </row>
    <row r="256">
      <c r="C256" s="60"/>
      <c r="D256" s="60"/>
      <c r="J256" s="14"/>
      <c r="K256" s="14"/>
      <c r="L256" s="14"/>
    </row>
    <row r="257">
      <c r="C257" s="60"/>
      <c r="D257" s="60"/>
      <c r="J257" s="14"/>
      <c r="K257" s="14"/>
      <c r="L257" s="14"/>
    </row>
    <row r="258">
      <c r="C258" s="60"/>
      <c r="D258" s="60"/>
      <c r="J258" s="14"/>
      <c r="K258" s="14"/>
      <c r="L258" s="14"/>
    </row>
    <row r="259">
      <c r="C259" s="60"/>
      <c r="D259" s="60"/>
      <c r="J259" s="14"/>
      <c r="K259" s="14"/>
      <c r="L259" s="14"/>
    </row>
    <row r="260">
      <c r="C260" s="60"/>
      <c r="D260" s="60"/>
      <c r="J260" s="14"/>
      <c r="K260" s="14"/>
      <c r="L260" s="14"/>
    </row>
    <row r="261">
      <c r="C261" s="60"/>
      <c r="D261" s="60"/>
      <c r="J261" s="14"/>
      <c r="K261" s="14"/>
      <c r="L261" s="14"/>
    </row>
    <row r="262">
      <c r="C262" s="60"/>
      <c r="D262" s="60"/>
      <c r="J262" s="14"/>
      <c r="K262" s="14"/>
      <c r="L262" s="14"/>
    </row>
    <row r="263">
      <c r="C263" s="60"/>
      <c r="D263" s="60"/>
      <c r="J263" s="14"/>
      <c r="K263" s="14"/>
      <c r="L263" s="14"/>
    </row>
    <row r="264">
      <c r="C264" s="60"/>
      <c r="D264" s="60"/>
      <c r="J264" s="14"/>
      <c r="K264" s="14"/>
      <c r="L264" s="14"/>
    </row>
    <row r="265">
      <c r="C265" s="60"/>
      <c r="D265" s="60"/>
      <c r="J265" s="14"/>
      <c r="K265" s="14"/>
      <c r="L265" s="14"/>
    </row>
    <row r="266">
      <c r="C266" s="60"/>
      <c r="D266" s="60"/>
      <c r="J266" s="14"/>
      <c r="K266" s="14"/>
      <c r="L266" s="14"/>
    </row>
    <row r="267">
      <c r="C267" s="60"/>
      <c r="D267" s="60"/>
      <c r="J267" s="14"/>
      <c r="K267" s="14"/>
      <c r="L267" s="14"/>
    </row>
    <row r="268">
      <c r="C268" s="60"/>
      <c r="D268" s="60"/>
      <c r="J268" s="14"/>
      <c r="K268" s="14"/>
      <c r="L268" s="14"/>
    </row>
    <row r="269">
      <c r="C269" s="60"/>
      <c r="D269" s="60"/>
      <c r="J269" s="14"/>
      <c r="K269" s="14"/>
      <c r="L269" s="14"/>
    </row>
    <row r="270">
      <c r="C270" s="60"/>
      <c r="D270" s="60"/>
      <c r="J270" s="14"/>
      <c r="K270" s="14"/>
      <c r="L270" s="14"/>
    </row>
    <row r="271">
      <c r="C271" s="60"/>
      <c r="D271" s="60"/>
      <c r="J271" s="14"/>
      <c r="K271" s="14"/>
      <c r="L271" s="14"/>
    </row>
    <row r="272">
      <c r="C272" s="60"/>
      <c r="D272" s="60"/>
      <c r="J272" s="14"/>
      <c r="K272" s="14"/>
      <c r="L272" s="14"/>
    </row>
    <row r="273">
      <c r="C273" s="60"/>
      <c r="D273" s="60"/>
      <c r="J273" s="14"/>
      <c r="K273" s="14"/>
      <c r="L273" s="14"/>
    </row>
    <row r="274">
      <c r="C274" s="60"/>
      <c r="D274" s="60"/>
      <c r="J274" s="14"/>
      <c r="K274" s="14"/>
      <c r="L274" s="14"/>
    </row>
    <row r="275">
      <c r="C275" s="60"/>
      <c r="D275" s="60"/>
      <c r="J275" s="14"/>
      <c r="K275" s="14"/>
      <c r="L275" s="14"/>
    </row>
    <row r="276">
      <c r="C276" s="60"/>
      <c r="D276" s="60"/>
      <c r="J276" s="14"/>
      <c r="K276" s="14"/>
      <c r="L276" s="14"/>
    </row>
    <row r="277">
      <c r="C277" s="60"/>
      <c r="D277" s="60"/>
      <c r="J277" s="14"/>
      <c r="K277" s="14"/>
      <c r="L277" s="14"/>
    </row>
    <row r="278">
      <c r="C278" s="60"/>
      <c r="D278" s="60"/>
      <c r="J278" s="14"/>
      <c r="K278" s="14"/>
      <c r="L278" s="14"/>
    </row>
    <row r="279">
      <c r="C279" s="60"/>
      <c r="D279" s="60"/>
      <c r="J279" s="14"/>
      <c r="K279" s="14"/>
      <c r="L279" s="14"/>
    </row>
    <row r="280">
      <c r="C280" s="60"/>
      <c r="D280" s="60"/>
      <c r="J280" s="14"/>
      <c r="K280" s="14"/>
      <c r="L280" s="14"/>
    </row>
    <row r="281">
      <c r="C281" s="60"/>
      <c r="D281" s="60"/>
      <c r="J281" s="14"/>
      <c r="K281" s="14"/>
      <c r="L281" s="14"/>
    </row>
    <row r="282">
      <c r="C282" s="60"/>
      <c r="D282" s="60"/>
      <c r="J282" s="14"/>
      <c r="K282" s="14"/>
      <c r="L282" s="14"/>
    </row>
    <row r="283">
      <c r="C283" s="60"/>
      <c r="D283" s="60"/>
      <c r="J283" s="14"/>
      <c r="K283" s="14"/>
      <c r="L283" s="14"/>
    </row>
    <row r="284">
      <c r="C284" s="60"/>
      <c r="D284" s="60"/>
      <c r="J284" s="14"/>
      <c r="K284" s="14"/>
      <c r="L284" s="14"/>
    </row>
    <row r="285">
      <c r="C285" s="60"/>
      <c r="D285" s="60"/>
      <c r="J285" s="14"/>
      <c r="K285" s="14"/>
      <c r="L285" s="14"/>
    </row>
    <row r="286">
      <c r="C286" s="60"/>
      <c r="D286" s="60"/>
      <c r="J286" s="14"/>
      <c r="K286" s="14"/>
      <c r="L286" s="14"/>
    </row>
    <row r="287">
      <c r="C287" s="60"/>
      <c r="D287" s="60"/>
      <c r="J287" s="14"/>
      <c r="K287" s="14"/>
      <c r="L287" s="14"/>
    </row>
    <row r="288">
      <c r="C288" s="60"/>
      <c r="D288" s="60"/>
      <c r="J288" s="14"/>
      <c r="K288" s="14"/>
      <c r="L288" s="14"/>
    </row>
    <row r="289">
      <c r="C289" s="60"/>
      <c r="D289" s="60"/>
      <c r="J289" s="14"/>
      <c r="K289" s="14"/>
      <c r="L289" s="14"/>
    </row>
    <row r="290">
      <c r="C290" s="60"/>
      <c r="D290" s="60"/>
      <c r="J290" s="14"/>
      <c r="K290" s="14"/>
      <c r="L290" s="14"/>
    </row>
    <row r="291">
      <c r="C291" s="60"/>
      <c r="D291" s="60"/>
      <c r="J291" s="14"/>
      <c r="K291" s="14"/>
      <c r="L291" s="14"/>
    </row>
    <row r="292">
      <c r="C292" s="60"/>
      <c r="D292" s="60"/>
      <c r="J292" s="14"/>
      <c r="K292" s="14"/>
      <c r="L292" s="14"/>
    </row>
    <row r="293">
      <c r="C293" s="60"/>
      <c r="D293" s="60"/>
      <c r="J293" s="14"/>
      <c r="K293" s="14"/>
      <c r="L293" s="14"/>
    </row>
    <row r="294">
      <c r="C294" s="60"/>
      <c r="D294" s="60"/>
      <c r="J294" s="14"/>
      <c r="K294" s="14"/>
      <c r="L294" s="14"/>
    </row>
    <row r="295">
      <c r="C295" s="60"/>
      <c r="D295" s="60"/>
      <c r="J295" s="14"/>
      <c r="K295" s="14"/>
      <c r="L295" s="14"/>
    </row>
    <row r="296">
      <c r="C296" s="60"/>
      <c r="D296" s="60"/>
      <c r="J296" s="14"/>
      <c r="K296" s="14"/>
      <c r="L296" s="14"/>
    </row>
    <row r="297">
      <c r="C297" s="60"/>
      <c r="D297" s="60"/>
      <c r="J297" s="14"/>
      <c r="K297" s="14"/>
      <c r="L297" s="14"/>
    </row>
    <row r="298">
      <c r="C298" s="60"/>
      <c r="D298" s="60"/>
      <c r="J298" s="14"/>
      <c r="K298" s="14"/>
      <c r="L298" s="14"/>
    </row>
    <row r="299">
      <c r="C299" s="60"/>
      <c r="D299" s="60"/>
      <c r="J299" s="14"/>
      <c r="K299" s="14"/>
      <c r="L299" s="14"/>
    </row>
    <row r="300">
      <c r="C300" s="60"/>
      <c r="D300" s="60"/>
      <c r="J300" s="14"/>
      <c r="K300" s="14"/>
      <c r="L300" s="14"/>
    </row>
    <row r="301">
      <c r="C301" s="60"/>
      <c r="D301" s="60"/>
      <c r="J301" s="14"/>
      <c r="K301" s="14"/>
      <c r="L301" s="14"/>
    </row>
    <row r="302">
      <c r="C302" s="60"/>
      <c r="D302" s="60"/>
      <c r="J302" s="14"/>
      <c r="K302" s="14"/>
      <c r="L302" s="14"/>
    </row>
    <row r="303">
      <c r="C303" s="60"/>
      <c r="D303" s="60"/>
      <c r="J303" s="14"/>
      <c r="K303" s="14"/>
      <c r="L303" s="14"/>
    </row>
    <row r="304">
      <c r="C304" s="60"/>
      <c r="D304" s="60"/>
      <c r="J304" s="14"/>
      <c r="K304" s="14"/>
      <c r="L304" s="14"/>
    </row>
    <row r="305">
      <c r="C305" s="60"/>
      <c r="D305" s="60"/>
      <c r="J305" s="14"/>
      <c r="K305" s="14"/>
      <c r="L305" s="14"/>
    </row>
    <row r="306">
      <c r="C306" s="60"/>
      <c r="D306" s="60"/>
      <c r="J306" s="14"/>
      <c r="K306" s="14"/>
      <c r="L306" s="14"/>
    </row>
    <row r="307">
      <c r="C307" s="60"/>
      <c r="D307" s="60"/>
      <c r="J307" s="14"/>
      <c r="K307" s="14"/>
      <c r="L307" s="14"/>
    </row>
    <row r="308">
      <c r="C308" s="60"/>
      <c r="D308" s="60"/>
      <c r="J308" s="14"/>
      <c r="K308" s="14"/>
      <c r="L308" s="14"/>
    </row>
    <row r="309">
      <c r="C309" s="60"/>
      <c r="D309" s="60"/>
      <c r="J309" s="14"/>
      <c r="K309" s="14"/>
      <c r="L309" s="14"/>
    </row>
    <row r="310">
      <c r="C310" s="60"/>
      <c r="D310" s="60"/>
      <c r="J310" s="14"/>
      <c r="K310" s="14"/>
      <c r="L310" s="14"/>
    </row>
    <row r="311">
      <c r="C311" s="60"/>
      <c r="D311" s="60"/>
      <c r="J311" s="14"/>
      <c r="K311" s="14"/>
      <c r="L311" s="14"/>
    </row>
    <row r="312">
      <c r="C312" s="60"/>
      <c r="D312" s="60"/>
      <c r="J312" s="14"/>
      <c r="K312" s="14"/>
      <c r="L312" s="14"/>
    </row>
    <row r="313">
      <c r="C313" s="60"/>
      <c r="D313" s="60"/>
      <c r="J313" s="14"/>
      <c r="K313" s="14"/>
      <c r="L313" s="14"/>
    </row>
    <row r="314">
      <c r="C314" s="60"/>
      <c r="D314" s="60"/>
      <c r="J314" s="14"/>
      <c r="K314" s="14"/>
      <c r="L314" s="14"/>
    </row>
    <row r="315">
      <c r="C315" s="60"/>
      <c r="D315" s="60"/>
      <c r="J315" s="14"/>
      <c r="K315" s="14"/>
      <c r="L315" s="14"/>
    </row>
    <row r="316">
      <c r="C316" s="60"/>
      <c r="D316" s="60"/>
      <c r="J316" s="14"/>
      <c r="K316" s="14"/>
      <c r="L316" s="14"/>
    </row>
    <row r="317">
      <c r="C317" s="60"/>
      <c r="D317" s="60"/>
      <c r="J317" s="14"/>
      <c r="K317" s="14"/>
      <c r="L317" s="14"/>
    </row>
    <row r="318">
      <c r="C318" s="60"/>
      <c r="D318" s="60"/>
      <c r="J318" s="14"/>
      <c r="K318" s="14"/>
      <c r="L318" s="14"/>
    </row>
    <row r="319">
      <c r="C319" s="60"/>
      <c r="D319" s="60"/>
      <c r="J319" s="14"/>
      <c r="K319" s="14"/>
      <c r="L319" s="14"/>
    </row>
    <row r="320">
      <c r="C320" s="60"/>
      <c r="D320" s="60"/>
      <c r="J320" s="14"/>
      <c r="K320" s="14"/>
      <c r="L320" s="14"/>
    </row>
    <row r="321">
      <c r="C321" s="60"/>
      <c r="D321" s="60"/>
      <c r="J321" s="14"/>
      <c r="K321" s="14"/>
      <c r="L321" s="14"/>
    </row>
    <row r="322">
      <c r="C322" s="60"/>
      <c r="D322" s="60"/>
      <c r="J322" s="14"/>
      <c r="K322" s="14"/>
      <c r="L322" s="14"/>
    </row>
    <row r="323">
      <c r="C323" s="60"/>
      <c r="D323" s="60"/>
      <c r="J323" s="14"/>
      <c r="K323" s="14"/>
      <c r="L323" s="14"/>
    </row>
    <row r="324">
      <c r="C324" s="60"/>
      <c r="D324" s="60"/>
      <c r="J324" s="14"/>
      <c r="K324" s="14"/>
      <c r="L324" s="14"/>
    </row>
    <row r="325">
      <c r="C325" s="60"/>
      <c r="D325" s="60"/>
      <c r="J325" s="14"/>
      <c r="K325" s="14"/>
      <c r="L325" s="14"/>
    </row>
    <row r="326">
      <c r="C326" s="60"/>
      <c r="D326" s="60"/>
      <c r="J326" s="14"/>
      <c r="K326" s="14"/>
      <c r="L326" s="14"/>
    </row>
    <row r="327">
      <c r="C327" s="60"/>
      <c r="D327" s="60"/>
      <c r="J327" s="14"/>
      <c r="K327" s="14"/>
      <c r="L327" s="14"/>
    </row>
    <row r="328">
      <c r="C328" s="60"/>
      <c r="D328" s="60"/>
      <c r="J328" s="14"/>
      <c r="K328" s="14"/>
      <c r="L328" s="14"/>
    </row>
    <row r="329">
      <c r="C329" s="60"/>
      <c r="D329" s="60"/>
      <c r="J329" s="14"/>
      <c r="K329" s="14"/>
      <c r="L329" s="14"/>
    </row>
    <row r="330">
      <c r="C330" s="60"/>
      <c r="D330" s="60"/>
      <c r="J330" s="14"/>
      <c r="K330" s="14"/>
      <c r="L330" s="14"/>
    </row>
    <row r="331">
      <c r="C331" s="60"/>
      <c r="D331" s="60"/>
      <c r="J331" s="14"/>
      <c r="K331" s="14"/>
      <c r="L331" s="14"/>
    </row>
    <row r="332">
      <c r="C332" s="60"/>
      <c r="D332" s="60"/>
      <c r="J332" s="14"/>
      <c r="K332" s="14"/>
      <c r="L332" s="14"/>
    </row>
    <row r="333">
      <c r="C333" s="60"/>
      <c r="D333" s="60"/>
      <c r="J333" s="14"/>
      <c r="K333" s="14"/>
      <c r="L333" s="14"/>
    </row>
    <row r="334">
      <c r="C334" s="60"/>
      <c r="D334" s="60"/>
      <c r="J334" s="14"/>
      <c r="K334" s="14"/>
      <c r="L334" s="14"/>
    </row>
    <row r="335">
      <c r="C335" s="60"/>
      <c r="D335" s="60"/>
      <c r="J335" s="14"/>
      <c r="K335" s="14"/>
      <c r="L335" s="14"/>
    </row>
    <row r="336">
      <c r="C336" s="60"/>
      <c r="D336" s="60"/>
      <c r="J336" s="14"/>
      <c r="K336" s="14"/>
      <c r="L336" s="14"/>
    </row>
    <row r="337">
      <c r="C337" s="60"/>
      <c r="D337" s="60"/>
      <c r="J337" s="14"/>
      <c r="K337" s="14"/>
      <c r="L337" s="14"/>
    </row>
    <row r="338">
      <c r="C338" s="60"/>
      <c r="D338" s="60"/>
      <c r="J338" s="14"/>
      <c r="K338" s="14"/>
      <c r="L338" s="14"/>
    </row>
    <row r="339">
      <c r="C339" s="60"/>
      <c r="D339" s="60"/>
      <c r="J339" s="14"/>
      <c r="K339" s="14"/>
      <c r="L339" s="14"/>
    </row>
    <row r="340">
      <c r="C340" s="60"/>
      <c r="D340" s="60"/>
      <c r="J340" s="14"/>
      <c r="K340" s="14"/>
      <c r="L340" s="14"/>
    </row>
    <row r="341">
      <c r="C341" s="60"/>
      <c r="D341" s="60"/>
      <c r="J341" s="14"/>
      <c r="K341" s="14"/>
      <c r="L341" s="14"/>
    </row>
    <row r="342">
      <c r="C342" s="60"/>
      <c r="D342" s="60"/>
      <c r="J342" s="14"/>
      <c r="K342" s="14"/>
      <c r="L342" s="14"/>
    </row>
    <row r="343">
      <c r="C343" s="60"/>
      <c r="D343" s="60"/>
      <c r="J343" s="14"/>
      <c r="K343" s="14"/>
      <c r="L343" s="14"/>
    </row>
    <row r="344">
      <c r="C344" s="60"/>
      <c r="D344" s="60"/>
      <c r="J344" s="14"/>
      <c r="K344" s="14"/>
      <c r="L344" s="14"/>
    </row>
    <row r="345">
      <c r="C345" s="60"/>
      <c r="D345" s="60"/>
      <c r="J345" s="14"/>
      <c r="K345" s="14"/>
      <c r="L345" s="14"/>
    </row>
    <row r="346">
      <c r="C346" s="60"/>
      <c r="D346" s="60"/>
      <c r="J346" s="14"/>
      <c r="K346" s="14"/>
      <c r="L346" s="14"/>
    </row>
    <row r="347">
      <c r="C347" s="60"/>
      <c r="D347" s="60"/>
      <c r="J347" s="14"/>
      <c r="K347" s="14"/>
      <c r="L347" s="14"/>
    </row>
    <row r="348">
      <c r="C348" s="60"/>
      <c r="D348" s="60"/>
      <c r="J348" s="14"/>
      <c r="K348" s="14"/>
      <c r="L348" s="14"/>
    </row>
    <row r="349">
      <c r="C349" s="60"/>
      <c r="D349" s="60"/>
      <c r="J349" s="14"/>
      <c r="K349" s="14"/>
      <c r="L349" s="14"/>
    </row>
    <row r="350">
      <c r="C350" s="60"/>
      <c r="D350" s="60"/>
      <c r="J350" s="14"/>
      <c r="K350" s="14"/>
      <c r="L350" s="14"/>
    </row>
    <row r="351">
      <c r="C351" s="60"/>
      <c r="D351" s="60"/>
      <c r="J351" s="14"/>
      <c r="K351" s="14"/>
      <c r="L351" s="14"/>
    </row>
    <row r="352">
      <c r="C352" s="60"/>
      <c r="D352" s="60"/>
      <c r="J352" s="14"/>
      <c r="K352" s="14"/>
      <c r="L352" s="14"/>
    </row>
    <row r="353">
      <c r="C353" s="60"/>
      <c r="D353" s="60"/>
      <c r="J353" s="14"/>
      <c r="K353" s="14"/>
      <c r="L353" s="14"/>
    </row>
    <row r="354">
      <c r="C354" s="60"/>
      <c r="D354" s="60"/>
      <c r="J354" s="14"/>
      <c r="K354" s="14"/>
      <c r="L354" s="14"/>
    </row>
    <row r="355">
      <c r="C355" s="60"/>
      <c r="D355" s="60"/>
      <c r="J355" s="14"/>
      <c r="K355" s="14"/>
      <c r="L355" s="14"/>
    </row>
    <row r="356">
      <c r="C356" s="60"/>
      <c r="D356" s="60"/>
      <c r="J356" s="14"/>
      <c r="K356" s="14"/>
      <c r="L356" s="14"/>
    </row>
    <row r="357">
      <c r="C357" s="60"/>
      <c r="D357" s="60"/>
      <c r="J357" s="14"/>
      <c r="K357" s="14"/>
      <c r="L357" s="14"/>
    </row>
    <row r="358">
      <c r="C358" s="60"/>
      <c r="D358" s="60"/>
      <c r="J358" s="14"/>
      <c r="K358" s="14"/>
      <c r="L358" s="14"/>
    </row>
    <row r="359">
      <c r="C359" s="60"/>
      <c r="D359" s="60"/>
      <c r="J359" s="14"/>
      <c r="K359" s="14"/>
      <c r="L359" s="14"/>
    </row>
    <row r="360">
      <c r="C360" s="60"/>
      <c r="D360" s="60"/>
      <c r="J360" s="14"/>
      <c r="K360" s="14"/>
      <c r="L360" s="14"/>
    </row>
    <row r="361">
      <c r="C361" s="60"/>
      <c r="D361" s="60"/>
      <c r="J361" s="14"/>
      <c r="K361" s="14"/>
      <c r="L361" s="14"/>
    </row>
    <row r="362">
      <c r="C362" s="60"/>
      <c r="D362" s="60"/>
      <c r="J362" s="14"/>
      <c r="K362" s="14"/>
      <c r="L362" s="14"/>
    </row>
    <row r="363">
      <c r="C363" s="60"/>
      <c r="D363" s="60"/>
      <c r="J363" s="14"/>
      <c r="K363" s="14"/>
      <c r="L363" s="14"/>
    </row>
    <row r="364">
      <c r="C364" s="60"/>
      <c r="D364" s="60"/>
      <c r="J364" s="14"/>
      <c r="K364" s="14"/>
      <c r="L364" s="14"/>
    </row>
    <row r="365">
      <c r="C365" s="60"/>
      <c r="D365" s="60"/>
      <c r="J365" s="14"/>
      <c r="K365" s="14"/>
      <c r="L365" s="14"/>
    </row>
    <row r="366">
      <c r="C366" s="60"/>
      <c r="D366" s="60"/>
      <c r="J366" s="14"/>
      <c r="K366" s="14"/>
      <c r="L366" s="14"/>
    </row>
    <row r="367">
      <c r="C367" s="60"/>
      <c r="D367" s="60"/>
      <c r="J367" s="14"/>
      <c r="K367" s="14"/>
      <c r="L367" s="14"/>
    </row>
    <row r="368">
      <c r="C368" s="60"/>
      <c r="D368" s="60"/>
      <c r="J368" s="14"/>
      <c r="K368" s="14"/>
      <c r="L368" s="14"/>
    </row>
    <row r="369">
      <c r="C369" s="60"/>
      <c r="D369" s="60"/>
      <c r="J369" s="14"/>
      <c r="K369" s="14"/>
      <c r="L369" s="14"/>
    </row>
    <row r="370">
      <c r="C370" s="60"/>
      <c r="D370" s="60"/>
      <c r="J370" s="14"/>
      <c r="K370" s="14"/>
      <c r="L370" s="14"/>
    </row>
    <row r="371">
      <c r="C371" s="60"/>
      <c r="D371" s="60"/>
      <c r="J371" s="14"/>
      <c r="K371" s="14"/>
      <c r="L371" s="14"/>
    </row>
    <row r="372">
      <c r="C372" s="60"/>
      <c r="D372" s="60"/>
      <c r="J372" s="14"/>
      <c r="K372" s="14"/>
      <c r="L372" s="14"/>
    </row>
    <row r="373">
      <c r="C373" s="60"/>
      <c r="D373" s="60"/>
      <c r="J373" s="14"/>
      <c r="K373" s="14"/>
      <c r="L373" s="14"/>
    </row>
    <row r="374">
      <c r="C374" s="60"/>
      <c r="D374" s="60"/>
      <c r="J374" s="14"/>
      <c r="K374" s="14"/>
      <c r="L374" s="14"/>
    </row>
    <row r="375">
      <c r="C375" s="60"/>
      <c r="D375" s="60"/>
      <c r="J375" s="14"/>
      <c r="K375" s="14"/>
      <c r="L375" s="14"/>
    </row>
    <row r="376">
      <c r="C376" s="60"/>
      <c r="D376" s="60"/>
      <c r="J376" s="14"/>
      <c r="K376" s="14"/>
      <c r="L376" s="14"/>
    </row>
    <row r="377">
      <c r="C377" s="60"/>
      <c r="D377" s="60"/>
      <c r="J377" s="14"/>
      <c r="K377" s="14"/>
      <c r="L377" s="14"/>
    </row>
    <row r="378">
      <c r="C378" s="60"/>
      <c r="D378" s="60"/>
      <c r="J378" s="14"/>
      <c r="K378" s="14"/>
      <c r="L378" s="14"/>
    </row>
    <row r="379">
      <c r="C379" s="60"/>
      <c r="D379" s="60"/>
      <c r="J379" s="14"/>
      <c r="K379" s="14"/>
      <c r="L379" s="14"/>
    </row>
    <row r="380">
      <c r="C380" s="60"/>
      <c r="D380" s="60"/>
      <c r="J380" s="14"/>
      <c r="K380" s="14"/>
      <c r="L380" s="14"/>
    </row>
    <row r="381">
      <c r="C381" s="60"/>
      <c r="D381" s="60"/>
      <c r="J381" s="14"/>
      <c r="K381" s="14"/>
      <c r="L381" s="14"/>
    </row>
    <row r="382">
      <c r="C382" s="60"/>
      <c r="D382" s="60"/>
      <c r="J382" s="14"/>
      <c r="K382" s="14"/>
      <c r="L382" s="14"/>
    </row>
    <row r="383">
      <c r="C383" s="60"/>
      <c r="D383" s="60"/>
      <c r="J383" s="14"/>
      <c r="K383" s="14"/>
      <c r="L383" s="14"/>
    </row>
    <row r="384">
      <c r="C384" s="60"/>
      <c r="D384" s="60"/>
      <c r="J384" s="14"/>
      <c r="K384" s="14"/>
      <c r="L384" s="14"/>
    </row>
    <row r="385">
      <c r="C385" s="60"/>
      <c r="D385" s="60"/>
      <c r="J385" s="14"/>
      <c r="K385" s="14"/>
      <c r="L385" s="14"/>
    </row>
    <row r="386">
      <c r="C386" s="60"/>
      <c r="D386" s="60"/>
      <c r="J386" s="14"/>
      <c r="K386" s="14"/>
      <c r="L386" s="14"/>
    </row>
    <row r="387">
      <c r="C387" s="60"/>
      <c r="D387" s="60"/>
      <c r="J387" s="14"/>
      <c r="K387" s="14"/>
      <c r="L387" s="14"/>
    </row>
    <row r="388">
      <c r="C388" s="60"/>
      <c r="D388" s="60"/>
      <c r="J388" s="14"/>
      <c r="K388" s="14"/>
      <c r="L388" s="14"/>
    </row>
    <row r="389">
      <c r="C389" s="60"/>
      <c r="D389" s="60"/>
      <c r="J389" s="14"/>
      <c r="K389" s="14"/>
      <c r="L389" s="14"/>
    </row>
    <row r="390">
      <c r="C390" s="60"/>
      <c r="D390" s="60"/>
      <c r="J390" s="14"/>
      <c r="K390" s="14"/>
      <c r="L390" s="14"/>
    </row>
    <row r="391">
      <c r="C391" s="60"/>
      <c r="D391" s="60"/>
      <c r="J391" s="14"/>
      <c r="K391" s="14"/>
      <c r="L391" s="14"/>
    </row>
    <row r="392">
      <c r="C392" s="60"/>
      <c r="D392" s="60"/>
      <c r="J392" s="14"/>
      <c r="K392" s="14"/>
      <c r="L392" s="14"/>
    </row>
    <row r="393">
      <c r="C393" s="60"/>
      <c r="D393" s="60"/>
      <c r="J393" s="14"/>
      <c r="K393" s="14"/>
      <c r="L393" s="14"/>
    </row>
    <row r="394">
      <c r="C394" s="60"/>
      <c r="D394" s="60"/>
      <c r="J394" s="14"/>
      <c r="K394" s="14"/>
      <c r="L394" s="14"/>
    </row>
    <row r="395">
      <c r="C395" s="60"/>
      <c r="D395" s="60"/>
      <c r="J395" s="14"/>
      <c r="K395" s="14"/>
      <c r="L395" s="14"/>
    </row>
    <row r="396">
      <c r="C396" s="60"/>
      <c r="D396" s="60"/>
      <c r="J396" s="14"/>
      <c r="K396" s="14"/>
      <c r="L396" s="14"/>
    </row>
    <row r="397">
      <c r="C397" s="60"/>
      <c r="D397" s="60"/>
      <c r="J397" s="14"/>
      <c r="K397" s="14"/>
      <c r="L397" s="14"/>
    </row>
    <row r="398">
      <c r="C398" s="60"/>
      <c r="D398" s="60"/>
      <c r="J398" s="14"/>
      <c r="K398" s="14"/>
      <c r="L398" s="14"/>
    </row>
    <row r="399">
      <c r="C399" s="60"/>
      <c r="D399" s="60"/>
      <c r="J399" s="14"/>
      <c r="K399" s="14"/>
      <c r="L399" s="14"/>
    </row>
    <row r="400">
      <c r="C400" s="60"/>
      <c r="D400" s="60"/>
      <c r="J400" s="14"/>
      <c r="K400" s="14"/>
      <c r="L400" s="14"/>
    </row>
    <row r="401">
      <c r="C401" s="60"/>
      <c r="D401" s="60"/>
      <c r="J401" s="14"/>
      <c r="K401" s="14"/>
      <c r="L401" s="14"/>
    </row>
    <row r="402">
      <c r="C402" s="60"/>
      <c r="D402" s="60"/>
      <c r="J402" s="14"/>
      <c r="K402" s="14"/>
      <c r="L402" s="14"/>
    </row>
    <row r="403">
      <c r="C403" s="60"/>
      <c r="D403" s="60"/>
      <c r="J403" s="14"/>
      <c r="K403" s="14"/>
      <c r="L403" s="14"/>
    </row>
    <row r="404">
      <c r="C404" s="60"/>
      <c r="D404" s="60"/>
      <c r="J404" s="14"/>
      <c r="K404" s="14"/>
      <c r="L404" s="14"/>
    </row>
    <row r="405">
      <c r="C405" s="60"/>
      <c r="D405" s="60"/>
      <c r="J405" s="14"/>
      <c r="K405" s="14"/>
      <c r="L405" s="14"/>
    </row>
    <row r="406">
      <c r="C406" s="60"/>
      <c r="D406" s="60"/>
      <c r="J406" s="14"/>
      <c r="K406" s="14"/>
      <c r="L406" s="14"/>
    </row>
    <row r="407">
      <c r="C407" s="60"/>
      <c r="D407" s="60"/>
      <c r="J407" s="14"/>
      <c r="K407" s="14"/>
      <c r="L407" s="14"/>
    </row>
    <row r="408">
      <c r="C408" s="60"/>
      <c r="D408" s="60"/>
      <c r="J408" s="14"/>
      <c r="K408" s="14"/>
      <c r="L408" s="14"/>
    </row>
    <row r="409">
      <c r="C409" s="60"/>
      <c r="D409" s="60"/>
      <c r="J409" s="14"/>
      <c r="K409" s="14"/>
      <c r="L409" s="14"/>
    </row>
    <row r="410">
      <c r="C410" s="60"/>
      <c r="D410" s="60"/>
      <c r="J410" s="14"/>
      <c r="K410" s="14"/>
      <c r="L410" s="14"/>
    </row>
    <row r="411">
      <c r="C411" s="60"/>
      <c r="D411" s="60"/>
      <c r="J411" s="14"/>
      <c r="K411" s="14"/>
      <c r="L411" s="14"/>
    </row>
    <row r="412">
      <c r="C412" s="60"/>
      <c r="D412" s="60"/>
      <c r="J412" s="14"/>
      <c r="K412" s="14"/>
      <c r="L412" s="14"/>
    </row>
    <row r="413">
      <c r="C413" s="60"/>
      <c r="D413" s="60"/>
      <c r="J413" s="14"/>
      <c r="K413" s="14"/>
      <c r="L413" s="14"/>
    </row>
    <row r="414">
      <c r="C414" s="60"/>
      <c r="D414" s="60"/>
      <c r="J414" s="14"/>
      <c r="K414" s="14"/>
      <c r="L414" s="14"/>
    </row>
    <row r="415">
      <c r="C415" s="60"/>
      <c r="D415" s="60"/>
      <c r="J415" s="14"/>
      <c r="K415" s="14"/>
      <c r="L415" s="14"/>
    </row>
    <row r="416">
      <c r="C416" s="60"/>
      <c r="D416" s="60"/>
      <c r="J416" s="14"/>
      <c r="K416" s="14"/>
      <c r="L416" s="14"/>
    </row>
    <row r="417">
      <c r="C417" s="60"/>
      <c r="D417" s="60"/>
      <c r="J417" s="14"/>
      <c r="K417" s="14"/>
      <c r="L417" s="14"/>
    </row>
    <row r="418">
      <c r="C418" s="60"/>
      <c r="D418" s="60"/>
      <c r="J418" s="14"/>
      <c r="K418" s="14"/>
      <c r="L418" s="14"/>
    </row>
    <row r="419">
      <c r="C419" s="60"/>
      <c r="D419" s="60"/>
      <c r="J419" s="14"/>
      <c r="K419" s="14"/>
      <c r="L419" s="14"/>
    </row>
    <row r="420">
      <c r="C420" s="60"/>
      <c r="D420" s="60"/>
      <c r="J420" s="14"/>
      <c r="K420" s="14"/>
      <c r="L420" s="14"/>
    </row>
    <row r="421">
      <c r="C421" s="60"/>
      <c r="D421" s="60"/>
      <c r="J421" s="14"/>
      <c r="K421" s="14"/>
      <c r="L421" s="14"/>
    </row>
    <row r="422">
      <c r="C422" s="60"/>
      <c r="D422" s="60"/>
      <c r="J422" s="14"/>
      <c r="K422" s="14"/>
      <c r="L422" s="14"/>
    </row>
    <row r="423">
      <c r="C423" s="60"/>
      <c r="D423" s="60"/>
      <c r="J423" s="14"/>
      <c r="K423" s="14"/>
      <c r="L423" s="14"/>
    </row>
    <row r="424">
      <c r="C424" s="60"/>
      <c r="D424" s="60"/>
      <c r="J424" s="14"/>
      <c r="K424" s="14"/>
      <c r="L424" s="14"/>
    </row>
    <row r="425">
      <c r="C425" s="60"/>
      <c r="D425" s="60"/>
      <c r="J425" s="14"/>
      <c r="K425" s="14"/>
      <c r="L425" s="14"/>
    </row>
    <row r="426">
      <c r="C426" s="60"/>
      <c r="D426" s="60"/>
      <c r="J426" s="14"/>
      <c r="K426" s="14"/>
      <c r="L426" s="14"/>
    </row>
    <row r="427">
      <c r="C427" s="60"/>
      <c r="D427" s="60"/>
      <c r="J427" s="14"/>
      <c r="K427" s="14"/>
      <c r="L427" s="14"/>
    </row>
    <row r="428">
      <c r="C428" s="60"/>
      <c r="D428" s="60"/>
      <c r="J428" s="14"/>
      <c r="K428" s="14"/>
      <c r="L428" s="14"/>
    </row>
    <row r="429">
      <c r="C429" s="60"/>
      <c r="D429" s="60"/>
      <c r="J429" s="14"/>
      <c r="K429" s="14"/>
      <c r="L429" s="14"/>
    </row>
    <row r="430">
      <c r="C430" s="60"/>
      <c r="D430" s="60"/>
      <c r="J430" s="14"/>
      <c r="K430" s="14"/>
      <c r="L430" s="14"/>
    </row>
    <row r="431">
      <c r="C431" s="60"/>
      <c r="D431" s="60"/>
      <c r="J431" s="14"/>
      <c r="K431" s="14"/>
      <c r="L431" s="14"/>
    </row>
    <row r="432">
      <c r="C432" s="60"/>
      <c r="D432" s="60"/>
      <c r="J432" s="14"/>
      <c r="K432" s="14"/>
      <c r="L432" s="14"/>
    </row>
    <row r="433">
      <c r="C433" s="60"/>
      <c r="D433" s="60"/>
      <c r="J433" s="14"/>
      <c r="K433" s="14"/>
      <c r="L433" s="14"/>
    </row>
    <row r="434">
      <c r="C434" s="60"/>
      <c r="D434" s="60"/>
      <c r="J434" s="14"/>
      <c r="K434" s="14"/>
      <c r="L434" s="14"/>
    </row>
    <row r="435">
      <c r="C435" s="60"/>
      <c r="D435" s="60"/>
      <c r="J435" s="14"/>
      <c r="K435" s="14"/>
      <c r="L435" s="14"/>
    </row>
    <row r="436">
      <c r="C436" s="60"/>
      <c r="D436" s="60"/>
      <c r="J436" s="14"/>
      <c r="K436" s="14"/>
      <c r="L436" s="14"/>
    </row>
    <row r="437">
      <c r="C437" s="60"/>
      <c r="D437" s="60"/>
      <c r="J437" s="14"/>
      <c r="K437" s="14"/>
      <c r="L437" s="14"/>
    </row>
    <row r="438">
      <c r="C438" s="60"/>
      <c r="D438" s="60"/>
      <c r="J438" s="14"/>
      <c r="K438" s="14"/>
      <c r="L438" s="14"/>
    </row>
    <row r="439">
      <c r="C439" s="60"/>
      <c r="D439" s="60"/>
      <c r="J439" s="14"/>
      <c r="K439" s="14"/>
      <c r="L439" s="14"/>
    </row>
    <row r="440">
      <c r="C440" s="60"/>
      <c r="D440" s="60"/>
      <c r="J440" s="14"/>
      <c r="K440" s="14"/>
      <c r="L440" s="14"/>
    </row>
    <row r="441">
      <c r="C441" s="60"/>
      <c r="D441" s="60"/>
      <c r="J441" s="14"/>
      <c r="K441" s="14"/>
      <c r="L441" s="14"/>
    </row>
    <row r="442">
      <c r="C442" s="60"/>
      <c r="D442" s="60"/>
      <c r="J442" s="14"/>
      <c r="K442" s="14"/>
      <c r="L442" s="14"/>
    </row>
    <row r="443">
      <c r="C443" s="60"/>
      <c r="D443" s="60"/>
      <c r="J443" s="14"/>
      <c r="K443" s="14"/>
      <c r="L443" s="14"/>
    </row>
    <row r="444">
      <c r="C444" s="60"/>
      <c r="D444" s="60"/>
      <c r="J444" s="14"/>
      <c r="K444" s="14"/>
      <c r="L444" s="14"/>
    </row>
    <row r="445">
      <c r="C445" s="60"/>
      <c r="D445" s="60"/>
      <c r="J445" s="14"/>
      <c r="K445" s="14"/>
      <c r="L445" s="14"/>
    </row>
    <row r="446">
      <c r="C446" s="60"/>
      <c r="D446" s="60"/>
      <c r="J446" s="14"/>
      <c r="K446" s="14"/>
      <c r="L446" s="14"/>
    </row>
    <row r="447">
      <c r="C447" s="60"/>
      <c r="D447" s="60"/>
      <c r="J447" s="14"/>
      <c r="K447" s="14"/>
      <c r="L447" s="14"/>
    </row>
    <row r="448">
      <c r="C448" s="60"/>
      <c r="D448" s="60"/>
      <c r="J448" s="14"/>
      <c r="K448" s="14"/>
      <c r="L448" s="14"/>
    </row>
    <row r="449">
      <c r="C449" s="60"/>
      <c r="D449" s="60"/>
      <c r="J449" s="14"/>
      <c r="K449" s="14"/>
      <c r="L449" s="14"/>
    </row>
    <row r="450">
      <c r="C450" s="60"/>
      <c r="D450" s="60"/>
      <c r="J450" s="14"/>
      <c r="K450" s="14"/>
      <c r="L450" s="14"/>
    </row>
    <row r="451">
      <c r="C451" s="60"/>
      <c r="D451" s="60"/>
      <c r="J451" s="14"/>
      <c r="K451" s="14"/>
      <c r="L451" s="14"/>
    </row>
    <row r="452">
      <c r="C452" s="60"/>
      <c r="D452" s="60"/>
      <c r="J452" s="14"/>
      <c r="K452" s="14"/>
      <c r="L452" s="14"/>
    </row>
    <row r="453">
      <c r="C453" s="60"/>
      <c r="D453" s="60"/>
      <c r="J453" s="14"/>
      <c r="K453" s="14"/>
      <c r="L453" s="14"/>
    </row>
    <row r="454">
      <c r="C454" s="60"/>
      <c r="D454" s="60"/>
      <c r="J454" s="14"/>
      <c r="K454" s="14"/>
      <c r="L454" s="14"/>
    </row>
    <row r="455">
      <c r="C455" s="60"/>
      <c r="D455" s="60"/>
      <c r="J455" s="14"/>
      <c r="K455" s="14"/>
      <c r="L455" s="14"/>
    </row>
    <row r="456">
      <c r="C456" s="60"/>
      <c r="D456" s="60"/>
      <c r="J456" s="14"/>
      <c r="K456" s="14"/>
      <c r="L456" s="14"/>
    </row>
    <row r="457">
      <c r="C457" s="60"/>
      <c r="D457" s="60"/>
      <c r="J457" s="14"/>
      <c r="K457" s="14"/>
      <c r="L457" s="14"/>
    </row>
    <row r="458">
      <c r="C458" s="60"/>
      <c r="D458" s="60"/>
      <c r="J458" s="14"/>
      <c r="K458" s="14"/>
      <c r="L458" s="14"/>
    </row>
    <row r="459">
      <c r="C459" s="60"/>
      <c r="D459" s="60"/>
      <c r="J459" s="14"/>
      <c r="K459" s="14"/>
      <c r="L459" s="14"/>
    </row>
    <row r="460">
      <c r="C460" s="60"/>
      <c r="D460" s="60"/>
      <c r="J460" s="14"/>
      <c r="K460" s="14"/>
      <c r="L460" s="14"/>
    </row>
    <row r="461">
      <c r="C461" s="60"/>
      <c r="D461" s="60"/>
      <c r="J461" s="14"/>
      <c r="K461" s="14"/>
      <c r="L461" s="14"/>
    </row>
    <row r="462">
      <c r="C462" s="60"/>
      <c r="D462" s="60"/>
      <c r="J462" s="14"/>
      <c r="K462" s="14"/>
      <c r="L462" s="14"/>
    </row>
    <row r="463">
      <c r="C463" s="60"/>
      <c r="D463" s="60"/>
      <c r="J463" s="14"/>
      <c r="K463" s="14"/>
      <c r="L463" s="14"/>
    </row>
    <row r="464">
      <c r="C464" s="60"/>
      <c r="D464" s="60"/>
      <c r="J464" s="14"/>
      <c r="K464" s="14"/>
      <c r="L464" s="14"/>
    </row>
    <row r="465">
      <c r="C465" s="60"/>
      <c r="D465" s="60"/>
      <c r="J465" s="14"/>
      <c r="K465" s="14"/>
      <c r="L465" s="14"/>
    </row>
    <row r="466">
      <c r="C466" s="60"/>
      <c r="D466" s="60"/>
      <c r="J466" s="14"/>
      <c r="K466" s="14"/>
      <c r="L466" s="14"/>
    </row>
    <row r="467">
      <c r="C467" s="60"/>
      <c r="D467" s="60"/>
      <c r="J467" s="14"/>
      <c r="K467" s="14"/>
      <c r="L467" s="14"/>
    </row>
    <row r="468">
      <c r="C468" s="60"/>
      <c r="D468" s="60"/>
      <c r="J468" s="14"/>
      <c r="K468" s="14"/>
      <c r="L468" s="14"/>
    </row>
    <row r="469">
      <c r="C469" s="60"/>
      <c r="D469" s="60"/>
      <c r="J469" s="14"/>
      <c r="K469" s="14"/>
      <c r="L469" s="14"/>
    </row>
    <row r="470">
      <c r="C470" s="60"/>
      <c r="D470" s="60"/>
      <c r="J470" s="14"/>
      <c r="K470" s="14"/>
      <c r="L470" s="14"/>
    </row>
    <row r="471">
      <c r="C471" s="60"/>
      <c r="D471" s="60"/>
      <c r="J471" s="14"/>
      <c r="K471" s="14"/>
      <c r="L471" s="14"/>
    </row>
    <row r="472">
      <c r="C472" s="60"/>
      <c r="D472" s="60"/>
      <c r="J472" s="14"/>
      <c r="K472" s="14"/>
      <c r="L472" s="14"/>
    </row>
    <row r="473">
      <c r="C473" s="60"/>
      <c r="D473" s="60"/>
      <c r="J473" s="14"/>
      <c r="K473" s="14"/>
      <c r="L473" s="14"/>
    </row>
    <row r="474">
      <c r="C474" s="60"/>
      <c r="D474" s="60"/>
      <c r="J474" s="14"/>
      <c r="K474" s="14"/>
      <c r="L474" s="14"/>
    </row>
    <row r="475">
      <c r="C475" s="60"/>
      <c r="D475" s="60"/>
      <c r="J475" s="14"/>
      <c r="K475" s="14"/>
      <c r="L475" s="14"/>
    </row>
    <row r="476">
      <c r="C476" s="60"/>
      <c r="D476" s="60"/>
      <c r="J476" s="14"/>
      <c r="K476" s="14"/>
      <c r="L476" s="14"/>
    </row>
    <row r="477">
      <c r="C477" s="60"/>
      <c r="D477" s="60"/>
      <c r="J477" s="14"/>
      <c r="K477" s="14"/>
      <c r="L477" s="14"/>
    </row>
    <row r="478">
      <c r="C478" s="60"/>
      <c r="D478" s="60"/>
      <c r="J478" s="14"/>
      <c r="K478" s="14"/>
      <c r="L478" s="14"/>
    </row>
    <row r="479">
      <c r="C479" s="60"/>
      <c r="D479" s="60"/>
      <c r="J479" s="14"/>
      <c r="K479" s="14"/>
      <c r="L479" s="14"/>
    </row>
    <row r="480">
      <c r="C480" s="60"/>
      <c r="D480" s="60"/>
      <c r="J480" s="14"/>
      <c r="K480" s="14"/>
      <c r="L480" s="14"/>
    </row>
    <row r="481">
      <c r="C481" s="60"/>
      <c r="D481" s="60"/>
      <c r="J481" s="14"/>
      <c r="K481" s="14"/>
      <c r="L481" s="14"/>
    </row>
    <row r="482">
      <c r="C482" s="60"/>
      <c r="D482" s="60"/>
      <c r="J482" s="14"/>
      <c r="K482" s="14"/>
      <c r="L482" s="14"/>
    </row>
    <row r="483">
      <c r="C483" s="60"/>
      <c r="D483" s="60"/>
      <c r="J483" s="14"/>
      <c r="K483" s="14"/>
      <c r="L483" s="14"/>
    </row>
    <row r="484">
      <c r="C484" s="60"/>
      <c r="D484" s="60"/>
      <c r="J484" s="14"/>
      <c r="K484" s="14"/>
      <c r="L484" s="14"/>
    </row>
    <row r="485">
      <c r="C485" s="60"/>
      <c r="D485" s="60"/>
      <c r="J485" s="14"/>
      <c r="K485" s="14"/>
      <c r="L485" s="14"/>
    </row>
    <row r="486">
      <c r="C486" s="60"/>
      <c r="D486" s="60"/>
      <c r="J486" s="14"/>
      <c r="K486" s="14"/>
      <c r="L486" s="14"/>
    </row>
    <row r="487">
      <c r="C487" s="60"/>
      <c r="D487" s="60"/>
      <c r="J487" s="14"/>
      <c r="K487" s="14"/>
      <c r="L487" s="14"/>
    </row>
    <row r="488">
      <c r="C488" s="60"/>
      <c r="D488" s="60"/>
      <c r="J488" s="14"/>
      <c r="K488" s="14"/>
      <c r="L488" s="14"/>
    </row>
    <row r="489">
      <c r="C489" s="60"/>
      <c r="D489" s="60"/>
      <c r="J489" s="14"/>
      <c r="K489" s="14"/>
      <c r="L489" s="14"/>
    </row>
    <row r="490">
      <c r="C490" s="60"/>
      <c r="D490" s="60"/>
      <c r="J490" s="14"/>
      <c r="K490" s="14"/>
      <c r="L490" s="14"/>
    </row>
    <row r="491">
      <c r="C491" s="60"/>
      <c r="D491" s="60"/>
      <c r="J491" s="14"/>
      <c r="K491" s="14"/>
      <c r="L491" s="14"/>
    </row>
    <row r="492">
      <c r="C492" s="60"/>
      <c r="D492" s="60"/>
      <c r="J492" s="14"/>
      <c r="K492" s="14"/>
      <c r="L492" s="14"/>
    </row>
    <row r="493">
      <c r="C493" s="60"/>
      <c r="D493" s="60"/>
      <c r="J493" s="14"/>
      <c r="K493" s="14"/>
      <c r="L493" s="14"/>
    </row>
    <row r="494">
      <c r="C494" s="60"/>
      <c r="D494" s="60"/>
      <c r="J494" s="14"/>
      <c r="K494" s="14"/>
      <c r="L494" s="14"/>
    </row>
    <row r="495">
      <c r="C495" s="60"/>
      <c r="D495" s="60"/>
      <c r="J495" s="14"/>
      <c r="K495" s="14"/>
      <c r="L495" s="14"/>
    </row>
    <row r="496">
      <c r="C496" s="60"/>
      <c r="D496" s="60"/>
      <c r="J496" s="14"/>
      <c r="K496" s="14"/>
      <c r="L496" s="14"/>
    </row>
    <row r="497">
      <c r="C497" s="60"/>
      <c r="D497" s="60"/>
      <c r="J497" s="14"/>
      <c r="K497" s="14"/>
      <c r="L497" s="14"/>
    </row>
    <row r="498">
      <c r="C498" s="60"/>
      <c r="D498" s="60"/>
      <c r="J498" s="14"/>
      <c r="K498" s="14"/>
      <c r="L498" s="14"/>
    </row>
    <row r="499">
      <c r="C499" s="60"/>
      <c r="D499" s="60"/>
      <c r="J499" s="14"/>
      <c r="K499" s="14"/>
      <c r="L499" s="14"/>
    </row>
    <row r="500">
      <c r="C500" s="60"/>
      <c r="D500" s="60"/>
      <c r="J500" s="14"/>
      <c r="K500" s="14"/>
      <c r="L500" s="14"/>
    </row>
    <row r="501">
      <c r="C501" s="60"/>
      <c r="D501" s="60"/>
      <c r="J501" s="14"/>
      <c r="K501" s="14"/>
      <c r="L501" s="14"/>
    </row>
    <row r="502">
      <c r="C502" s="60"/>
      <c r="D502" s="60"/>
      <c r="J502" s="14"/>
      <c r="K502" s="14"/>
      <c r="L502" s="14"/>
    </row>
    <row r="503">
      <c r="C503" s="60"/>
      <c r="D503" s="60"/>
      <c r="J503" s="14"/>
      <c r="K503" s="14"/>
      <c r="L503" s="14"/>
    </row>
    <row r="504">
      <c r="C504" s="60"/>
      <c r="D504" s="60"/>
      <c r="J504" s="14"/>
      <c r="K504" s="14"/>
      <c r="L504" s="14"/>
    </row>
    <row r="505">
      <c r="C505" s="60"/>
      <c r="D505" s="60"/>
      <c r="J505" s="14"/>
      <c r="K505" s="14"/>
      <c r="L505" s="14"/>
    </row>
    <row r="506">
      <c r="C506" s="60"/>
      <c r="D506" s="60"/>
      <c r="J506" s="14"/>
      <c r="K506" s="14"/>
      <c r="L506" s="14"/>
    </row>
    <row r="507">
      <c r="C507" s="60"/>
      <c r="D507" s="60"/>
      <c r="J507" s="14"/>
      <c r="K507" s="14"/>
      <c r="L507" s="14"/>
    </row>
    <row r="508">
      <c r="C508" s="60"/>
      <c r="D508" s="60"/>
      <c r="J508" s="14"/>
      <c r="K508" s="14"/>
      <c r="L508" s="14"/>
    </row>
    <row r="509">
      <c r="C509" s="60"/>
      <c r="D509" s="60"/>
      <c r="J509" s="14"/>
      <c r="K509" s="14"/>
      <c r="L509" s="14"/>
    </row>
    <row r="510">
      <c r="C510" s="60"/>
      <c r="D510" s="60"/>
      <c r="J510" s="14"/>
      <c r="K510" s="14"/>
      <c r="L510" s="14"/>
    </row>
    <row r="511">
      <c r="C511" s="60"/>
      <c r="D511" s="60"/>
      <c r="J511" s="14"/>
      <c r="K511" s="14"/>
      <c r="L511" s="14"/>
    </row>
    <row r="512">
      <c r="C512" s="60"/>
      <c r="D512" s="60"/>
      <c r="J512" s="14"/>
      <c r="K512" s="14"/>
      <c r="L512" s="14"/>
    </row>
    <row r="513">
      <c r="C513" s="60"/>
      <c r="D513" s="60"/>
      <c r="J513" s="14"/>
      <c r="K513" s="14"/>
      <c r="L513" s="14"/>
    </row>
    <row r="514">
      <c r="C514" s="60"/>
      <c r="D514" s="60"/>
      <c r="J514" s="14"/>
      <c r="K514" s="14"/>
      <c r="L514" s="14"/>
    </row>
    <row r="515">
      <c r="C515" s="60"/>
      <c r="D515" s="60"/>
      <c r="J515" s="14"/>
      <c r="K515" s="14"/>
      <c r="L515" s="14"/>
    </row>
    <row r="516">
      <c r="C516" s="60"/>
      <c r="D516" s="60"/>
      <c r="J516" s="14"/>
      <c r="K516" s="14"/>
      <c r="L516" s="14"/>
    </row>
    <row r="517">
      <c r="C517" s="60"/>
      <c r="D517" s="60"/>
      <c r="J517" s="14"/>
      <c r="K517" s="14"/>
      <c r="L517" s="14"/>
    </row>
    <row r="518">
      <c r="C518" s="60"/>
      <c r="D518" s="60"/>
      <c r="J518" s="14"/>
      <c r="K518" s="14"/>
      <c r="L518" s="14"/>
    </row>
    <row r="519">
      <c r="C519" s="60"/>
      <c r="D519" s="60"/>
      <c r="J519" s="14"/>
      <c r="K519" s="14"/>
      <c r="L519" s="14"/>
    </row>
    <row r="520">
      <c r="C520" s="60"/>
      <c r="D520" s="60"/>
      <c r="J520" s="14"/>
      <c r="K520" s="14"/>
      <c r="L520" s="14"/>
    </row>
    <row r="521">
      <c r="C521" s="60"/>
      <c r="D521" s="60"/>
      <c r="J521" s="14"/>
      <c r="K521" s="14"/>
      <c r="L521" s="14"/>
    </row>
    <row r="522">
      <c r="C522" s="60"/>
      <c r="D522" s="60"/>
      <c r="J522" s="14"/>
      <c r="K522" s="14"/>
      <c r="L522" s="14"/>
    </row>
    <row r="523">
      <c r="C523" s="60"/>
      <c r="D523" s="60"/>
      <c r="J523" s="14"/>
      <c r="K523" s="14"/>
      <c r="L523" s="14"/>
    </row>
    <row r="524">
      <c r="C524" s="60"/>
      <c r="D524" s="60"/>
      <c r="J524" s="14"/>
      <c r="K524" s="14"/>
      <c r="L524" s="14"/>
    </row>
    <row r="525">
      <c r="C525" s="60"/>
      <c r="D525" s="60"/>
      <c r="J525" s="14"/>
      <c r="K525" s="14"/>
      <c r="L525" s="14"/>
    </row>
    <row r="526">
      <c r="C526" s="60"/>
      <c r="D526" s="60"/>
      <c r="J526" s="14"/>
      <c r="K526" s="14"/>
      <c r="L526" s="14"/>
    </row>
    <row r="527">
      <c r="C527" s="60"/>
      <c r="D527" s="60"/>
      <c r="J527" s="14"/>
      <c r="K527" s="14"/>
      <c r="L527" s="14"/>
    </row>
    <row r="528">
      <c r="C528" s="60"/>
      <c r="D528" s="60"/>
      <c r="J528" s="14"/>
      <c r="K528" s="14"/>
      <c r="L528" s="14"/>
    </row>
    <row r="529">
      <c r="C529" s="60"/>
      <c r="D529" s="60"/>
      <c r="J529" s="14"/>
      <c r="K529" s="14"/>
      <c r="L529" s="14"/>
    </row>
    <row r="530">
      <c r="C530" s="60"/>
      <c r="D530" s="60"/>
      <c r="J530" s="14"/>
      <c r="K530" s="14"/>
      <c r="L530" s="14"/>
    </row>
    <row r="531">
      <c r="C531" s="60"/>
      <c r="D531" s="60"/>
      <c r="J531" s="14"/>
      <c r="K531" s="14"/>
      <c r="L531" s="14"/>
    </row>
    <row r="532">
      <c r="C532" s="60"/>
      <c r="D532" s="60"/>
      <c r="J532" s="14"/>
      <c r="K532" s="14"/>
      <c r="L532" s="14"/>
    </row>
    <row r="533">
      <c r="C533" s="60"/>
      <c r="D533" s="60"/>
      <c r="J533" s="14"/>
      <c r="K533" s="14"/>
      <c r="L533" s="14"/>
    </row>
    <row r="534">
      <c r="C534" s="60"/>
      <c r="D534" s="60"/>
      <c r="J534" s="14"/>
      <c r="K534" s="14"/>
      <c r="L534" s="14"/>
    </row>
    <row r="535">
      <c r="C535" s="60"/>
      <c r="D535" s="60"/>
      <c r="J535" s="14"/>
      <c r="K535" s="14"/>
      <c r="L535" s="14"/>
    </row>
    <row r="536">
      <c r="C536" s="60"/>
      <c r="D536" s="60"/>
      <c r="J536" s="14"/>
      <c r="K536" s="14"/>
      <c r="L536" s="14"/>
    </row>
    <row r="537">
      <c r="C537" s="60"/>
      <c r="D537" s="60"/>
      <c r="J537" s="14"/>
      <c r="K537" s="14"/>
      <c r="L537" s="14"/>
    </row>
    <row r="538">
      <c r="C538" s="60"/>
      <c r="D538" s="60"/>
      <c r="J538" s="14"/>
      <c r="K538" s="14"/>
      <c r="L538" s="14"/>
    </row>
    <row r="539">
      <c r="C539" s="60"/>
      <c r="D539" s="60"/>
      <c r="J539" s="14"/>
      <c r="K539" s="14"/>
      <c r="L539" s="14"/>
    </row>
    <row r="540">
      <c r="C540" s="60"/>
      <c r="D540" s="60"/>
      <c r="J540" s="14"/>
      <c r="K540" s="14"/>
      <c r="L540" s="14"/>
    </row>
    <row r="541">
      <c r="C541" s="60"/>
      <c r="D541" s="60"/>
      <c r="J541" s="14"/>
      <c r="K541" s="14"/>
      <c r="L541" s="14"/>
    </row>
    <row r="542">
      <c r="C542" s="60"/>
      <c r="D542" s="60"/>
      <c r="J542" s="14"/>
      <c r="K542" s="14"/>
      <c r="L542" s="14"/>
    </row>
    <row r="543">
      <c r="C543" s="60"/>
      <c r="D543" s="60"/>
      <c r="J543" s="14"/>
      <c r="K543" s="14"/>
      <c r="L543" s="14"/>
    </row>
    <row r="544">
      <c r="C544" s="60"/>
      <c r="D544" s="60"/>
      <c r="J544" s="14"/>
      <c r="K544" s="14"/>
      <c r="L544" s="14"/>
    </row>
    <row r="545">
      <c r="C545" s="60"/>
      <c r="D545" s="60"/>
      <c r="J545" s="14"/>
      <c r="K545" s="14"/>
      <c r="L545" s="14"/>
    </row>
    <row r="546">
      <c r="C546" s="60"/>
      <c r="D546" s="60"/>
      <c r="J546" s="14"/>
      <c r="K546" s="14"/>
      <c r="L546" s="14"/>
    </row>
    <row r="547">
      <c r="C547" s="60"/>
      <c r="D547" s="60"/>
      <c r="J547" s="14"/>
      <c r="K547" s="14"/>
      <c r="L547" s="14"/>
    </row>
    <row r="548">
      <c r="C548" s="60"/>
      <c r="D548" s="60"/>
      <c r="J548" s="14"/>
      <c r="K548" s="14"/>
      <c r="L548" s="14"/>
    </row>
    <row r="549">
      <c r="C549" s="60"/>
      <c r="D549" s="60"/>
      <c r="J549" s="14"/>
      <c r="K549" s="14"/>
      <c r="L549" s="14"/>
    </row>
    <row r="550">
      <c r="C550" s="60"/>
      <c r="D550" s="60"/>
      <c r="J550" s="14"/>
      <c r="K550" s="14"/>
      <c r="L550" s="14"/>
    </row>
    <row r="551">
      <c r="C551" s="60"/>
      <c r="D551" s="60"/>
      <c r="J551" s="14"/>
      <c r="K551" s="14"/>
      <c r="L551" s="14"/>
    </row>
    <row r="552">
      <c r="C552" s="60"/>
      <c r="D552" s="60"/>
      <c r="J552" s="14"/>
      <c r="K552" s="14"/>
      <c r="L552" s="14"/>
    </row>
    <row r="553">
      <c r="C553" s="60"/>
      <c r="D553" s="60"/>
      <c r="J553" s="14"/>
      <c r="K553" s="14"/>
      <c r="L553" s="14"/>
    </row>
    <row r="554">
      <c r="C554" s="60"/>
      <c r="D554" s="60"/>
      <c r="J554" s="14"/>
      <c r="K554" s="14"/>
      <c r="L554" s="14"/>
    </row>
    <row r="555">
      <c r="C555" s="60"/>
      <c r="D555" s="60"/>
      <c r="J555" s="14"/>
      <c r="K555" s="14"/>
      <c r="L555" s="14"/>
    </row>
    <row r="556">
      <c r="C556" s="60"/>
      <c r="D556" s="60"/>
      <c r="J556" s="14"/>
      <c r="K556" s="14"/>
      <c r="L556" s="14"/>
    </row>
    <row r="557">
      <c r="C557" s="60"/>
      <c r="D557" s="60"/>
      <c r="J557" s="14"/>
      <c r="K557" s="14"/>
      <c r="L557" s="14"/>
    </row>
    <row r="558">
      <c r="C558" s="60"/>
      <c r="D558" s="60"/>
      <c r="J558" s="14"/>
      <c r="K558" s="14"/>
      <c r="L558" s="14"/>
    </row>
    <row r="559">
      <c r="C559" s="60"/>
      <c r="D559" s="60"/>
      <c r="J559" s="14"/>
      <c r="K559" s="14"/>
      <c r="L559" s="14"/>
    </row>
    <row r="560">
      <c r="C560" s="60"/>
      <c r="D560" s="60"/>
      <c r="J560" s="14"/>
      <c r="K560" s="14"/>
      <c r="L560" s="14"/>
    </row>
    <row r="561">
      <c r="C561" s="60"/>
      <c r="D561" s="60"/>
      <c r="J561" s="14"/>
      <c r="K561" s="14"/>
      <c r="L561" s="14"/>
    </row>
    <row r="562">
      <c r="C562" s="60"/>
      <c r="D562" s="60"/>
      <c r="J562" s="14"/>
      <c r="K562" s="14"/>
      <c r="L562" s="14"/>
    </row>
    <row r="563">
      <c r="C563" s="60"/>
      <c r="D563" s="60"/>
      <c r="J563" s="14"/>
      <c r="K563" s="14"/>
      <c r="L563" s="14"/>
    </row>
    <row r="564">
      <c r="C564" s="60"/>
      <c r="D564" s="60"/>
      <c r="J564" s="14"/>
      <c r="K564" s="14"/>
      <c r="L564" s="14"/>
    </row>
    <row r="565">
      <c r="C565" s="60"/>
      <c r="D565" s="60"/>
      <c r="J565" s="14"/>
      <c r="K565" s="14"/>
      <c r="L565" s="14"/>
    </row>
    <row r="566">
      <c r="C566" s="60"/>
      <c r="D566" s="60"/>
      <c r="J566" s="14"/>
      <c r="K566" s="14"/>
      <c r="L566" s="14"/>
    </row>
    <row r="567">
      <c r="C567" s="60"/>
      <c r="D567" s="60"/>
      <c r="J567" s="14"/>
      <c r="K567" s="14"/>
      <c r="L567" s="14"/>
    </row>
    <row r="568">
      <c r="C568" s="60"/>
      <c r="D568" s="60"/>
      <c r="J568" s="14"/>
      <c r="K568" s="14"/>
      <c r="L568" s="14"/>
    </row>
    <row r="569">
      <c r="C569" s="60"/>
      <c r="D569" s="60"/>
      <c r="J569" s="14"/>
      <c r="K569" s="14"/>
      <c r="L569" s="14"/>
    </row>
    <row r="570">
      <c r="C570" s="60"/>
      <c r="D570" s="60"/>
      <c r="J570" s="14"/>
      <c r="K570" s="14"/>
      <c r="L570" s="14"/>
    </row>
    <row r="571">
      <c r="C571" s="60"/>
      <c r="D571" s="60"/>
      <c r="J571" s="14"/>
      <c r="K571" s="14"/>
      <c r="L571" s="14"/>
    </row>
    <row r="572">
      <c r="C572" s="60"/>
      <c r="D572" s="60"/>
      <c r="J572" s="14"/>
      <c r="K572" s="14"/>
      <c r="L572" s="14"/>
    </row>
    <row r="573">
      <c r="C573" s="60"/>
      <c r="D573" s="60"/>
      <c r="J573" s="14"/>
      <c r="K573" s="14"/>
      <c r="L573" s="14"/>
    </row>
    <row r="574">
      <c r="C574" s="60"/>
      <c r="D574" s="60"/>
      <c r="J574" s="14"/>
      <c r="K574" s="14"/>
      <c r="L574" s="14"/>
    </row>
    <row r="575">
      <c r="C575" s="60"/>
      <c r="D575" s="60"/>
      <c r="J575" s="14"/>
      <c r="K575" s="14"/>
      <c r="L575" s="14"/>
    </row>
    <row r="576">
      <c r="C576" s="60"/>
      <c r="D576" s="60"/>
      <c r="J576" s="14"/>
      <c r="K576" s="14"/>
      <c r="L576" s="14"/>
    </row>
    <row r="577">
      <c r="C577" s="60"/>
      <c r="D577" s="60"/>
      <c r="J577" s="14"/>
      <c r="K577" s="14"/>
      <c r="L577" s="14"/>
    </row>
    <row r="578">
      <c r="C578" s="60"/>
      <c r="D578" s="60"/>
      <c r="J578" s="14"/>
      <c r="K578" s="14"/>
      <c r="L578" s="14"/>
    </row>
    <row r="579">
      <c r="C579" s="60"/>
      <c r="D579" s="60"/>
      <c r="J579" s="14"/>
      <c r="K579" s="14"/>
      <c r="L579" s="14"/>
    </row>
    <row r="580">
      <c r="C580" s="60"/>
      <c r="D580" s="60"/>
      <c r="J580" s="14"/>
      <c r="K580" s="14"/>
      <c r="L580" s="14"/>
    </row>
    <row r="581">
      <c r="C581" s="60"/>
      <c r="D581" s="60"/>
      <c r="J581" s="14"/>
      <c r="K581" s="14"/>
      <c r="L581" s="14"/>
    </row>
    <row r="582">
      <c r="C582" s="60"/>
      <c r="D582" s="60"/>
      <c r="J582" s="14"/>
      <c r="K582" s="14"/>
      <c r="L582" s="14"/>
    </row>
    <row r="583">
      <c r="C583" s="60"/>
      <c r="D583" s="60"/>
      <c r="J583" s="14"/>
      <c r="K583" s="14"/>
      <c r="L583" s="14"/>
    </row>
    <row r="584">
      <c r="C584" s="60"/>
      <c r="D584" s="60"/>
      <c r="J584" s="14"/>
      <c r="K584" s="14"/>
      <c r="L584" s="14"/>
    </row>
    <row r="585">
      <c r="C585" s="60"/>
      <c r="D585" s="60"/>
      <c r="J585" s="14"/>
      <c r="K585" s="14"/>
      <c r="L585" s="14"/>
    </row>
    <row r="586">
      <c r="C586" s="60"/>
      <c r="D586" s="60"/>
      <c r="J586" s="14"/>
      <c r="K586" s="14"/>
      <c r="L586" s="14"/>
    </row>
    <row r="587">
      <c r="C587" s="60"/>
      <c r="D587" s="60"/>
      <c r="J587" s="14"/>
      <c r="K587" s="14"/>
      <c r="L587" s="14"/>
    </row>
    <row r="588">
      <c r="C588" s="60"/>
      <c r="D588" s="60"/>
      <c r="J588" s="14"/>
      <c r="K588" s="14"/>
      <c r="L588" s="14"/>
    </row>
    <row r="589">
      <c r="C589" s="60"/>
      <c r="D589" s="60"/>
      <c r="J589" s="14"/>
      <c r="K589" s="14"/>
      <c r="L589" s="14"/>
    </row>
    <row r="590">
      <c r="C590" s="60"/>
      <c r="D590" s="60"/>
      <c r="J590" s="14"/>
      <c r="K590" s="14"/>
      <c r="L590" s="14"/>
    </row>
    <row r="591">
      <c r="C591" s="60"/>
      <c r="D591" s="60"/>
      <c r="J591" s="14"/>
      <c r="K591" s="14"/>
      <c r="L591" s="14"/>
    </row>
    <row r="592">
      <c r="C592" s="60"/>
      <c r="D592" s="60"/>
      <c r="J592" s="14"/>
      <c r="K592" s="14"/>
      <c r="L592" s="14"/>
    </row>
    <row r="593">
      <c r="C593" s="60"/>
      <c r="D593" s="60"/>
      <c r="J593" s="14"/>
      <c r="K593" s="14"/>
      <c r="L593" s="14"/>
    </row>
    <row r="594">
      <c r="C594" s="60"/>
      <c r="D594" s="60"/>
      <c r="J594" s="14"/>
      <c r="K594" s="14"/>
      <c r="L594" s="14"/>
    </row>
    <row r="595">
      <c r="C595" s="60"/>
      <c r="D595" s="60"/>
      <c r="J595" s="14"/>
      <c r="K595" s="14"/>
      <c r="L595" s="14"/>
    </row>
    <row r="596">
      <c r="C596" s="60"/>
      <c r="D596" s="60"/>
      <c r="J596" s="14"/>
      <c r="K596" s="14"/>
      <c r="L596" s="14"/>
    </row>
    <row r="597">
      <c r="C597" s="60"/>
      <c r="D597" s="60"/>
      <c r="J597" s="14"/>
      <c r="K597" s="14"/>
      <c r="L597" s="14"/>
    </row>
    <row r="598">
      <c r="C598" s="60"/>
      <c r="D598" s="60"/>
      <c r="J598" s="14"/>
      <c r="K598" s="14"/>
      <c r="L598" s="14"/>
    </row>
    <row r="599">
      <c r="C599" s="60"/>
      <c r="D599" s="60"/>
      <c r="J599" s="14"/>
      <c r="K599" s="14"/>
      <c r="L599" s="14"/>
    </row>
    <row r="600">
      <c r="C600" s="60"/>
      <c r="D600" s="60"/>
      <c r="J600" s="14"/>
      <c r="K600" s="14"/>
      <c r="L600" s="14"/>
    </row>
    <row r="601">
      <c r="C601" s="60"/>
      <c r="D601" s="60"/>
      <c r="J601" s="14"/>
      <c r="K601" s="14"/>
      <c r="L601" s="14"/>
    </row>
    <row r="602">
      <c r="C602" s="60"/>
      <c r="D602" s="60"/>
      <c r="J602" s="14"/>
      <c r="K602" s="14"/>
      <c r="L602" s="14"/>
    </row>
    <row r="603">
      <c r="C603" s="60"/>
      <c r="D603" s="60"/>
      <c r="J603" s="14"/>
      <c r="K603" s="14"/>
      <c r="L603" s="14"/>
    </row>
    <row r="604">
      <c r="C604" s="60"/>
      <c r="D604" s="60"/>
      <c r="J604" s="14"/>
      <c r="K604" s="14"/>
      <c r="L604" s="14"/>
    </row>
    <row r="605">
      <c r="C605" s="60"/>
      <c r="D605" s="60"/>
      <c r="J605" s="14"/>
      <c r="K605" s="14"/>
      <c r="L605" s="14"/>
    </row>
    <row r="606">
      <c r="C606" s="60"/>
      <c r="D606" s="60"/>
      <c r="J606" s="14"/>
      <c r="K606" s="14"/>
      <c r="L606" s="14"/>
    </row>
    <row r="607">
      <c r="C607" s="60"/>
      <c r="D607" s="60"/>
      <c r="J607" s="14"/>
      <c r="K607" s="14"/>
      <c r="L607" s="14"/>
    </row>
    <row r="608">
      <c r="C608" s="60"/>
      <c r="D608" s="60"/>
      <c r="J608" s="14"/>
      <c r="K608" s="14"/>
      <c r="L608" s="14"/>
    </row>
    <row r="609">
      <c r="C609" s="60"/>
      <c r="D609" s="60"/>
      <c r="J609" s="14"/>
      <c r="K609" s="14"/>
      <c r="L609" s="14"/>
    </row>
    <row r="610">
      <c r="C610" s="60"/>
      <c r="D610" s="60"/>
      <c r="J610" s="14"/>
      <c r="K610" s="14"/>
      <c r="L610" s="14"/>
    </row>
    <row r="611">
      <c r="C611" s="60"/>
      <c r="D611" s="60"/>
      <c r="J611" s="14"/>
      <c r="K611" s="14"/>
      <c r="L611" s="14"/>
    </row>
    <row r="612">
      <c r="C612" s="60"/>
      <c r="D612" s="60"/>
      <c r="J612" s="14"/>
      <c r="K612" s="14"/>
      <c r="L612" s="14"/>
    </row>
    <row r="613">
      <c r="C613" s="60"/>
      <c r="D613" s="60"/>
      <c r="J613" s="14"/>
      <c r="K613" s="14"/>
      <c r="L613" s="14"/>
    </row>
    <row r="614">
      <c r="C614" s="60"/>
      <c r="D614" s="60"/>
      <c r="J614" s="14"/>
      <c r="K614" s="14"/>
      <c r="L614" s="14"/>
    </row>
    <row r="615">
      <c r="C615" s="60"/>
      <c r="D615" s="60"/>
      <c r="J615" s="14"/>
      <c r="K615" s="14"/>
      <c r="L615" s="14"/>
    </row>
    <row r="616">
      <c r="C616" s="60"/>
      <c r="D616" s="60"/>
      <c r="J616" s="14"/>
      <c r="K616" s="14"/>
      <c r="L616" s="14"/>
    </row>
    <row r="617">
      <c r="C617" s="60"/>
      <c r="D617" s="60"/>
      <c r="J617" s="14"/>
      <c r="K617" s="14"/>
      <c r="L617" s="14"/>
    </row>
    <row r="618">
      <c r="C618" s="60"/>
      <c r="D618" s="60"/>
      <c r="J618" s="14"/>
      <c r="K618" s="14"/>
      <c r="L618" s="14"/>
    </row>
    <row r="619">
      <c r="C619" s="60"/>
      <c r="D619" s="60"/>
      <c r="J619" s="14"/>
      <c r="K619" s="14"/>
      <c r="L619" s="14"/>
    </row>
    <row r="620">
      <c r="C620" s="60"/>
      <c r="D620" s="60"/>
      <c r="J620" s="14"/>
      <c r="K620" s="14"/>
      <c r="L620" s="14"/>
    </row>
    <row r="621">
      <c r="C621" s="60"/>
      <c r="D621" s="60"/>
      <c r="J621" s="14"/>
      <c r="K621" s="14"/>
      <c r="L621" s="14"/>
    </row>
    <row r="622">
      <c r="C622" s="60"/>
      <c r="D622" s="60"/>
      <c r="J622" s="14"/>
      <c r="K622" s="14"/>
      <c r="L622" s="14"/>
    </row>
    <row r="623">
      <c r="C623" s="60"/>
      <c r="D623" s="60"/>
      <c r="J623" s="14"/>
      <c r="K623" s="14"/>
      <c r="L623" s="14"/>
    </row>
    <row r="624">
      <c r="C624" s="60"/>
      <c r="D624" s="60"/>
      <c r="J624" s="14"/>
      <c r="K624" s="14"/>
      <c r="L624" s="14"/>
    </row>
    <row r="625">
      <c r="C625" s="60"/>
      <c r="D625" s="60"/>
      <c r="J625" s="14"/>
      <c r="K625" s="14"/>
      <c r="L625" s="14"/>
    </row>
    <row r="626">
      <c r="C626" s="60"/>
      <c r="D626" s="60"/>
      <c r="J626" s="14"/>
      <c r="K626" s="14"/>
      <c r="L626" s="14"/>
    </row>
    <row r="627">
      <c r="C627" s="60"/>
      <c r="D627" s="60"/>
      <c r="J627" s="14"/>
      <c r="K627" s="14"/>
      <c r="L627" s="14"/>
    </row>
    <row r="628">
      <c r="C628" s="60"/>
      <c r="D628" s="60"/>
      <c r="J628" s="14"/>
      <c r="K628" s="14"/>
      <c r="L628" s="14"/>
    </row>
    <row r="629">
      <c r="C629" s="60"/>
      <c r="D629" s="60"/>
      <c r="J629" s="14"/>
      <c r="K629" s="14"/>
      <c r="L629" s="14"/>
    </row>
    <row r="630">
      <c r="C630" s="60"/>
      <c r="D630" s="60"/>
      <c r="J630" s="14"/>
      <c r="K630" s="14"/>
      <c r="L630" s="14"/>
    </row>
    <row r="631">
      <c r="C631" s="60"/>
      <c r="D631" s="60"/>
      <c r="J631" s="14"/>
      <c r="K631" s="14"/>
      <c r="L631" s="14"/>
    </row>
    <row r="632">
      <c r="C632" s="60"/>
      <c r="D632" s="60"/>
      <c r="J632" s="14"/>
      <c r="K632" s="14"/>
      <c r="L632" s="14"/>
    </row>
    <row r="633">
      <c r="C633" s="60"/>
      <c r="D633" s="60"/>
      <c r="J633" s="14"/>
      <c r="K633" s="14"/>
      <c r="L633" s="14"/>
    </row>
    <row r="634">
      <c r="C634" s="60"/>
      <c r="D634" s="60"/>
      <c r="J634" s="14"/>
      <c r="K634" s="14"/>
      <c r="L634" s="14"/>
    </row>
    <row r="635">
      <c r="C635" s="60"/>
      <c r="D635" s="60"/>
      <c r="J635" s="14"/>
      <c r="K635" s="14"/>
      <c r="L635" s="14"/>
    </row>
    <row r="636">
      <c r="C636" s="60"/>
      <c r="D636" s="60"/>
      <c r="J636" s="14"/>
      <c r="K636" s="14"/>
      <c r="L636" s="14"/>
    </row>
    <row r="637">
      <c r="C637" s="60"/>
      <c r="D637" s="60"/>
      <c r="J637" s="14"/>
      <c r="K637" s="14"/>
      <c r="L637" s="14"/>
    </row>
    <row r="638">
      <c r="C638" s="60"/>
      <c r="D638" s="60"/>
      <c r="J638" s="14"/>
      <c r="K638" s="14"/>
      <c r="L638" s="14"/>
    </row>
    <row r="639">
      <c r="C639" s="60"/>
      <c r="D639" s="60"/>
      <c r="J639" s="14"/>
      <c r="K639" s="14"/>
      <c r="L639" s="14"/>
    </row>
    <row r="640">
      <c r="C640" s="60"/>
      <c r="D640" s="60"/>
      <c r="J640" s="14"/>
      <c r="K640" s="14"/>
      <c r="L640" s="14"/>
    </row>
    <row r="641">
      <c r="C641" s="60"/>
      <c r="D641" s="60"/>
      <c r="J641" s="14"/>
      <c r="K641" s="14"/>
      <c r="L641" s="14"/>
    </row>
    <row r="642">
      <c r="C642" s="60"/>
      <c r="D642" s="60"/>
      <c r="J642" s="14"/>
      <c r="K642" s="14"/>
      <c r="L642" s="14"/>
    </row>
    <row r="643">
      <c r="C643" s="60"/>
      <c r="D643" s="60"/>
      <c r="J643" s="14"/>
      <c r="K643" s="14"/>
      <c r="L643" s="14"/>
    </row>
    <row r="644">
      <c r="C644" s="60"/>
      <c r="D644" s="60"/>
      <c r="J644" s="14"/>
      <c r="K644" s="14"/>
      <c r="L644" s="14"/>
    </row>
    <row r="645">
      <c r="C645" s="60"/>
      <c r="D645" s="60"/>
      <c r="J645" s="14"/>
      <c r="K645" s="14"/>
      <c r="L645" s="14"/>
    </row>
    <row r="646">
      <c r="C646" s="60"/>
      <c r="D646" s="60"/>
      <c r="J646" s="14"/>
      <c r="K646" s="14"/>
      <c r="L646" s="14"/>
    </row>
    <row r="647">
      <c r="C647" s="60"/>
      <c r="D647" s="60"/>
      <c r="J647" s="14"/>
      <c r="K647" s="14"/>
      <c r="L647" s="14"/>
    </row>
    <row r="648">
      <c r="C648" s="60"/>
      <c r="D648" s="60"/>
      <c r="J648" s="14"/>
      <c r="K648" s="14"/>
      <c r="L648" s="14"/>
    </row>
    <row r="649">
      <c r="C649" s="60"/>
      <c r="D649" s="60"/>
      <c r="J649" s="14"/>
      <c r="K649" s="14"/>
      <c r="L649" s="14"/>
    </row>
    <row r="650">
      <c r="C650" s="60"/>
      <c r="D650" s="60"/>
      <c r="J650" s="14"/>
      <c r="K650" s="14"/>
      <c r="L650" s="14"/>
    </row>
    <row r="651">
      <c r="C651" s="60"/>
      <c r="D651" s="60"/>
      <c r="J651" s="14"/>
      <c r="K651" s="14"/>
      <c r="L651" s="14"/>
    </row>
    <row r="652">
      <c r="C652" s="60"/>
      <c r="D652" s="60"/>
      <c r="J652" s="14"/>
      <c r="K652" s="14"/>
      <c r="L652" s="14"/>
    </row>
    <row r="653">
      <c r="C653" s="60"/>
      <c r="D653" s="60"/>
      <c r="J653" s="14"/>
      <c r="K653" s="14"/>
      <c r="L653" s="14"/>
    </row>
    <row r="654">
      <c r="C654" s="60"/>
      <c r="D654" s="60"/>
      <c r="J654" s="14"/>
      <c r="K654" s="14"/>
      <c r="L654" s="14"/>
    </row>
    <row r="655">
      <c r="C655" s="60"/>
      <c r="D655" s="60"/>
      <c r="J655" s="14"/>
      <c r="K655" s="14"/>
      <c r="L655" s="14"/>
    </row>
    <row r="656">
      <c r="C656" s="60"/>
      <c r="D656" s="60"/>
      <c r="J656" s="14"/>
      <c r="K656" s="14"/>
      <c r="L656" s="14"/>
    </row>
    <row r="657">
      <c r="C657" s="60"/>
      <c r="D657" s="60"/>
      <c r="J657" s="14"/>
      <c r="K657" s="14"/>
      <c r="L657" s="14"/>
    </row>
    <row r="658">
      <c r="C658" s="60"/>
      <c r="D658" s="60"/>
      <c r="J658" s="14"/>
      <c r="K658" s="14"/>
      <c r="L658" s="14"/>
    </row>
    <row r="659">
      <c r="C659" s="60"/>
      <c r="D659" s="60"/>
      <c r="J659" s="14"/>
      <c r="K659" s="14"/>
      <c r="L659" s="14"/>
    </row>
    <row r="660">
      <c r="C660" s="60"/>
      <c r="D660" s="60"/>
      <c r="J660" s="14"/>
      <c r="K660" s="14"/>
      <c r="L660" s="14"/>
    </row>
    <row r="661">
      <c r="C661" s="60"/>
      <c r="D661" s="60"/>
      <c r="J661" s="14"/>
      <c r="K661" s="14"/>
      <c r="L661" s="14"/>
    </row>
    <row r="662">
      <c r="C662" s="60"/>
      <c r="D662" s="60"/>
      <c r="J662" s="14"/>
      <c r="K662" s="14"/>
      <c r="L662" s="14"/>
    </row>
    <row r="663">
      <c r="C663" s="60"/>
      <c r="D663" s="60"/>
      <c r="J663" s="14"/>
      <c r="K663" s="14"/>
      <c r="L663" s="14"/>
    </row>
    <row r="664">
      <c r="C664" s="60"/>
      <c r="D664" s="60"/>
      <c r="J664" s="14"/>
      <c r="K664" s="14"/>
      <c r="L664" s="14"/>
    </row>
    <row r="665">
      <c r="C665" s="60"/>
      <c r="D665" s="60"/>
      <c r="J665" s="14"/>
      <c r="K665" s="14"/>
      <c r="L665" s="14"/>
    </row>
    <row r="666">
      <c r="C666" s="60"/>
      <c r="D666" s="60"/>
      <c r="J666" s="14"/>
      <c r="K666" s="14"/>
      <c r="L666" s="14"/>
    </row>
    <row r="667">
      <c r="C667" s="60"/>
      <c r="D667" s="60"/>
      <c r="J667" s="14"/>
      <c r="K667" s="14"/>
      <c r="L667" s="14"/>
    </row>
    <row r="668">
      <c r="C668" s="60"/>
      <c r="D668" s="60"/>
      <c r="J668" s="14"/>
      <c r="K668" s="14"/>
      <c r="L668" s="14"/>
    </row>
    <row r="669">
      <c r="C669" s="60"/>
      <c r="D669" s="60"/>
      <c r="J669" s="14"/>
      <c r="K669" s="14"/>
      <c r="L669" s="14"/>
    </row>
    <row r="670">
      <c r="C670" s="60"/>
      <c r="D670" s="60"/>
      <c r="J670" s="14"/>
      <c r="K670" s="14"/>
      <c r="L670" s="14"/>
    </row>
    <row r="671">
      <c r="C671" s="60"/>
      <c r="D671" s="60"/>
      <c r="J671" s="14"/>
      <c r="K671" s="14"/>
      <c r="L671" s="14"/>
    </row>
    <row r="672">
      <c r="C672" s="60"/>
      <c r="D672" s="60"/>
      <c r="J672" s="14"/>
      <c r="K672" s="14"/>
      <c r="L672" s="14"/>
    </row>
    <row r="673">
      <c r="C673" s="60"/>
      <c r="D673" s="60"/>
      <c r="J673" s="14"/>
      <c r="K673" s="14"/>
      <c r="L673" s="14"/>
    </row>
    <row r="674">
      <c r="C674" s="60"/>
      <c r="D674" s="60"/>
      <c r="J674" s="14"/>
      <c r="K674" s="14"/>
      <c r="L674" s="14"/>
    </row>
    <row r="675">
      <c r="C675" s="60"/>
      <c r="D675" s="60"/>
      <c r="J675" s="14"/>
      <c r="K675" s="14"/>
      <c r="L675" s="14"/>
    </row>
    <row r="676">
      <c r="C676" s="60"/>
      <c r="D676" s="60"/>
      <c r="J676" s="14"/>
      <c r="K676" s="14"/>
      <c r="L676" s="14"/>
    </row>
    <row r="677">
      <c r="C677" s="60"/>
      <c r="D677" s="60"/>
      <c r="J677" s="14"/>
      <c r="K677" s="14"/>
      <c r="L677" s="14"/>
    </row>
    <row r="678">
      <c r="C678" s="60"/>
      <c r="D678" s="60"/>
      <c r="J678" s="14"/>
      <c r="K678" s="14"/>
      <c r="L678" s="14"/>
    </row>
    <row r="679">
      <c r="C679" s="60"/>
      <c r="D679" s="60"/>
      <c r="J679" s="14"/>
      <c r="K679" s="14"/>
      <c r="L679" s="14"/>
    </row>
    <row r="680">
      <c r="C680" s="60"/>
      <c r="D680" s="60"/>
      <c r="J680" s="14"/>
      <c r="K680" s="14"/>
      <c r="L680" s="14"/>
    </row>
    <row r="681">
      <c r="C681" s="60"/>
      <c r="D681" s="60"/>
      <c r="J681" s="14"/>
      <c r="K681" s="14"/>
      <c r="L681" s="14"/>
    </row>
    <row r="682">
      <c r="C682" s="60"/>
      <c r="D682" s="60"/>
      <c r="J682" s="14"/>
      <c r="K682" s="14"/>
      <c r="L682" s="14"/>
    </row>
    <row r="683">
      <c r="C683" s="60"/>
      <c r="D683" s="60"/>
      <c r="J683" s="14"/>
      <c r="K683" s="14"/>
      <c r="L683" s="14"/>
    </row>
    <row r="684">
      <c r="C684" s="60"/>
      <c r="D684" s="60"/>
      <c r="J684" s="14"/>
      <c r="K684" s="14"/>
      <c r="L684" s="14"/>
    </row>
    <row r="685">
      <c r="C685" s="60"/>
      <c r="D685" s="60"/>
      <c r="J685" s="14"/>
      <c r="K685" s="14"/>
      <c r="L685" s="14"/>
    </row>
    <row r="686">
      <c r="C686" s="60"/>
      <c r="D686" s="60"/>
      <c r="J686" s="14"/>
      <c r="K686" s="14"/>
      <c r="L686" s="14"/>
    </row>
    <row r="687">
      <c r="C687" s="60"/>
      <c r="D687" s="60"/>
      <c r="J687" s="14"/>
      <c r="K687" s="14"/>
      <c r="L687" s="14"/>
    </row>
    <row r="688">
      <c r="C688" s="60"/>
      <c r="D688" s="60"/>
      <c r="J688" s="14"/>
      <c r="K688" s="14"/>
      <c r="L688" s="14"/>
    </row>
    <row r="689">
      <c r="C689" s="60"/>
      <c r="D689" s="60"/>
      <c r="J689" s="14"/>
      <c r="K689" s="14"/>
      <c r="L689" s="14"/>
    </row>
    <row r="690">
      <c r="C690" s="60"/>
      <c r="D690" s="60"/>
      <c r="J690" s="14"/>
      <c r="K690" s="14"/>
      <c r="L690" s="14"/>
    </row>
    <row r="691">
      <c r="C691" s="60"/>
      <c r="D691" s="60"/>
      <c r="J691" s="14"/>
      <c r="K691" s="14"/>
      <c r="L691" s="14"/>
    </row>
    <row r="692">
      <c r="C692" s="60"/>
      <c r="D692" s="60"/>
      <c r="J692" s="14"/>
      <c r="K692" s="14"/>
      <c r="L692" s="14"/>
    </row>
    <row r="693">
      <c r="C693" s="60"/>
      <c r="D693" s="60"/>
      <c r="J693" s="14"/>
      <c r="K693" s="14"/>
      <c r="L693" s="14"/>
    </row>
    <row r="694">
      <c r="C694" s="60"/>
      <c r="D694" s="60"/>
      <c r="J694" s="14"/>
      <c r="K694" s="14"/>
      <c r="L694" s="14"/>
    </row>
    <row r="695">
      <c r="C695" s="60"/>
      <c r="D695" s="60"/>
      <c r="J695" s="14"/>
      <c r="K695" s="14"/>
      <c r="L695" s="14"/>
    </row>
    <row r="696">
      <c r="C696" s="60"/>
      <c r="D696" s="60"/>
      <c r="J696" s="14"/>
      <c r="K696" s="14"/>
      <c r="L696" s="14"/>
    </row>
    <row r="697">
      <c r="C697" s="60"/>
      <c r="D697" s="60"/>
      <c r="J697" s="14"/>
      <c r="K697" s="14"/>
      <c r="L697" s="14"/>
    </row>
    <row r="698">
      <c r="C698" s="60"/>
      <c r="D698" s="60"/>
      <c r="J698" s="14"/>
      <c r="K698" s="14"/>
      <c r="L698" s="14"/>
    </row>
    <row r="699">
      <c r="C699" s="60"/>
      <c r="D699" s="60"/>
      <c r="J699" s="14"/>
      <c r="K699" s="14"/>
      <c r="L699" s="14"/>
    </row>
    <row r="700">
      <c r="C700" s="60"/>
      <c r="D700" s="60"/>
      <c r="J700" s="14"/>
      <c r="K700" s="14"/>
      <c r="L700" s="14"/>
    </row>
    <row r="701">
      <c r="C701" s="60"/>
      <c r="D701" s="60"/>
      <c r="J701" s="14"/>
      <c r="K701" s="14"/>
      <c r="L701" s="14"/>
    </row>
    <row r="702">
      <c r="C702" s="60"/>
      <c r="D702" s="60"/>
      <c r="J702" s="14"/>
      <c r="K702" s="14"/>
      <c r="L702" s="14"/>
    </row>
    <row r="703">
      <c r="C703" s="60"/>
      <c r="D703" s="60"/>
      <c r="J703" s="14"/>
      <c r="K703" s="14"/>
      <c r="L703" s="14"/>
    </row>
    <row r="704">
      <c r="C704" s="60"/>
      <c r="D704" s="60"/>
      <c r="J704" s="14"/>
      <c r="K704" s="14"/>
      <c r="L704" s="14"/>
    </row>
    <row r="705">
      <c r="C705" s="60"/>
      <c r="D705" s="60"/>
      <c r="J705" s="14"/>
      <c r="K705" s="14"/>
      <c r="L705" s="14"/>
    </row>
    <row r="706">
      <c r="C706" s="60"/>
      <c r="D706" s="60"/>
      <c r="J706" s="14"/>
      <c r="K706" s="14"/>
      <c r="L706" s="14"/>
    </row>
    <row r="707">
      <c r="C707" s="60"/>
      <c r="D707" s="60"/>
      <c r="J707" s="14"/>
      <c r="K707" s="14"/>
      <c r="L707" s="14"/>
    </row>
    <row r="708">
      <c r="C708" s="60"/>
      <c r="D708" s="60"/>
      <c r="J708" s="14"/>
      <c r="K708" s="14"/>
      <c r="L708" s="14"/>
    </row>
    <row r="709">
      <c r="C709" s="60"/>
      <c r="D709" s="60"/>
      <c r="J709" s="14"/>
      <c r="K709" s="14"/>
      <c r="L709" s="14"/>
    </row>
    <row r="710">
      <c r="C710" s="60"/>
      <c r="D710" s="60"/>
      <c r="J710" s="14"/>
      <c r="K710" s="14"/>
      <c r="L710" s="14"/>
    </row>
    <row r="711">
      <c r="C711" s="60"/>
      <c r="D711" s="60"/>
      <c r="J711" s="14"/>
      <c r="K711" s="14"/>
      <c r="L711" s="14"/>
    </row>
    <row r="712">
      <c r="C712" s="60"/>
      <c r="D712" s="60"/>
      <c r="J712" s="14"/>
      <c r="K712" s="14"/>
      <c r="L712" s="14"/>
    </row>
    <row r="713">
      <c r="C713" s="60"/>
      <c r="D713" s="60"/>
      <c r="J713" s="14"/>
      <c r="K713" s="14"/>
      <c r="L713" s="14"/>
    </row>
    <row r="714">
      <c r="C714" s="60"/>
      <c r="D714" s="60"/>
      <c r="J714" s="14"/>
      <c r="K714" s="14"/>
      <c r="L714" s="14"/>
    </row>
    <row r="715">
      <c r="C715" s="60"/>
      <c r="D715" s="60"/>
      <c r="J715" s="14"/>
      <c r="K715" s="14"/>
      <c r="L715" s="14"/>
    </row>
    <row r="716">
      <c r="C716" s="60"/>
      <c r="D716" s="60"/>
      <c r="J716" s="14"/>
      <c r="K716" s="14"/>
      <c r="L716" s="14"/>
    </row>
    <row r="717">
      <c r="C717" s="60"/>
      <c r="D717" s="60"/>
      <c r="J717" s="14"/>
      <c r="K717" s="14"/>
      <c r="L717" s="14"/>
    </row>
    <row r="718">
      <c r="C718" s="60"/>
      <c r="D718" s="60"/>
      <c r="J718" s="14"/>
      <c r="K718" s="14"/>
      <c r="L718" s="14"/>
    </row>
    <row r="719">
      <c r="C719" s="60"/>
      <c r="D719" s="60"/>
      <c r="J719" s="14"/>
      <c r="K719" s="14"/>
      <c r="L719" s="14"/>
    </row>
    <row r="720">
      <c r="C720" s="60"/>
      <c r="D720" s="60"/>
      <c r="J720" s="14"/>
      <c r="K720" s="14"/>
      <c r="L720" s="14"/>
    </row>
    <row r="721">
      <c r="C721" s="60"/>
      <c r="D721" s="60"/>
      <c r="J721" s="14"/>
      <c r="K721" s="14"/>
      <c r="L721" s="14"/>
    </row>
    <row r="722">
      <c r="C722" s="60"/>
      <c r="D722" s="60"/>
      <c r="J722" s="14"/>
      <c r="K722" s="14"/>
      <c r="L722" s="14"/>
    </row>
    <row r="723">
      <c r="C723" s="60"/>
      <c r="D723" s="60"/>
      <c r="J723" s="14"/>
      <c r="K723" s="14"/>
      <c r="L723" s="14"/>
    </row>
    <row r="724">
      <c r="C724" s="60"/>
      <c r="D724" s="60"/>
      <c r="J724" s="14"/>
      <c r="K724" s="14"/>
      <c r="L724" s="14"/>
    </row>
    <row r="725">
      <c r="C725" s="60"/>
      <c r="D725" s="60"/>
      <c r="J725" s="14"/>
      <c r="K725" s="14"/>
      <c r="L725" s="14"/>
    </row>
    <row r="726">
      <c r="C726" s="60"/>
      <c r="D726" s="60"/>
      <c r="J726" s="14"/>
      <c r="K726" s="14"/>
      <c r="L726" s="14"/>
    </row>
    <row r="727">
      <c r="C727" s="60"/>
      <c r="D727" s="60"/>
      <c r="J727" s="14"/>
      <c r="K727" s="14"/>
      <c r="L727" s="14"/>
    </row>
    <row r="728">
      <c r="C728" s="60"/>
      <c r="D728" s="60"/>
      <c r="J728" s="14"/>
      <c r="K728" s="14"/>
      <c r="L728" s="14"/>
    </row>
    <row r="729">
      <c r="C729" s="60"/>
      <c r="D729" s="60"/>
      <c r="J729" s="14"/>
      <c r="K729" s="14"/>
      <c r="L729" s="14"/>
    </row>
    <row r="730">
      <c r="C730" s="60"/>
      <c r="D730" s="60"/>
      <c r="J730" s="14"/>
      <c r="K730" s="14"/>
      <c r="L730" s="14"/>
    </row>
    <row r="731">
      <c r="C731" s="60"/>
      <c r="D731" s="60"/>
      <c r="J731" s="14"/>
      <c r="K731" s="14"/>
      <c r="L731" s="14"/>
    </row>
    <row r="732">
      <c r="C732" s="60"/>
      <c r="D732" s="60"/>
      <c r="J732" s="14"/>
      <c r="K732" s="14"/>
      <c r="L732" s="14"/>
    </row>
    <row r="733">
      <c r="C733" s="60"/>
      <c r="D733" s="60"/>
      <c r="J733" s="14"/>
      <c r="K733" s="14"/>
      <c r="L733" s="14"/>
    </row>
    <row r="734">
      <c r="C734" s="60"/>
      <c r="D734" s="60"/>
      <c r="J734" s="14"/>
      <c r="K734" s="14"/>
      <c r="L734" s="14"/>
    </row>
    <row r="735">
      <c r="C735" s="60"/>
      <c r="D735" s="60"/>
      <c r="J735" s="14"/>
      <c r="K735" s="14"/>
      <c r="L735" s="14"/>
    </row>
    <row r="736">
      <c r="C736" s="60"/>
      <c r="D736" s="60"/>
      <c r="J736" s="14"/>
      <c r="K736" s="14"/>
      <c r="L736" s="14"/>
    </row>
    <row r="737">
      <c r="C737" s="60"/>
      <c r="D737" s="60"/>
      <c r="J737" s="14"/>
      <c r="K737" s="14"/>
      <c r="L737" s="14"/>
    </row>
    <row r="738">
      <c r="C738" s="60"/>
      <c r="D738" s="60"/>
      <c r="J738" s="14"/>
      <c r="K738" s="14"/>
      <c r="L738" s="14"/>
    </row>
    <row r="739">
      <c r="C739" s="60"/>
      <c r="D739" s="60"/>
      <c r="J739" s="14"/>
      <c r="K739" s="14"/>
      <c r="L739" s="14"/>
    </row>
    <row r="740">
      <c r="C740" s="60"/>
      <c r="D740" s="60"/>
      <c r="J740" s="14"/>
      <c r="K740" s="14"/>
      <c r="L740" s="14"/>
    </row>
    <row r="741">
      <c r="C741" s="60"/>
      <c r="D741" s="60"/>
      <c r="J741" s="14"/>
      <c r="K741" s="14"/>
      <c r="L741" s="14"/>
    </row>
    <row r="742">
      <c r="C742" s="60"/>
      <c r="D742" s="60"/>
      <c r="J742" s="14"/>
      <c r="K742" s="14"/>
      <c r="L742" s="14"/>
    </row>
    <row r="743">
      <c r="C743" s="60"/>
      <c r="D743" s="60"/>
      <c r="J743" s="14"/>
      <c r="K743" s="14"/>
      <c r="L743" s="14"/>
    </row>
    <row r="744">
      <c r="C744" s="60"/>
      <c r="D744" s="60"/>
      <c r="J744" s="14"/>
      <c r="K744" s="14"/>
      <c r="L744" s="14"/>
    </row>
    <row r="745">
      <c r="C745" s="60"/>
      <c r="D745" s="60"/>
      <c r="J745" s="14"/>
      <c r="K745" s="14"/>
      <c r="L745" s="14"/>
    </row>
    <row r="746">
      <c r="C746" s="60"/>
      <c r="D746" s="60"/>
      <c r="J746" s="14"/>
      <c r="K746" s="14"/>
      <c r="L746" s="14"/>
    </row>
    <row r="747">
      <c r="C747" s="60"/>
      <c r="D747" s="60"/>
      <c r="J747" s="14"/>
      <c r="K747" s="14"/>
      <c r="L747" s="14"/>
    </row>
    <row r="748">
      <c r="C748" s="60"/>
      <c r="D748" s="60"/>
      <c r="J748" s="14"/>
      <c r="K748" s="14"/>
      <c r="L748" s="14"/>
    </row>
    <row r="749">
      <c r="C749" s="60"/>
      <c r="D749" s="60"/>
      <c r="J749" s="14"/>
      <c r="K749" s="14"/>
      <c r="L749" s="14"/>
    </row>
    <row r="750">
      <c r="C750" s="60"/>
      <c r="D750" s="60"/>
      <c r="J750" s="14"/>
      <c r="K750" s="14"/>
      <c r="L750" s="14"/>
    </row>
    <row r="751">
      <c r="C751" s="60"/>
      <c r="D751" s="60"/>
      <c r="J751" s="14"/>
      <c r="K751" s="14"/>
      <c r="L751" s="14"/>
    </row>
    <row r="752">
      <c r="C752" s="60"/>
      <c r="D752" s="60"/>
      <c r="J752" s="14"/>
      <c r="K752" s="14"/>
      <c r="L752" s="14"/>
    </row>
    <row r="753">
      <c r="C753" s="60"/>
      <c r="D753" s="60"/>
      <c r="J753" s="14"/>
      <c r="K753" s="14"/>
      <c r="L753" s="14"/>
    </row>
    <row r="754">
      <c r="C754" s="60"/>
      <c r="D754" s="60"/>
      <c r="J754" s="14"/>
      <c r="K754" s="14"/>
      <c r="L754" s="14"/>
    </row>
    <row r="755">
      <c r="C755" s="60"/>
      <c r="D755" s="60"/>
      <c r="J755" s="14"/>
      <c r="K755" s="14"/>
      <c r="L755" s="14"/>
    </row>
    <row r="756">
      <c r="C756" s="60"/>
      <c r="D756" s="60"/>
      <c r="J756" s="14"/>
      <c r="K756" s="14"/>
      <c r="L756" s="14"/>
    </row>
    <row r="757">
      <c r="C757" s="60"/>
      <c r="D757" s="60"/>
      <c r="J757" s="14"/>
      <c r="K757" s="14"/>
      <c r="L757" s="14"/>
    </row>
    <row r="758">
      <c r="C758" s="60"/>
      <c r="D758" s="60"/>
      <c r="J758" s="14"/>
      <c r="K758" s="14"/>
      <c r="L758" s="14"/>
    </row>
    <row r="759">
      <c r="C759" s="60"/>
      <c r="D759" s="60"/>
      <c r="J759" s="14"/>
      <c r="K759" s="14"/>
      <c r="L759" s="14"/>
    </row>
    <row r="760">
      <c r="C760" s="60"/>
      <c r="D760" s="60"/>
      <c r="J760" s="14"/>
      <c r="K760" s="14"/>
      <c r="L760" s="14"/>
    </row>
    <row r="761">
      <c r="C761" s="60"/>
      <c r="D761" s="60"/>
      <c r="J761" s="14"/>
      <c r="K761" s="14"/>
      <c r="L761" s="14"/>
    </row>
    <row r="762">
      <c r="C762" s="60"/>
      <c r="D762" s="60"/>
      <c r="J762" s="14"/>
      <c r="K762" s="14"/>
      <c r="L762" s="14"/>
    </row>
    <row r="763">
      <c r="C763" s="60"/>
      <c r="D763" s="60"/>
      <c r="J763" s="14"/>
      <c r="K763" s="14"/>
      <c r="L763" s="14"/>
    </row>
    <row r="764">
      <c r="C764" s="60"/>
      <c r="D764" s="60"/>
      <c r="J764" s="14"/>
      <c r="K764" s="14"/>
      <c r="L764" s="14"/>
    </row>
    <row r="765">
      <c r="C765" s="60"/>
      <c r="D765" s="60"/>
      <c r="J765" s="14"/>
      <c r="K765" s="14"/>
      <c r="L765" s="14"/>
    </row>
    <row r="766">
      <c r="C766" s="60"/>
      <c r="D766" s="60"/>
      <c r="J766" s="14"/>
      <c r="K766" s="14"/>
      <c r="L766" s="14"/>
    </row>
    <row r="767">
      <c r="C767" s="60"/>
      <c r="D767" s="60"/>
      <c r="J767" s="14"/>
      <c r="K767" s="14"/>
      <c r="L767" s="14"/>
    </row>
    <row r="768">
      <c r="C768" s="60"/>
      <c r="D768" s="60"/>
      <c r="J768" s="14"/>
      <c r="K768" s="14"/>
      <c r="L768" s="14"/>
    </row>
    <row r="769">
      <c r="C769" s="60"/>
      <c r="D769" s="60"/>
      <c r="J769" s="14"/>
      <c r="K769" s="14"/>
      <c r="L769" s="14"/>
    </row>
    <row r="770">
      <c r="C770" s="60"/>
      <c r="D770" s="60"/>
      <c r="J770" s="14"/>
      <c r="K770" s="14"/>
      <c r="L770" s="14"/>
    </row>
    <row r="771">
      <c r="C771" s="60"/>
      <c r="D771" s="60"/>
      <c r="J771" s="14"/>
      <c r="K771" s="14"/>
      <c r="L771" s="14"/>
    </row>
    <row r="772">
      <c r="C772" s="60"/>
      <c r="D772" s="60"/>
      <c r="J772" s="14"/>
      <c r="K772" s="14"/>
      <c r="L772" s="14"/>
    </row>
    <row r="773">
      <c r="C773" s="60"/>
      <c r="D773" s="60"/>
      <c r="J773" s="14"/>
      <c r="K773" s="14"/>
      <c r="L773" s="14"/>
    </row>
    <row r="774">
      <c r="C774" s="60"/>
      <c r="D774" s="60"/>
      <c r="J774" s="14"/>
      <c r="K774" s="14"/>
      <c r="L774" s="14"/>
    </row>
    <row r="775">
      <c r="C775" s="60"/>
      <c r="D775" s="60"/>
      <c r="J775" s="14"/>
      <c r="K775" s="14"/>
      <c r="L775" s="14"/>
    </row>
    <row r="776">
      <c r="C776" s="60"/>
      <c r="D776" s="60"/>
      <c r="J776" s="14"/>
      <c r="K776" s="14"/>
      <c r="L776" s="14"/>
    </row>
    <row r="777">
      <c r="C777" s="60"/>
      <c r="D777" s="60"/>
      <c r="J777" s="14"/>
      <c r="K777" s="14"/>
      <c r="L777" s="14"/>
    </row>
    <row r="778">
      <c r="C778" s="60"/>
      <c r="D778" s="60"/>
      <c r="J778" s="14"/>
      <c r="K778" s="14"/>
      <c r="L778" s="14"/>
    </row>
    <row r="779">
      <c r="C779" s="60"/>
      <c r="D779" s="60"/>
      <c r="J779" s="14"/>
      <c r="K779" s="14"/>
      <c r="L779" s="14"/>
    </row>
    <row r="780">
      <c r="C780" s="60"/>
      <c r="D780" s="60"/>
      <c r="J780" s="14"/>
      <c r="K780" s="14"/>
      <c r="L780" s="14"/>
    </row>
    <row r="781">
      <c r="C781" s="60"/>
      <c r="D781" s="60"/>
      <c r="J781" s="14"/>
      <c r="K781" s="14"/>
      <c r="L781" s="14"/>
    </row>
    <row r="782">
      <c r="C782" s="60"/>
      <c r="D782" s="60"/>
      <c r="J782" s="14"/>
      <c r="K782" s="14"/>
      <c r="L782" s="14"/>
    </row>
    <row r="783">
      <c r="C783" s="60"/>
      <c r="D783" s="60"/>
      <c r="J783" s="14"/>
      <c r="K783" s="14"/>
      <c r="L783" s="14"/>
    </row>
    <row r="784">
      <c r="C784" s="60"/>
      <c r="D784" s="60"/>
      <c r="J784" s="14"/>
      <c r="K784" s="14"/>
      <c r="L784" s="14"/>
    </row>
    <row r="785">
      <c r="C785" s="60"/>
      <c r="D785" s="60"/>
      <c r="J785" s="14"/>
      <c r="K785" s="14"/>
      <c r="L785" s="14"/>
    </row>
    <row r="786">
      <c r="C786" s="60"/>
      <c r="D786" s="60"/>
      <c r="J786" s="14"/>
      <c r="K786" s="14"/>
      <c r="L786" s="14"/>
    </row>
    <row r="787">
      <c r="C787" s="60"/>
      <c r="D787" s="60"/>
      <c r="J787" s="14"/>
      <c r="K787" s="14"/>
      <c r="L787" s="14"/>
    </row>
    <row r="788">
      <c r="C788" s="60"/>
      <c r="D788" s="60"/>
      <c r="J788" s="14"/>
      <c r="K788" s="14"/>
      <c r="L788" s="14"/>
    </row>
    <row r="789">
      <c r="C789" s="60"/>
      <c r="D789" s="60"/>
      <c r="J789" s="14"/>
      <c r="K789" s="14"/>
      <c r="L789" s="14"/>
    </row>
    <row r="790">
      <c r="C790" s="60"/>
      <c r="D790" s="60"/>
      <c r="J790" s="14"/>
      <c r="K790" s="14"/>
      <c r="L790" s="14"/>
    </row>
    <row r="791">
      <c r="C791" s="60"/>
      <c r="D791" s="60"/>
      <c r="J791" s="14"/>
      <c r="K791" s="14"/>
      <c r="L791" s="14"/>
    </row>
    <row r="792">
      <c r="C792" s="60"/>
      <c r="D792" s="60"/>
      <c r="J792" s="14"/>
      <c r="K792" s="14"/>
      <c r="L792" s="14"/>
    </row>
    <row r="793">
      <c r="C793" s="60"/>
      <c r="D793" s="60"/>
      <c r="J793" s="14"/>
      <c r="K793" s="14"/>
      <c r="L793" s="14"/>
    </row>
    <row r="794">
      <c r="C794" s="60"/>
      <c r="D794" s="60"/>
      <c r="J794" s="14"/>
      <c r="K794" s="14"/>
      <c r="L794" s="14"/>
    </row>
    <row r="795">
      <c r="C795" s="60"/>
      <c r="D795" s="60"/>
      <c r="J795" s="14"/>
      <c r="K795" s="14"/>
      <c r="L795" s="14"/>
    </row>
    <row r="796">
      <c r="C796" s="60"/>
      <c r="D796" s="60"/>
      <c r="J796" s="14"/>
      <c r="K796" s="14"/>
      <c r="L796" s="14"/>
    </row>
    <row r="797">
      <c r="C797" s="60"/>
      <c r="D797" s="60"/>
      <c r="J797" s="14"/>
      <c r="K797" s="14"/>
      <c r="L797" s="14"/>
    </row>
    <row r="798">
      <c r="C798" s="60"/>
      <c r="D798" s="60"/>
      <c r="J798" s="14"/>
      <c r="K798" s="14"/>
      <c r="L798" s="14"/>
    </row>
    <row r="799">
      <c r="C799" s="60"/>
      <c r="D799" s="60"/>
      <c r="J799" s="14"/>
      <c r="K799" s="14"/>
      <c r="L799" s="14"/>
    </row>
    <row r="800">
      <c r="C800" s="60"/>
      <c r="D800" s="60"/>
      <c r="J800" s="14"/>
      <c r="K800" s="14"/>
      <c r="L800" s="14"/>
    </row>
    <row r="801">
      <c r="C801" s="60"/>
      <c r="D801" s="60"/>
      <c r="J801" s="14"/>
      <c r="K801" s="14"/>
      <c r="L801" s="14"/>
    </row>
    <row r="802">
      <c r="C802" s="60"/>
      <c r="D802" s="60"/>
      <c r="J802" s="14"/>
      <c r="K802" s="14"/>
      <c r="L802" s="14"/>
    </row>
    <row r="803">
      <c r="C803" s="60"/>
      <c r="D803" s="60"/>
      <c r="J803" s="14"/>
      <c r="K803" s="14"/>
      <c r="L803" s="14"/>
    </row>
    <row r="804">
      <c r="C804" s="60"/>
      <c r="D804" s="60"/>
      <c r="J804" s="14"/>
      <c r="K804" s="14"/>
      <c r="L804" s="14"/>
    </row>
    <row r="805">
      <c r="C805" s="60"/>
      <c r="D805" s="60"/>
      <c r="J805" s="14"/>
      <c r="K805" s="14"/>
      <c r="L805" s="14"/>
    </row>
    <row r="806">
      <c r="C806" s="60"/>
      <c r="D806" s="60"/>
      <c r="J806" s="14"/>
      <c r="K806" s="14"/>
      <c r="L806" s="14"/>
    </row>
    <row r="807">
      <c r="C807" s="60"/>
      <c r="D807" s="60"/>
      <c r="J807" s="14"/>
      <c r="K807" s="14"/>
      <c r="L807" s="14"/>
    </row>
    <row r="808">
      <c r="C808" s="60"/>
      <c r="D808" s="60"/>
      <c r="J808" s="14"/>
      <c r="K808" s="14"/>
      <c r="L808" s="14"/>
    </row>
    <row r="809">
      <c r="C809" s="60"/>
      <c r="D809" s="60"/>
      <c r="J809" s="14"/>
      <c r="K809" s="14"/>
      <c r="L809" s="14"/>
    </row>
    <row r="810">
      <c r="C810" s="60"/>
      <c r="D810" s="60"/>
      <c r="J810" s="14"/>
      <c r="K810" s="14"/>
      <c r="L810" s="14"/>
    </row>
    <row r="811">
      <c r="C811" s="60"/>
      <c r="D811" s="60"/>
      <c r="J811" s="14"/>
      <c r="K811" s="14"/>
      <c r="L811" s="14"/>
    </row>
    <row r="812">
      <c r="C812" s="60"/>
      <c r="D812" s="60"/>
      <c r="J812" s="14"/>
      <c r="K812" s="14"/>
      <c r="L812" s="14"/>
    </row>
    <row r="813">
      <c r="C813" s="60"/>
      <c r="D813" s="60"/>
      <c r="J813" s="14"/>
      <c r="K813" s="14"/>
      <c r="L813" s="14"/>
    </row>
    <row r="814">
      <c r="C814" s="60"/>
      <c r="D814" s="60"/>
      <c r="J814" s="14"/>
      <c r="K814" s="14"/>
      <c r="L814" s="14"/>
    </row>
    <row r="815">
      <c r="C815" s="60"/>
      <c r="D815" s="60"/>
      <c r="J815" s="14"/>
      <c r="K815" s="14"/>
      <c r="L815" s="14"/>
    </row>
    <row r="816">
      <c r="C816" s="60"/>
      <c r="D816" s="60"/>
      <c r="J816" s="14"/>
      <c r="K816" s="14"/>
      <c r="L816" s="14"/>
    </row>
    <row r="817">
      <c r="C817" s="60"/>
      <c r="D817" s="60"/>
      <c r="J817" s="14"/>
      <c r="K817" s="14"/>
      <c r="L817" s="14"/>
    </row>
    <row r="818">
      <c r="C818" s="60"/>
      <c r="D818" s="60"/>
      <c r="J818" s="14"/>
      <c r="K818" s="14"/>
      <c r="L818" s="14"/>
    </row>
    <row r="819">
      <c r="C819" s="60"/>
      <c r="D819" s="60"/>
      <c r="J819" s="14"/>
      <c r="K819" s="14"/>
      <c r="L819" s="14"/>
    </row>
    <row r="820">
      <c r="C820" s="60"/>
      <c r="D820" s="60"/>
      <c r="J820" s="14"/>
      <c r="K820" s="14"/>
      <c r="L820" s="14"/>
    </row>
    <row r="821">
      <c r="C821" s="60"/>
      <c r="D821" s="60"/>
      <c r="J821" s="14"/>
      <c r="K821" s="14"/>
      <c r="L821" s="14"/>
    </row>
    <row r="822">
      <c r="C822" s="60"/>
      <c r="D822" s="60"/>
      <c r="J822" s="14"/>
      <c r="K822" s="14"/>
      <c r="L822" s="14"/>
    </row>
    <row r="823">
      <c r="C823" s="60"/>
      <c r="D823" s="60"/>
      <c r="J823" s="14"/>
      <c r="K823" s="14"/>
      <c r="L823" s="14"/>
    </row>
    <row r="824">
      <c r="C824" s="60"/>
      <c r="D824" s="60"/>
      <c r="J824" s="14"/>
      <c r="K824" s="14"/>
      <c r="L824" s="14"/>
    </row>
    <row r="825">
      <c r="C825" s="60"/>
      <c r="D825" s="60"/>
      <c r="J825" s="14"/>
      <c r="K825" s="14"/>
      <c r="L825" s="14"/>
    </row>
    <row r="826">
      <c r="C826" s="60"/>
      <c r="D826" s="60"/>
      <c r="J826" s="14"/>
      <c r="K826" s="14"/>
      <c r="L826" s="14"/>
    </row>
    <row r="827">
      <c r="C827" s="60"/>
      <c r="D827" s="60"/>
      <c r="J827" s="14"/>
      <c r="K827" s="14"/>
      <c r="L827" s="14"/>
    </row>
    <row r="828">
      <c r="C828" s="60"/>
      <c r="D828" s="60"/>
      <c r="J828" s="14"/>
      <c r="K828" s="14"/>
      <c r="L828" s="14"/>
    </row>
    <row r="829">
      <c r="C829" s="60"/>
      <c r="D829" s="60"/>
      <c r="J829" s="14"/>
      <c r="K829" s="14"/>
      <c r="L829" s="14"/>
    </row>
    <row r="830">
      <c r="C830" s="60"/>
      <c r="D830" s="60"/>
      <c r="J830" s="14"/>
      <c r="K830" s="14"/>
      <c r="L830" s="14"/>
    </row>
    <row r="831">
      <c r="C831" s="60"/>
      <c r="D831" s="60"/>
      <c r="J831" s="14"/>
      <c r="K831" s="14"/>
      <c r="L831" s="14"/>
    </row>
    <row r="832">
      <c r="C832" s="60"/>
      <c r="D832" s="60"/>
      <c r="J832" s="14"/>
      <c r="K832" s="14"/>
      <c r="L832" s="14"/>
    </row>
    <row r="833">
      <c r="C833" s="60"/>
      <c r="D833" s="60"/>
      <c r="J833" s="14"/>
      <c r="K833" s="14"/>
      <c r="L833" s="14"/>
    </row>
    <row r="834">
      <c r="C834" s="60"/>
      <c r="D834" s="60"/>
      <c r="J834" s="14"/>
      <c r="K834" s="14"/>
      <c r="L834" s="14"/>
    </row>
    <row r="835">
      <c r="C835" s="60"/>
      <c r="D835" s="60"/>
      <c r="J835" s="14"/>
      <c r="K835" s="14"/>
      <c r="L835" s="14"/>
    </row>
    <row r="836">
      <c r="C836" s="60"/>
      <c r="D836" s="60"/>
      <c r="J836" s="14"/>
      <c r="K836" s="14"/>
      <c r="L836" s="14"/>
    </row>
    <row r="837">
      <c r="C837" s="60"/>
      <c r="D837" s="60"/>
      <c r="J837" s="14"/>
      <c r="K837" s="14"/>
      <c r="L837" s="14"/>
    </row>
    <row r="838">
      <c r="C838" s="60"/>
      <c r="D838" s="60"/>
      <c r="J838" s="14"/>
      <c r="K838" s="14"/>
      <c r="L838" s="14"/>
    </row>
    <row r="839">
      <c r="C839" s="60"/>
      <c r="D839" s="60"/>
      <c r="J839" s="14"/>
      <c r="K839" s="14"/>
      <c r="L839" s="14"/>
    </row>
    <row r="840">
      <c r="C840" s="60"/>
      <c r="D840" s="60"/>
      <c r="J840" s="14"/>
      <c r="K840" s="14"/>
      <c r="L840" s="14"/>
    </row>
    <row r="841">
      <c r="C841" s="60"/>
      <c r="D841" s="60"/>
      <c r="J841" s="14"/>
      <c r="K841" s="14"/>
      <c r="L841" s="14"/>
    </row>
    <row r="842">
      <c r="C842" s="60"/>
      <c r="D842" s="60"/>
      <c r="J842" s="14"/>
      <c r="K842" s="14"/>
      <c r="L842" s="14"/>
    </row>
    <row r="843">
      <c r="C843" s="60"/>
      <c r="D843" s="60"/>
      <c r="J843" s="14"/>
      <c r="K843" s="14"/>
      <c r="L843" s="14"/>
    </row>
    <row r="844">
      <c r="C844" s="60"/>
      <c r="D844" s="60"/>
      <c r="J844" s="14"/>
      <c r="K844" s="14"/>
      <c r="L844" s="14"/>
    </row>
    <row r="845">
      <c r="C845" s="60"/>
      <c r="D845" s="60"/>
      <c r="J845" s="14"/>
      <c r="K845" s="14"/>
      <c r="L845" s="14"/>
    </row>
    <row r="846">
      <c r="C846" s="60"/>
      <c r="D846" s="60"/>
      <c r="J846" s="14"/>
      <c r="K846" s="14"/>
      <c r="L846" s="14"/>
    </row>
    <row r="847">
      <c r="C847" s="60"/>
      <c r="D847" s="60"/>
      <c r="J847" s="14"/>
      <c r="K847" s="14"/>
      <c r="L847" s="14"/>
    </row>
    <row r="848">
      <c r="C848" s="60"/>
      <c r="D848" s="60"/>
      <c r="J848" s="14"/>
      <c r="K848" s="14"/>
      <c r="L848" s="14"/>
    </row>
    <row r="849">
      <c r="C849" s="60"/>
      <c r="D849" s="60"/>
      <c r="J849" s="14"/>
      <c r="K849" s="14"/>
      <c r="L849" s="14"/>
    </row>
    <row r="850">
      <c r="C850" s="60"/>
      <c r="D850" s="60"/>
      <c r="J850" s="14"/>
      <c r="K850" s="14"/>
      <c r="L850" s="14"/>
    </row>
    <row r="851">
      <c r="C851" s="60"/>
      <c r="D851" s="60"/>
      <c r="J851" s="14"/>
      <c r="K851" s="14"/>
      <c r="L851" s="14"/>
    </row>
    <row r="852">
      <c r="C852" s="60"/>
      <c r="D852" s="60"/>
      <c r="J852" s="14"/>
      <c r="K852" s="14"/>
      <c r="L852" s="14"/>
    </row>
    <row r="853">
      <c r="C853" s="60"/>
      <c r="D853" s="60"/>
      <c r="J853" s="14"/>
      <c r="K853" s="14"/>
      <c r="L853" s="14"/>
    </row>
    <row r="854">
      <c r="C854" s="60"/>
      <c r="D854" s="60"/>
      <c r="J854" s="14"/>
      <c r="K854" s="14"/>
      <c r="L854" s="14"/>
    </row>
    <row r="855">
      <c r="C855" s="60"/>
      <c r="D855" s="60"/>
      <c r="J855" s="14"/>
      <c r="K855" s="14"/>
      <c r="L855" s="14"/>
    </row>
    <row r="856">
      <c r="C856" s="60"/>
      <c r="D856" s="60"/>
      <c r="J856" s="14"/>
      <c r="K856" s="14"/>
      <c r="L856" s="14"/>
    </row>
    <row r="857">
      <c r="C857" s="60"/>
      <c r="D857" s="60"/>
      <c r="J857" s="14"/>
      <c r="K857" s="14"/>
      <c r="L857" s="14"/>
    </row>
    <row r="858">
      <c r="C858" s="60"/>
      <c r="D858" s="60"/>
      <c r="J858" s="14"/>
      <c r="K858" s="14"/>
      <c r="L858" s="14"/>
    </row>
    <row r="859">
      <c r="C859" s="60"/>
      <c r="D859" s="60"/>
      <c r="J859" s="14"/>
      <c r="K859" s="14"/>
      <c r="L859" s="14"/>
    </row>
    <row r="860">
      <c r="C860" s="60"/>
      <c r="D860" s="60"/>
      <c r="J860" s="14"/>
      <c r="K860" s="14"/>
      <c r="L860" s="14"/>
    </row>
    <row r="861">
      <c r="C861" s="60"/>
      <c r="D861" s="60"/>
      <c r="J861" s="14"/>
      <c r="K861" s="14"/>
      <c r="L861" s="14"/>
    </row>
    <row r="862">
      <c r="C862" s="60"/>
      <c r="D862" s="60"/>
      <c r="J862" s="14"/>
      <c r="K862" s="14"/>
      <c r="L862" s="14"/>
    </row>
    <row r="863">
      <c r="C863" s="60"/>
      <c r="D863" s="60"/>
      <c r="J863" s="14"/>
      <c r="K863" s="14"/>
      <c r="L863" s="14"/>
    </row>
    <row r="864">
      <c r="C864" s="60"/>
      <c r="D864" s="60"/>
      <c r="J864" s="14"/>
      <c r="K864" s="14"/>
      <c r="L864" s="14"/>
    </row>
    <row r="865">
      <c r="C865" s="60"/>
      <c r="D865" s="60"/>
      <c r="J865" s="14"/>
      <c r="K865" s="14"/>
      <c r="L865" s="14"/>
    </row>
    <row r="866">
      <c r="C866" s="60"/>
      <c r="D866" s="60"/>
      <c r="J866" s="14"/>
      <c r="K866" s="14"/>
      <c r="L866" s="14"/>
    </row>
    <row r="867">
      <c r="C867" s="60"/>
      <c r="D867" s="60"/>
      <c r="J867" s="14"/>
      <c r="K867" s="14"/>
      <c r="L867" s="14"/>
    </row>
    <row r="868">
      <c r="C868" s="60"/>
      <c r="D868" s="60"/>
      <c r="J868" s="14"/>
      <c r="K868" s="14"/>
      <c r="L868" s="14"/>
    </row>
    <row r="869">
      <c r="C869" s="60"/>
      <c r="D869" s="60"/>
      <c r="J869" s="14"/>
      <c r="K869" s="14"/>
      <c r="L869" s="14"/>
    </row>
    <row r="870">
      <c r="C870" s="60"/>
      <c r="D870" s="60"/>
      <c r="J870" s="14"/>
      <c r="K870" s="14"/>
      <c r="L870" s="14"/>
    </row>
    <row r="871">
      <c r="C871" s="60"/>
      <c r="D871" s="60"/>
      <c r="J871" s="14"/>
      <c r="K871" s="14"/>
      <c r="L871" s="14"/>
    </row>
    <row r="872">
      <c r="C872" s="60"/>
      <c r="D872" s="60"/>
      <c r="J872" s="14"/>
      <c r="K872" s="14"/>
      <c r="L872" s="14"/>
    </row>
    <row r="873">
      <c r="C873" s="60"/>
      <c r="D873" s="60"/>
      <c r="J873" s="14"/>
      <c r="K873" s="14"/>
      <c r="L873" s="14"/>
    </row>
    <row r="874">
      <c r="C874" s="60"/>
      <c r="D874" s="60"/>
      <c r="J874" s="14"/>
      <c r="K874" s="14"/>
      <c r="L874" s="14"/>
    </row>
    <row r="875">
      <c r="C875" s="60"/>
      <c r="D875" s="60"/>
      <c r="J875" s="14"/>
      <c r="K875" s="14"/>
      <c r="L875" s="14"/>
    </row>
    <row r="876">
      <c r="C876" s="60"/>
      <c r="D876" s="60"/>
      <c r="J876" s="14"/>
      <c r="K876" s="14"/>
      <c r="L876" s="14"/>
    </row>
    <row r="877">
      <c r="C877" s="60"/>
      <c r="D877" s="60"/>
      <c r="J877" s="14"/>
      <c r="K877" s="14"/>
      <c r="L877" s="14"/>
    </row>
    <row r="878">
      <c r="C878" s="60"/>
      <c r="D878" s="60"/>
      <c r="J878" s="14"/>
      <c r="K878" s="14"/>
      <c r="L878" s="14"/>
    </row>
    <row r="879">
      <c r="C879" s="60"/>
      <c r="D879" s="60"/>
      <c r="J879" s="14"/>
      <c r="K879" s="14"/>
      <c r="L879" s="14"/>
    </row>
    <row r="880">
      <c r="C880" s="60"/>
      <c r="D880" s="60"/>
      <c r="J880" s="14"/>
      <c r="K880" s="14"/>
      <c r="L880" s="14"/>
    </row>
    <row r="881">
      <c r="C881" s="60"/>
      <c r="D881" s="60"/>
      <c r="J881" s="14"/>
      <c r="K881" s="14"/>
      <c r="L881" s="14"/>
    </row>
    <row r="882">
      <c r="C882" s="60"/>
      <c r="D882" s="60"/>
      <c r="J882" s="14"/>
      <c r="K882" s="14"/>
      <c r="L882" s="14"/>
    </row>
    <row r="883">
      <c r="C883" s="60"/>
      <c r="D883" s="60"/>
      <c r="J883" s="14"/>
      <c r="K883" s="14"/>
      <c r="L883" s="14"/>
    </row>
    <row r="884">
      <c r="C884" s="60"/>
      <c r="D884" s="60"/>
      <c r="J884" s="14"/>
      <c r="K884" s="14"/>
      <c r="L884" s="14"/>
    </row>
    <row r="885">
      <c r="C885" s="60"/>
      <c r="D885" s="60"/>
      <c r="J885" s="14"/>
      <c r="K885" s="14"/>
      <c r="L885" s="14"/>
    </row>
    <row r="886">
      <c r="C886" s="60"/>
      <c r="D886" s="60"/>
      <c r="J886" s="14"/>
      <c r="K886" s="14"/>
      <c r="L886" s="14"/>
    </row>
    <row r="887">
      <c r="C887" s="60"/>
      <c r="D887" s="60"/>
      <c r="J887" s="14"/>
      <c r="K887" s="14"/>
      <c r="L887" s="14"/>
    </row>
    <row r="888">
      <c r="C888" s="60"/>
      <c r="D888" s="60"/>
      <c r="J888" s="14"/>
      <c r="K888" s="14"/>
      <c r="L888" s="14"/>
    </row>
    <row r="889">
      <c r="C889" s="60"/>
      <c r="D889" s="60"/>
      <c r="J889" s="14"/>
      <c r="K889" s="14"/>
      <c r="L889" s="14"/>
    </row>
    <row r="890">
      <c r="C890" s="60"/>
      <c r="D890" s="60"/>
      <c r="J890" s="14"/>
      <c r="K890" s="14"/>
      <c r="L890" s="14"/>
    </row>
    <row r="891">
      <c r="C891" s="60"/>
      <c r="D891" s="60"/>
      <c r="J891" s="14"/>
      <c r="K891" s="14"/>
      <c r="L891" s="14"/>
    </row>
    <row r="892">
      <c r="C892" s="60"/>
      <c r="D892" s="60"/>
      <c r="J892" s="14"/>
      <c r="K892" s="14"/>
      <c r="L892" s="14"/>
    </row>
    <row r="893">
      <c r="C893" s="60"/>
      <c r="D893" s="60"/>
      <c r="J893" s="14"/>
      <c r="K893" s="14"/>
      <c r="L893" s="14"/>
    </row>
    <row r="894">
      <c r="C894" s="60"/>
      <c r="D894" s="60"/>
      <c r="J894" s="14"/>
      <c r="K894" s="14"/>
      <c r="L894" s="14"/>
    </row>
    <row r="895">
      <c r="C895" s="60"/>
      <c r="D895" s="60"/>
      <c r="J895" s="14"/>
      <c r="K895" s="14"/>
      <c r="L895" s="14"/>
    </row>
    <row r="896">
      <c r="C896" s="60"/>
      <c r="D896" s="60"/>
      <c r="J896" s="14"/>
      <c r="K896" s="14"/>
      <c r="L896" s="14"/>
    </row>
    <row r="897">
      <c r="C897" s="60"/>
      <c r="D897" s="60"/>
      <c r="J897" s="14"/>
      <c r="K897" s="14"/>
      <c r="L897" s="14"/>
    </row>
    <row r="898">
      <c r="C898" s="60"/>
      <c r="D898" s="60"/>
      <c r="J898" s="14"/>
      <c r="K898" s="14"/>
      <c r="L898" s="14"/>
    </row>
    <row r="899">
      <c r="C899" s="60"/>
      <c r="D899" s="60"/>
      <c r="J899" s="14"/>
      <c r="K899" s="14"/>
      <c r="L899" s="14"/>
    </row>
    <row r="900">
      <c r="C900" s="60"/>
      <c r="D900" s="60"/>
      <c r="J900" s="14"/>
      <c r="K900" s="14"/>
      <c r="L900" s="14"/>
    </row>
    <row r="901">
      <c r="C901" s="60"/>
      <c r="D901" s="60"/>
      <c r="J901" s="14"/>
      <c r="K901" s="14"/>
      <c r="L901" s="14"/>
    </row>
    <row r="902">
      <c r="C902" s="60"/>
      <c r="D902" s="60"/>
      <c r="J902" s="14"/>
      <c r="K902" s="14"/>
      <c r="L902" s="14"/>
    </row>
    <row r="903">
      <c r="C903" s="60"/>
      <c r="D903" s="60"/>
      <c r="J903" s="14"/>
      <c r="K903" s="14"/>
      <c r="L903" s="14"/>
    </row>
    <row r="904">
      <c r="C904" s="60"/>
      <c r="D904" s="60"/>
      <c r="J904" s="14"/>
      <c r="K904" s="14"/>
      <c r="L904" s="14"/>
    </row>
    <row r="905">
      <c r="C905" s="60"/>
      <c r="D905" s="60"/>
      <c r="J905" s="14"/>
      <c r="K905" s="14"/>
      <c r="L905" s="14"/>
    </row>
    <row r="906">
      <c r="C906" s="60"/>
      <c r="D906" s="60"/>
      <c r="J906" s="14"/>
      <c r="K906" s="14"/>
      <c r="L906" s="14"/>
    </row>
    <row r="907">
      <c r="C907" s="60"/>
      <c r="D907" s="60"/>
      <c r="J907" s="14"/>
      <c r="K907" s="14"/>
      <c r="L907" s="14"/>
    </row>
    <row r="908">
      <c r="C908" s="60"/>
      <c r="D908" s="60"/>
      <c r="J908" s="14"/>
      <c r="K908" s="14"/>
      <c r="L908" s="14"/>
    </row>
    <row r="909">
      <c r="C909" s="60"/>
      <c r="D909" s="60"/>
      <c r="J909" s="14"/>
      <c r="K909" s="14"/>
      <c r="L909" s="14"/>
    </row>
    <row r="910">
      <c r="C910" s="60"/>
      <c r="D910" s="60"/>
      <c r="J910" s="14"/>
      <c r="K910" s="14"/>
      <c r="L910" s="14"/>
    </row>
    <row r="911">
      <c r="C911" s="60"/>
      <c r="D911" s="60"/>
      <c r="J911" s="14"/>
      <c r="K911" s="14"/>
      <c r="L911" s="14"/>
    </row>
    <row r="912">
      <c r="C912" s="60"/>
      <c r="D912" s="60"/>
      <c r="J912" s="14"/>
      <c r="K912" s="14"/>
      <c r="L912" s="14"/>
    </row>
    <row r="913">
      <c r="C913" s="60"/>
      <c r="D913" s="60"/>
      <c r="J913" s="14"/>
      <c r="K913" s="14"/>
      <c r="L913" s="14"/>
    </row>
    <row r="914">
      <c r="C914" s="60"/>
      <c r="D914" s="60"/>
      <c r="J914" s="14"/>
      <c r="K914" s="14"/>
      <c r="L914" s="14"/>
    </row>
    <row r="915">
      <c r="C915" s="60"/>
      <c r="D915" s="60"/>
      <c r="J915" s="14"/>
      <c r="K915" s="14"/>
      <c r="L915" s="14"/>
    </row>
    <row r="916">
      <c r="C916" s="60"/>
      <c r="D916" s="60"/>
      <c r="J916" s="14"/>
      <c r="K916" s="14"/>
      <c r="L916" s="14"/>
    </row>
    <row r="917">
      <c r="C917" s="60"/>
      <c r="D917" s="60"/>
      <c r="J917" s="14"/>
      <c r="K917" s="14"/>
      <c r="L917" s="14"/>
    </row>
    <row r="918">
      <c r="C918" s="60"/>
      <c r="D918" s="60"/>
      <c r="J918" s="14"/>
      <c r="K918" s="14"/>
      <c r="L918" s="14"/>
    </row>
    <row r="919">
      <c r="C919" s="60"/>
      <c r="D919" s="60"/>
      <c r="J919" s="14"/>
      <c r="K919" s="14"/>
      <c r="L919" s="14"/>
    </row>
    <row r="920">
      <c r="C920" s="60"/>
      <c r="D920" s="60"/>
      <c r="J920" s="14"/>
      <c r="K920" s="14"/>
      <c r="L920" s="14"/>
    </row>
    <row r="921">
      <c r="C921" s="60"/>
      <c r="D921" s="60"/>
      <c r="J921" s="14"/>
      <c r="K921" s="14"/>
      <c r="L921" s="14"/>
    </row>
    <row r="922">
      <c r="C922" s="60"/>
      <c r="D922" s="60"/>
      <c r="J922" s="14"/>
      <c r="K922" s="14"/>
      <c r="L922" s="14"/>
    </row>
    <row r="923">
      <c r="C923" s="60"/>
      <c r="D923" s="60"/>
      <c r="J923" s="14"/>
      <c r="K923" s="14"/>
      <c r="L923" s="14"/>
    </row>
    <row r="924">
      <c r="C924" s="60"/>
      <c r="D924" s="60"/>
      <c r="J924" s="14"/>
      <c r="K924" s="14"/>
      <c r="L924" s="14"/>
    </row>
    <row r="925">
      <c r="C925" s="60"/>
      <c r="D925" s="60"/>
      <c r="J925" s="14"/>
      <c r="K925" s="14"/>
      <c r="L925" s="14"/>
    </row>
    <row r="926">
      <c r="C926" s="60"/>
      <c r="D926" s="60"/>
      <c r="J926" s="14"/>
      <c r="K926" s="14"/>
      <c r="L926" s="14"/>
    </row>
    <row r="927">
      <c r="C927" s="60"/>
      <c r="D927" s="60"/>
      <c r="J927" s="14"/>
      <c r="K927" s="14"/>
      <c r="L927" s="14"/>
    </row>
    <row r="928">
      <c r="C928" s="60"/>
      <c r="D928" s="60"/>
      <c r="J928" s="14"/>
      <c r="K928" s="14"/>
      <c r="L928" s="14"/>
    </row>
    <row r="929">
      <c r="C929" s="60"/>
      <c r="D929" s="60"/>
      <c r="J929" s="14"/>
      <c r="K929" s="14"/>
      <c r="L929" s="14"/>
    </row>
    <row r="930">
      <c r="C930" s="60"/>
      <c r="D930" s="60"/>
      <c r="J930" s="14"/>
      <c r="K930" s="14"/>
      <c r="L930" s="14"/>
    </row>
    <row r="931">
      <c r="C931" s="60"/>
      <c r="D931" s="60"/>
      <c r="J931" s="14"/>
      <c r="K931" s="14"/>
      <c r="L931" s="14"/>
    </row>
    <row r="932">
      <c r="C932" s="60"/>
      <c r="D932" s="60"/>
      <c r="J932" s="14"/>
      <c r="K932" s="14"/>
      <c r="L932" s="14"/>
    </row>
    <row r="933">
      <c r="C933" s="60"/>
      <c r="D933" s="60"/>
      <c r="J933" s="14"/>
      <c r="K933" s="14"/>
      <c r="L933" s="14"/>
    </row>
    <row r="934">
      <c r="C934" s="60"/>
      <c r="D934" s="60"/>
      <c r="J934" s="14"/>
      <c r="K934" s="14"/>
      <c r="L934" s="14"/>
    </row>
    <row r="935">
      <c r="C935" s="60"/>
      <c r="D935" s="60"/>
      <c r="J935" s="14"/>
      <c r="K935" s="14"/>
      <c r="L935" s="14"/>
    </row>
    <row r="936">
      <c r="C936" s="60"/>
      <c r="D936" s="60"/>
      <c r="J936" s="14"/>
      <c r="K936" s="14"/>
      <c r="L936" s="14"/>
    </row>
    <row r="937">
      <c r="C937" s="60"/>
      <c r="D937" s="60"/>
      <c r="J937" s="14"/>
      <c r="K937" s="14"/>
      <c r="L937" s="14"/>
    </row>
    <row r="938">
      <c r="C938" s="60"/>
      <c r="D938" s="60"/>
      <c r="J938" s="14"/>
      <c r="K938" s="14"/>
      <c r="L938" s="14"/>
    </row>
    <row r="939">
      <c r="C939" s="60"/>
      <c r="D939" s="60"/>
      <c r="J939" s="14"/>
      <c r="K939" s="14"/>
      <c r="L939" s="14"/>
    </row>
    <row r="940">
      <c r="C940" s="60"/>
      <c r="D940" s="60"/>
      <c r="J940" s="14"/>
      <c r="K940" s="14"/>
      <c r="L940" s="14"/>
    </row>
    <row r="941">
      <c r="C941" s="60"/>
      <c r="D941" s="60"/>
      <c r="J941" s="14"/>
      <c r="K941" s="14"/>
      <c r="L941" s="14"/>
    </row>
    <row r="942">
      <c r="C942" s="60"/>
      <c r="D942" s="60"/>
      <c r="J942" s="14"/>
      <c r="K942" s="14"/>
      <c r="L942" s="14"/>
    </row>
    <row r="943">
      <c r="C943" s="60"/>
      <c r="D943" s="60"/>
      <c r="J943" s="14"/>
      <c r="K943" s="14"/>
      <c r="L943" s="14"/>
    </row>
    <row r="944">
      <c r="C944" s="60"/>
      <c r="D944" s="60"/>
      <c r="J944" s="14"/>
      <c r="K944" s="14"/>
      <c r="L944" s="14"/>
    </row>
    <row r="945">
      <c r="C945" s="60"/>
      <c r="D945" s="60"/>
      <c r="J945" s="14"/>
      <c r="K945" s="14"/>
      <c r="L945" s="14"/>
    </row>
    <row r="946">
      <c r="C946" s="60"/>
      <c r="D946" s="60"/>
      <c r="J946" s="14"/>
      <c r="K946" s="14"/>
      <c r="L946" s="14"/>
    </row>
    <row r="947">
      <c r="C947" s="60"/>
      <c r="D947" s="60"/>
      <c r="J947" s="14"/>
      <c r="K947" s="14"/>
      <c r="L947" s="14"/>
    </row>
    <row r="948">
      <c r="C948" s="60"/>
      <c r="D948" s="60"/>
      <c r="J948" s="14"/>
      <c r="K948" s="14"/>
      <c r="L948" s="14"/>
    </row>
    <row r="949">
      <c r="C949" s="60"/>
      <c r="D949" s="60"/>
      <c r="J949" s="14"/>
      <c r="K949" s="14"/>
      <c r="L949" s="14"/>
    </row>
    <row r="950">
      <c r="C950" s="60"/>
      <c r="D950" s="60"/>
      <c r="J950" s="14"/>
      <c r="K950" s="14"/>
      <c r="L950" s="14"/>
    </row>
    <row r="951">
      <c r="C951" s="60"/>
      <c r="D951" s="60"/>
      <c r="J951" s="14"/>
      <c r="K951" s="14"/>
      <c r="L951" s="14"/>
    </row>
    <row r="952">
      <c r="C952" s="60"/>
      <c r="D952" s="60"/>
      <c r="J952" s="14"/>
      <c r="K952" s="14"/>
      <c r="L952" s="14"/>
    </row>
    <row r="953">
      <c r="C953" s="60"/>
      <c r="D953" s="60"/>
      <c r="J953" s="14"/>
      <c r="K953" s="14"/>
      <c r="L953" s="14"/>
    </row>
    <row r="954">
      <c r="C954" s="60"/>
      <c r="D954" s="60"/>
      <c r="J954" s="14"/>
      <c r="K954" s="14"/>
      <c r="L954" s="14"/>
    </row>
    <row r="955">
      <c r="C955" s="60"/>
      <c r="D955" s="60"/>
      <c r="J955" s="14"/>
      <c r="K955" s="14"/>
      <c r="L955" s="14"/>
    </row>
    <row r="956">
      <c r="C956" s="60"/>
      <c r="D956" s="60"/>
      <c r="J956" s="14"/>
      <c r="K956" s="14"/>
      <c r="L956" s="14"/>
    </row>
    <row r="957">
      <c r="C957" s="60"/>
      <c r="D957" s="60"/>
      <c r="J957" s="14"/>
      <c r="K957" s="14"/>
      <c r="L957" s="14"/>
    </row>
    <row r="958">
      <c r="C958" s="60"/>
      <c r="D958" s="60"/>
      <c r="J958" s="14"/>
      <c r="K958" s="14"/>
      <c r="L958" s="14"/>
    </row>
    <row r="959">
      <c r="C959" s="60"/>
      <c r="D959" s="60"/>
      <c r="J959" s="14"/>
      <c r="K959" s="14"/>
      <c r="L959" s="14"/>
    </row>
    <row r="960">
      <c r="C960" s="60"/>
      <c r="D960" s="60"/>
      <c r="J960" s="14"/>
      <c r="K960" s="14"/>
      <c r="L960" s="14"/>
    </row>
    <row r="961">
      <c r="C961" s="60"/>
      <c r="D961" s="60"/>
      <c r="J961" s="14"/>
      <c r="K961" s="14"/>
      <c r="L961" s="14"/>
    </row>
    <row r="962">
      <c r="C962" s="60"/>
      <c r="D962" s="60"/>
      <c r="J962" s="14"/>
      <c r="K962" s="14"/>
      <c r="L962" s="14"/>
    </row>
    <row r="963">
      <c r="C963" s="60"/>
      <c r="D963" s="60"/>
      <c r="J963" s="14"/>
      <c r="K963" s="14"/>
      <c r="L963" s="14"/>
    </row>
    <row r="964">
      <c r="C964" s="60"/>
      <c r="D964" s="60"/>
      <c r="J964" s="14"/>
      <c r="K964" s="14"/>
      <c r="L964" s="14"/>
    </row>
    <row r="965">
      <c r="C965" s="60"/>
      <c r="D965" s="60"/>
      <c r="J965" s="14"/>
      <c r="K965" s="14"/>
      <c r="L965" s="14"/>
    </row>
    <row r="966">
      <c r="C966" s="60"/>
      <c r="D966" s="60"/>
      <c r="J966" s="14"/>
      <c r="K966" s="14"/>
      <c r="L966" s="14"/>
    </row>
    <row r="967">
      <c r="C967" s="60"/>
      <c r="D967" s="60"/>
      <c r="J967" s="14"/>
      <c r="K967" s="14"/>
      <c r="L967" s="14"/>
    </row>
    <row r="968">
      <c r="C968" s="60"/>
      <c r="D968" s="60"/>
      <c r="J968" s="14"/>
      <c r="K968" s="14"/>
      <c r="L968" s="14"/>
    </row>
    <row r="969">
      <c r="C969" s="60"/>
      <c r="D969" s="60"/>
      <c r="J969" s="14"/>
      <c r="K969" s="14"/>
      <c r="L969" s="14"/>
    </row>
    <row r="970">
      <c r="C970" s="60"/>
      <c r="D970" s="60"/>
      <c r="J970" s="14"/>
      <c r="K970" s="14"/>
      <c r="L970" s="14"/>
    </row>
    <row r="971">
      <c r="C971" s="60"/>
      <c r="D971" s="60"/>
      <c r="J971" s="14"/>
      <c r="K971" s="14"/>
      <c r="L971" s="14"/>
    </row>
    <row r="972">
      <c r="C972" s="60"/>
      <c r="D972" s="60"/>
      <c r="J972" s="14"/>
      <c r="K972" s="14"/>
      <c r="L972" s="14"/>
    </row>
    <row r="973">
      <c r="C973" s="60"/>
      <c r="D973" s="60"/>
      <c r="J973" s="14"/>
      <c r="K973" s="14"/>
      <c r="L973" s="14"/>
    </row>
    <row r="974">
      <c r="C974" s="60"/>
      <c r="D974" s="60"/>
      <c r="J974" s="14"/>
      <c r="K974" s="14"/>
      <c r="L974" s="14"/>
    </row>
    <row r="975">
      <c r="C975" s="60"/>
      <c r="D975" s="60"/>
      <c r="J975" s="14"/>
      <c r="K975" s="14"/>
      <c r="L975" s="14"/>
    </row>
    <row r="976">
      <c r="C976" s="60"/>
      <c r="D976" s="60"/>
      <c r="J976" s="14"/>
      <c r="K976" s="14"/>
      <c r="L976" s="14"/>
    </row>
    <row r="977">
      <c r="C977" s="60"/>
      <c r="D977" s="60"/>
      <c r="J977" s="14"/>
      <c r="K977" s="14"/>
      <c r="L977" s="14"/>
    </row>
    <row r="978">
      <c r="C978" s="60"/>
      <c r="D978" s="60"/>
      <c r="J978" s="14"/>
      <c r="K978" s="14"/>
      <c r="L978" s="14"/>
    </row>
    <row r="979">
      <c r="C979" s="60"/>
      <c r="D979" s="60"/>
      <c r="J979" s="14"/>
      <c r="K979" s="14"/>
      <c r="L979" s="14"/>
    </row>
    <row r="980">
      <c r="C980" s="60"/>
      <c r="D980" s="60"/>
      <c r="J980" s="14"/>
      <c r="K980" s="14"/>
      <c r="L980" s="14"/>
    </row>
    <row r="981">
      <c r="C981" s="60"/>
      <c r="D981" s="60"/>
      <c r="J981" s="14"/>
      <c r="K981" s="14"/>
      <c r="L981" s="14"/>
    </row>
    <row r="982">
      <c r="C982" s="60"/>
      <c r="D982" s="60"/>
      <c r="J982" s="14"/>
      <c r="K982" s="14"/>
      <c r="L982" s="14"/>
    </row>
    <row r="983">
      <c r="C983" s="60"/>
      <c r="D983" s="60"/>
      <c r="J983" s="14"/>
      <c r="K983" s="14"/>
      <c r="L983" s="14"/>
    </row>
    <row r="984">
      <c r="C984" s="60"/>
      <c r="D984" s="60"/>
      <c r="J984" s="14"/>
      <c r="K984" s="14"/>
      <c r="L984" s="14"/>
    </row>
    <row r="985">
      <c r="C985" s="60"/>
      <c r="D985" s="60"/>
      <c r="J985" s="14"/>
      <c r="K985" s="14"/>
      <c r="L985" s="14"/>
    </row>
    <row r="986">
      <c r="C986" s="60"/>
      <c r="D986" s="60"/>
      <c r="J986" s="14"/>
      <c r="K986" s="14"/>
      <c r="L986" s="14"/>
    </row>
    <row r="987">
      <c r="C987" s="60"/>
      <c r="D987" s="60"/>
      <c r="J987" s="14"/>
      <c r="K987" s="14"/>
      <c r="L987" s="14"/>
    </row>
    <row r="988">
      <c r="C988" s="60"/>
      <c r="D988" s="60"/>
      <c r="J988" s="14"/>
      <c r="K988" s="14"/>
      <c r="L988" s="14"/>
    </row>
    <row r="989">
      <c r="C989" s="60"/>
      <c r="D989" s="60"/>
      <c r="J989" s="14"/>
      <c r="K989" s="14"/>
      <c r="L989" s="14"/>
    </row>
    <row r="990">
      <c r="C990" s="60"/>
      <c r="D990" s="60"/>
      <c r="J990" s="14"/>
      <c r="K990" s="14"/>
      <c r="L990" s="14"/>
    </row>
    <row r="991">
      <c r="C991" s="60"/>
      <c r="D991" s="60"/>
      <c r="J991" s="14"/>
      <c r="K991" s="14"/>
      <c r="L991" s="14"/>
    </row>
    <row r="992">
      <c r="C992" s="60"/>
      <c r="D992" s="60"/>
      <c r="J992" s="14"/>
      <c r="K992" s="14"/>
      <c r="L992" s="14"/>
    </row>
    <row r="993">
      <c r="C993" s="60"/>
      <c r="D993" s="60"/>
      <c r="J993" s="14"/>
      <c r="K993" s="14"/>
      <c r="L993" s="14"/>
    </row>
    <row r="994">
      <c r="C994" s="60"/>
      <c r="D994" s="60"/>
      <c r="J994" s="14"/>
      <c r="K994" s="14"/>
      <c r="L994" s="14"/>
    </row>
    <row r="995">
      <c r="C995" s="60"/>
      <c r="D995" s="60"/>
      <c r="J995" s="14"/>
      <c r="K995" s="14"/>
      <c r="L995" s="14"/>
    </row>
    <row r="996">
      <c r="C996" s="60"/>
      <c r="D996" s="60"/>
      <c r="J996" s="14"/>
      <c r="K996" s="14"/>
      <c r="L996" s="14"/>
    </row>
    <row r="997">
      <c r="C997" s="60"/>
      <c r="D997" s="60"/>
      <c r="J997" s="14"/>
      <c r="K997" s="14"/>
      <c r="L997" s="14"/>
    </row>
  </sheetData>
  <mergeCells count="1">
    <mergeCell ref="J1:L1"/>
  </mergeCells>
  <dataValidations>
    <dataValidation type="custom" allowBlank="1" showDropDown="1" sqref="A2:A10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