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drawings/drawing1.xml" ContentType="application/vnd.openxmlformats-officedocument.drawing+xml"/>
  <Override PartName="/xl/tables/table44.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https://d.docs.live.net/30148577c57a3cfa/FINANCE/Financas CONTABILIDADE/"/>
    </mc:Choice>
  </mc:AlternateContent>
  <xr:revisionPtr revIDLastSave="1" documentId="11_5ACFA88CBDE8306A6F29F1EB833B0E86AFB00F90" xr6:coauthVersionLast="47" xr6:coauthVersionMax="47" xr10:uidLastSave="{561080F1-BDF4-4BCF-A164-D15385CF288D}"/>
  <bookViews>
    <workbookView xWindow="-98" yWindow="-98" windowWidth="28996" windowHeight="15675" tabRatio="756" firstSheet="6" activeTab="12" xr2:uid="{00000000-000D-0000-FFFF-FFFF00000000}"/>
  </bookViews>
  <sheets>
    <sheet name="PAINEL" sheetId="1" r:id="rId1"/>
    <sheet name="DADOS FORMULARIO" sheetId="2" r:id="rId2"/>
    <sheet name="DESPESAS PREVISTAS" sheetId="3" r:id="rId3"/>
    <sheet name="DESPESAS REAIS" sheetId="4" r:id="rId4"/>
    <sheet name="VARIACOES DESPESAS" sheetId="5" r:id="rId5"/>
    <sheet name="GANHOS PREVISTOS" sheetId="6" r:id="rId6"/>
    <sheet name="GANHOS REAIS" sheetId="7" r:id="rId7"/>
    <sheet name="DADOS EXPECTATIVAS" sheetId="8" r:id="rId8"/>
    <sheet name="EXPECTATIVAS" sheetId="9" r:id="rId9"/>
    <sheet name="CONTROLE DESLIZANTE" sheetId="10" r:id="rId10"/>
    <sheet name="GRAFICO DESPESAS" sheetId="11" r:id="rId11"/>
    <sheet name="GRAFICO VARIACOES" sheetId="12" r:id="rId12"/>
    <sheet name="METAS INFLACAO" sheetId="13" r:id="rId13"/>
  </sheets>
  <externalReferences>
    <externalReference r:id="rId14"/>
    <externalReference r:id="rId15"/>
    <externalReference r:id="rId16"/>
    <externalReference r:id="rId17"/>
  </externalReferences>
  <definedNames>
    <definedName name="ANGLE">#REF!</definedName>
    <definedName name="BudgetName">#REF!</definedName>
    <definedName name="Catégories_liste" localSheetId="2">[1]!Tableau_Listes_des_catégories[Pour ajouter une catégorie, saisissez-la ci-dessous]</definedName>
    <definedName name="Catégories_liste" localSheetId="10">[1]!Tableau_Listes_des_catégories[Pour ajouter une catégorie, saisissez-la ci-dessous]</definedName>
    <definedName name="Catégories_liste">[1]!Tableau_Listes_des_catégories[Pour ajouter une catégorie, saisissez-la ci-dessous]</definedName>
    <definedName name="display_long_period">CHOOSE(Période,"janvier","février","mars","avril","mai","juin","juillet","août","septembre","octobre","novembre","décembre","année")</definedName>
    <definedName name="displayed_expense_categories">OFFSET(StartCell,15-displayed_expense_categories_count+1,,displayed_expense_categories_count)</definedName>
    <definedName name="displayed_expense_categories_count">COUNTIF('[2]données graphiques'!$B$7:$B$21,"&gt;"&amp; " ")</definedName>
    <definedName name="displayed_expense_categories_period_values">OFFSET(displayed_expense_categories,,Période)</definedName>
    <definedName name="expense_categories">#REF!</definedName>
    <definedName name="expense_category_list_01">CHOOSE(MATCH(INDEX([2]Budget!$B$22,,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2">CHOOSE(MATCH(INDEX([2]Budget!$B$32,,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3">CHOOSE(MATCH(INDEX([2]Budget!$B$42,,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4">CHOOSE(MATCH(INDEX([2]Budget!$B$52,,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5">CHOOSE(MATCH(INDEX([2]Budget!$B$62,,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6">CHOOSE(MATCH(INDEX([2]Budget!$B$70,,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7">CHOOSE(MATCH(INDEX([2]Budget!$B$78,,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8">CHOOSE(MATCH(INDEX([2]Budget!$B$86,,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09">CHOOSE(MATCH(INDEX([2]Budget!$B$93,,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0">CHOOSE(MATCH(INDEX([2]Budget!$B$100,,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1">CHOOSE(MATCH(INDEX([2]Budget!$B$107,,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2">CHOOSE(MATCH(INDEX([2]Budget!$B$114,,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3">CHOOSE(MATCH(INDEX([2]Budget!$B$121,,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4">CHOOSE(MATCH(INDEX([2]Budget!$B$128,,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_category_list_15">CHOOSE(MATCH(INDEX([2]Budget!$B$135,,1),expense_categories,0),0,expenses_home,expenses_daily_living,expenses_children,expenses_transportation,expenses_health,expenses_insurance,expenses_education,expenses_charity,expenses_savings,expenses_obligations,expenses_entertainment,expenses_pets,expenses_subscriptions,expenses_vacation,expenses_misc)</definedName>
    <definedName name="expenses_charity">#REF!</definedName>
    <definedName name="expenses_children">#REF!</definedName>
    <definedName name="expenses_daily_living">#REF!</definedName>
    <definedName name="expenses_education">#REF!</definedName>
    <definedName name="expenses_entertainment">#REF!</definedName>
    <definedName name="expenses_health">#REF!</definedName>
    <definedName name="expenses_home">#REF!</definedName>
    <definedName name="expenses_insurance">#REF!</definedName>
    <definedName name="expenses_misc">#REF!</definedName>
    <definedName name="expenses_obligations">#REF!</definedName>
    <definedName name="expenses_pets">#REF!</definedName>
    <definedName name="expenses_savings">#REF!</definedName>
    <definedName name="expenses_subscriptions">#REF!</definedName>
    <definedName name="expenses_transportation">#REF!</definedName>
    <definedName name="expenses_vacation">#REF!</definedName>
    <definedName name="m">min_g+max_g</definedName>
    <definedName name="max_g">#REF!</definedName>
    <definedName name="max_scala">#REF!</definedName>
    <definedName name="min_g">#REF!</definedName>
    <definedName name="needle">MMULT((MOD(INT(#REF!/m*ANGLE)-ANGLE/2+1-ROW(INDIRECT("x!1:360")),360)={0,1,359,179,180,181})*CHOOSE({1,2,2,3,3,3},95,75,5),{1;1;1;1;1;1})+5</definedName>
    <definedName name="Période">'[2]données graphiques'!$C$4</definedName>
    <definedName name="revenus">#REF!</definedName>
    <definedName name="SCALE_1">IF(ROW(#REF!)=13,1-ANGLE/360,ANGLE/720/12)</definedName>
    <definedName name="SCALE_2">IF(ROW(#REF!)=7,1-ANGLE/360,ANGLE/720/6)</definedName>
    <definedName name="SCALE_3">IF(ROW(#REF!)=2,1-ANGLE/360,ANGLE/720)</definedName>
    <definedName name="SCALE_BASE">CHOOSE({2;4;1;3;2},1-ANGLE/360,(max_g-min_g)/m*ANGLE/2/360,min_g/m*ANGLE/360,(m-max_g)/m*ANGLE/360)</definedName>
    <definedName name="shpBotaoDetalhes" localSheetId="7">Tableau de [3]bord!$M$33</definedName>
    <definedName name="shpBotaoDetalhes" localSheetId="6">Tableau de [3]bord!$M$33</definedName>
    <definedName name="shpBotaoDetalhes">Tableau de [3]bord!$M$33</definedName>
    <definedName name="shpButtonDetails" localSheetId="7">Tableau de [3]bord!$M$33</definedName>
    <definedName name="shpButtonDetails" localSheetId="6">Tableau de [3]bord!$M$33</definedName>
    <definedName name="shpButtonDetails">Tableau de [3]bord!$M$33</definedName>
    <definedName name="solver_eng" localSheetId="3" hidden="1">1</definedName>
    <definedName name="solver_eng" localSheetId="4" hidden="1">1</definedName>
    <definedName name="solver_lin" localSheetId="3" hidden="1">2</definedName>
    <definedName name="solver_lin" localSheetId="4" hidden="1">2</definedName>
    <definedName name="solver_neg" localSheetId="3" hidden="1">1</definedName>
    <definedName name="solver_neg" localSheetId="4" hidden="1">1</definedName>
    <definedName name="solver_num" localSheetId="3" hidden="1">0</definedName>
    <definedName name="solver_num" localSheetId="4" hidden="1">0</definedName>
    <definedName name="solver_opt" localSheetId="3" hidden="1">'DESPESAS REAIS'!$D$100</definedName>
    <definedName name="solver_opt" localSheetId="4" hidden="1">'VARIACOES DESPESAS'!$D$100</definedName>
    <definedName name="solver_typ" localSheetId="3" hidden="1">1</definedName>
    <definedName name="solver_typ" localSheetId="4" hidden="1">1</definedName>
    <definedName name="solver_val" localSheetId="3" hidden="1">0</definedName>
    <definedName name="solver_val" localSheetId="4" hidden="1">0</definedName>
    <definedName name="solver_ver" localSheetId="3" hidden="1">2</definedName>
    <definedName name="solver_ver" localSheetId="4" hidden="1">2</definedName>
    <definedName name="StartCell">'[2]données graphiques'!$B$6</definedName>
    <definedName name="StartingBalance">[2]Budget!$C$5</definedName>
    <definedName name="titre_feuille_de_calcul">#REF!</definedName>
    <definedName name="_xlnm.Print_Area" localSheetId="5">'GANHOS PREVISTOS'!$A$1:$L$13</definedName>
    <definedName name="_xlnm.Print_Area" localSheetId="6">'GANHOS REAIS'!$A$1:$L$13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11" l="1"/>
  <c r="E11" i="11"/>
  <c r="F11" i="11" s="1"/>
  <c r="E9" i="11"/>
  <c r="F9" i="11" s="1"/>
  <c r="E3" i="11"/>
  <c r="B2" i="11"/>
  <c r="N15" i="9"/>
  <c r="M15" i="9"/>
  <c r="L15" i="9"/>
  <c r="K15" i="9"/>
  <c r="J15" i="9"/>
  <c r="I15" i="9"/>
  <c r="H15" i="9"/>
  <c r="G15" i="9"/>
  <c r="F15" i="9"/>
  <c r="E15" i="9"/>
  <c r="D15" i="9"/>
  <c r="C15" i="9"/>
  <c r="N13" i="9"/>
  <c r="M13" i="9"/>
  <c r="L13" i="9"/>
  <c r="K13" i="9"/>
  <c r="J13" i="9"/>
  <c r="I13" i="9"/>
  <c r="H13" i="9"/>
  <c r="G13" i="9"/>
  <c r="F13" i="9"/>
  <c r="E13" i="9"/>
  <c r="D13" i="9"/>
  <c r="C13" i="9"/>
  <c r="N10" i="9"/>
  <c r="H9" i="9"/>
  <c r="H10" i="9" s="1"/>
  <c r="G9" i="9"/>
  <c r="G10" i="9" s="1"/>
  <c r="F9" i="9"/>
  <c r="E9" i="9"/>
  <c r="D9" i="9"/>
  <c r="C9" i="9"/>
  <c r="N5" i="9"/>
  <c r="M5" i="9"/>
  <c r="L5" i="9"/>
  <c r="K5" i="9"/>
  <c r="J5" i="9"/>
  <c r="I5" i="9"/>
  <c r="H5" i="9"/>
  <c r="G5" i="9"/>
  <c r="F5" i="9"/>
  <c r="E5" i="9"/>
  <c r="D5" i="9"/>
  <c r="C5" i="9"/>
  <c r="B2" i="8"/>
  <c r="C17" i="7"/>
  <c r="N14" i="7"/>
  <c r="M14" i="7"/>
  <c r="J14" i="7"/>
  <c r="I14" i="7"/>
  <c r="H14" i="7"/>
  <c r="F14" i="7"/>
  <c r="E14" i="7"/>
  <c r="D14" i="7"/>
  <c r="C14" i="7"/>
  <c r="B14" i="7"/>
  <c r="K13" i="7"/>
  <c r="G13" i="7"/>
  <c r="L13" i="7" s="1"/>
  <c r="O13" i="7" s="1"/>
  <c r="K12" i="7"/>
  <c r="G12" i="7"/>
  <c r="L12" i="7" s="1"/>
  <c r="O12" i="7" s="1"/>
  <c r="O11" i="7"/>
  <c r="L11" i="7"/>
  <c r="K11" i="7"/>
  <c r="G11" i="7"/>
  <c r="K10" i="7"/>
  <c r="G10" i="7"/>
  <c r="L10" i="7" s="1"/>
  <c r="O10" i="7" s="1"/>
  <c r="K9" i="7"/>
  <c r="G9" i="7"/>
  <c r="L9" i="7" s="1"/>
  <c r="O9" i="7" s="1"/>
  <c r="L8" i="7"/>
  <c r="O8" i="7" s="1"/>
  <c r="K8" i="7"/>
  <c r="G8" i="7"/>
  <c r="K7" i="7"/>
  <c r="G7" i="7"/>
  <c r="L7" i="7" s="1"/>
  <c r="O7" i="7" s="1"/>
  <c r="K6" i="7"/>
  <c r="K14" i="7" s="1"/>
  <c r="G6" i="7"/>
  <c r="L6" i="7" s="1"/>
  <c r="O6" i="7" s="1"/>
  <c r="O5" i="7"/>
  <c r="L5" i="7"/>
  <c r="K5" i="7"/>
  <c r="G5" i="7"/>
  <c r="K4" i="7"/>
  <c r="G4" i="7"/>
  <c r="L4" i="7" s="1"/>
  <c r="O4" i="7" s="1"/>
  <c r="K3" i="7"/>
  <c r="G3" i="7"/>
  <c r="L3" i="7" s="1"/>
  <c r="O3" i="7" s="1"/>
  <c r="L2" i="7"/>
  <c r="L14" i="7" s="1"/>
  <c r="K2" i="7"/>
  <c r="G2" i="7"/>
  <c r="G14" i="7" s="1"/>
  <c r="C17" i="6"/>
  <c r="N14" i="6"/>
  <c r="M14" i="6"/>
  <c r="J14" i="6"/>
  <c r="I14" i="6"/>
  <c r="H14" i="6"/>
  <c r="F14" i="6"/>
  <c r="E14" i="6"/>
  <c r="D14" i="6"/>
  <c r="C14" i="6"/>
  <c r="B14" i="6"/>
  <c r="M13" i="6"/>
  <c r="K13" i="6"/>
  <c r="G13" i="6"/>
  <c r="L13" i="6" s="1"/>
  <c r="O13" i="6" s="1"/>
  <c r="I12" i="6"/>
  <c r="H12" i="6"/>
  <c r="K12" i="6" s="1"/>
  <c r="G12" i="6"/>
  <c r="L12" i="6" s="1"/>
  <c r="O12" i="6" s="1"/>
  <c r="K11" i="6"/>
  <c r="G11" i="6"/>
  <c r="L11" i="6" s="1"/>
  <c r="O11" i="6" s="1"/>
  <c r="K10" i="6"/>
  <c r="L10" i="6" s="1"/>
  <c r="O10" i="6" s="1"/>
  <c r="G10" i="6"/>
  <c r="L9" i="6"/>
  <c r="O9" i="6" s="1"/>
  <c r="K9" i="6"/>
  <c r="G9" i="6"/>
  <c r="L8" i="6"/>
  <c r="O8" i="6" s="1"/>
  <c r="K8" i="6"/>
  <c r="G8" i="6"/>
  <c r="K7" i="6"/>
  <c r="G7" i="6"/>
  <c r="L7" i="6" s="1"/>
  <c r="O7" i="6" s="1"/>
  <c r="K6" i="6"/>
  <c r="G6" i="6"/>
  <c r="L6" i="6" s="1"/>
  <c r="O6" i="6" s="1"/>
  <c r="K5" i="6"/>
  <c r="G5" i="6"/>
  <c r="L5" i="6" s="1"/>
  <c r="O5" i="6" s="1"/>
  <c r="K4" i="6"/>
  <c r="L4" i="6" s="1"/>
  <c r="G4" i="6"/>
  <c r="G14" i="6" s="1"/>
  <c r="L3" i="6"/>
  <c r="O3" i="6" s="1"/>
  <c r="K3" i="6"/>
  <c r="G3" i="6"/>
  <c r="L2" i="6"/>
  <c r="O2" i="6" s="1"/>
  <c r="K2" i="6"/>
  <c r="G2" i="6"/>
  <c r="K109" i="5"/>
  <c r="G109" i="5"/>
  <c r="F109" i="5"/>
  <c r="M108" i="5"/>
  <c r="L108" i="5"/>
  <c r="K108" i="5"/>
  <c r="J108" i="5"/>
  <c r="I108" i="5"/>
  <c r="H108" i="5"/>
  <c r="G108" i="5"/>
  <c r="F108" i="5"/>
  <c r="E108" i="5"/>
  <c r="D108" i="5"/>
  <c r="C108" i="5"/>
  <c r="B108" i="5"/>
  <c r="N108" i="5" s="1"/>
  <c r="M107" i="5"/>
  <c r="L107" i="5"/>
  <c r="K107" i="5"/>
  <c r="J107" i="5"/>
  <c r="I107" i="5"/>
  <c r="I109" i="5" s="1"/>
  <c r="H107" i="5"/>
  <c r="H109" i="5" s="1"/>
  <c r="G107" i="5"/>
  <c r="F107" i="5"/>
  <c r="E107" i="5"/>
  <c r="D107" i="5"/>
  <c r="C107" i="5"/>
  <c r="B107" i="5"/>
  <c r="M106" i="5"/>
  <c r="L106" i="5"/>
  <c r="K106" i="5"/>
  <c r="J106" i="5"/>
  <c r="I106" i="5"/>
  <c r="H106" i="5"/>
  <c r="G106" i="5"/>
  <c r="F106" i="5"/>
  <c r="E106" i="5"/>
  <c r="D106" i="5"/>
  <c r="C106" i="5"/>
  <c r="B106" i="5"/>
  <c r="N106" i="5" s="1"/>
  <c r="M105" i="5"/>
  <c r="L105" i="5"/>
  <c r="K105" i="5"/>
  <c r="J105" i="5"/>
  <c r="N105" i="5" s="1"/>
  <c r="I105" i="5"/>
  <c r="H105" i="5"/>
  <c r="G105" i="5"/>
  <c r="F105" i="5"/>
  <c r="E105" i="5"/>
  <c r="D105" i="5"/>
  <c r="C105" i="5"/>
  <c r="B105" i="5"/>
  <c r="M104" i="5"/>
  <c r="L104" i="5"/>
  <c r="K104" i="5"/>
  <c r="J104" i="5"/>
  <c r="I104" i="5"/>
  <c r="H104" i="5"/>
  <c r="G104" i="5"/>
  <c r="F104" i="5"/>
  <c r="E104" i="5"/>
  <c r="D104" i="5"/>
  <c r="C104" i="5"/>
  <c r="B104" i="5"/>
  <c r="N104" i="5" s="1"/>
  <c r="M103" i="5"/>
  <c r="M109" i="5" s="1"/>
  <c r="L103" i="5"/>
  <c r="N103" i="5" s="1"/>
  <c r="K103" i="5"/>
  <c r="J103" i="5"/>
  <c r="I103" i="5"/>
  <c r="H103" i="5"/>
  <c r="G103" i="5"/>
  <c r="F103" i="5"/>
  <c r="E103" i="5"/>
  <c r="D103" i="5"/>
  <c r="C103" i="5"/>
  <c r="B103" i="5"/>
  <c r="M102" i="5"/>
  <c r="L102" i="5"/>
  <c r="K102" i="5"/>
  <c r="J102" i="5"/>
  <c r="I102" i="5"/>
  <c r="H102" i="5"/>
  <c r="G102" i="5"/>
  <c r="F102" i="5"/>
  <c r="E102" i="5"/>
  <c r="D102" i="5"/>
  <c r="C102" i="5"/>
  <c r="B102" i="5"/>
  <c r="N102" i="5" s="1"/>
  <c r="N101" i="5"/>
  <c r="M101" i="5"/>
  <c r="L101" i="5"/>
  <c r="K101" i="5"/>
  <c r="J101" i="5"/>
  <c r="I101" i="5"/>
  <c r="H101" i="5"/>
  <c r="G101" i="5"/>
  <c r="F101" i="5"/>
  <c r="E101" i="5"/>
  <c r="D101" i="5"/>
  <c r="C101" i="5"/>
  <c r="B101" i="5"/>
  <c r="M100" i="5"/>
  <c r="L100" i="5"/>
  <c r="K100" i="5"/>
  <c r="J100" i="5"/>
  <c r="I100" i="5"/>
  <c r="H100" i="5"/>
  <c r="G100" i="5"/>
  <c r="F100" i="5"/>
  <c r="E100" i="5"/>
  <c r="E109" i="5" s="1"/>
  <c r="D100" i="5"/>
  <c r="D109" i="5" s="1"/>
  <c r="C100" i="5"/>
  <c r="C109" i="5" s="1"/>
  <c r="B100" i="5"/>
  <c r="B109" i="5" s="1"/>
  <c r="M96" i="5"/>
  <c r="L96" i="5"/>
  <c r="K96" i="5"/>
  <c r="J96" i="5"/>
  <c r="I96" i="5"/>
  <c r="H96" i="5"/>
  <c r="G96" i="5"/>
  <c r="F96" i="5"/>
  <c r="E96" i="5"/>
  <c r="D96" i="5"/>
  <c r="N96" i="5" s="1"/>
  <c r="C96" i="5"/>
  <c r="B96" i="5"/>
  <c r="M95" i="5"/>
  <c r="L95" i="5"/>
  <c r="K95" i="5"/>
  <c r="J95" i="5"/>
  <c r="I95" i="5"/>
  <c r="H95" i="5"/>
  <c r="G95" i="5"/>
  <c r="F95" i="5"/>
  <c r="E95" i="5"/>
  <c r="D95" i="5"/>
  <c r="C95" i="5"/>
  <c r="B95" i="5"/>
  <c r="N95" i="5" s="1"/>
  <c r="M94" i="5"/>
  <c r="L94" i="5"/>
  <c r="K94" i="5"/>
  <c r="J94" i="5"/>
  <c r="I94" i="5"/>
  <c r="H94" i="5"/>
  <c r="G94" i="5"/>
  <c r="N94" i="5" s="1"/>
  <c r="F94" i="5"/>
  <c r="E94" i="5"/>
  <c r="D94" i="5"/>
  <c r="C94" i="5"/>
  <c r="B94" i="5"/>
  <c r="M93" i="5"/>
  <c r="L93" i="5"/>
  <c r="K93" i="5"/>
  <c r="J93" i="5"/>
  <c r="I93" i="5"/>
  <c r="H93" i="5"/>
  <c r="G93" i="5"/>
  <c r="F93" i="5"/>
  <c r="E93" i="5"/>
  <c r="D93" i="5"/>
  <c r="C93" i="5"/>
  <c r="B93" i="5"/>
  <c r="N93" i="5" s="1"/>
  <c r="M92" i="5"/>
  <c r="L92" i="5"/>
  <c r="K92" i="5"/>
  <c r="J92" i="5"/>
  <c r="I92" i="5"/>
  <c r="N92" i="5" s="1"/>
  <c r="H92" i="5"/>
  <c r="G92" i="5"/>
  <c r="F92" i="5"/>
  <c r="E92" i="5"/>
  <c r="D92" i="5"/>
  <c r="C92" i="5"/>
  <c r="B92" i="5"/>
  <c r="M91" i="5"/>
  <c r="L91" i="5"/>
  <c r="K91" i="5"/>
  <c r="J91" i="5"/>
  <c r="I91" i="5"/>
  <c r="I97" i="5" s="1"/>
  <c r="H91" i="5"/>
  <c r="G91" i="5"/>
  <c r="F91" i="5"/>
  <c r="E91" i="5"/>
  <c r="D91" i="5"/>
  <c r="C91" i="5"/>
  <c r="B91" i="5"/>
  <c r="N91" i="5" s="1"/>
  <c r="M90" i="5"/>
  <c r="L90" i="5"/>
  <c r="K90" i="5"/>
  <c r="N90" i="5" s="1"/>
  <c r="J90" i="5"/>
  <c r="J97" i="5" s="1"/>
  <c r="I90" i="5"/>
  <c r="H90" i="5"/>
  <c r="G90" i="5"/>
  <c r="F90" i="5"/>
  <c r="E90" i="5"/>
  <c r="D90" i="5"/>
  <c r="C90" i="5"/>
  <c r="B90" i="5"/>
  <c r="M89" i="5"/>
  <c r="M97" i="5" s="1"/>
  <c r="L89" i="5"/>
  <c r="L97" i="5" s="1"/>
  <c r="K89" i="5"/>
  <c r="K97" i="5" s="1"/>
  <c r="J89" i="5"/>
  <c r="I89" i="5"/>
  <c r="H89" i="5"/>
  <c r="H97" i="5" s="1"/>
  <c r="G89" i="5"/>
  <c r="G97" i="5" s="1"/>
  <c r="F89" i="5"/>
  <c r="F97" i="5" s="1"/>
  <c r="E89" i="5"/>
  <c r="E97" i="5" s="1"/>
  <c r="D89" i="5"/>
  <c r="D97" i="5" s="1"/>
  <c r="C89" i="5"/>
  <c r="C97" i="5" s="1"/>
  <c r="B89" i="5"/>
  <c r="N89" i="5" s="1"/>
  <c r="M86" i="5"/>
  <c r="M85" i="5"/>
  <c r="L85" i="5"/>
  <c r="K85" i="5"/>
  <c r="J85" i="5"/>
  <c r="I85" i="5"/>
  <c r="H85" i="5"/>
  <c r="G85" i="5"/>
  <c r="F85" i="5"/>
  <c r="E85" i="5"/>
  <c r="D85" i="5"/>
  <c r="C85" i="5"/>
  <c r="B85" i="5"/>
  <c r="N85" i="5" s="1"/>
  <c r="N84" i="5"/>
  <c r="M84" i="5"/>
  <c r="L84" i="5"/>
  <c r="K84" i="5"/>
  <c r="J84" i="5"/>
  <c r="I84" i="5"/>
  <c r="H84" i="5"/>
  <c r="G84" i="5"/>
  <c r="F84" i="5"/>
  <c r="E84" i="5"/>
  <c r="D84" i="5"/>
  <c r="C84" i="5"/>
  <c r="B84" i="5"/>
  <c r="M83" i="5"/>
  <c r="L83" i="5"/>
  <c r="L86" i="5" s="1"/>
  <c r="K83" i="5"/>
  <c r="J83" i="5"/>
  <c r="I83" i="5"/>
  <c r="H83" i="5"/>
  <c r="H86" i="5" s="1"/>
  <c r="G83" i="5"/>
  <c r="G86" i="5" s="1"/>
  <c r="F83" i="5"/>
  <c r="F86" i="5" s="1"/>
  <c r="E83" i="5"/>
  <c r="D83" i="5"/>
  <c r="C83" i="5"/>
  <c r="N83" i="5" s="1"/>
  <c r="B83" i="5"/>
  <c r="M82" i="5"/>
  <c r="L82" i="5"/>
  <c r="K82" i="5"/>
  <c r="K86" i="5" s="1"/>
  <c r="J82" i="5"/>
  <c r="J86" i="5" s="1"/>
  <c r="I82" i="5"/>
  <c r="I86" i="5" s="1"/>
  <c r="H82" i="5"/>
  <c r="G82" i="5"/>
  <c r="F82" i="5"/>
  <c r="E82" i="5"/>
  <c r="E86" i="5" s="1"/>
  <c r="D82" i="5"/>
  <c r="D86" i="5" s="1"/>
  <c r="C82" i="5"/>
  <c r="C86" i="5" s="1"/>
  <c r="B82" i="5"/>
  <c r="N82" i="5" s="1"/>
  <c r="G79" i="5"/>
  <c r="F79" i="5"/>
  <c r="M78" i="5"/>
  <c r="L78" i="5"/>
  <c r="K78" i="5"/>
  <c r="J78" i="5"/>
  <c r="I78" i="5"/>
  <c r="H78" i="5"/>
  <c r="G78" i="5"/>
  <c r="F78" i="5"/>
  <c r="E78" i="5"/>
  <c r="D78" i="5"/>
  <c r="C78" i="5"/>
  <c r="B78" i="5"/>
  <c r="N78" i="5" s="1"/>
  <c r="M77" i="5"/>
  <c r="L77" i="5"/>
  <c r="K77" i="5"/>
  <c r="J77" i="5"/>
  <c r="I77" i="5"/>
  <c r="I79" i="5" s="1"/>
  <c r="H77" i="5"/>
  <c r="H79" i="5" s="1"/>
  <c r="G77" i="5"/>
  <c r="F77" i="5"/>
  <c r="E77" i="5"/>
  <c r="D77" i="5"/>
  <c r="C77" i="5"/>
  <c r="B77" i="5"/>
  <c r="M76" i="5"/>
  <c r="L76" i="5"/>
  <c r="K76" i="5"/>
  <c r="J76" i="5"/>
  <c r="I76" i="5"/>
  <c r="H76" i="5"/>
  <c r="G76" i="5"/>
  <c r="F76" i="5"/>
  <c r="E76" i="5"/>
  <c r="D76" i="5"/>
  <c r="C76" i="5"/>
  <c r="B76" i="5"/>
  <c r="N76" i="5" s="1"/>
  <c r="M75" i="5"/>
  <c r="L75" i="5"/>
  <c r="K75" i="5"/>
  <c r="K79" i="5" s="1"/>
  <c r="J75" i="5"/>
  <c r="J79" i="5" s="1"/>
  <c r="I75" i="5"/>
  <c r="H75" i="5"/>
  <c r="G75" i="5"/>
  <c r="F75" i="5"/>
  <c r="E75" i="5"/>
  <c r="D75" i="5"/>
  <c r="C75" i="5"/>
  <c r="M74" i="5"/>
  <c r="L74" i="5"/>
  <c r="K74" i="5"/>
  <c r="J74" i="5"/>
  <c r="I74" i="5"/>
  <c r="H74" i="5"/>
  <c r="G74" i="5"/>
  <c r="F74" i="5"/>
  <c r="E74" i="5"/>
  <c r="D74" i="5"/>
  <c r="C74" i="5"/>
  <c r="B74" i="5"/>
  <c r="N74" i="5" s="1"/>
  <c r="M73" i="5"/>
  <c r="M79" i="5" s="1"/>
  <c r="L73" i="5"/>
  <c r="L79" i="5" s="1"/>
  <c r="K73" i="5"/>
  <c r="J73" i="5"/>
  <c r="I73" i="5"/>
  <c r="H73" i="5"/>
  <c r="G73" i="5"/>
  <c r="F73" i="5"/>
  <c r="E73" i="5"/>
  <c r="D73" i="5"/>
  <c r="C73" i="5"/>
  <c r="B73" i="5"/>
  <c r="M72" i="5"/>
  <c r="L72" i="5"/>
  <c r="K72" i="5"/>
  <c r="J72" i="5"/>
  <c r="I72" i="5"/>
  <c r="H72" i="5"/>
  <c r="G72" i="5"/>
  <c r="F72" i="5"/>
  <c r="E72" i="5"/>
  <c r="D72" i="5"/>
  <c r="C72" i="5"/>
  <c r="B72" i="5"/>
  <c r="N72" i="5" s="1"/>
  <c r="N71" i="5"/>
  <c r="M71" i="5"/>
  <c r="L71" i="5"/>
  <c r="K71" i="5"/>
  <c r="J71" i="5"/>
  <c r="I71" i="5"/>
  <c r="H71" i="5"/>
  <c r="G71" i="5"/>
  <c r="F71" i="5"/>
  <c r="E71" i="5"/>
  <c r="D71" i="5"/>
  <c r="C71" i="5"/>
  <c r="B71" i="5"/>
  <c r="M70" i="5"/>
  <c r="L70" i="5"/>
  <c r="K70" i="5"/>
  <c r="J70" i="5"/>
  <c r="I70" i="5"/>
  <c r="H70" i="5"/>
  <c r="G70" i="5"/>
  <c r="F70" i="5"/>
  <c r="E70" i="5"/>
  <c r="D70" i="5"/>
  <c r="C70" i="5"/>
  <c r="B70" i="5"/>
  <c r="N70" i="5" s="1"/>
  <c r="M69" i="5"/>
  <c r="L69" i="5"/>
  <c r="K69" i="5"/>
  <c r="J69" i="5"/>
  <c r="I69" i="5"/>
  <c r="H69" i="5"/>
  <c r="G69" i="5"/>
  <c r="F69" i="5"/>
  <c r="E69" i="5"/>
  <c r="D69" i="5"/>
  <c r="C69" i="5"/>
  <c r="C79" i="5" s="1"/>
  <c r="B69" i="5"/>
  <c r="N69" i="5" s="1"/>
  <c r="M68" i="5"/>
  <c r="L68" i="5"/>
  <c r="K68" i="5"/>
  <c r="J68" i="5"/>
  <c r="I68" i="5"/>
  <c r="H68" i="5"/>
  <c r="G68" i="5"/>
  <c r="F68" i="5"/>
  <c r="E68" i="5"/>
  <c r="E79" i="5" s="1"/>
  <c r="D68" i="5"/>
  <c r="D79" i="5" s="1"/>
  <c r="C68" i="5"/>
  <c r="B68" i="5"/>
  <c r="B79" i="5" s="1"/>
  <c r="M64" i="5"/>
  <c r="L64" i="5"/>
  <c r="K64" i="5"/>
  <c r="J64" i="5"/>
  <c r="I64" i="5"/>
  <c r="H64" i="5"/>
  <c r="G64" i="5"/>
  <c r="N64" i="5" s="1"/>
  <c r="F64" i="5"/>
  <c r="E64" i="5"/>
  <c r="D64" i="5"/>
  <c r="C64" i="5"/>
  <c r="B64" i="5"/>
  <c r="M63" i="5"/>
  <c r="L63" i="5"/>
  <c r="K63" i="5"/>
  <c r="J63" i="5"/>
  <c r="I63" i="5"/>
  <c r="H63" i="5"/>
  <c r="G63" i="5"/>
  <c r="F63" i="5"/>
  <c r="E63" i="5"/>
  <c r="D63" i="5"/>
  <c r="C63" i="5"/>
  <c r="B63" i="5"/>
  <c r="N63" i="5" s="1"/>
  <c r="M62" i="5"/>
  <c r="L62" i="5"/>
  <c r="K62" i="5"/>
  <c r="J62" i="5"/>
  <c r="I62" i="5"/>
  <c r="N62" i="5" s="1"/>
  <c r="H62" i="5"/>
  <c r="G62" i="5"/>
  <c r="F62" i="5"/>
  <c r="E62" i="5"/>
  <c r="D62" i="5"/>
  <c r="C62" i="5"/>
  <c r="B62" i="5"/>
  <c r="M61" i="5"/>
  <c r="L61" i="5"/>
  <c r="K61" i="5"/>
  <c r="J61" i="5"/>
  <c r="I61" i="5"/>
  <c r="H61" i="5"/>
  <c r="G61" i="5"/>
  <c r="F61" i="5"/>
  <c r="E61" i="5"/>
  <c r="D61" i="5"/>
  <c r="C61" i="5"/>
  <c r="B61" i="5"/>
  <c r="N61" i="5" s="1"/>
  <c r="M60" i="5"/>
  <c r="L60" i="5"/>
  <c r="K60" i="5"/>
  <c r="K65" i="5" s="1"/>
  <c r="J60" i="5"/>
  <c r="I60" i="5"/>
  <c r="H60" i="5"/>
  <c r="G60" i="5"/>
  <c r="F60" i="5"/>
  <c r="E60" i="5"/>
  <c r="D60" i="5"/>
  <c r="C60" i="5"/>
  <c r="B60" i="5"/>
  <c r="M59" i="5"/>
  <c r="L59" i="5"/>
  <c r="K59" i="5"/>
  <c r="J59" i="5"/>
  <c r="I59" i="5"/>
  <c r="H59" i="5"/>
  <c r="G59" i="5"/>
  <c r="F59" i="5"/>
  <c r="E59" i="5"/>
  <c r="E65" i="5" s="1"/>
  <c r="D59" i="5"/>
  <c r="C59" i="5"/>
  <c r="C65" i="5" s="1"/>
  <c r="B59" i="5"/>
  <c r="B65" i="5" s="1"/>
  <c r="M58" i="5"/>
  <c r="M65" i="5" s="1"/>
  <c r="L58" i="5"/>
  <c r="L65" i="5" s="1"/>
  <c r="K58" i="5"/>
  <c r="J58" i="5"/>
  <c r="J65" i="5" s="1"/>
  <c r="I58" i="5"/>
  <c r="I65" i="5" s="1"/>
  <c r="H58" i="5"/>
  <c r="H65" i="5" s="1"/>
  <c r="G58" i="5"/>
  <c r="G65" i="5" s="1"/>
  <c r="F58" i="5"/>
  <c r="F65" i="5" s="1"/>
  <c r="E58" i="5"/>
  <c r="D58" i="5"/>
  <c r="D65" i="5" s="1"/>
  <c r="C58" i="5"/>
  <c r="B58" i="5"/>
  <c r="C55" i="5"/>
  <c r="B55" i="5"/>
  <c r="N54" i="5"/>
  <c r="M54" i="5"/>
  <c r="L54" i="5"/>
  <c r="K54" i="5"/>
  <c r="J54" i="5"/>
  <c r="I54" i="5"/>
  <c r="H54" i="5"/>
  <c r="G54" i="5"/>
  <c r="F54" i="5"/>
  <c r="E54" i="5"/>
  <c r="D54" i="5"/>
  <c r="C54" i="5"/>
  <c r="B54" i="5"/>
  <c r="M53" i="5"/>
  <c r="L53" i="5"/>
  <c r="K53" i="5"/>
  <c r="J53" i="5"/>
  <c r="I53" i="5"/>
  <c r="H53" i="5"/>
  <c r="G53" i="5"/>
  <c r="F53" i="5"/>
  <c r="E53" i="5"/>
  <c r="E55" i="5" s="1"/>
  <c r="D53" i="5"/>
  <c r="D55" i="5" s="1"/>
  <c r="C53" i="5"/>
  <c r="N53" i="5" s="1"/>
  <c r="B53" i="5"/>
  <c r="M52" i="5"/>
  <c r="L52" i="5"/>
  <c r="K52" i="5"/>
  <c r="J52" i="5"/>
  <c r="I52" i="5"/>
  <c r="H52" i="5"/>
  <c r="G52" i="5"/>
  <c r="F52" i="5"/>
  <c r="E52" i="5"/>
  <c r="D52" i="5"/>
  <c r="C52" i="5"/>
  <c r="B52" i="5"/>
  <c r="N52" i="5" s="1"/>
  <c r="M51" i="5"/>
  <c r="M55" i="5" s="1"/>
  <c r="L51" i="5"/>
  <c r="K51" i="5"/>
  <c r="K55" i="5" s="1"/>
  <c r="J51" i="5"/>
  <c r="J55" i="5" s="1"/>
  <c r="I51" i="5"/>
  <c r="I55" i="5" s="1"/>
  <c r="H51" i="5"/>
  <c r="H55" i="5" s="1"/>
  <c r="G51" i="5"/>
  <c r="G55" i="5" s="1"/>
  <c r="F51" i="5"/>
  <c r="F55" i="5" s="1"/>
  <c r="E51" i="5"/>
  <c r="D51" i="5"/>
  <c r="C51" i="5"/>
  <c r="B51" i="5"/>
  <c r="M50" i="5"/>
  <c r="L50" i="5"/>
  <c r="L55" i="5" s="1"/>
  <c r="K50" i="5"/>
  <c r="J50" i="5"/>
  <c r="I50" i="5"/>
  <c r="H50" i="5"/>
  <c r="G50" i="5"/>
  <c r="F50" i="5"/>
  <c r="E50" i="5"/>
  <c r="D50" i="5"/>
  <c r="C50" i="5"/>
  <c r="B50" i="5"/>
  <c r="N50" i="5" s="1"/>
  <c r="I47" i="5"/>
  <c r="H47" i="5"/>
  <c r="M46" i="5"/>
  <c r="L46" i="5"/>
  <c r="K46" i="5"/>
  <c r="J46" i="5"/>
  <c r="I46" i="5"/>
  <c r="H46" i="5"/>
  <c r="G46" i="5"/>
  <c r="F46" i="5"/>
  <c r="E46" i="5"/>
  <c r="D46" i="5"/>
  <c r="C46" i="5"/>
  <c r="B46" i="5"/>
  <c r="N46" i="5" s="1"/>
  <c r="M45" i="5"/>
  <c r="M47" i="5" s="1"/>
  <c r="L45" i="5"/>
  <c r="L47" i="5" s="1"/>
  <c r="K45" i="5"/>
  <c r="K47" i="5" s="1"/>
  <c r="J45" i="5"/>
  <c r="J47" i="5" s="1"/>
  <c r="I45" i="5"/>
  <c r="H45" i="5"/>
  <c r="G45" i="5"/>
  <c r="F45" i="5"/>
  <c r="E45" i="5"/>
  <c r="D45" i="5"/>
  <c r="C45" i="5"/>
  <c r="M44" i="5"/>
  <c r="L44" i="5"/>
  <c r="K44" i="5"/>
  <c r="J44" i="5"/>
  <c r="I44" i="5"/>
  <c r="H44" i="5"/>
  <c r="G44" i="5"/>
  <c r="G47" i="5" s="1"/>
  <c r="F44" i="5"/>
  <c r="F47" i="5" s="1"/>
  <c r="E44" i="5"/>
  <c r="E47" i="5" s="1"/>
  <c r="D44" i="5"/>
  <c r="D47" i="5" s="1"/>
  <c r="C44" i="5"/>
  <c r="C47" i="5" s="1"/>
  <c r="B44" i="5"/>
  <c r="B47" i="5" s="1"/>
  <c r="M41" i="5"/>
  <c r="L41" i="5"/>
  <c r="M40" i="5"/>
  <c r="L40" i="5"/>
  <c r="K40" i="5"/>
  <c r="J40" i="5"/>
  <c r="I40" i="5"/>
  <c r="H40" i="5"/>
  <c r="G40" i="5"/>
  <c r="F40" i="5"/>
  <c r="E40" i="5"/>
  <c r="D40" i="5"/>
  <c r="C40" i="5"/>
  <c r="B40" i="5"/>
  <c r="N40" i="5" s="1"/>
  <c r="N39" i="5"/>
  <c r="M39" i="5"/>
  <c r="L39" i="5"/>
  <c r="K39" i="5"/>
  <c r="J39" i="5"/>
  <c r="I39" i="5"/>
  <c r="H39" i="5"/>
  <c r="G39" i="5"/>
  <c r="F39" i="5"/>
  <c r="E39" i="5"/>
  <c r="D39" i="5"/>
  <c r="C39" i="5"/>
  <c r="B39" i="5"/>
  <c r="M38" i="5"/>
  <c r="L38" i="5"/>
  <c r="K38" i="5"/>
  <c r="J38" i="5"/>
  <c r="I38" i="5"/>
  <c r="H38" i="5"/>
  <c r="G38" i="5"/>
  <c r="F38" i="5"/>
  <c r="E38" i="5"/>
  <c r="D38" i="5"/>
  <c r="C38" i="5"/>
  <c r="B38" i="5"/>
  <c r="N38" i="5" s="1"/>
  <c r="M37" i="5"/>
  <c r="L37" i="5"/>
  <c r="K37" i="5"/>
  <c r="J37" i="5"/>
  <c r="I37" i="5"/>
  <c r="H37" i="5"/>
  <c r="G37" i="5"/>
  <c r="F37" i="5"/>
  <c r="E37" i="5"/>
  <c r="D37" i="5"/>
  <c r="C37" i="5"/>
  <c r="B37" i="5"/>
  <c r="N37" i="5" s="1"/>
  <c r="M36" i="5"/>
  <c r="L36" i="5"/>
  <c r="K36" i="5"/>
  <c r="K41" i="5" s="1"/>
  <c r="J36" i="5"/>
  <c r="J41" i="5" s="1"/>
  <c r="I36" i="5"/>
  <c r="I41" i="5" s="1"/>
  <c r="H36" i="5"/>
  <c r="H41" i="5" s="1"/>
  <c r="G36" i="5"/>
  <c r="G41" i="5" s="1"/>
  <c r="F36" i="5"/>
  <c r="F41" i="5" s="1"/>
  <c r="E36" i="5"/>
  <c r="E41" i="5" s="1"/>
  <c r="D36" i="5"/>
  <c r="D41" i="5" s="1"/>
  <c r="C36" i="5"/>
  <c r="C41" i="5" s="1"/>
  <c r="E33" i="5"/>
  <c r="M32" i="5"/>
  <c r="L32" i="5"/>
  <c r="K32" i="5"/>
  <c r="J32" i="5"/>
  <c r="I32" i="5"/>
  <c r="H32" i="5"/>
  <c r="G32" i="5"/>
  <c r="F32" i="5"/>
  <c r="F33" i="5" s="1"/>
  <c r="E32" i="5"/>
  <c r="D32" i="5"/>
  <c r="C32" i="5"/>
  <c r="M31" i="5"/>
  <c r="L31" i="5"/>
  <c r="K31" i="5"/>
  <c r="J31" i="5"/>
  <c r="I31" i="5"/>
  <c r="H31" i="5"/>
  <c r="G31" i="5"/>
  <c r="G33" i="5" s="1"/>
  <c r="F31" i="5"/>
  <c r="E31" i="5"/>
  <c r="D31" i="5"/>
  <c r="C31" i="5"/>
  <c r="B31" i="5"/>
  <c r="N31" i="5" s="1"/>
  <c r="M30" i="5"/>
  <c r="M33" i="5" s="1"/>
  <c r="L30" i="5"/>
  <c r="L33" i="5" s="1"/>
  <c r="K30" i="5"/>
  <c r="K33" i="5" s="1"/>
  <c r="J30" i="5"/>
  <c r="J33" i="5" s="1"/>
  <c r="I30" i="5"/>
  <c r="I33" i="5" s="1"/>
  <c r="H30" i="5"/>
  <c r="H33" i="5" s="1"/>
  <c r="G30" i="5"/>
  <c r="F30" i="5"/>
  <c r="E30" i="5"/>
  <c r="D30" i="5"/>
  <c r="D33" i="5" s="1"/>
  <c r="C30" i="5"/>
  <c r="C33" i="5" s="1"/>
  <c r="B30" i="5"/>
  <c r="M27" i="5"/>
  <c r="L27" i="5"/>
  <c r="K27" i="5"/>
  <c r="J27" i="5"/>
  <c r="I27" i="5"/>
  <c r="H27" i="5"/>
  <c r="G27" i="5"/>
  <c r="F27" i="5"/>
  <c r="E27" i="5"/>
  <c r="D27" i="5"/>
  <c r="C27" i="5"/>
  <c r="B26" i="5"/>
  <c r="N26" i="5" s="1"/>
  <c r="B25" i="5"/>
  <c r="B27" i="5" s="1"/>
  <c r="N24" i="5"/>
  <c r="B24" i="5"/>
  <c r="M21" i="5"/>
  <c r="L21" i="5"/>
  <c r="K21" i="5"/>
  <c r="J21" i="5"/>
  <c r="I21" i="5"/>
  <c r="H21" i="5"/>
  <c r="G21" i="5"/>
  <c r="F21" i="5"/>
  <c r="E21" i="5"/>
  <c r="D21" i="5"/>
  <c r="C21" i="5"/>
  <c r="B20" i="5"/>
  <c r="N20" i="5" s="1"/>
  <c r="B19" i="5"/>
  <c r="N19" i="5" s="1"/>
  <c r="N21" i="5" s="1"/>
  <c r="K16" i="5"/>
  <c r="J16" i="5"/>
  <c r="I16" i="5"/>
  <c r="M15" i="5"/>
  <c r="L15" i="5"/>
  <c r="K15" i="5"/>
  <c r="J15" i="5"/>
  <c r="I15" i="5"/>
  <c r="H15" i="5"/>
  <c r="G15" i="5"/>
  <c r="G16" i="5" s="1"/>
  <c r="F15" i="5"/>
  <c r="E15" i="5"/>
  <c r="D15" i="5"/>
  <c r="D16" i="5" s="1"/>
  <c r="C15" i="5"/>
  <c r="C16" i="5" s="1"/>
  <c r="B15" i="5"/>
  <c r="B16" i="5" s="1"/>
  <c r="M14" i="5"/>
  <c r="M16" i="5" s="1"/>
  <c r="L14" i="5"/>
  <c r="N14" i="5" s="1"/>
  <c r="K14" i="5"/>
  <c r="J14" i="5"/>
  <c r="I14" i="5"/>
  <c r="H14" i="5"/>
  <c r="H16" i="5" s="1"/>
  <c r="G14" i="5"/>
  <c r="F14" i="5"/>
  <c r="F16" i="5" s="1"/>
  <c r="E14" i="5"/>
  <c r="E16" i="5" s="1"/>
  <c r="D14" i="5"/>
  <c r="C14" i="5"/>
  <c r="B14" i="5"/>
  <c r="L11" i="5"/>
  <c r="B11" i="5"/>
  <c r="N10" i="5"/>
  <c r="M10" i="5"/>
  <c r="M11" i="5" s="1"/>
  <c r="L10" i="5"/>
  <c r="K10" i="5"/>
  <c r="J10" i="5"/>
  <c r="I10" i="5"/>
  <c r="H10" i="5"/>
  <c r="G10" i="5"/>
  <c r="F10" i="5"/>
  <c r="E10" i="5"/>
  <c r="D10" i="5"/>
  <c r="C10" i="5"/>
  <c r="B10" i="5"/>
  <c r="M9" i="5"/>
  <c r="L9" i="5"/>
  <c r="K9" i="5"/>
  <c r="K11" i="5" s="1"/>
  <c r="J9" i="5"/>
  <c r="J11" i="5" s="1"/>
  <c r="I9" i="5"/>
  <c r="I11" i="5" s="1"/>
  <c r="H9" i="5"/>
  <c r="H11" i="5" s="1"/>
  <c r="G9" i="5"/>
  <c r="G11" i="5" s="1"/>
  <c r="F9" i="5"/>
  <c r="F11" i="5" s="1"/>
  <c r="E9" i="5"/>
  <c r="E11" i="5" s="1"/>
  <c r="D9" i="5"/>
  <c r="D11" i="5" s="1"/>
  <c r="C9" i="5"/>
  <c r="C11" i="5" s="1"/>
  <c r="B9" i="5"/>
  <c r="N9" i="5" s="1"/>
  <c r="N11" i="5" s="1"/>
  <c r="M5" i="5"/>
  <c r="M6" i="5" s="1"/>
  <c r="L5" i="5"/>
  <c r="K5" i="5"/>
  <c r="K6" i="5" s="1"/>
  <c r="J5" i="5"/>
  <c r="J6" i="5" s="1"/>
  <c r="I5" i="5"/>
  <c r="I6" i="5" s="1"/>
  <c r="H5" i="5"/>
  <c r="G5" i="5"/>
  <c r="F5" i="5"/>
  <c r="E5" i="5"/>
  <c r="D5" i="5"/>
  <c r="N5" i="5" s="1"/>
  <c r="C5" i="5"/>
  <c r="B5" i="5"/>
  <c r="C4" i="5"/>
  <c r="B4" i="5"/>
  <c r="N4" i="5" s="1"/>
  <c r="M3" i="5"/>
  <c r="L3" i="5"/>
  <c r="L6" i="5" s="1"/>
  <c r="K3" i="5"/>
  <c r="J3" i="5"/>
  <c r="I3" i="5"/>
  <c r="H3" i="5"/>
  <c r="H6" i="5" s="1"/>
  <c r="G3" i="5"/>
  <c r="G6" i="5" s="1"/>
  <c r="F3" i="5"/>
  <c r="F6" i="5" s="1"/>
  <c r="E3" i="5"/>
  <c r="E6" i="5" s="1"/>
  <c r="D3" i="5"/>
  <c r="D6" i="5" s="1"/>
  <c r="C3" i="5"/>
  <c r="C6" i="5" s="1"/>
  <c r="B3" i="5"/>
  <c r="N3" i="5" s="1"/>
  <c r="O110" i="4"/>
  <c r="O109" i="4"/>
  <c r="M109" i="4"/>
  <c r="L109" i="4"/>
  <c r="K109" i="4"/>
  <c r="J109" i="4"/>
  <c r="I109" i="4"/>
  <c r="H109" i="4"/>
  <c r="G109" i="4"/>
  <c r="F109" i="4"/>
  <c r="E109" i="4"/>
  <c r="D109" i="4"/>
  <c r="C109" i="4"/>
  <c r="B109" i="4"/>
  <c r="O108" i="4"/>
  <c r="N108" i="4"/>
  <c r="O107" i="4"/>
  <c r="N107" i="4"/>
  <c r="O106" i="4"/>
  <c r="N106" i="4"/>
  <c r="O105" i="4"/>
  <c r="N105" i="4"/>
  <c r="O104" i="4"/>
  <c r="N104" i="4"/>
  <c r="O103" i="4"/>
  <c r="N103" i="4"/>
  <c r="N109" i="4" s="1"/>
  <c r="D19" i="11" s="1"/>
  <c r="O102" i="4"/>
  <c r="N102" i="4"/>
  <c r="O101" i="4"/>
  <c r="N101" i="4"/>
  <c r="N100" i="4"/>
  <c r="O97" i="4"/>
  <c r="M97" i="4"/>
  <c r="L97" i="4"/>
  <c r="K97" i="4"/>
  <c r="J97" i="4"/>
  <c r="I97" i="4"/>
  <c r="H97" i="4"/>
  <c r="G97" i="4"/>
  <c r="F97" i="4"/>
  <c r="E97" i="4"/>
  <c r="D97" i="4"/>
  <c r="C97" i="4"/>
  <c r="B97" i="4"/>
  <c r="O98" i="4" s="1"/>
  <c r="O96" i="4"/>
  <c r="N96" i="4"/>
  <c r="O95" i="4"/>
  <c r="N95" i="4"/>
  <c r="O94" i="4"/>
  <c r="N94" i="4"/>
  <c r="O93" i="4"/>
  <c r="N93" i="4"/>
  <c r="O92" i="4"/>
  <c r="N92" i="4"/>
  <c r="O91" i="4"/>
  <c r="N91" i="4"/>
  <c r="O90" i="4"/>
  <c r="N90" i="4"/>
  <c r="N89" i="4"/>
  <c r="N97" i="4" s="1"/>
  <c r="D18" i="11" s="1"/>
  <c r="O86" i="4"/>
  <c r="M86" i="4"/>
  <c r="L86" i="4"/>
  <c r="K86" i="4"/>
  <c r="J86" i="4"/>
  <c r="I86" i="4"/>
  <c r="H86" i="4"/>
  <c r="G86" i="4"/>
  <c r="F86" i="4"/>
  <c r="E86" i="4"/>
  <c r="D86" i="4"/>
  <c r="C86" i="4"/>
  <c r="O87" i="4" s="1"/>
  <c r="B86" i="4"/>
  <c r="O85" i="4"/>
  <c r="N85" i="4"/>
  <c r="O84" i="4"/>
  <c r="N84" i="4"/>
  <c r="O83" i="4"/>
  <c r="N83" i="4"/>
  <c r="O82" i="4"/>
  <c r="N82" i="4"/>
  <c r="N86" i="4" s="1"/>
  <c r="D17" i="11" s="1"/>
  <c r="M79" i="4"/>
  <c r="L79" i="4"/>
  <c r="K79" i="4"/>
  <c r="J79" i="4"/>
  <c r="I79" i="4"/>
  <c r="H79" i="4"/>
  <c r="G79" i="4"/>
  <c r="F79" i="4"/>
  <c r="E79" i="4"/>
  <c r="D79" i="4"/>
  <c r="C79" i="4"/>
  <c r="B79" i="4"/>
  <c r="O78" i="4"/>
  <c r="N78" i="4"/>
  <c r="O77" i="4"/>
  <c r="N77" i="4"/>
  <c r="O76" i="4"/>
  <c r="N76" i="4"/>
  <c r="O75" i="4"/>
  <c r="N75" i="4"/>
  <c r="B75" i="4"/>
  <c r="B75" i="5" s="1"/>
  <c r="N75" i="5" s="1"/>
  <c r="O74" i="4"/>
  <c r="N74" i="4"/>
  <c r="O73" i="4"/>
  <c r="N73" i="4"/>
  <c r="O72" i="4"/>
  <c r="N72" i="4"/>
  <c r="O71" i="4"/>
  <c r="N71" i="4"/>
  <c r="O70" i="4"/>
  <c r="N70" i="4"/>
  <c r="O69" i="4"/>
  <c r="N69" i="4"/>
  <c r="O68" i="4"/>
  <c r="N68" i="4"/>
  <c r="N79" i="4" s="1"/>
  <c r="D16" i="11" s="1"/>
  <c r="M65" i="4"/>
  <c r="L65" i="4"/>
  <c r="K65" i="4"/>
  <c r="J65" i="4"/>
  <c r="I65" i="4"/>
  <c r="H65" i="4"/>
  <c r="G65" i="4"/>
  <c r="F65" i="4"/>
  <c r="E65" i="4"/>
  <c r="D65" i="4"/>
  <c r="C65" i="4"/>
  <c r="O64" i="4"/>
  <c r="N64" i="4"/>
  <c r="N63" i="4"/>
  <c r="O63" i="4" s="1"/>
  <c r="N62" i="4"/>
  <c r="O62" i="4" s="1"/>
  <c r="N61" i="4"/>
  <c r="O61" i="4" s="1"/>
  <c r="N60" i="4"/>
  <c r="O60" i="4" s="1"/>
  <c r="N59" i="4"/>
  <c r="O59" i="4" s="1"/>
  <c r="B59" i="4"/>
  <c r="B65" i="4" s="1"/>
  <c r="N58" i="4"/>
  <c r="O58" i="4" s="1"/>
  <c r="M55" i="4"/>
  <c r="L55" i="4"/>
  <c r="K55" i="4"/>
  <c r="J55" i="4"/>
  <c r="I55" i="4"/>
  <c r="H55" i="4"/>
  <c r="G55" i="4"/>
  <c r="F55" i="4"/>
  <c r="E55" i="4"/>
  <c r="D55" i="4"/>
  <c r="C55" i="4"/>
  <c r="B55" i="4"/>
  <c r="N54" i="4"/>
  <c r="O54" i="4" s="1"/>
  <c r="N53" i="4"/>
  <c r="O53" i="4" s="1"/>
  <c r="N52" i="4"/>
  <c r="O52" i="4" s="1"/>
  <c r="O51" i="4"/>
  <c r="N51" i="4"/>
  <c r="N50" i="4"/>
  <c r="O50" i="4" s="1"/>
  <c r="M47" i="4"/>
  <c r="L47" i="4"/>
  <c r="K47" i="4"/>
  <c r="J47" i="4"/>
  <c r="I47" i="4"/>
  <c r="H47" i="4"/>
  <c r="G47" i="4"/>
  <c r="F47" i="4"/>
  <c r="E47" i="4"/>
  <c r="D47" i="4"/>
  <c r="C47" i="4"/>
  <c r="O46" i="4"/>
  <c r="N46" i="4"/>
  <c r="B45" i="4"/>
  <c r="B45" i="5" s="1"/>
  <c r="N45" i="5" s="1"/>
  <c r="O44" i="4"/>
  <c r="N44" i="4"/>
  <c r="M41" i="4"/>
  <c r="L41" i="4"/>
  <c r="K41" i="4"/>
  <c r="J41" i="4"/>
  <c r="I41" i="4"/>
  <c r="H41" i="4"/>
  <c r="G41" i="4"/>
  <c r="F41" i="4"/>
  <c r="E41" i="4"/>
  <c r="D41" i="4"/>
  <c r="C41" i="4"/>
  <c r="O40" i="4"/>
  <c r="N40" i="4"/>
  <c r="O39" i="4"/>
  <c r="N39" i="4"/>
  <c r="O38" i="4"/>
  <c r="N38" i="4"/>
  <c r="O37" i="4"/>
  <c r="N37" i="4"/>
  <c r="O36" i="4"/>
  <c r="N36" i="4"/>
  <c r="N41" i="4" s="1"/>
  <c r="D12" i="11" s="1"/>
  <c r="B36" i="4"/>
  <c r="B36" i="5" s="1"/>
  <c r="M33" i="4"/>
  <c r="L33" i="4"/>
  <c r="K33" i="4"/>
  <c r="J33" i="4"/>
  <c r="I33" i="4"/>
  <c r="H33" i="4"/>
  <c r="G33" i="4"/>
  <c r="F33" i="4"/>
  <c r="E33" i="4"/>
  <c r="D33" i="4"/>
  <c r="C33" i="4"/>
  <c r="B32" i="4"/>
  <c r="O32" i="4" s="1"/>
  <c r="O31" i="4"/>
  <c r="N31" i="4"/>
  <c r="O30" i="4"/>
  <c r="N30" i="4"/>
  <c r="O27" i="4"/>
  <c r="N27" i="4"/>
  <c r="D10" i="11" s="1"/>
  <c r="M27" i="4"/>
  <c r="L27" i="4"/>
  <c r="K27" i="4"/>
  <c r="J27" i="4"/>
  <c r="I27" i="4"/>
  <c r="H27" i="4"/>
  <c r="G27" i="4"/>
  <c r="F27" i="4"/>
  <c r="E27" i="4"/>
  <c r="D27" i="4"/>
  <c r="C27" i="4"/>
  <c r="B27" i="4"/>
  <c r="N26" i="4"/>
  <c r="N25" i="4"/>
  <c r="O24" i="4"/>
  <c r="N24" i="4"/>
  <c r="N21" i="4"/>
  <c r="M21" i="4"/>
  <c r="L21" i="4"/>
  <c r="K21" i="4"/>
  <c r="J21" i="4"/>
  <c r="I21" i="4"/>
  <c r="H21" i="4"/>
  <c r="O21" i="4" s="1"/>
  <c r="G21" i="4"/>
  <c r="F21" i="4"/>
  <c r="E21" i="4"/>
  <c r="D21" i="4"/>
  <c r="C21" i="4"/>
  <c r="B21" i="4"/>
  <c r="O20" i="4"/>
  <c r="N20" i="4"/>
  <c r="O19" i="4"/>
  <c r="N19" i="4"/>
  <c r="N16" i="4"/>
  <c r="D8" i="11" s="1"/>
  <c r="M16" i="4"/>
  <c r="L16" i="4"/>
  <c r="K16" i="4"/>
  <c r="K112" i="4" s="1"/>
  <c r="K114" i="5" s="1"/>
  <c r="J16" i="4"/>
  <c r="J112" i="4" s="1"/>
  <c r="J114" i="5" s="1"/>
  <c r="I16" i="4"/>
  <c r="H16" i="4"/>
  <c r="H112" i="4" s="1"/>
  <c r="H114" i="5" s="1"/>
  <c r="G16" i="4"/>
  <c r="G112" i="4" s="1"/>
  <c r="G114" i="5" s="1"/>
  <c r="F16" i="4"/>
  <c r="F112" i="4" s="1"/>
  <c r="F114" i="5" s="1"/>
  <c r="E16" i="4"/>
  <c r="E112" i="4" s="1"/>
  <c r="E114" i="5" s="1"/>
  <c r="D16" i="4"/>
  <c r="D112" i="4" s="1"/>
  <c r="D114" i="5" s="1"/>
  <c r="C16" i="4"/>
  <c r="C112" i="4" s="1"/>
  <c r="C114" i="5" s="1"/>
  <c r="B16" i="4"/>
  <c r="O16" i="4" s="1"/>
  <c r="O15" i="4"/>
  <c r="N15" i="4"/>
  <c r="O14" i="4"/>
  <c r="N14" i="4"/>
  <c r="M11" i="4"/>
  <c r="L11" i="4"/>
  <c r="K11" i="4"/>
  <c r="J11" i="4"/>
  <c r="I11" i="4"/>
  <c r="H11" i="4"/>
  <c r="G11" i="4"/>
  <c r="F11" i="4"/>
  <c r="E11" i="4"/>
  <c r="D11" i="4"/>
  <c r="C11" i="4"/>
  <c r="B11" i="4"/>
  <c r="O11" i="4" s="1"/>
  <c r="O10" i="4"/>
  <c r="N10" i="4"/>
  <c r="O9" i="4"/>
  <c r="N9" i="4"/>
  <c r="N11" i="4" s="1"/>
  <c r="D7" i="11" s="1"/>
  <c r="N6" i="4"/>
  <c r="M6" i="4"/>
  <c r="M112" i="4" s="1"/>
  <c r="M114" i="5" s="1"/>
  <c r="L6" i="4"/>
  <c r="L112" i="4" s="1"/>
  <c r="L114" i="5" s="1"/>
  <c r="K6" i="4"/>
  <c r="J6" i="4"/>
  <c r="I6" i="4"/>
  <c r="I112" i="4" s="1"/>
  <c r="I114" i="5" s="1"/>
  <c r="H6" i="4"/>
  <c r="G6" i="4"/>
  <c r="F6" i="4"/>
  <c r="E6" i="4"/>
  <c r="D6" i="4"/>
  <c r="C6" i="4"/>
  <c r="B6" i="4"/>
  <c r="O5" i="4"/>
  <c r="N5" i="4"/>
  <c r="O4" i="4"/>
  <c r="O3" i="4"/>
  <c r="N3" i="4"/>
  <c r="N109" i="3"/>
  <c r="C19" i="11" s="1"/>
  <c r="E19" i="11" s="1"/>
  <c r="F19" i="11" s="1"/>
  <c r="M109" i="3"/>
  <c r="L109" i="3"/>
  <c r="K109" i="3"/>
  <c r="J109" i="3"/>
  <c r="I109" i="3"/>
  <c r="H109" i="3"/>
  <c r="G109" i="3"/>
  <c r="F109" i="3"/>
  <c r="E109" i="3"/>
  <c r="D109" i="3"/>
  <c r="C109" i="3"/>
  <c r="B109" i="3"/>
  <c r="N108" i="3"/>
  <c r="N107" i="3"/>
  <c r="N106" i="3"/>
  <c r="N105" i="3"/>
  <c r="N104" i="3"/>
  <c r="N103" i="3"/>
  <c r="N102" i="3"/>
  <c r="N101" i="3"/>
  <c r="N100" i="3"/>
  <c r="N97" i="3"/>
  <c r="C18" i="11" s="1"/>
  <c r="M97" i="3"/>
  <c r="L97" i="3"/>
  <c r="K97" i="3"/>
  <c r="J97" i="3"/>
  <c r="I97" i="3"/>
  <c r="H97" i="3"/>
  <c r="G97" i="3"/>
  <c r="F97" i="3"/>
  <c r="E97" i="3"/>
  <c r="D97" i="3"/>
  <c r="C97" i="3"/>
  <c r="B97" i="3"/>
  <c r="N96" i="3"/>
  <c r="N95" i="3"/>
  <c r="N94" i="3"/>
  <c r="N93" i="3"/>
  <c r="N92" i="3"/>
  <c r="N91" i="3"/>
  <c r="N90" i="3"/>
  <c r="N89" i="3"/>
  <c r="N86" i="3"/>
  <c r="M86" i="3"/>
  <c r="L86" i="3"/>
  <c r="K86" i="3"/>
  <c r="J86" i="3"/>
  <c r="I86" i="3"/>
  <c r="H86" i="3"/>
  <c r="G86" i="3"/>
  <c r="F86" i="3"/>
  <c r="E86" i="3"/>
  <c r="D86" i="3"/>
  <c r="C86" i="3"/>
  <c r="B86" i="3"/>
  <c r="N85" i="3"/>
  <c r="N84" i="3"/>
  <c r="N83" i="3"/>
  <c r="N82" i="3"/>
  <c r="M79" i="3"/>
  <c r="L79" i="3"/>
  <c r="K79" i="3"/>
  <c r="J79" i="3"/>
  <c r="I79" i="3"/>
  <c r="H79" i="3"/>
  <c r="G79" i="3"/>
  <c r="F79" i="3"/>
  <c r="E79" i="3"/>
  <c r="D79" i="3"/>
  <c r="C79" i="3"/>
  <c r="B79" i="3"/>
  <c r="N78" i="3"/>
  <c r="N77" i="3"/>
  <c r="N76" i="3"/>
  <c r="N75" i="3"/>
  <c r="N74" i="3"/>
  <c r="N73" i="3"/>
  <c r="N72" i="3"/>
  <c r="N79" i="3" s="1"/>
  <c r="C16" i="11" s="1"/>
  <c r="N71" i="3"/>
  <c r="N70" i="3"/>
  <c r="N69" i="3"/>
  <c r="N68" i="3"/>
  <c r="M65" i="3"/>
  <c r="L65" i="3"/>
  <c r="K65" i="3"/>
  <c r="J65" i="3"/>
  <c r="I65" i="3"/>
  <c r="H65" i="3"/>
  <c r="G65" i="3"/>
  <c r="F65" i="3"/>
  <c r="E65" i="3"/>
  <c r="D65" i="3"/>
  <c r="C65" i="3"/>
  <c r="B65" i="3"/>
  <c r="N64" i="3"/>
  <c r="N63" i="3"/>
  <c r="N62" i="3"/>
  <c r="N61" i="3"/>
  <c r="N60" i="3"/>
  <c r="N59" i="3"/>
  <c r="N58" i="3"/>
  <c r="N65" i="3" s="1"/>
  <c r="C15" i="11" s="1"/>
  <c r="M55" i="3"/>
  <c r="L55" i="3"/>
  <c r="K55" i="3"/>
  <c r="J55" i="3"/>
  <c r="I55" i="3"/>
  <c r="H55" i="3"/>
  <c r="G55" i="3"/>
  <c r="F55" i="3"/>
  <c r="E55" i="3"/>
  <c r="D55" i="3"/>
  <c r="C55" i="3"/>
  <c r="B55" i="3"/>
  <c r="N54" i="3"/>
  <c r="N53" i="3"/>
  <c r="N52" i="3"/>
  <c r="N51" i="3"/>
  <c r="N50" i="3"/>
  <c r="N55" i="3" s="1"/>
  <c r="C14" i="11" s="1"/>
  <c r="N47" i="3"/>
  <c r="C13" i="11" s="1"/>
  <c r="M47" i="3"/>
  <c r="L47" i="3"/>
  <c r="K47" i="3"/>
  <c r="J47" i="3"/>
  <c r="I47" i="3"/>
  <c r="H47" i="3"/>
  <c r="G47" i="3"/>
  <c r="F47" i="3"/>
  <c r="E47" i="3"/>
  <c r="D47" i="3"/>
  <c r="C47" i="3"/>
  <c r="B47" i="3"/>
  <c r="N46" i="3"/>
  <c r="N45" i="3"/>
  <c r="N44" i="3"/>
  <c r="M41" i="3"/>
  <c r="L41" i="3"/>
  <c r="K41" i="3"/>
  <c r="J41" i="3"/>
  <c r="I41" i="3"/>
  <c r="H41" i="3"/>
  <c r="G41" i="3"/>
  <c r="F41" i="3"/>
  <c r="E41" i="3"/>
  <c r="D41" i="3"/>
  <c r="C41" i="3"/>
  <c r="B41" i="3"/>
  <c r="N40" i="3"/>
  <c r="N41" i="3" s="1"/>
  <c r="C12" i="11" s="1"/>
  <c r="N39" i="3"/>
  <c r="N38" i="3"/>
  <c r="N37" i="3"/>
  <c r="N36" i="3"/>
  <c r="M33" i="3"/>
  <c r="L33" i="3"/>
  <c r="K33" i="3"/>
  <c r="J33" i="3"/>
  <c r="I33" i="3"/>
  <c r="H33" i="3"/>
  <c r="G33" i="3"/>
  <c r="F33" i="3"/>
  <c r="E33" i="3"/>
  <c r="D33" i="3"/>
  <c r="C33" i="3"/>
  <c r="B33" i="3"/>
  <c r="N32" i="3"/>
  <c r="N31" i="3"/>
  <c r="N30" i="3"/>
  <c r="N33" i="3" s="1"/>
  <c r="N27" i="3"/>
  <c r="C10" i="11" s="1"/>
  <c r="M27" i="3"/>
  <c r="L27" i="3"/>
  <c r="K27" i="3"/>
  <c r="J27" i="3"/>
  <c r="I27" i="3"/>
  <c r="H27" i="3"/>
  <c r="G27" i="3"/>
  <c r="F27" i="3"/>
  <c r="E27" i="3"/>
  <c r="D27" i="3"/>
  <c r="C27" i="3"/>
  <c r="B27" i="3"/>
  <c r="N26" i="3"/>
  <c r="N25" i="3"/>
  <c r="N24" i="3"/>
  <c r="M21" i="3"/>
  <c r="L21" i="3"/>
  <c r="K21" i="3"/>
  <c r="J21" i="3"/>
  <c r="I21" i="3"/>
  <c r="H21" i="3"/>
  <c r="G21" i="3"/>
  <c r="F21" i="3"/>
  <c r="E21" i="3"/>
  <c r="D21" i="3"/>
  <c r="C21" i="3"/>
  <c r="B21" i="3"/>
  <c r="N20" i="3"/>
  <c r="N19" i="3"/>
  <c r="N21" i="3" s="1"/>
  <c r="M16" i="3"/>
  <c r="L16" i="3"/>
  <c r="K16" i="3"/>
  <c r="J16" i="3"/>
  <c r="I16" i="3"/>
  <c r="H16" i="3"/>
  <c r="G16" i="3"/>
  <c r="F16" i="3"/>
  <c r="E16" i="3"/>
  <c r="D16" i="3"/>
  <c r="C16" i="3"/>
  <c r="B16" i="3"/>
  <c r="N15" i="3"/>
  <c r="N14" i="3"/>
  <c r="N16" i="3" s="1"/>
  <c r="C8" i="11" s="1"/>
  <c r="E8" i="11" s="1"/>
  <c r="F8" i="11" s="1"/>
  <c r="N11" i="3"/>
  <c r="C7" i="11" s="1"/>
  <c r="M11" i="3"/>
  <c r="M112" i="3" s="1"/>
  <c r="L11" i="3"/>
  <c r="L112" i="3" s="1"/>
  <c r="K11" i="3"/>
  <c r="K112" i="3" s="1"/>
  <c r="J11" i="3"/>
  <c r="I11" i="3"/>
  <c r="H11" i="3"/>
  <c r="G11" i="3"/>
  <c r="F11" i="3"/>
  <c r="E11" i="3"/>
  <c r="D11" i="3"/>
  <c r="C11" i="3"/>
  <c r="B11" i="3"/>
  <c r="N10" i="3"/>
  <c r="N9" i="3"/>
  <c r="M6" i="3"/>
  <c r="L6" i="3"/>
  <c r="K6" i="3"/>
  <c r="J6" i="3"/>
  <c r="J112" i="3" s="1"/>
  <c r="I6" i="3"/>
  <c r="I112" i="3" s="1"/>
  <c r="H6" i="3"/>
  <c r="H112" i="3" s="1"/>
  <c r="G6" i="3"/>
  <c r="G112" i="3" s="1"/>
  <c r="F6" i="3"/>
  <c r="F112" i="3" s="1"/>
  <c r="E6" i="3"/>
  <c r="E112" i="3" s="1"/>
  <c r="D6" i="3"/>
  <c r="D112" i="3" s="1"/>
  <c r="C6" i="3"/>
  <c r="C112" i="3" s="1"/>
  <c r="B6" i="3"/>
  <c r="B112" i="3" s="1"/>
  <c r="N5" i="3"/>
  <c r="N4" i="3"/>
  <c r="N6" i="3" s="1"/>
  <c r="N3" i="3"/>
  <c r="B41" i="5" l="1"/>
  <c r="N36" i="5"/>
  <c r="N41" i="5" s="1"/>
  <c r="E16" i="11"/>
  <c r="F16" i="11" s="1"/>
  <c r="O14" i="6"/>
  <c r="N112" i="3"/>
  <c r="C20" i="11" s="1"/>
  <c r="C6" i="11"/>
  <c r="E6" i="11" s="1"/>
  <c r="F6" i="11" s="1"/>
  <c r="N86" i="5"/>
  <c r="E113" i="3"/>
  <c r="D113" i="3"/>
  <c r="C113" i="3"/>
  <c r="B113" i="3"/>
  <c r="M113" i="3"/>
  <c r="J113" i="3"/>
  <c r="G113" i="3"/>
  <c r="L113" i="3"/>
  <c r="K113" i="3"/>
  <c r="H113" i="3"/>
  <c r="I113" i="3"/>
  <c r="F113" i="3"/>
  <c r="L14" i="6"/>
  <c r="O4" i="6"/>
  <c r="E10" i="11"/>
  <c r="F10" i="11" s="1"/>
  <c r="N97" i="5"/>
  <c r="E7" i="11"/>
  <c r="F7" i="11" s="1"/>
  <c r="E12" i="11"/>
  <c r="F12" i="11" s="1"/>
  <c r="E18" i="11"/>
  <c r="F18" i="11" s="1"/>
  <c r="N6" i="5"/>
  <c r="E17" i="11"/>
  <c r="F17" i="11" s="1"/>
  <c r="N60" i="5"/>
  <c r="B47" i="4"/>
  <c r="O47" i="4" s="1"/>
  <c r="N51" i="5"/>
  <c r="N55" i="5" s="1"/>
  <c r="B33" i="4"/>
  <c r="O33" i="4" s="1"/>
  <c r="B21" i="5"/>
  <c r="N68" i="5"/>
  <c r="N79" i="5" s="1"/>
  <c r="B41" i="4"/>
  <c r="O41" i="4" s="1"/>
  <c r="B6" i="5"/>
  <c r="B97" i="5"/>
  <c r="N30" i="5"/>
  <c r="O2" i="7"/>
  <c r="L16" i="5"/>
  <c r="N73" i="5"/>
  <c r="K14" i="6"/>
  <c r="N77" i="5"/>
  <c r="N107" i="5"/>
  <c r="N100" i="5"/>
  <c r="N109" i="5" s="1"/>
  <c r="D6" i="11"/>
  <c r="N59" i="5"/>
  <c r="N25" i="5"/>
  <c r="N27" i="5" s="1"/>
  <c r="N58" i="5"/>
  <c r="B86" i="5"/>
  <c r="N15" i="5"/>
  <c r="N16" i="5" s="1"/>
  <c r="N44" i="5"/>
  <c r="N47" i="5" s="1"/>
  <c r="N45" i="4"/>
  <c r="N47" i="4" s="1"/>
  <c r="D13" i="11" s="1"/>
  <c r="E13" i="11" s="1"/>
  <c r="F13" i="11" s="1"/>
  <c r="O45" i="4"/>
  <c r="J109" i="5"/>
  <c r="N32" i="4"/>
  <c r="N33" i="4" s="1"/>
  <c r="N112" i="4" s="1"/>
  <c r="N65" i="4"/>
  <c r="L109" i="5"/>
  <c r="N55" i="4"/>
  <c r="D14" i="11" s="1"/>
  <c r="E14" i="11" s="1"/>
  <c r="F14" i="11" s="1"/>
  <c r="B32" i="5"/>
  <c r="N32" i="5" s="1"/>
  <c r="N114" i="5" l="1"/>
  <c r="D20" i="11"/>
  <c r="N115" i="5"/>
  <c r="N119" i="5"/>
  <c r="N124" i="5" s="1"/>
  <c r="C21" i="11"/>
  <c r="D15" i="11"/>
  <c r="E15" i="11" s="1"/>
  <c r="F15" i="11" s="1"/>
  <c r="O65" i="4"/>
  <c r="B33" i="5"/>
  <c r="N65" i="5"/>
  <c r="O14" i="7"/>
  <c r="D21" i="11" s="1"/>
  <c r="M119" i="5"/>
  <c r="L119" i="5"/>
  <c r="H119" i="5"/>
  <c r="K119" i="5"/>
  <c r="J119" i="5"/>
  <c r="I119" i="5"/>
  <c r="G119" i="5"/>
  <c r="F119" i="5"/>
  <c r="D119" i="5"/>
  <c r="E119" i="5"/>
  <c r="B119" i="5"/>
  <c r="C119" i="5"/>
  <c r="B112" i="4"/>
  <c r="E20" i="11"/>
  <c r="F20" i="11" s="1"/>
  <c r="O55" i="4"/>
  <c r="N33" i="5"/>
  <c r="B129" i="5" l="1"/>
  <c r="C124" i="5"/>
  <c r="B131" i="5"/>
  <c r="E124" i="5"/>
  <c r="B133" i="5"/>
  <c r="G124" i="5"/>
  <c r="J124" i="5"/>
  <c r="B136" i="5"/>
  <c r="H124" i="5"/>
  <c r="B134" i="5"/>
  <c r="M124" i="5"/>
  <c r="B139" i="5"/>
  <c r="B130" i="5"/>
  <c r="D124" i="5"/>
  <c r="I124" i="5"/>
  <c r="B135" i="5"/>
  <c r="K124" i="5"/>
  <c r="B137" i="5"/>
  <c r="L124" i="5"/>
  <c r="B138" i="5"/>
  <c r="D120" i="5"/>
  <c r="B120" i="5"/>
  <c r="C132" i="5"/>
  <c r="G3" i="9" s="1"/>
  <c r="C131" i="5"/>
  <c r="F3" i="9" s="1"/>
  <c r="C120" i="5"/>
  <c r="M120" i="5"/>
  <c r="H120" i="5"/>
  <c r="I120" i="5"/>
  <c r="C139" i="5"/>
  <c r="N3" i="9" s="1"/>
  <c r="J120" i="5"/>
  <c r="G120" i="5"/>
  <c r="C134" i="5"/>
  <c r="I3" i="9" s="1"/>
  <c r="C138" i="5"/>
  <c r="M3" i="9" s="1"/>
  <c r="L120" i="5"/>
  <c r="K120" i="5"/>
  <c r="C137" i="5"/>
  <c r="L3" i="9" s="1"/>
  <c r="F120" i="5"/>
  <c r="E120" i="5"/>
  <c r="E21" i="11"/>
  <c r="F21" i="11" s="1"/>
  <c r="I113" i="4"/>
  <c r="O113" i="4"/>
  <c r="H113" i="4"/>
  <c r="G113" i="4"/>
  <c r="C113" i="4"/>
  <c r="M113" i="4"/>
  <c r="L113" i="4"/>
  <c r="F113" i="4"/>
  <c r="E113" i="4"/>
  <c r="D113" i="4"/>
  <c r="K113" i="4"/>
  <c r="B113" i="4"/>
  <c r="B114" i="5"/>
  <c r="C136" i="5" s="1"/>
  <c r="K3" i="9" s="1"/>
  <c r="J113" i="4"/>
  <c r="B132" i="5"/>
  <c r="F124" i="5"/>
  <c r="C140" i="5" l="1"/>
  <c r="B124" i="5"/>
  <c r="C129" i="5"/>
  <c r="D3" i="9" s="1"/>
  <c r="C133" i="5"/>
  <c r="H3" i="9" s="1"/>
  <c r="B128" i="5"/>
  <c r="B140" i="5" s="1"/>
  <c r="C128" i="5"/>
  <c r="C3" i="9" s="1"/>
  <c r="C115" i="5"/>
  <c r="B115" i="5"/>
  <c r="K115" i="5"/>
  <c r="H115" i="5"/>
  <c r="G115" i="5"/>
  <c r="F115" i="5"/>
  <c r="I115" i="5"/>
  <c r="E115" i="5"/>
  <c r="L115" i="5"/>
  <c r="D115" i="5"/>
  <c r="M115" i="5"/>
  <c r="J115" i="5"/>
  <c r="C135" i="5"/>
  <c r="J3" i="9" s="1"/>
  <c r="C130" i="5"/>
  <c r="E3" i="9" s="1"/>
  <c r="G125" i="5" l="1"/>
  <c r="F125" i="5"/>
  <c r="H125" i="5"/>
  <c r="D125" i="5"/>
  <c r="L125" i="5"/>
  <c r="I125" i="5"/>
  <c r="C125" i="5"/>
  <c r="B125" i="5"/>
  <c r="M125" i="5"/>
  <c r="E125" i="5"/>
  <c r="K125" i="5"/>
  <c r="J125" i="5"/>
</calcChain>
</file>

<file path=xl/sharedStrings.xml><?xml version="1.0" encoding="utf-8"?>
<sst xmlns="http://schemas.openxmlformats.org/spreadsheetml/2006/main" count="1298" uniqueCount="270">
  <si>
    <t>CATEGORIAS DE DESPESA</t>
  </si>
  <si>
    <t>Alimentação e limpeza</t>
  </si>
  <si>
    <t>Almoço</t>
  </si>
  <si>
    <t xml:space="preserve">Gás </t>
  </si>
  <si>
    <t>Supermercado</t>
  </si>
  <si>
    <t>Caridade e doações</t>
  </si>
  <si>
    <t>Raiane</t>
  </si>
  <si>
    <t>Outros</t>
  </si>
  <si>
    <t>Carro</t>
  </si>
  <si>
    <t>Combustível</t>
  </si>
  <si>
    <t>Manutenção</t>
  </si>
  <si>
    <t>Criaturas de estimação</t>
  </si>
  <si>
    <t>Animais</t>
  </si>
  <si>
    <t>Plantas</t>
  </si>
  <si>
    <t>Cuidados pessoais e formação</t>
  </si>
  <si>
    <t>Academia de ginástica e Strava</t>
  </si>
  <si>
    <t>Serviços (corte de cabelo, etc.)</t>
  </si>
  <si>
    <t>Vestuário e calçados</t>
  </si>
  <si>
    <t>Despesas bancárias</t>
  </si>
  <si>
    <t>IOF</t>
  </si>
  <si>
    <t>Restituição IOF, Global Blue</t>
  </si>
  <si>
    <t>Taxas conta-corrente, juros</t>
  </si>
  <si>
    <t>Despesas médicas</t>
  </si>
  <si>
    <t>Consultas</t>
  </si>
  <si>
    <t>Dentista</t>
  </si>
  <si>
    <t>Exames</t>
  </si>
  <si>
    <t>Remédios</t>
  </si>
  <si>
    <t>Material Permanente e pilhas Widex</t>
  </si>
  <si>
    <t>Eletrônica e informática</t>
  </si>
  <si>
    <t>App Store (Apple) e Samsung Store</t>
  </si>
  <si>
    <t>Artigos eletrônicos</t>
  </si>
  <si>
    <t>Programas computacionais</t>
  </si>
  <si>
    <t>Samsung store</t>
  </si>
  <si>
    <t>Impostos</t>
  </si>
  <si>
    <t>IPTU</t>
  </si>
  <si>
    <t>IPVA</t>
  </si>
  <si>
    <t>IRPF</t>
  </si>
  <si>
    <t>DPVAT</t>
  </si>
  <si>
    <t>Licenciamento carro</t>
  </si>
  <si>
    <t>Lazer e compras</t>
  </si>
  <si>
    <t>Amazon Prime</t>
  </si>
  <si>
    <t>Artigos de cozinha, de decoração e eletrodomésticos</t>
  </si>
  <si>
    <t>Artigos esportivos, de viagem e outros</t>
  </si>
  <si>
    <t>Livros e papelaria</t>
  </si>
  <si>
    <t>Netflix</t>
  </si>
  <si>
    <t>Presentes</t>
  </si>
  <si>
    <t>YouTube Premium</t>
  </si>
  <si>
    <t>Manutenção casa</t>
  </si>
  <si>
    <t>Consertos</t>
  </si>
  <si>
    <t>Eletricista</t>
  </si>
  <si>
    <t>Encanador</t>
  </si>
  <si>
    <t>Engenheiro</t>
  </si>
  <si>
    <t>Equipamentos e instalação elétrica</t>
  </si>
  <si>
    <t>Jardineiro</t>
  </si>
  <si>
    <t>Marceneiro</t>
  </si>
  <si>
    <t>Material de construção e elétrico</t>
  </si>
  <si>
    <t xml:space="preserve">Pedreiro </t>
  </si>
  <si>
    <t>Pintor</t>
  </si>
  <si>
    <t>Serralheiro</t>
  </si>
  <si>
    <t>Seguros</t>
  </si>
  <si>
    <t>American Express</t>
  </si>
  <si>
    <t>Bradesco Saúde</t>
  </si>
  <si>
    <t>CEAM</t>
  </si>
  <si>
    <t>Seguro carro</t>
  </si>
  <si>
    <t>Seguro casa</t>
  </si>
  <si>
    <t>Serviços</t>
  </si>
  <si>
    <t>Água</t>
  </si>
  <si>
    <t>Diarista - assistência médica</t>
  </si>
  <si>
    <t>Diarista - faxina</t>
  </si>
  <si>
    <t>GAPE</t>
  </si>
  <si>
    <t>Internet</t>
  </si>
  <si>
    <t>Luz</t>
  </si>
  <si>
    <t>Telefone VOIP (Skype / Viber)</t>
  </si>
  <si>
    <t>TIM</t>
  </si>
  <si>
    <t>Viagens</t>
  </si>
  <si>
    <t>Cartões de telefonia</t>
  </si>
  <si>
    <t>Hoteis e taxas de turismo</t>
  </si>
  <si>
    <t>Passagens aéreas e reservas de assento</t>
  </si>
  <si>
    <t>Passagens de ônibus, barco, metrô e Uber</t>
  </si>
  <si>
    <t>Passagens de trem e reservas de assento</t>
  </si>
  <si>
    <t>Passeios</t>
  </si>
  <si>
    <t>Restaurantes</t>
  </si>
  <si>
    <t xml:space="preserve">Seguro viagem </t>
  </si>
  <si>
    <t>Supermercados</t>
  </si>
  <si>
    <t>DESPESAS PREVISTAS</t>
  </si>
  <si>
    <t>JANEIRO</t>
  </si>
  <si>
    <t>FEVEREIRO</t>
  </si>
  <si>
    <t>MARCO</t>
  </si>
  <si>
    <t>ABRIL</t>
  </si>
  <si>
    <t>MAIO</t>
  </si>
  <si>
    <t>JUNHO</t>
  </si>
  <si>
    <t>JULHO</t>
  </si>
  <si>
    <t>AGOSTO</t>
  </si>
  <si>
    <t>SETEMBRO</t>
  </si>
  <si>
    <t>OUTUBRO</t>
  </si>
  <si>
    <t>NOVEMBRO</t>
  </si>
  <si>
    <t>DEZEMBRO</t>
  </si>
  <si>
    <t>ANO</t>
  </si>
  <si>
    <t>MEDIA MENSAL</t>
  </si>
  <si>
    <t>JANV</t>
  </si>
  <si>
    <t>FÉVR</t>
  </si>
  <si>
    <t>MARS</t>
  </si>
  <si>
    <t>AVR</t>
  </si>
  <si>
    <t>MAI</t>
  </si>
  <si>
    <t>JUIN</t>
  </si>
  <si>
    <t>JUIL</t>
  </si>
  <si>
    <t>AOÛT</t>
  </si>
  <si>
    <t>SEPT</t>
  </si>
  <si>
    <t>OCT</t>
  </si>
  <si>
    <t>NOV</t>
  </si>
  <si>
    <t>DÉC</t>
  </si>
  <si>
    <t>ANNÉE</t>
  </si>
  <si>
    <t>Gás</t>
  </si>
  <si>
    <t>Sous-total</t>
  </si>
  <si>
    <t>Serviços (corte de cabelo, Duolingo, etc.)</t>
  </si>
  <si>
    <t>Restituição IOF (crédito), Global Blue</t>
  </si>
  <si>
    <t>Taxas conta-corrente</t>
  </si>
  <si>
    <t>Material permanente</t>
  </si>
  <si>
    <t>Material de construção</t>
  </si>
  <si>
    <t>Pedreiro</t>
  </si>
  <si>
    <t>Seguro Carro</t>
  </si>
  <si>
    <t>Seguro Casa</t>
  </si>
  <si>
    <t>Seguro viagem</t>
  </si>
  <si>
    <t>TOTAL das despesas reais</t>
  </si>
  <si>
    <t>Jan</t>
  </si>
  <si>
    <t>Fév</t>
  </si>
  <si>
    <t>Mar</t>
  </si>
  <si>
    <t>Avr</t>
  </si>
  <si>
    <t>Mai</t>
  </si>
  <si>
    <t>Juin</t>
  </si>
  <si>
    <t>Juil</t>
  </si>
  <si>
    <t>Août</t>
  </si>
  <si>
    <t>Sept</t>
  </si>
  <si>
    <t>Oct</t>
  </si>
  <si>
    <t>Nov</t>
  </si>
  <si>
    <t>Déc</t>
  </si>
  <si>
    <t>Année</t>
  </si>
  <si>
    <t>Despesas previstas mensais</t>
  </si>
  <si>
    <t>TOTAL das despesas previstas</t>
  </si>
  <si>
    <t>DESPESAS REAIS</t>
  </si>
  <si>
    <t>Colonne1</t>
  </si>
  <si>
    <t>MOYENNE</t>
  </si>
  <si>
    <t>Material permanente e baterias Widex</t>
  </si>
  <si>
    <t>App Store (Apple) e Samgung Store</t>
  </si>
  <si>
    <t>Lazer e Compras</t>
  </si>
  <si>
    <t>Despesas reais mensais</t>
  </si>
  <si>
    <t>VARIAÇÕES DAS DESPESAS</t>
  </si>
  <si>
    <t>Lazer</t>
  </si>
  <si>
    <t>TOTAL dos ganhos mensais</t>
  </si>
  <si>
    <t>Ganho mensal</t>
  </si>
  <si>
    <t>TOTAL das variações mensais</t>
  </si>
  <si>
    <t>Variação mensal (ganho - despesa)</t>
  </si>
  <si>
    <t>VARIAÇÕES mensais (ganho - despesa)</t>
  </si>
  <si>
    <t xml:space="preserve"> Sem Inflação</t>
  </si>
  <si>
    <t>Com Inflação</t>
  </si>
  <si>
    <t>Jan.</t>
  </si>
  <si>
    <t>Fev.</t>
  </si>
  <si>
    <t>Mar.</t>
  </si>
  <si>
    <t>Abr.</t>
  </si>
  <si>
    <t>Maio</t>
  </si>
  <si>
    <t>Jun.</t>
  </si>
  <si>
    <t>Jul.</t>
  </si>
  <si>
    <t>Ago.</t>
  </si>
  <si>
    <t>Set.</t>
  </si>
  <si>
    <t>Out.</t>
  </si>
  <si>
    <t>Nov.</t>
  </si>
  <si>
    <t>Dez.</t>
  </si>
  <si>
    <t>TOTAL</t>
  </si>
  <si>
    <t>Mês</t>
  </si>
  <si>
    <t>Básico</t>
  </si>
  <si>
    <t>Retribuição por Titulação</t>
  </si>
  <si>
    <t>Saúde Complementar</t>
  </si>
  <si>
    <t>Férias (indeniz.)</t>
  </si>
  <si>
    <t>Gratificação Natalina</t>
  </si>
  <si>
    <t>Bruto</t>
  </si>
  <si>
    <t>PSS</t>
  </si>
  <si>
    <t>IRRF</t>
  </si>
  <si>
    <t>Alim. Férias Grat. Natal., GEMAS</t>
  </si>
  <si>
    <t>Descontos</t>
  </si>
  <si>
    <t>Líquido</t>
  </si>
  <si>
    <t>Rendimentos BTG</t>
  </si>
  <si>
    <t>Outros Ganhos</t>
  </si>
  <si>
    <t>Ganho Total</t>
  </si>
  <si>
    <t>Janeiro</t>
  </si>
  <si>
    <t>Fevereiro</t>
  </si>
  <si>
    <t>Março</t>
  </si>
  <si>
    <t>Abril</t>
  </si>
  <si>
    <t>Junho</t>
  </si>
  <si>
    <t>Julho</t>
  </si>
  <si>
    <t>Agosto</t>
  </si>
  <si>
    <t>Setembro</t>
  </si>
  <si>
    <t>Outubro</t>
  </si>
  <si>
    <t>Novembro</t>
  </si>
  <si>
    <t>Dezembro</t>
  </si>
  <si>
    <t>Total</t>
  </si>
  <si>
    <t>Última atualização:</t>
  </si>
  <si>
    <t>Saúde Suplementar</t>
  </si>
  <si>
    <t>PARÂMETRO</t>
  </si>
  <si>
    <t>DATA</t>
  </si>
  <si>
    <t>VALOR</t>
  </si>
  <si>
    <t>DATA FIM MÊS ANTERIOR</t>
  </si>
  <si>
    <t>DATA CRÍTICA</t>
  </si>
  <si>
    <t>Valor futuro NPER  (fv)</t>
  </si>
  <si>
    <t>FUNCAO</t>
  </si>
  <si>
    <t>DESCRICAO (ARGUMENTO)</t>
  </si>
  <si>
    <t>NPER</t>
  </si>
  <si>
    <t>Rentabilidade mensal média (rate)</t>
  </si>
  <si>
    <t>Variação mensal da despesa (pmt)</t>
  </si>
  <si>
    <t>Patrimônio líquido BTG (pv)</t>
  </si>
  <si>
    <t>Pagamentos no fim do mês (tipo)</t>
  </si>
  <si>
    <t>Número de períodos (meses)</t>
  </si>
  <si>
    <t>313,7</t>
  </si>
  <si>
    <t>96,7</t>
  </si>
  <si>
    <t>Número de períodos (anos)</t>
  </si>
  <si>
    <t>26,1</t>
  </si>
  <si>
    <t>8,1</t>
  </si>
  <si>
    <t>Data de referência</t>
  </si>
  <si>
    <t>Data ao fim dos períodos</t>
  </si>
  <si>
    <t>FV</t>
  </si>
  <si>
    <t>Número total de pagamentos (nper)</t>
  </si>
  <si>
    <t>Valor futuro (fv)</t>
  </si>
  <si>
    <t>Data do valor futuro</t>
  </si>
  <si>
    <t>SLIDER VALUE</t>
  </si>
  <si>
    <t>Controle Deslizante (sliderValue)</t>
  </si>
  <si>
    <t>CRITICAL DATE</t>
  </si>
  <si>
    <t>Data Crítica (DataCritica)</t>
  </si>
  <si>
    <t>workAroundRate</t>
  </si>
  <si>
    <t>valorPmt</t>
  </si>
  <si>
    <t>Case No.</t>
  </si>
  <si>
    <t>Dates</t>
  </si>
  <si>
    <t>Subcase No.</t>
  </si>
  <si>
    <t>Motto</t>
  </si>
  <si>
    <t>Slider Value</t>
  </si>
  <si>
    <t>&lt;= 0</t>
  </si>
  <si>
    <t>DataFimPeriodos &lt; DataCritica</t>
  </si>
  <si>
    <t>1A</t>
  </si>
  <si>
    <t>SCREAM FOR HELP!</t>
  </si>
  <si>
    <t>DataFimPeriodos &gt;= DataCritica</t>
  </si>
  <si>
    <t>1B</t>
  </si>
  <si>
    <t>RELAX FOR A WHILE</t>
  </si>
  <si>
    <t>&gt; 0</t>
  </si>
  <si>
    <t>&lt; 0</t>
  </si>
  <si>
    <t>2</t>
  </si>
  <si>
    <t>patrimonioCheck &lt; 0 AND DataFimPeriodos &lt; DataCritica</t>
  </si>
  <si>
    <t>2AA</t>
  </si>
  <si>
    <t>patrimonioCheck &lt; 0 AND DataFimPeriodos &gt;= DataCritica</t>
  </si>
  <si>
    <t>2AB</t>
  </si>
  <si>
    <t>3</t>
  </si>
  <si>
    <t>3AA</t>
  </si>
  <si>
    <t>3AB</t>
  </si>
  <si>
    <t>&gt;= 0</t>
  </si>
  <si>
    <t>4</t>
  </si>
  <si>
    <t xml:space="preserve">futureValue &lt; trueWealth </t>
  </si>
  <si>
    <t>4AA</t>
  </si>
  <si>
    <t>BAH!</t>
  </si>
  <si>
    <t>futureValue &gt; trueWealth</t>
  </si>
  <si>
    <t>4AB</t>
  </si>
  <si>
    <t>TUDO AZUL!</t>
  </si>
  <si>
    <t>-</t>
  </si>
  <si>
    <t>+</t>
  </si>
  <si>
    <t xml:space="preserve"> </t>
  </si>
  <si>
    <t>Catégorie de dépenses</t>
  </si>
  <si>
    <t>Despesas Previstas</t>
  </si>
  <si>
    <t>Despesas Reais</t>
  </si>
  <si>
    <t>Variação das Despesas</t>
  </si>
  <si>
    <t>Porcentagem de variação</t>
  </si>
  <si>
    <t>TOTAL DESPESAS</t>
  </si>
  <si>
    <t>GANHOS</t>
  </si>
  <si>
    <t>TAXA ANUAL</t>
  </si>
  <si>
    <t>TAXA MENSAL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</si>
</sst>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0_ ;\-#,##0\ "/>
    <numFmt numFmtId="165" formatCode="#,##0.00\ &quot;€&quot;;[Red]\-#,##0.00\ &quot;€&quot;"/>
    <numFmt numFmtId="166" formatCode="\ &quot;R$&quot;#,##0.00"/>
    <numFmt numFmtId="167" formatCode="[$]dd\-mm\-yy;@"/>
    <numFmt numFmtId="168" formatCode="[$]dd/mm/yyyy;@"/>
    <numFmt numFmtId="169" formatCode="&quot;R$&quot;\ #,##0.00"/>
    <numFmt numFmtId="170" formatCode="0.0"/>
    <numFmt numFmtId="171" formatCode="[$-416]dd\-mmm\-yy;@"/>
    <numFmt numFmtId="172" formatCode="[$-416]d\-mmm\-yy;@"/>
  </numFmts>
  <fonts count="58" x14ac:knownFonts="1">
    <font>
      <sz val="9"/>
      <color theme="1" tint="0.24994659260841701"/>
      <name val="Microsoft Sans Serif"/>
      <family val="2"/>
      <scheme val="minor"/>
    </font>
    <font>
      <sz val="11"/>
      <color theme="1"/>
      <name val="Microsoft Sans Serif"/>
      <family val="2"/>
      <scheme val="minor"/>
    </font>
    <font>
      <sz val="14"/>
      <color theme="1"/>
      <name val="Microsoft Sans Serif"/>
      <family val="2"/>
      <scheme val="minor"/>
    </font>
    <font>
      <sz val="10"/>
      <color theme="1"/>
      <name val="Microsoft Sans Serif"/>
      <family val="2"/>
      <scheme val="minor"/>
    </font>
    <font>
      <b/>
      <sz val="10"/>
      <color theme="1"/>
      <name val="Microsoft Sans Serif"/>
      <family val="2"/>
      <scheme val="minor"/>
    </font>
    <font>
      <b/>
      <i/>
      <sz val="10"/>
      <color theme="1"/>
      <name val="Microsoft Sans Serif"/>
      <family val="2"/>
      <scheme val="minor"/>
    </font>
    <font>
      <b/>
      <sz val="22"/>
      <color theme="1" tint="0.24994659260841701"/>
      <name val="Franklin Gothic Book"/>
      <family val="2"/>
      <scheme val="major"/>
    </font>
    <font>
      <sz val="11"/>
      <color theme="1" tint="0.24994659260841701"/>
      <name val="Franklin Gothic Book"/>
      <family val="2"/>
      <scheme val="major"/>
    </font>
    <font>
      <b/>
      <sz val="10"/>
      <color theme="2"/>
      <name val="Franklin Gothic Book"/>
      <family val="2"/>
      <scheme val="major"/>
    </font>
    <font>
      <b/>
      <sz val="36"/>
      <color theme="0"/>
      <name val="Franklin Gothic Book"/>
      <family val="2"/>
      <scheme val="major"/>
    </font>
    <font>
      <sz val="9"/>
      <color theme="1"/>
      <name val="Microsoft Sans Serif"/>
      <family val="2"/>
      <scheme val="minor"/>
    </font>
    <font>
      <b/>
      <sz val="10"/>
      <color theme="0"/>
      <name val="Microsoft Sans Serif"/>
      <family val="2"/>
      <scheme val="minor"/>
    </font>
    <font>
      <b/>
      <sz val="16"/>
      <color theme="0"/>
      <name val="Franklin Gothic Book"/>
      <family val="2"/>
      <scheme val="major"/>
    </font>
    <font>
      <sz val="9"/>
      <color theme="6" tint="0.39997558519241921"/>
      <name val="Microsoft Sans Serif"/>
      <family val="2"/>
      <scheme val="minor"/>
    </font>
    <font>
      <b/>
      <sz val="14"/>
      <color theme="2"/>
      <name val="Franklin Gothic Book"/>
      <family val="2"/>
      <scheme val="major"/>
    </font>
    <font>
      <sz val="14"/>
      <color theme="3"/>
      <name val="Microsoft Sans Serif"/>
      <family val="2"/>
      <scheme val="minor"/>
    </font>
    <font>
      <b/>
      <sz val="14"/>
      <color theme="0"/>
      <name val="Microsoft Sans Serif"/>
      <family val="2"/>
      <scheme val="minor"/>
    </font>
    <font>
      <b/>
      <sz val="10"/>
      <name val="Microsoft Sans Serif"/>
      <family val="2"/>
      <scheme val="minor"/>
    </font>
    <font>
      <b/>
      <sz val="14"/>
      <color theme="3" tint="-0.499984740745262"/>
      <name val="Franklin Gothic Book"/>
      <family val="2"/>
      <scheme val="major"/>
    </font>
    <font>
      <sz val="10"/>
      <color theme="5" tint="0.79998168889431442"/>
      <name val="Microsoft Sans Serif"/>
      <family val="2"/>
      <scheme val="minor"/>
    </font>
    <font>
      <sz val="14"/>
      <color theme="3" tint="-0.249977111117893"/>
      <name val="Microsoft Sans Serif"/>
      <family val="2"/>
      <scheme val="minor"/>
    </font>
    <font>
      <sz val="14"/>
      <color theme="6" tint="0.39997558519241921"/>
      <name val="Microsoft Sans Serif"/>
      <family val="2"/>
      <scheme val="minor"/>
    </font>
    <font>
      <sz val="11"/>
      <color theme="6" tint="0.39997558519241921"/>
      <name val="Calibri"/>
      <family val="2"/>
    </font>
    <font>
      <b/>
      <sz val="16"/>
      <color theme="3"/>
      <name val="Franklin Gothic Book"/>
      <family val="2"/>
      <scheme val="major"/>
    </font>
    <font>
      <sz val="14"/>
      <color theme="0"/>
      <name val="Microsoft Sans Serif"/>
      <family val="2"/>
      <scheme val="minor"/>
    </font>
    <font>
      <b/>
      <sz val="11"/>
      <color theme="0"/>
      <name val="Microsoft Sans Serif"/>
      <family val="2"/>
      <scheme val="minor"/>
    </font>
    <font>
      <b/>
      <sz val="11"/>
      <color theme="1"/>
      <name val="Microsoft Sans Serif"/>
      <family val="2"/>
      <scheme val="minor"/>
    </font>
    <font>
      <b/>
      <sz val="9"/>
      <color theme="1" tint="0.24994659260841701"/>
      <name val="Microsoft Sans Serif"/>
      <family val="2"/>
      <scheme val="minor"/>
    </font>
    <font>
      <b/>
      <sz val="12"/>
      <color theme="0"/>
      <name val="Microsoft Sans Serif"/>
      <family val="2"/>
      <scheme val="minor"/>
    </font>
    <font>
      <b/>
      <sz val="12"/>
      <color theme="2"/>
      <name val="Franklin Gothic Book"/>
      <family val="2"/>
      <scheme val="major"/>
    </font>
    <font>
      <sz val="12"/>
      <color theme="1" tint="0.24994659260841701"/>
      <name val="Microsoft Sans Serif"/>
      <family val="2"/>
      <scheme val="minor"/>
    </font>
    <font>
      <b/>
      <sz val="12"/>
      <color theme="1" tint="0.24994659260841701"/>
      <name val="Microsoft Sans Serif"/>
      <family val="2"/>
      <scheme val="minor"/>
    </font>
    <font>
      <sz val="10"/>
      <name val="Arial"/>
      <family val="2"/>
    </font>
    <font>
      <b/>
      <sz val="32"/>
      <color theme="4" tint="-0.249977111117893"/>
      <name val="Microsoft Sans Serif"/>
      <family val="2"/>
      <scheme val="minor"/>
    </font>
    <font>
      <b/>
      <sz val="15"/>
      <color theme="4" tint="-0.249977111117893"/>
      <name val="Franklin Gothic Book"/>
      <family val="2"/>
      <scheme val="major"/>
    </font>
    <font>
      <b/>
      <sz val="12"/>
      <color theme="5"/>
      <name val="Franklin Gothic Book"/>
      <family val="2"/>
      <scheme val="major"/>
    </font>
    <font>
      <sz val="13.5"/>
      <color rgb="FF000000"/>
      <name val="Arial"/>
      <family val="2"/>
    </font>
    <font>
      <sz val="12"/>
      <color rgb="FF0070C0"/>
      <name val="Microsoft Sans Serif"/>
      <family val="2"/>
      <scheme val="minor"/>
    </font>
    <font>
      <b/>
      <sz val="14"/>
      <color theme="2"/>
      <name val="Arial"/>
      <family val="2"/>
    </font>
    <font>
      <sz val="14"/>
      <color theme="1" tint="0.24994659260841701"/>
      <name val="Arial"/>
      <family val="2"/>
    </font>
    <font>
      <b/>
      <sz val="14"/>
      <color theme="1" tint="0.24994659260841701"/>
      <name val="Arial"/>
      <family val="2"/>
    </font>
    <font>
      <b/>
      <sz val="9"/>
      <color theme="1"/>
      <name val="Microsoft Sans Serif"/>
      <family val="2"/>
      <scheme val="minor"/>
    </font>
    <font>
      <b/>
      <sz val="9"/>
      <name val="Microsoft Sans Serif"/>
      <family val="2"/>
      <scheme val="minor"/>
    </font>
    <font>
      <b/>
      <sz val="14"/>
      <color theme="0"/>
      <name val="Franklin Gothic Book"/>
      <family val="2"/>
      <scheme val="major"/>
    </font>
    <font>
      <b/>
      <sz val="10"/>
      <color rgb="FFFFFFFF"/>
      <name val="Tahoma"/>
      <family val="2"/>
    </font>
    <font>
      <b/>
      <sz val="10"/>
      <name val="Tahoma"/>
      <family val="2"/>
    </font>
    <font>
      <sz val="10"/>
      <name val="Tahoma"/>
      <family val="2"/>
    </font>
    <font>
      <b/>
      <sz val="12"/>
      <color rgb="FFFFFFFF"/>
      <name val="Tahoma"/>
      <family val="2"/>
    </font>
    <font>
      <b/>
      <sz val="12"/>
      <color theme="1" tint="0.249977111117893"/>
      <name val="Tahoma"/>
      <family val="2"/>
    </font>
    <font>
      <b/>
      <sz val="12"/>
      <color rgb="FF0000FF"/>
      <name val="Tahoma"/>
      <family val="2"/>
    </font>
    <font>
      <b/>
      <sz val="12"/>
      <color rgb="FF0070C0"/>
      <name val="Microsoft Sans Serif"/>
      <family val="2"/>
      <scheme val="minor"/>
    </font>
    <font>
      <b/>
      <sz val="12"/>
      <color theme="1" tint="0.24994659260841701"/>
      <name val="Tahoma"/>
      <family val="2"/>
    </font>
    <font>
      <b/>
      <sz val="12"/>
      <color rgb="FF00B050"/>
      <name val="Tahoma"/>
      <family val="2"/>
    </font>
    <font>
      <b/>
      <sz val="12"/>
      <color rgb="FFFF0000"/>
      <name val="Tahoma"/>
      <family val="2"/>
    </font>
    <font>
      <b/>
      <sz val="14"/>
      <color rgb="FFFFFFFF"/>
      <name val="Tahoma"/>
      <family val="2"/>
    </font>
    <font>
      <b/>
      <sz val="12"/>
      <color theme="1" tint="0.24994659260841701"/>
      <name val="Arial"/>
      <family val="2"/>
    </font>
    <font>
      <b/>
      <sz val="18"/>
      <color rgb="FF0070C0"/>
      <name val="Arial"/>
      <family val="2"/>
    </font>
    <font>
      <sz val="9"/>
      <color rgb="FF0070C0"/>
      <name val="Microsoft Sans Serif"/>
      <family val="2"/>
      <scheme val="minor"/>
    </font>
  </fonts>
  <fills count="20">
    <fill>
      <patternFill patternType="none"/>
    </fill>
    <fill>
      <patternFill patternType="gray125"/>
    </fill>
    <fill>
      <patternFill patternType="solid">
        <fgColor theme="5" tint="-0.499984740745262"/>
        <bgColor indexed="64"/>
      </patternFill>
    </fill>
    <fill>
      <patternFill patternType="solid">
        <fgColor theme="3" tint="0.89996032593768116"/>
        <bgColor indexed="64"/>
      </patternFill>
    </fill>
    <fill>
      <patternFill patternType="solid">
        <fgColor theme="3"/>
        <bgColor indexed="64"/>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6" tint="0.3999450666829432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5" tint="0.79998168889431442"/>
        <bgColor indexed="64"/>
      </patternFill>
    </fill>
    <fill>
      <patternFill patternType="lightGrid">
        <fgColor theme="0"/>
        <bgColor theme="0"/>
      </patternFill>
    </fill>
    <fill>
      <patternFill patternType="solid">
        <fgColor rgb="FF990033"/>
        <bgColor indexed="64"/>
      </patternFill>
    </fill>
    <fill>
      <patternFill patternType="solid">
        <fgColor rgb="FF80C1FF"/>
        <bgColor indexed="64"/>
      </patternFill>
    </fill>
    <fill>
      <patternFill patternType="solid">
        <fgColor rgb="FFFFAFCC"/>
        <bgColor indexed="64"/>
      </patternFill>
    </fill>
    <fill>
      <patternFill patternType="solid">
        <fgColor rgb="FFFFFF00"/>
        <bgColor indexed="64"/>
      </patternFill>
    </fill>
    <fill>
      <patternFill patternType="solid">
        <fgColor rgb="FF92D050"/>
        <bgColor indexed="64"/>
      </patternFill>
    </fill>
  </fills>
  <borders count="70">
    <border>
      <left/>
      <right/>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medium">
        <color theme="6" tint="0.39997558519241921"/>
      </left>
      <right style="medium">
        <color theme="6" tint="0.39997558519241921"/>
      </right>
      <top style="medium">
        <color theme="6" tint="0.39997558519241921"/>
      </top>
      <bottom style="medium">
        <color theme="6" tint="0.39997558519241921"/>
      </bottom>
      <diagonal/>
    </border>
    <border>
      <left/>
      <right/>
      <top/>
      <bottom style="medium">
        <color theme="6" tint="0.39997558519241921"/>
      </bottom>
      <diagonal/>
    </border>
    <border>
      <left/>
      <right/>
      <top style="medium">
        <color theme="6" tint="0.39997558519241921"/>
      </top>
      <bottom/>
      <diagonal/>
    </border>
    <border>
      <left style="medium">
        <color theme="6" tint="0.39997558519241921"/>
      </left>
      <right style="medium">
        <color theme="6" tint="0.39997558519241921"/>
      </right>
      <top style="medium">
        <color theme="6" tint="0.39997558519241921"/>
      </top>
      <bottom/>
      <diagonal/>
    </border>
    <border>
      <left/>
      <right/>
      <top/>
      <bottom style="medium">
        <color theme="6" tint="0.39994506668294322"/>
      </bottom>
      <diagonal/>
    </border>
    <border>
      <left/>
      <right/>
      <top style="medium">
        <color theme="6" tint="0.39994506668294322"/>
      </top>
      <bottom style="medium">
        <color theme="6" tint="0.39994506668294322"/>
      </bottom>
      <diagonal/>
    </border>
    <border>
      <left/>
      <right/>
      <top style="medium">
        <color theme="6" tint="0.39994506668294322"/>
      </top>
      <bottom/>
      <diagonal/>
    </border>
    <border>
      <left style="medium">
        <color theme="6" tint="0.39994506668294322"/>
      </left>
      <right style="medium">
        <color theme="6" tint="0.39994506668294322"/>
      </right>
      <top style="medium">
        <color theme="6" tint="0.39994506668294322"/>
      </top>
      <bottom style="medium">
        <color theme="6" tint="0.39994506668294322"/>
      </bottom>
      <diagonal/>
    </border>
    <border>
      <left/>
      <right style="medium">
        <color theme="6" tint="0.39994506668294322"/>
      </right>
      <top/>
      <bottom style="medium">
        <color theme="6" tint="0.39994506668294322"/>
      </bottom>
      <diagonal/>
    </border>
    <border>
      <left style="medium">
        <color theme="6" tint="0.39994506668294322"/>
      </left>
      <right style="medium">
        <color theme="6" tint="0.39994506668294322"/>
      </right>
      <top/>
      <bottom style="medium">
        <color theme="6" tint="0.39994506668294322"/>
      </bottom>
      <diagonal/>
    </border>
    <border>
      <left style="medium">
        <color theme="6" tint="0.39994506668294322"/>
      </left>
      <right/>
      <top/>
      <bottom style="medium">
        <color theme="6" tint="0.39994506668294322"/>
      </bottom>
      <diagonal/>
    </border>
    <border>
      <left/>
      <right style="medium">
        <color theme="6" tint="0.39994506668294322"/>
      </right>
      <top style="medium">
        <color theme="6" tint="0.39994506668294322"/>
      </top>
      <bottom style="medium">
        <color theme="6" tint="0.39994506668294322"/>
      </bottom>
      <diagonal/>
    </border>
    <border>
      <left style="medium">
        <color theme="6" tint="0.39994506668294322"/>
      </left>
      <right/>
      <top style="medium">
        <color theme="6" tint="0.39994506668294322"/>
      </top>
      <bottom style="medium">
        <color theme="6" tint="0.39994506668294322"/>
      </bottom>
      <diagonal/>
    </border>
    <border>
      <left/>
      <right style="medium">
        <color theme="6" tint="0.39994506668294322"/>
      </right>
      <top style="medium">
        <color theme="6" tint="0.39994506668294322"/>
      </top>
      <bottom/>
      <diagonal/>
    </border>
    <border>
      <left/>
      <right style="medium">
        <color theme="6" tint="0.39994506668294322"/>
      </right>
      <top/>
      <bottom style="medium">
        <color theme="6" tint="0.39997558519241921"/>
      </bottom>
      <diagonal/>
    </border>
    <border>
      <left style="thin">
        <color indexed="64"/>
      </left>
      <right style="thin">
        <color indexed="64"/>
      </right>
      <top style="thin">
        <color indexed="64"/>
      </top>
      <bottom style="thin">
        <color indexed="64"/>
      </bottom>
      <diagonal/>
    </border>
    <border>
      <left/>
      <right/>
      <top style="thick">
        <color theme="0"/>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right style="thin">
        <color rgb="FFC00000"/>
      </right>
      <top/>
      <bottom/>
      <diagonal/>
    </border>
    <border>
      <left style="thin">
        <color rgb="FFC00000"/>
      </left>
      <right style="thin">
        <color rgb="FFC00000"/>
      </right>
      <top/>
      <bottom/>
      <diagonal/>
    </border>
    <border>
      <left style="thin">
        <color rgb="FFC00000"/>
      </left>
      <right/>
      <top/>
      <bottom/>
      <diagonal/>
    </border>
    <border>
      <left style="medium">
        <color theme="6" tint="0.39994506668294322"/>
      </left>
      <right/>
      <top style="medium">
        <color theme="6" tint="0.39994506668294322"/>
      </top>
      <bottom/>
      <diagonal/>
    </border>
    <border>
      <left/>
      <right style="medium">
        <color theme="6" tint="0.39994506668294322"/>
      </right>
      <top style="medium">
        <color theme="6" tint="0.39994506668294322"/>
      </top>
      <bottom style="thin">
        <color theme="1"/>
      </bottom>
      <diagonal/>
    </border>
    <border>
      <left style="medium">
        <color theme="6" tint="0.39997558519241921"/>
      </left>
      <right/>
      <top style="medium">
        <color theme="6" tint="0.39997558519241921"/>
      </top>
      <bottom style="medium">
        <color theme="6" tint="0.39997558519241921"/>
      </bottom>
      <diagonal/>
    </border>
    <border>
      <left style="medium">
        <color theme="6" tint="0.39997558519241921"/>
      </left>
      <right/>
      <top style="thin">
        <color theme="1"/>
      </top>
      <bottom/>
      <diagonal/>
    </border>
    <border>
      <left/>
      <right/>
      <top style="thin">
        <color theme="1"/>
      </top>
      <bottom/>
      <diagonal/>
    </border>
    <border>
      <left/>
      <right style="medium">
        <color theme="6" tint="0.39994506668294322"/>
      </right>
      <top style="thin">
        <color theme="1"/>
      </top>
      <bottom/>
      <diagonal/>
    </border>
    <border>
      <left style="medium">
        <color theme="6" tint="0.39997558519241921"/>
      </left>
      <right/>
      <top style="medium">
        <color theme="6" tint="0.39997558519241921"/>
      </top>
      <bottom/>
      <diagonal/>
    </border>
    <border>
      <left style="medium">
        <color theme="6" tint="0.39994506668294322"/>
      </left>
      <right style="medium">
        <color theme="6" tint="0.39994506668294322"/>
      </right>
      <top style="medium">
        <color theme="6" tint="0.39994506668294322"/>
      </top>
      <bottom/>
      <diagonal/>
    </border>
    <border>
      <left/>
      <right/>
      <top style="medium">
        <color theme="6" tint="0.39994506668294322"/>
      </top>
      <bottom style="medium">
        <color theme="6" tint="0.39997558519241921"/>
      </bottom>
      <diagonal/>
    </border>
    <border>
      <left style="medium">
        <color theme="6" tint="0.39994506668294322"/>
      </left>
      <right/>
      <top style="medium">
        <color theme="6" tint="0.39994506668294322"/>
      </top>
      <bottom style="medium">
        <color theme="6" tint="0.39997558519241921"/>
      </bottom>
      <diagonal/>
    </border>
    <border>
      <left style="medium">
        <color theme="6" tint="0.39994506668294322"/>
      </left>
      <right style="medium">
        <color theme="6" tint="0.39994506668294322"/>
      </right>
      <top style="medium">
        <color theme="6" tint="0.39994506668294322"/>
      </top>
      <bottom style="medium">
        <color theme="6" tint="0.39997558519241921"/>
      </bottom>
      <diagonal/>
    </border>
    <border>
      <left style="medium">
        <color rgb="FF84C6EA"/>
      </left>
      <right/>
      <top style="medium">
        <color theme="6" tint="0.39997558519241921"/>
      </top>
      <bottom style="medium">
        <color rgb="FF84C6EA"/>
      </bottom>
      <diagonal/>
    </border>
    <border>
      <left/>
      <right style="medium">
        <color theme="6" tint="0.39994506668294322"/>
      </right>
      <top style="medium">
        <color theme="6" tint="0.39994506668294322"/>
      </top>
      <bottom style="medium">
        <color rgb="FF84C6EA"/>
      </bottom>
      <diagonal/>
    </border>
    <border>
      <left style="medium">
        <color rgb="FF84C6EA"/>
      </left>
      <right/>
      <top style="thin">
        <color theme="1"/>
      </top>
      <bottom/>
      <diagonal/>
    </border>
    <border>
      <left style="medium">
        <color rgb="FF84C6EA"/>
      </left>
      <right/>
      <top style="medium">
        <color theme="6" tint="0.39997558519241921"/>
      </top>
      <bottom/>
      <diagonal/>
    </border>
    <border>
      <left style="medium">
        <color theme="6" tint="0.39994506668294322"/>
      </left>
      <right/>
      <top style="thin">
        <color theme="1"/>
      </top>
      <bottom/>
      <diagonal/>
    </border>
    <border>
      <left style="medium">
        <color theme="6" tint="0.39994506668294322"/>
      </left>
      <right style="medium">
        <color theme="6" tint="0.39994506668294322"/>
      </right>
      <top style="medium">
        <color theme="6" tint="0.39997558519241921"/>
      </top>
      <bottom/>
      <diagonal/>
    </border>
    <border>
      <left/>
      <right/>
      <top style="medium">
        <color theme="6" tint="0.39994506668294322"/>
      </top>
      <bottom style="medium">
        <color rgb="FF84C6EA"/>
      </bottom>
      <diagonal/>
    </border>
    <border>
      <left style="medium">
        <color theme="6" tint="0.39994506668294322"/>
      </left>
      <right/>
      <top style="medium">
        <color theme="6" tint="0.39994506668294322"/>
      </top>
      <bottom style="medium">
        <color rgb="FF84C6EA"/>
      </bottom>
      <diagonal/>
    </border>
    <border>
      <left style="medium">
        <color theme="6" tint="0.39994506668294322"/>
      </left>
      <right style="medium">
        <color theme="6" tint="0.39994506668294322"/>
      </right>
      <top style="medium">
        <color theme="6" tint="0.39994506668294322"/>
      </top>
      <bottom style="medium">
        <color rgb="FF84C6EA"/>
      </bottom>
      <diagonal/>
    </border>
    <border>
      <left/>
      <right style="thin">
        <color theme="1"/>
      </right>
      <top style="thin">
        <color theme="1"/>
      </top>
      <bottom/>
      <diagonal/>
    </border>
    <border>
      <left style="double">
        <color indexed="64"/>
      </left>
      <right/>
      <top style="thin">
        <color theme="7"/>
      </top>
      <bottom/>
      <diagonal/>
    </border>
    <border>
      <left style="thin">
        <color theme="7"/>
      </left>
      <right/>
      <top style="thin">
        <color theme="7"/>
      </top>
      <bottom/>
      <diagonal/>
    </border>
    <border>
      <left style="thin">
        <color theme="7"/>
      </left>
      <right style="double">
        <color indexed="64"/>
      </right>
      <top style="thin">
        <color theme="7"/>
      </top>
      <bottom/>
      <diagonal/>
    </border>
    <border>
      <left style="double">
        <color indexed="64"/>
      </left>
      <right/>
      <top style="medium">
        <color theme="6" tint="0.39994506668294322"/>
      </top>
      <bottom/>
      <diagonal/>
    </border>
    <border>
      <left style="medium">
        <color indexed="64"/>
      </left>
      <right/>
      <top style="medium">
        <color theme="6" tint="0.39994506668294322"/>
      </top>
      <bottom/>
      <diagonal/>
    </border>
    <border>
      <left style="thin">
        <color indexed="64"/>
      </left>
      <right/>
      <top style="medium">
        <color theme="6" tint="0.39994506668294322"/>
      </top>
      <bottom/>
      <diagonal/>
    </border>
    <border>
      <left style="thin">
        <color indexed="64"/>
      </left>
      <right style="double">
        <color indexed="64"/>
      </right>
      <top style="medium">
        <color theme="6" tint="0.39994506668294322"/>
      </top>
      <bottom/>
      <diagonal/>
    </border>
    <border>
      <left style="double">
        <color indexed="64"/>
      </left>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double">
        <color indexed="64"/>
      </right>
      <top style="thin">
        <color indexed="64"/>
      </top>
      <bottom/>
      <diagonal/>
    </border>
    <border>
      <left style="double">
        <color indexed="64"/>
      </left>
      <right/>
      <top style="thin">
        <color indexed="64"/>
      </top>
      <bottom style="double">
        <color indexed="64"/>
      </bottom>
      <diagonal/>
    </border>
    <border>
      <left style="thin">
        <color theme="7"/>
      </left>
      <right/>
      <top style="thin">
        <color indexed="64"/>
      </top>
      <bottom style="double">
        <color indexed="64"/>
      </bottom>
      <diagonal/>
    </border>
    <border>
      <left style="thin">
        <color theme="7"/>
      </left>
      <right style="double">
        <color indexed="64"/>
      </right>
      <top style="thin">
        <color indexed="64"/>
      </top>
      <bottom style="double">
        <color indexed="64"/>
      </bottom>
      <diagonal/>
    </border>
    <border>
      <left style="thick">
        <color auto="1"/>
      </left>
      <right style="thin">
        <color rgb="FFFF0000"/>
      </right>
      <top style="thick">
        <color auto="1"/>
      </top>
      <bottom style="thin">
        <color rgb="FFFF0000"/>
      </bottom>
      <diagonal/>
    </border>
    <border>
      <left style="thin">
        <color rgb="FFFF0000"/>
      </left>
      <right style="thin">
        <color rgb="FFFF0000"/>
      </right>
      <top style="thick">
        <color auto="1"/>
      </top>
      <bottom style="thin">
        <color rgb="FFFF0000"/>
      </bottom>
      <diagonal/>
    </border>
    <border>
      <left style="thin">
        <color rgb="FFFF0000"/>
      </left>
      <right style="thick">
        <color indexed="64"/>
      </right>
      <top style="thick">
        <color auto="1"/>
      </top>
      <bottom style="thin">
        <color rgb="FFFF0000"/>
      </bottom>
      <diagonal/>
    </border>
    <border>
      <left style="thick">
        <color auto="1"/>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thick">
        <color indexed="64"/>
      </right>
      <top style="thin">
        <color rgb="FFFF0000"/>
      </top>
      <bottom style="thin">
        <color rgb="FFFF0000"/>
      </bottom>
      <diagonal/>
    </border>
    <border>
      <left style="thick">
        <color auto="1"/>
      </left>
      <right style="thin">
        <color rgb="FFFF0000"/>
      </right>
      <top style="thin">
        <color rgb="FFFF0000"/>
      </top>
      <bottom style="thick">
        <color indexed="64"/>
      </bottom>
      <diagonal/>
    </border>
    <border>
      <left style="thin">
        <color rgb="FFFF0000"/>
      </left>
      <right style="thin">
        <color rgb="FFFF0000"/>
      </right>
      <top style="thin">
        <color rgb="FFFF0000"/>
      </top>
      <bottom style="thick">
        <color indexed="64"/>
      </bottom>
      <diagonal/>
    </border>
    <border>
      <left style="thin">
        <color rgb="FFFF0000"/>
      </left>
      <right style="thick">
        <color indexed="64"/>
      </right>
      <top style="thin">
        <color rgb="FFFF0000"/>
      </top>
      <bottom style="thick">
        <color indexed="64"/>
      </bottom>
      <diagonal/>
    </border>
    <border>
      <left style="medium">
        <color rgb="FF84C6EA"/>
      </left>
      <right/>
      <top style="medium">
        <color rgb="FF84C6EA"/>
      </top>
      <bottom style="medium">
        <color theme="6" tint="0.39994506668294322"/>
      </bottom>
      <diagonal/>
    </border>
  </borders>
  <cellStyleXfs count="11">
    <xf numFmtId="0" fontId="0" fillId="10" borderId="0"/>
    <xf numFmtId="0" fontId="6" fillId="0" borderId="0">
      <alignment vertical="center"/>
    </xf>
    <xf numFmtId="0" fontId="12" fillId="4" borderId="0">
      <alignment vertical="center"/>
    </xf>
    <xf numFmtId="0" fontId="8" fillId="2" borderId="0">
      <alignment vertical="center"/>
    </xf>
    <xf numFmtId="0" fontId="7" fillId="3" borderId="1">
      <alignment horizontal="left" vertical="center" indent="1"/>
    </xf>
    <xf numFmtId="0" fontId="32" fillId="0" borderId="0"/>
    <xf numFmtId="0" fontId="1" fillId="0" borderId="0"/>
    <xf numFmtId="0" fontId="10" fillId="0" borderId="0">
      <alignment vertical="center"/>
    </xf>
    <xf numFmtId="0" fontId="33" fillId="0" borderId="0">
      <alignment horizontal="right"/>
    </xf>
    <xf numFmtId="0" fontId="34" fillId="0" borderId="0">
      <alignment vertical="center"/>
    </xf>
    <xf numFmtId="0" fontId="35" fillId="14" borderId="18">
      <alignment horizontal="right" vertical="center" indent="1"/>
    </xf>
  </cellStyleXfs>
  <cellXfs count="228">
    <xf numFmtId="0" fontId="0" fillId="10" borderId="0" xfId="0"/>
    <xf numFmtId="0" fontId="2" fillId="10" borderId="0" xfId="0" applyFont="1"/>
    <xf numFmtId="0" fontId="3" fillId="10" borderId="0" xfId="0" applyFont="1"/>
    <xf numFmtId="9" fontId="0" fillId="10" borderId="0" xfId="0" applyNumberFormat="1" applyAlignment="1">
      <alignment horizontal="right"/>
    </xf>
    <xf numFmtId="0" fontId="2" fillId="4" borderId="0" xfId="0" applyFont="1" applyFill="1" applyAlignment="1">
      <alignment horizontal="left" vertical="top" indent="1"/>
    </xf>
    <xf numFmtId="0" fontId="2" fillId="8" borderId="0" xfId="0" applyFont="1" applyFill="1" applyAlignment="1">
      <alignment horizontal="left" vertical="top" indent="1"/>
    </xf>
    <xf numFmtId="0" fontId="15" fillId="10" borderId="0" xfId="0" applyFont="1"/>
    <xf numFmtId="0" fontId="3" fillId="10" borderId="4" xfId="0" applyFont="1" applyBorder="1"/>
    <xf numFmtId="0" fontId="12" fillId="4" borderId="0" xfId="2" applyAlignment="1"/>
    <xf numFmtId="0" fontId="13" fillId="10" borderId="0" xfId="0" applyFont="1" applyAlignment="1">
      <alignment wrapText="1"/>
    </xf>
    <xf numFmtId="0" fontId="14" fillId="9" borderId="3" xfId="3" applyFont="1" applyFill="1" applyBorder="1" applyAlignment="1">
      <alignment horizontal="left" vertical="center" indent="1"/>
    </xf>
    <xf numFmtId="0" fontId="18" fillId="9" borderId="0" xfId="3" applyFont="1" applyFill="1">
      <alignment vertical="center"/>
    </xf>
    <xf numFmtId="0" fontId="21" fillId="10" borderId="0" xfId="0" applyFont="1"/>
    <xf numFmtId="0" fontId="20" fillId="8" borderId="0" xfId="0" applyFont="1" applyFill="1" applyAlignment="1">
      <alignment horizontal="left" vertical="top" wrapText="1"/>
    </xf>
    <xf numFmtId="0" fontId="21" fillId="10" borderId="0" xfId="0" applyFont="1" applyAlignment="1">
      <alignment wrapText="1"/>
    </xf>
    <xf numFmtId="0" fontId="22" fillId="10" borderId="0" xfId="0" applyFont="1" applyAlignment="1">
      <alignment vertical="center" wrapText="1"/>
    </xf>
    <xf numFmtId="0" fontId="2" fillId="10" borderId="0" xfId="0" applyFont="1" applyAlignment="1">
      <alignment wrapText="1"/>
    </xf>
    <xf numFmtId="0" fontId="16" fillId="6" borderId="6" xfId="4" applyFont="1" applyFill="1" applyBorder="1">
      <alignment horizontal="left" vertical="center" indent="1"/>
    </xf>
    <xf numFmtId="0" fontId="11" fillId="4" borderId="7" xfId="0" applyFont="1" applyFill="1" applyBorder="1" applyAlignment="1">
      <alignment horizontal="left" vertical="center" indent="1"/>
    </xf>
    <xf numFmtId="0" fontId="13" fillId="12" borderId="11" xfId="4" applyFont="1" applyFill="1" applyBorder="1">
      <alignment horizontal="left" vertical="center" indent="1"/>
    </xf>
    <xf numFmtId="0" fontId="13" fillId="12" borderId="12" xfId="4" applyFont="1" applyFill="1" applyBorder="1">
      <alignment horizontal="left" vertical="center" indent="1"/>
    </xf>
    <xf numFmtId="0" fontId="16" fillId="6" borderId="10" xfId="4" applyFont="1" applyFill="1" applyBorder="1">
      <alignment horizontal="left" vertical="center" indent="1"/>
    </xf>
    <xf numFmtId="0" fontId="24" fillId="4" borderId="0" xfId="0" applyFont="1" applyFill="1" applyAlignment="1">
      <alignment horizontal="left" vertical="top" indent="1"/>
    </xf>
    <xf numFmtId="0" fontId="11" fillId="4" borderId="13" xfId="0" applyFont="1" applyFill="1" applyBorder="1" applyAlignment="1">
      <alignment horizontal="left" vertical="center" indent="1"/>
    </xf>
    <xf numFmtId="0" fontId="17" fillId="11" borderId="15" xfId="0" applyFont="1" applyFill="1" applyBorder="1" applyAlignment="1">
      <alignment horizontal="left" vertical="center" indent="1"/>
    </xf>
    <xf numFmtId="0" fontId="17" fillId="11" borderId="8" xfId="0" applyFont="1" applyFill="1" applyBorder="1" applyAlignment="1">
      <alignment horizontal="left" vertical="center" indent="1"/>
    </xf>
    <xf numFmtId="0" fontId="17" fillId="11" borderId="15" xfId="0" applyFont="1" applyFill="1" applyBorder="1" applyAlignment="1">
      <alignment horizontal="left" vertical="center" indent="2"/>
    </xf>
    <xf numFmtId="0" fontId="11" fillId="4" borderId="4" xfId="0" applyFont="1" applyFill="1" applyBorder="1" applyAlignment="1">
      <alignment horizontal="left" vertical="center" indent="1"/>
    </xf>
    <xf numFmtId="0" fontId="18" fillId="9" borderId="16" xfId="3" applyFont="1" applyFill="1" applyBorder="1">
      <alignment vertical="center"/>
    </xf>
    <xf numFmtId="0" fontId="0" fillId="10" borderId="0" xfId="0" applyAlignment="1">
      <alignment horizontal="left" indent="1"/>
    </xf>
    <xf numFmtId="0" fontId="3" fillId="10" borderId="0" xfId="0" applyFont="1" applyAlignment="1">
      <alignment horizontal="left"/>
    </xf>
    <xf numFmtId="0" fontId="4" fillId="10" borderId="0" xfId="0" applyFont="1" applyAlignment="1">
      <alignment horizontal="center"/>
    </xf>
    <xf numFmtId="0" fontId="3" fillId="10" borderId="0" xfId="0" applyFont="1" applyAlignment="1">
      <alignment horizontal="center"/>
    </xf>
    <xf numFmtId="0" fontId="9" fillId="8" borderId="0" xfId="1" applyFont="1" applyFill="1" applyAlignment="1">
      <alignment horizontal="left" vertical="top" indent="1"/>
    </xf>
    <xf numFmtId="0" fontId="3" fillId="10" borderId="0" xfId="0" applyFont="1" applyAlignment="1">
      <alignment horizontal="left" indent="1"/>
    </xf>
    <xf numFmtId="0" fontId="23" fillId="4" borderId="0" xfId="2" applyFont="1" applyAlignment="1">
      <alignment horizontal="center" wrapText="1"/>
    </xf>
    <xf numFmtId="164" fontId="3" fillId="10" borderId="0" xfId="0" applyNumberFormat="1" applyFont="1" applyAlignment="1">
      <alignment horizontal="right"/>
    </xf>
    <xf numFmtId="164" fontId="4" fillId="10" borderId="0" xfId="0" applyNumberFormat="1" applyFont="1" applyAlignment="1">
      <alignment horizontal="right"/>
    </xf>
    <xf numFmtId="164" fontId="5" fillId="10" borderId="0" xfId="0" applyNumberFormat="1" applyFont="1" applyAlignment="1">
      <alignment horizontal="right"/>
    </xf>
    <xf numFmtId="165" fontId="0" fillId="10" borderId="0" xfId="0" applyNumberFormat="1" applyAlignment="1">
      <alignment horizontal="right"/>
    </xf>
    <xf numFmtId="0" fontId="28" fillId="4" borderId="7" xfId="0" applyFont="1" applyFill="1" applyBorder="1" applyAlignment="1">
      <alignment horizontal="left" vertical="center" indent="1"/>
    </xf>
    <xf numFmtId="165" fontId="0" fillId="13" borderId="9" xfId="0" applyNumberFormat="1" applyFill="1" applyBorder="1" applyAlignment="1">
      <alignment horizontal="right" vertical="center"/>
    </xf>
    <xf numFmtId="166" fontId="0" fillId="13" borderId="13" xfId="0" applyNumberFormat="1" applyFill="1" applyBorder="1" applyAlignment="1">
      <alignment horizontal="right" vertical="center"/>
    </xf>
    <xf numFmtId="166" fontId="0" fillId="11" borderId="15" xfId="0" applyNumberFormat="1" applyFill="1" applyBorder="1" applyAlignment="1">
      <alignment vertical="center"/>
    </xf>
    <xf numFmtId="166" fontId="27" fillId="11" borderId="15" xfId="0" applyNumberFormat="1" applyFont="1" applyFill="1" applyBorder="1" applyAlignment="1">
      <alignment vertical="center"/>
    </xf>
    <xf numFmtId="0" fontId="29" fillId="6" borderId="0" xfId="3" applyFont="1" applyFill="1" applyAlignment="1">
      <alignment horizontal="left" vertical="center" indent="2"/>
    </xf>
    <xf numFmtId="0" fontId="29" fillId="5" borderId="0" xfId="3" applyFont="1" applyFill="1" applyAlignment="1">
      <alignment horizontal="left" vertical="center" indent="2"/>
    </xf>
    <xf numFmtId="0" fontId="29" fillId="4" borderId="0" xfId="3" applyFont="1" applyFill="1" applyAlignment="1">
      <alignment horizontal="left" vertical="center" indent="2"/>
    </xf>
    <xf numFmtId="166" fontId="30" fillId="13" borderId="13" xfId="0" applyNumberFormat="1" applyFont="1" applyFill="1" applyBorder="1" applyAlignment="1">
      <alignment horizontal="right" vertical="center"/>
    </xf>
    <xf numFmtId="9" fontId="30" fillId="11" borderId="2" xfId="0" applyNumberFormat="1" applyFont="1" applyFill="1" applyBorder="1" applyAlignment="1">
      <alignment horizontal="right" vertical="center" indent="2"/>
    </xf>
    <xf numFmtId="0" fontId="30" fillId="11" borderId="2" xfId="0" applyFont="1" applyFill="1" applyBorder="1" applyAlignment="1">
      <alignment horizontal="left" vertical="center" indent="2"/>
    </xf>
    <xf numFmtId="0" fontId="30" fillId="11" borderId="5" xfId="0" applyFont="1" applyFill="1" applyBorder="1" applyAlignment="1">
      <alignment horizontal="left" vertical="center" indent="2"/>
    </xf>
    <xf numFmtId="9" fontId="30" fillId="11" borderId="5" xfId="0" applyNumberFormat="1" applyFont="1" applyFill="1" applyBorder="1" applyAlignment="1">
      <alignment horizontal="right" vertical="center" indent="2"/>
    </xf>
    <xf numFmtId="0" fontId="31" fillId="11" borderId="5" xfId="0" applyFont="1" applyFill="1" applyBorder="1" applyAlignment="1">
      <alignment horizontal="left" vertical="center" indent="2"/>
    </xf>
    <xf numFmtId="0" fontId="32" fillId="0" borderId="0" xfId="5"/>
    <xf numFmtId="21" fontId="32" fillId="0" borderId="0" xfId="5" applyNumberFormat="1" applyAlignment="1">
      <alignment horizontal="center"/>
    </xf>
    <xf numFmtId="166" fontId="30" fillId="13" borderId="15" xfId="0" applyNumberFormat="1" applyFont="1" applyFill="1" applyBorder="1" applyAlignment="1">
      <alignment horizontal="right" vertical="center"/>
    </xf>
    <xf numFmtId="166" fontId="0" fillId="11" borderId="14" xfId="0" applyNumberFormat="1" applyFill="1" applyBorder="1" applyAlignment="1">
      <alignment horizontal="right" vertical="center"/>
    </xf>
    <xf numFmtId="14" fontId="0" fillId="10" borderId="0" xfId="0" applyNumberFormat="1"/>
    <xf numFmtId="167" fontId="0" fillId="10" borderId="0" xfId="0" applyNumberFormat="1"/>
    <xf numFmtId="0" fontId="27" fillId="10" borderId="0" xfId="0" applyFont="1" applyAlignment="1">
      <alignment horizontal="right"/>
    </xf>
    <xf numFmtId="168" fontId="0" fillId="10" borderId="0" xfId="0" applyNumberFormat="1"/>
    <xf numFmtId="0" fontId="36" fillId="10" borderId="0" xfId="0" applyFont="1"/>
    <xf numFmtId="166" fontId="0" fillId="13" borderId="9" xfId="0" applyNumberFormat="1" applyFill="1" applyBorder="1" applyAlignment="1">
      <alignment horizontal="right" vertical="center"/>
    </xf>
    <xf numFmtId="0" fontId="37" fillId="12" borderId="10" xfId="4" applyFont="1" applyFill="1" applyBorder="1" applyAlignment="1">
      <alignment horizontal="center" vertical="center"/>
    </xf>
    <xf numFmtId="0" fontId="37" fillId="12" borderId="11" xfId="4" applyFont="1" applyFill="1" applyBorder="1" applyAlignment="1">
      <alignment horizontal="center" vertical="center"/>
    </xf>
    <xf numFmtId="0" fontId="37" fillId="12" borderId="12" xfId="4" applyFont="1" applyFill="1" applyBorder="1" applyAlignment="1">
      <alignment horizontal="center" vertical="center"/>
    </xf>
    <xf numFmtId="0" fontId="38" fillId="15" borderId="19" xfId="0" applyFont="1" applyFill="1" applyBorder="1" applyAlignment="1">
      <alignment vertical="center"/>
    </xf>
    <xf numFmtId="0" fontId="39" fillId="15" borderId="20" xfId="0" applyFont="1" applyFill="1" applyBorder="1" applyAlignment="1">
      <alignment vertical="center"/>
    </xf>
    <xf numFmtId="0" fontId="39" fillId="15" borderId="21" xfId="0" applyFont="1" applyFill="1" applyBorder="1" applyAlignment="1">
      <alignment vertical="center"/>
    </xf>
    <xf numFmtId="0" fontId="40" fillId="16" borderId="22" xfId="0" applyFont="1" applyFill="1" applyBorder="1" applyAlignment="1">
      <alignment vertical="center" wrapText="1"/>
    </xf>
    <xf numFmtId="0" fontId="39" fillId="16" borderId="23" xfId="0" applyFont="1" applyFill="1" applyBorder="1" applyAlignment="1">
      <alignment vertical="center" wrapText="1"/>
    </xf>
    <xf numFmtId="0" fontId="39" fillId="16" borderId="24" xfId="0" applyFont="1" applyFill="1" applyBorder="1" applyAlignment="1">
      <alignment vertical="center" wrapText="1"/>
    </xf>
    <xf numFmtId="0" fontId="40" fillId="17" borderId="22" xfId="0" applyFont="1" applyFill="1" applyBorder="1" applyAlignment="1">
      <alignment vertical="center" wrapText="1"/>
    </xf>
    <xf numFmtId="0" fontId="39" fillId="17" borderId="23" xfId="0" applyFont="1" applyFill="1" applyBorder="1" applyAlignment="1">
      <alignment vertical="center" wrapText="1"/>
    </xf>
    <xf numFmtId="0" fontId="39" fillId="17" borderId="24" xfId="0" applyFont="1" applyFill="1" applyBorder="1" applyAlignment="1">
      <alignment vertical="center" wrapText="1"/>
    </xf>
    <xf numFmtId="166" fontId="42" fillId="11" borderId="15" xfId="0" applyNumberFormat="1" applyFont="1" applyFill="1" applyBorder="1" applyAlignment="1">
      <alignment vertical="center"/>
    </xf>
    <xf numFmtId="166" fontId="41" fillId="11" borderId="15" xfId="0" applyNumberFormat="1" applyFont="1" applyFill="1" applyBorder="1" applyAlignment="1">
      <alignment vertical="center"/>
    </xf>
    <xf numFmtId="0" fontId="43" fillId="8" borderId="0" xfId="1" applyFont="1" applyFill="1" applyAlignment="1">
      <alignment horizontal="center" vertical="center" wrapText="1"/>
    </xf>
    <xf numFmtId="0" fontId="43" fillId="8" borderId="0" xfId="1" applyFont="1" applyFill="1" applyAlignment="1">
      <alignment horizontal="center" vertical="center"/>
    </xf>
    <xf numFmtId="0" fontId="4" fillId="10" borderId="0" xfId="0" applyFont="1" applyAlignment="1">
      <alignment horizontal="center" vertical="center"/>
    </xf>
    <xf numFmtId="164" fontId="4" fillId="10" borderId="0" xfId="0" applyNumberFormat="1" applyFont="1" applyAlignment="1">
      <alignment horizontal="center" vertical="center"/>
    </xf>
    <xf numFmtId="0" fontId="14" fillId="9" borderId="28" xfId="3" applyFont="1" applyFill="1" applyBorder="1" applyAlignment="1">
      <alignment horizontal="left" vertical="center" indent="1"/>
    </xf>
    <xf numFmtId="0" fontId="18" fillId="9" borderId="29" xfId="3" applyFont="1" applyFill="1" applyBorder="1">
      <alignment vertical="center"/>
    </xf>
    <xf numFmtId="0" fontId="18" fillId="9" borderId="30" xfId="3" applyFont="1" applyFill="1" applyBorder="1">
      <alignment vertical="center"/>
    </xf>
    <xf numFmtId="0" fontId="11" fillId="4" borderId="31" xfId="0" applyFont="1" applyFill="1" applyBorder="1" applyAlignment="1">
      <alignment horizontal="left" vertical="center" indent="1"/>
    </xf>
    <xf numFmtId="166" fontId="41" fillId="11" borderId="8" xfId="0" applyNumberFormat="1" applyFont="1" applyFill="1" applyBorder="1" applyAlignment="1">
      <alignment vertical="center"/>
    </xf>
    <xf numFmtId="166" fontId="41" fillId="11" borderId="25" xfId="0" applyNumberFormat="1" applyFont="1" applyFill="1" applyBorder="1" applyAlignment="1">
      <alignment vertical="center"/>
    </xf>
    <xf numFmtId="166" fontId="41" fillId="11" borderId="32" xfId="0" applyNumberFormat="1" applyFont="1" applyFill="1" applyBorder="1" applyAlignment="1">
      <alignment vertical="center"/>
    </xf>
    <xf numFmtId="0" fontId="11" fillId="4" borderId="27" xfId="0" applyFont="1" applyFill="1" applyBorder="1" applyAlignment="1">
      <alignment horizontal="left" vertical="center" indent="1"/>
    </xf>
    <xf numFmtId="166" fontId="41" fillId="11" borderId="33" xfId="0" applyNumberFormat="1" applyFont="1" applyFill="1" applyBorder="1" applyAlignment="1">
      <alignment vertical="center"/>
    </xf>
    <xf numFmtId="166" fontId="41" fillId="11" borderId="34" xfId="0" applyNumberFormat="1" applyFont="1" applyFill="1" applyBorder="1" applyAlignment="1">
      <alignment vertical="center"/>
    </xf>
    <xf numFmtId="166" fontId="41" fillId="11" borderId="35" xfId="0" applyNumberFormat="1" applyFont="1" applyFill="1" applyBorder="1" applyAlignment="1">
      <alignment vertical="center"/>
    </xf>
    <xf numFmtId="0" fontId="50" fillId="12" borderId="9" xfId="4" applyFont="1" applyFill="1" applyBorder="1" applyAlignment="1">
      <alignment horizontal="center" vertical="center"/>
    </xf>
    <xf numFmtId="166" fontId="41" fillId="11" borderId="26" xfId="0" applyNumberFormat="1" applyFont="1" applyFill="1" applyBorder="1" applyAlignment="1">
      <alignment vertical="center"/>
    </xf>
    <xf numFmtId="166" fontId="41" fillId="11" borderId="13" xfId="0" applyNumberFormat="1" applyFont="1" applyFill="1" applyBorder="1" applyAlignment="1">
      <alignment vertical="center"/>
    </xf>
    <xf numFmtId="0" fontId="14" fillId="9" borderId="38" xfId="3" applyFont="1" applyFill="1" applyBorder="1" applyAlignment="1">
      <alignment horizontal="left" vertical="center" indent="1"/>
    </xf>
    <xf numFmtId="0" fontId="11" fillId="4" borderId="39" xfId="0" applyFont="1" applyFill="1" applyBorder="1" applyAlignment="1">
      <alignment horizontal="left" vertical="center" indent="1"/>
    </xf>
    <xf numFmtId="166" fontId="41" fillId="11" borderId="40" xfId="0" applyNumberFormat="1" applyFont="1" applyFill="1" applyBorder="1" applyAlignment="1">
      <alignment vertical="center"/>
    </xf>
    <xf numFmtId="166" fontId="41" fillId="11" borderId="41" xfId="0" applyNumberFormat="1" applyFont="1" applyFill="1" applyBorder="1" applyAlignment="1">
      <alignment vertical="center"/>
    </xf>
    <xf numFmtId="0" fontId="11" fillId="4" borderId="36" xfId="0" applyFont="1" applyFill="1" applyBorder="1" applyAlignment="1">
      <alignment horizontal="left" vertical="center" indent="1"/>
    </xf>
    <xf numFmtId="166" fontId="41" fillId="11" borderId="42" xfId="0" applyNumberFormat="1" applyFont="1" applyFill="1" applyBorder="1" applyAlignment="1">
      <alignment vertical="center"/>
    </xf>
    <xf numFmtId="166" fontId="41" fillId="11" borderId="43" xfId="0" applyNumberFormat="1" applyFont="1" applyFill="1" applyBorder="1" applyAlignment="1">
      <alignment vertical="center"/>
    </xf>
    <xf numFmtId="166" fontId="41" fillId="11" borderId="44" xfId="0" applyNumberFormat="1" applyFont="1" applyFill="1" applyBorder="1" applyAlignment="1">
      <alignment vertical="center"/>
    </xf>
    <xf numFmtId="0" fontId="29" fillId="9" borderId="38" xfId="3" applyFont="1" applyFill="1" applyBorder="1" applyAlignment="1">
      <alignment horizontal="left" vertical="center" indent="1"/>
    </xf>
    <xf numFmtId="0" fontId="25" fillId="4" borderId="36" xfId="0" applyFont="1" applyFill="1" applyBorder="1" applyAlignment="1">
      <alignment horizontal="left" vertical="center" indent="1"/>
    </xf>
    <xf numFmtId="166" fontId="26" fillId="11" borderId="37" xfId="0" applyNumberFormat="1" applyFont="1" applyFill="1" applyBorder="1" applyAlignment="1">
      <alignment vertical="center"/>
    </xf>
    <xf numFmtId="0" fontId="50" fillId="12" borderId="11" xfId="4" applyFont="1" applyFill="1" applyBorder="1" applyAlignment="1">
      <alignment horizontal="center" vertical="center"/>
    </xf>
    <xf numFmtId="0" fontId="44" fillId="15" borderId="46" xfId="4" applyFont="1" applyFill="1" applyBorder="1" applyAlignment="1">
      <alignment horizontal="center" vertical="center" wrapText="1"/>
    </xf>
    <xf numFmtId="0" fontId="44" fillId="15" borderId="47" xfId="4" applyFont="1" applyFill="1" applyBorder="1" applyAlignment="1">
      <alignment horizontal="center" vertical="center" wrapText="1"/>
    </xf>
    <xf numFmtId="0" fontId="44" fillId="15" borderId="47" xfId="4" applyFont="1" applyFill="1" applyBorder="1" applyAlignment="1">
      <alignment horizontal="left" vertical="center" wrapText="1" indent="1"/>
    </xf>
    <xf numFmtId="0" fontId="44" fillId="15" borderId="48" xfId="4" applyFont="1" applyFill="1" applyBorder="1" applyAlignment="1">
      <alignment horizontal="center" vertical="center" wrapText="1"/>
    </xf>
    <xf numFmtId="0" fontId="45" fillId="16" borderId="49" xfId="5" applyFont="1" applyFill="1" applyBorder="1" applyAlignment="1">
      <alignment horizontal="center" vertical="center"/>
    </xf>
    <xf numFmtId="4" fontId="46" fillId="16" borderId="50" xfId="5" applyNumberFormat="1" applyFont="1" applyFill="1" applyBorder="1" applyAlignment="1">
      <alignment horizontal="right" vertical="center"/>
    </xf>
    <xf numFmtId="4" fontId="46" fillId="16" borderId="51" xfId="5" applyNumberFormat="1" applyFont="1" applyFill="1" applyBorder="1" applyAlignment="1">
      <alignment horizontal="right" vertical="center"/>
    </xf>
    <xf numFmtId="4" fontId="46" fillId="16" borderId="51" xfId="5" applyNumberFormat="1" applyFont="1" applyFill="1" applyBorder="1" applyAlignment="1">
      <alignment vertical="center"/>
    </xf>
    <xf numFmtId="4" fontId="46" fillId="16" borderId="50" xfId="5" applyNumberFormat="1" applyFont="1" applyFill="1" applyBorder="1" applyAlignment="1">
      <alignment vertical="center"/>
    </xf>
    <xf numFmtId="4" fontId="45" fillId="16" borderId="52" xfId="5" applyNumberFormat="1" applyFont="1" applyFill="1" applyBorder="1" applyAlignment="1">
      <alignment vertical="center"/>
    </xf>
    <xf numFmtId="0" fontId="45" fillId="17" borderId="53" xfId="5" applyFont="1" applyFill="1" applyBorder="1" applyAlignment="1">
      <alignment horizontal="center" vertical="center"/>
    </xf>
    <xf numFmtId="4" fontId="46" fillId="17" borderId="54" xfId="5" applyNumberFormat="1" applyFont="1" applyFill="1" applyBorder="1" applyAlignment="1">
      <alignment horizontal="right" vertical="center"/>
    </xf>
    <xf numFmtId="4" fontId="46" fillId="17" borderId="55" xfId="5" applyNumberFormat="1" applyFont="1" applyFill="1" applyBorder="1" applyAlignment="1">
      <alignment horizontal="right" vertical="center"/>
    </xf>
    <xf numFmtId="4" fontId="46" fillId="17" borderId="55" xfId="5" applyNumberFormat="1" applyFont="1" applyFill="1" applyBorder="1" applyAlignment="1">
      <alignment vertical="center"/>
    </xf>
    <xf numFmtId="4" fontId="46" fillId="17" borderId="54" xfId="5" applyNumberFormat="1" applyFont="1" applyFill="1" applyBorder="1" applyAlignment="1">
      <alignment vertical="center"/>
    </xf>
    <xf numFmtId="4" fontId="45" fillId="17" borderId="56" xfId="5" applyNumberFormat="1" applyFont="1" applyFill="1" applyBorder="1" applyAlignment="1">
      <alignment vertical="center"/>
    </xf>
    <xf numFmtId="0" fontId="45" fillId="16" borderId="53" xfId="5" applyFont="1" applyFill="1" applyBorder="1" applyAlignment="1">
      <alignment horizontal="center" vertical="center"/>
    </xf>
    <xf numFmtId="4" fontId="46" fillId="16" borderId="54" xfId="5" applyNumberFormat="1" applyFont="1" applyFill="1" applyBorder="1" applyAlignment="1">
      <alignment horizontal="right" vertical="center"/>
    </xf>
    <xf numFmtId="4" fontId="46" fillId="16" borderId="55" xfId="5" applyNumberFormat="1" applyFont="1" applyFill="1" applyBorder="1" applyAlignment="1">
      <alignment horizontal="right" vertical="center"/>
    </xf>
    <xf numFmtId="4" fontId="46" fillId="16" borderId="55" xfId="5" applyNumberFormat="1" applyFont="1" applyFill="1" applyBorder="1" applyAlignment="1">
      <alignment vertical="center"/>
    </xf>
    <xf numFmtId="4" fontId="46" fillId="16" borderId="54" xfId="5" applyNumberFormat="1" applyFont="1" applyFill="1" applyBorder="1" applyAlignment="1">
      <alignment vertical="center"/>
    </xf>
    <xf numFmtId="4" fontId="45" fillId="16" borderId="56" xfId="5" applyNumberFormat="1" applyFont="1" applyFill="1" applyBorder="1" applyAlignment="1">
      <alignment vertical="center"/>
    </xf>
    <xf numFmtId="0" fontId="44" fillId="15" borderId="57" xfId="0" applyFont="1" applyFill="1" applyBorder="1" applyAlignment="1">
      <alignment horizontal="center" vertical="center" wrapText="1"/>
    </xf>
    <xf numFmtId="169" fontId="44" fillId="15" borderId="58" xfId="0" applyNumberFormat="1" applyFont="1" applyFill="1" applyBorder="1" applyAlignment="1">
      <alignment horizontal="center" vertical="center" wrapText="1"/>
    </xf>
    <xf numFmtId="169" fontId="44" fillId="15" borderId="58" xfId="0" applyNumberFormat="1" applyFont="1" applyFill="1" applyBorder="1" applyAlignment="1">
      <alignment horizontal="right" vertical="center" wrapText="1"/>
    </xf>
    <xf numFmtId="169" fontId="44" fillId="15" borderId="59" xfId="0" applyNumberFormat="1" applyFont="1" applyFill="1" applyBorder="1" applyAlignment="1">
      <alignment horizontal="right" vertical="center" wrapText="1"/>
    </xf>
    <xf numFmtId="2" fontId="48" fillId="16" borderId="0" xfId="0" applyNumberFormat="1" applyFont="1" applyFill="1" applyAlignment="1">
      <alignment vertical="center"/>
    </xf>
    <xf numFmtId="0" fontId="47" fillId="15" borderId="60" xfId="0" applyFont="1" applyFill="1" applyBorder="1" applyAlignment="1">
      <alignment horizontal="center" vertical="center"/>
    </xf>
    <xf numFmtId="0" fontId="47" fillId="15" borderId="61" xfId="0" applyFont="1" applyFill="1" applyBorder="1" applyAlignment="1">
      <alignment horizontal="center" vertical="center"/>
    </xf>
    <xf numFmtId="0" fontId="47" fillId="15" borderId="62" xfId="0" applyFont="1" applyFill="1" applyBorder="1" applyAlignment="1">
      <alignment horizontal="center" vertical="center"/>
    </xf>
    <xf numFmtId="0" fontId="31" fillId="16" borderId="63" xfId="0" applyFont="1" applyFill="1" applyBorder="1" applyAlignment="1">
      <alignment horizontal="center" vertical="center"/>
    </xf>
    <xf numFmtId="0" fontId="31" fillId="17" borderId="63" xfId="0" applyFont="1" applyFill="1" applyBorder="1" applyAlignment="1">
      <alignment horizontal="center" vertical="center"/>
    </xf>
    <xf numFmtId="0" fontId="31" fillId="17" borderId="66" xfId="0" applyFont="1" applyFill="1" applyBorder="1" applyAlignment="1">
      <alignment horizontal="center" vertical="center"/>
    </xf>
    <xf numFmtId="10" fontId="31" fillId="16" borderId="64" xfId="0" applyNumberFormat="1" applyFont="1" applyFill="1" applyBorder="1"/>
    <xf numFmtId="10" fontId="31" fillId="16" borderId="65" xfId="0" applyNumberFormat="1" applyFont="1" applyFill="1" applyBorder="1"/>
    <xf numFmtId="10" fontId="31" fillId="17" borderId="64" xfId="0" applyNumberFormat="1" applyFont="1" applyFill="1" applyBorder="1"/>
    <xf numFmtId="10" fontId="31" fillId="17" borderId="65" xfId="0" applyNumberFormat="1" applyFont="1" applyFill="1" applyBorder="1"/>
    <xf numFmtId="10" fontId="31" fillId="17" borderId="67" xfId="0" applyNumberFormat="1" applyFont="1" applyFill="1" applyBorder="1"/>
    <xf numFmtId="10" fontId="31" fillId="17" borderId="68" xfId="0" applyNumberFormat="1" applyFont="1" applyFill="1" applyBorder="1"/>
    <xf numFmtId="0" fontId="43" fillId="9" borderId="45" xfId="3" applyFont="1" applyFill="1" applyBorder="1">
      <alignment vertical="center"/>
    </xf>
    <xf numFmtId="0" fontId="47" fillId="15" borderId="60" xfId="0" applyFont="1" applyFill="1" applyBorder="1" applyAlignment="1">
      <alignment horizontal="center" vertical="center" wrapText="1"/>
    </xf>
    <xf numFmtId="0" fontId="47" fillId="15" borderId="61" xfId="0" applyFont="1" applyFill="1" applyBorder="1" applyAlignment="1">
      <alignment horizontal="center" vertical="center" wrapText="1"/>
    </xf>
    <xf numFmtId="0" fontId="47" fillId="15" borderId="62" xfId="0" applyFont="1" applyFill="1" applyBorder="1" applyAlignment="1">
      <alignment horizontal="center" vertical="center" wrapText="1"/>
    </xf>
    <xf numFmtId="0" fontId="48" fillId="16" borderId="63" xfId="0" applyFont="1" applyFill="1" applyBorder="1" applyAlignment="1">
      <alignment horizontal="center" vertical="center"/>
    </xf>
    <xf numFmtId="0" fontId="48" fillId="16" borderId="64" xfId="0" applyFont="1" applyFill="1" applyBorder="1" applyAlignment="1">
      <alignment vertical="center"/>
    </xf>
    <xf numFmtId="10" fontId="48" fillId="16" borderId="64" xfId="0" applyNumberFormat="1" applyFont="1" applyFill="1" applyBorder="1" applyAlignment="1">
      <alignment vertical="center"/>
    </xf>
    <xf numFmtId="10" fontId="48" fillId="16" borderId="65" xfId="0" applyNumberFormat="1" applyFont="1" applyFill="1" applyBorder="1" applyAlignment="1">
      <alignment vertical="center"/>
    </xf>
    <xf numFmtId="0" fontId="48" fillId="17" borderId="63" xfId="0" applyFont="1" applyFill="1" applyBorder="1" applyAlignment="1">
      <alignment horizontal="center" vertical="center"/>
    </xf>
    <xf numFmtId="0" fontId="48" fillId="17" borderId="64" xfId="0" applyFont="1" applyFill="1" applyBorder="1" applyAlignment="1">
      <alignment vertical="center"/>
    </xf>
    <xf numFmtId="166" fontId="48" fillId="17" borderId="64" xfId="0" applyNumberFormat="1" applyFont="1" applyFill="1" applyBorder="1" applyAlignment="1">
      <alignment vertical="center"/>
    </xf>
    <xf numFmtId="166" fontId="48" fillId="17" borderId="65" xfId="0" applyNumberFormat="1" applyFont="1" applyFill="1" applyBorder="1" applyAlignment="1">
      <alignment vertical="center"/>
    </xf>
    <xf numFmtId="4" fontId="48" fillId="16" borderId="64" xfId="0" applyNumberFormat="1" applyFont="1" applyFill="1" applyBorder="1" applyAlignment="1">
      <alignment vertical="center"/>
    </xf>
    <xf numFmtId="4" fontId="48" fillId="16" borderId="65" xfId="0" applyNumberFormat="1" applyFont="1" applyFill="1" applyBorder="1" applyAlignment="1">
      <alignment vertical="center"/>
    </xf>
    <xf numFmtId="0" fontId="48" fillId="16" borderId="65" xfId="0" applyFont="1" applyFill="1" applyBorder="1" applyAlignment="1">
      <alignment vertical="center"/>
    </xf>
    <xf numFmtId="0" fontId="48" fillId="17" borderId="64" xfId="0" applyFont="1" applyFill="1" applyBorder="1" applyAlignment="1">
      <alignment horizontal="left" vertical="center"/>
    </xf>
    <xf numFmtId="170" fontId="48" fillId="17" borderId="64" xfId="0" applyNumberFormat="1" applyFont="1" applyFill="1" applyBorder="1" applyAlignment="1">
      <alignment horizontal="center" vertical="center"/>
    </xf>
    <xf numFmtId="170" fontId="53" fillId="17" borderId="64" xfId="0" applyNumberFormat="1" applyFont="1" applyFill="1" applyBorder="1" applyAlignment="1">
      <alignment horizontal="center" vertical="center"/>
    </xf>
    <xf numFmtId="170" fontId="48" fillId="17" borderId="65" xfId="0" applyNumberFormat="1" applyFont="1" applyFill="1" applyBorder="1" applyAlignment="1">
      <alignment horizontal="center" vertical="center"/>
    </xf>
    <xf numFmtId="170" fontId="48" fillId="16" borderId="64" xfId="0" applyNumberFormat="1" applyFont="1" applyFill="1" applyBorder="1" applyAlignment="1">
      <alignment horizontal="center" vertical="center"/>
    </xf>
    <xf numFmtId="170" fontId="53" fillId="16" borderId="64" xfId="0" applyNumberFormat="1" applyFont="1" applyFill="1" applyBorder="1" applyAlignment="1">
      <alignment horizontal="center" vertical="center"/>
    </xf>
    <xf numFmtId="170" fontId="48" fillId="16" borderId="65" xfId="0" applyNumberFormat="1" applyFont="1" applyFill="1" applyBorder="1" applyAlignment="1">
      <alignment horizontal="center" vertical="center"/>
    </xf>
    <xf numFmtId="171" fontId="48" fillId="17" borderId="64" xfId="0" applyNumberFormat="1" applyFont="1" applyFill="1" applyBorder="1" applyAlignment="1">
      <alignment horizontal="center" vertical="center"/>
    </xf>
    <xf numFmtId="171" fontId="48" fillId="17" borderId="65" xfId="0" applyNumberFormat="1" applyFont="1" applyFill="1" applyBorder="1" applyAlignment="1">
      <alignment horizontal="center" vertical="center"/>
    </xf>
    <xf numFmtId="171" fontId="48" fillId="16" borderId="64" xfId="0" applyNumberFormat="1" applyFont="1" applyFill="1" applyBorder="1" applyAlignment="1">
      <alignment horizontal="center" vertical="center"/>
    </xf>
    <xf numFmtId="171" fontId="53" fillId="16" borderId="64" xfId="0" applyNumberFormat="1" applyFont="1" applyFill="1" applyBorder="1" applyAlignment="1">
      <alignment horizontal="center" vertical="center"/>
    </xf>
    <xf numFmtId="171" fontId="48" fillId="16" borderId="65" xfId="0" applyNumberFormat="1" applyFont="1" applyFill="1" applyBorder="1" applyAlignment="1">
      <alignment horizontal="center" vertical="center"/>
    </xf>
    <xf numFmtId="0" fontId="49" fillId="17" borderId="64" xfId="0" applyFont="1" applyFill="1" applyBorder="1" applyAlignment="1">
      <alignment vertical="center"/>
    </xf>
    <xf numFmtId="4" fontId="49" fillId="17" borderId="64" xfId="0" applyNumberFormat="1" applyFont="1" applyFill="1" applyBorder="1" applyAlignment="1">
      <alignment vertical="center"/>
    </xf>
    <xf numFmtId="4" fontId="48" fillId="17" borderId="64" xfId="0" applyNumberFormat="1" applyFont="1" applyFill="1" applyBorder="1" applyAlignment="1">
      <alignment vertical="center"/>
    </xf>
    <xf numFmtId="0" fontId="48" fillId="17" borderId="65" xfId="0" applyFont="1" applyFill="1" applyBorder="1" applyAlignment="1">
      <alignment vertical="center"/>
    </xf>
    <xf numFmtId="166" fontId="49" fillId="16" borderId="64" xfId="0" applyNumberFormat="1" applyFont="1" applyFill="1" applyBorder="1" applyAlignment="1">
      <alignment vertical="center"/>
    </xf>
    <xf numFmtId="166" fontId="52" fillId="16" borderId="64" xfId="0" applyNumberFormat="1" applyFont="1" applyFill="1" applyBorder="1" applyAlignment="1">
      <alignment vertical="center"/>
    </xf>
    <xf numFmtId="166" fontId="52" fillId="16" borderId="65" xfId="0" applyNumberFormat="1" applyFont="1" applyFill="1" applyBorder="1" applyAlignment="1">
      <alignment vertical="center"/>
    </xf>
    <xf numFmtId="0" fontId="51" fillId="16" borderId="63" xfId="0" applyFont="1" applyFill="1" applyBorder="1" applyAlignment="1">
      <alignment horizontal="center" vertical="center"/>
    </xf>
    <xf numFmtId="0" fontId="51" fillId="17" borderId="66" xfId="0" applyFont="1" applyFill="1" applyBorder="1" applyAlignment="1">
      <alignment horizontal="center" vertical="center"/>
    </xf>
    <xf numFmtId="0" fontId="48" fillId="17" borderId="67" xfId="0" applyFont="1" applyFill="1" applyBorder="1" applyAlignment="1">
      <alignment vertical="center"/>
    </xf>
    <xf numFmtId="0" fontId="54" fillId="15" borderId="60" xfId="0" applyFont="1" applyFill="1" applyBorder="1" applyAlignment="1">
      <alignment horizontal="center" vertical="center" wrapText="1"/>
    </xf>
    <xf numFmtId="0" fontId="54" fillId="15" borderId="61" xfId="0" applyFont="1" applyFill="1" applyBorder="1" applyAlignment="1">
      <alignment horizontal="center" vertical="center" wrapText="1"/>
    </xf>
    <xf numFmtId="0" fontId="54" fillId="15" borderId="62" xfId="0" applyFont="1" applyFill="1" applyBorder="1" applyAlignment="1">
      <alignment horizontal="center" vertical="center" wrapText="1"/>
    </xf>
    <xf numFmtId="170" fontId="40" fillId="18" borderId="65" xfId="0" applyNumberFormat="1" applyFont="1" applyFill="1" applyBorder="1" applyAlignment="1">
      <alignment horizontal="center" vertical="center" wrapText="1"/>
    </xf>
    <xf numFmtId="49" fontId="40" fillId="18" borderId="63" xfId="0" applyNumberFormat="1" applyFont="1" applyFill="1" applyBorder="1" applyAlignment="1">
      <alignment horizontal="center" vertical="center" wrapText="1"/>
    </xf>
    <xf numFmtId="49" fontId="40" fillId="18" borderId="64" xfId="0" applyNumberFormat="1" applyFont="1" applyFill="1" applyBorder="1" applyAlignment="1">
      <alignment horizontal="center" vertical="center" wrapText="1"/>
    </xf>
    <xf numFmtId="0" fontId="40" fillId="18" borderId="64" xfId="0" applyFont="1" applyFill="1" applyBorder="1" applyAlignment="1">
      <alignment horizontal="center" vertical="center" wrapText="1"/>
    </xf>
    <xf numFmtId="49" fontId="40" fillId="19" borderId="63" xfId="0" applyNumberFormat="1" applyFont="1" applyFill="1" applyBorder="1" applyAlignment="1">
      <alignment horizontal="center" vertical="center" wrapText="1"/>
    </xf>
    <xf numFmtId="49" fontId="40" fillId="19" borderId="64" xfId="0" applyNumberFormat="1" applyFont="1" applyFill="1" applyBorder="1" applyAlignment="1">
      <alignment horizontal="center" vertical="center" wrapText="1"/>
    </xf>
    <xf numFmtId="0" fontId="40" fillId="19" borderId="64" xfId="0" applyFont="1" applyFill="1" applyBorder="1" applyAlignment="1">
      <alignment horizontal="center" vertical="center" wrapText="1"/>
    </xf>
    <xf numFmtId="170" fontId="40" fillId="19" borderId="65" xfId="0" applyNumberFormat="1" applyFont="1" applyFill="1" applyBorder="1" applyAlignment="1">
      <alignment horizontal="center" vertical="center" wrapText="1"/>
    </xf>
    <xf numFmtId="0" fontId="55" fillId="10" borderId="17" xfId="0" applyFont="1" applyBorder="1" applyAlignment="1">
      <alignment horizontal="center" vertical="center" wrapText="1"/>
    </xf>
    <xf numFmtId="0" fontId="55" fillId="18" borderId="17" xfId="0" applyFont="1" applyFill="1" applyBorder="1" applyAlignment="1">
      <alignment horizontal="center" vertical="center" wrapText="1"/>
    </xf>
    <xf numFmtId="2" fontId="49" fillId="16" borderId="64" xfId="0" applyNumberFormat="1" applyFont="1" applyFill="1" applyBorder="1" applyAlignment="1">
      <alignment horizontal="center" vertical="center"/>
    </xf>
    <xf numFmtId="2" fontId="51" fillId="16" borderId="64" xfId="0" applyNumberFormat="1" applyFont="1" applyFill="1" applyBorder="1" applyAlignment="1">
      <alignment horizontal="center" vertical="center"/>
    </xf>
    <xf numFmtId="2" fontId="51" fillId="16" borderId="65" xfId="0" applyNumberFormat="1" applyFont="1" applyFill="1" applyBorder="1" applyAlignment="1">
      <alignment horizontal="center" vertical="center"/>
    </xf>
    <xf numFmtId="49" fontId="56" fillId="19" borderId="64" xfId="0" applyNumberFormat="1" applyFont="1" applyFill="1" applyBorder="1" applyAlignment="1">
      <alignment horizontal="center" vertical="center" wrapText="1"/>
    </xf>
    <xf numFmtId="49" fontId="56" fillId="18" borderId="64" xfId="0" applyNumberFormat="1" applyFont="1" applyFill="1" applyBorder="1" applyAlignment="1">
      <alignment horizontal="center" vertical="center" wrapText="1"/>
    </xf>
    <xf numFmtId="2" fontId="53" fillId="16" borderId="64" xfId="0" applyNumberFormat="1" applyFont="1" applyFill="1" applyBorder="1" applyAlignment="1">
      <alignment horizontal="center" vertical="center"/>
    </xf>
    <xf numFmtId="49" fontId="31" fillId="16" borderId="63" xfId="0" applyNumberFormat="1" applyFont="1" applyFill="1" applyBorder="1" applyAlignment="1">
      <alignment horizontal="center" vertical="center"/>
    </xf>
    <xf numFmtId="49" fontId="31" fillId="17" borderId="63" xfId="0" applyNumberFormat="1" applyFont="1" applyFill="1" applyBorder="1" applyAlignment="1">
      <alignment horizontal="center" vertical="center"/>
    </xf>
    <xf numFmtId="49" fontId="31" fillId="17" borderId="66" xfId="0" applyNumberFormat="1" applyFont="1" applyFill="1" applyBorder="1" applyAlignment="1">
      <alignment horizontal="center" vertical="center"/>
    </xf>
    <xf numFmtId="172" fontId="51" fillId="16" borderId="64" xfId="0" applyNumberFormat="1" applyFont="1" applyFill="1" applyBorder="1" applyAlignment="1">
      <alignment horizontal="center" vertical="center"/>
    </xf>
    <xf numFmtId="172" fontId="51" fillId="17" borderId="64" xfId="0" applyNumberFormat="1" applyFont="1" applyFill="1" applyBorder="1" applyAlignment="1">
      <alignment horizontal="center" vertical="center"/>
    </xf>
    <xf numFmtId="172" fontId="51" fillId="17" borderId="67" xfId="0" applyNumberFormat="1" applyFont="1" applyFill="1" applyBorder="1" applyAlignment="1">
      <alignment horizontal="center" vertical="center"/>
    </xf>
    <xf numFmtId="169" fontId="51" fillId="16" borderId="65" xfId="0" applyNumberFormat="1" applyFont="1" applyFill="1" applyBorder="1" applyAlignment="1">
      <alignment vertical="center"/>
    </xf>
    <xf numFmtId="169" fontId="51" fillId="17" borderId="65" xfId="0" applyNumberFormat="1" applyFont="1" applyFill="1" applyBorder="1" applyAlignment="1">
      <alignment vertical="center"/>
    </xf>
    <xf numFmtId="169" fontId="51" fillId="17" borderId="68" xfId="0" applyNumberFormat="1" applyFont="1" applyFill="1" applyBorder="1" applyAlignment="1">
      <alignment vertical="center"/>
    </xf>
    <xf numFmtId="0" fontId="32" fillId="0" borderId="0" xfId="5" quotePrefix="1"/>
    <xf numFmtId="0" fontId="28" fillId="4" borderId="13" xfId="0" applyFont="1" applyFill="1" applyBorder="1" applyAlignment="1">
      <alignment horizontal="left" vertical="center" indent="1"/>
    </xf>
    <xf numFmtId="165" fontId="0" fillId="11" borderId="14" xfId="0" applyNumberFormat="1" applyFill="1" applyBorder="1" applyAlignment="1">
      <alignment horizontal="right" vertical="center"/>
    </xf>
    <xf numFmtId="0" fontId="57" fillId="12" borderId="10" xfId="4" applyFont="1" applyFill="1" applyBorder="1" applyAlignment="1">
      <alignment horizontal="center" vertical="center"/>
    </xf>
    <xf numFmtId="0" fontId="57" fillId="12" borderId="11" xfId="4" applyFont="1" applyFill="1" applyBorder="1" applyAlignment="1">
      <alignment horizontal="center" vertical="center"/>
    </xf>
    <xf numFmtId="0" fontId="57" fillId="12" borderId="12" xfId="4" applyFont="1" applyFill="1" applyBorder="1" applyAlignment="1">
      <alignment horizontal="center" vertical="center"/>
    </xf>
    <xf numFmtId="0" fontId="29" fillId="7" borderId="0" xfId="3" applyFont="1" applyFill="1" applyAlignment="1">
      <alignment horizontal="center" vertical="center"/>
    </xf>
    <xf numFmtId="0" fontId="16" fillId="6" borderId="69" xfId="4" applyFont="1" applyFill="1" applyBorder="1">
      <alignment horizontal="left" vertical="center" indent="1"/>
    </xf>
    <xf numFmtId="0" fontId="0" fillId="0" borderId="0" xfId="0" applyFill="1"/>
    <xf numFmtId="0" fontId="32" fillId="0" borderId="0" xfId="5" applyAlignment="1">
      <alignment horizontal="center"/>
    </xf>
    <xf numFmtId="0" fontId="32" fillId="0" borderId="0" xfId="5"/>
    <xf numFmtId="15" fontId="32" fillId="0" borderId="0" xfId="5" applyNumberFormat="1" applyAlignment="1">
      <alignment horizontal="center"/>
    </xf>
    <xf numFmtId="0" fontId="12" fillId="4" borderId="0" xfId="2" applyAlignment="1">
      <alignment horizontal="right" vertical="center" indent="3"/>
    </xf>
    <xf numFmtId="0" fontId="2" fillId="10" borderId="0" xfId="0" applyFont="1"/>
    <xf numFmtId="0" fontId="19" fillId="11" borderId="0" xfId="0" applyFont="1" applyFill="1" applyAlignment="1">
      <alignment horizontal="center"/>
    </xf>
    <xf numFmtId="0" fontId="3" fillId="10" borderId="0" xfId="0" applyFont="1"/>
  </cellXfs>
  <cellStyles count="11">
    <cellStyle name="Dashboard Labels" xfId="9" xr:uid="{00000000-0005-0000-0000-000009000000}"/>
    <cellStyle name="Dashboard Values" xfId="8" xr:uid="{00000000-0005-0000-0000-000008000000}"/>
    <cellStyle name="Normal" xfId="0" builtinId="0"/>
    <cellStyle name="Normal 2" xfId="5" xr:uid="{00000000-0005-0000-0000-000005000000}"/>
    <cellStyle name="Normal 3" xfId="6" xr:uid="{00000000-0005-0000-0000-000006000000}"/>
    <cellStyle name="Normal 4" xfId="7" xr:uid="{00000000-0005-0000-0000-000007000000}"/>
    <cellStyle name="Table Title" xfId="10" xr:uid="{00000000-0005-0000-0000-00000A000000}"/>
    <cellStyle name="Titre 1" xfId="1" builtinId="16"/>
    <cellStyle name="Titre 2" xfId="2" builtinId="17"/>
    <cellStyle name="Titre 3" xfId="3" builtinId="18"/>
    <cellStyle name="Titre 4" xfId="4" builtinId="19"/>
  </cellStyles>
  <dxfs count="1455">
    <dxf>
      <font>
        <condense val="0"/>
        <extend val="0"/>
      </font>
      <fill>
        <patternFill>
          <bgColor indexed="26"/>
        </patternFill>
      </fill>
    </dxf>
    <dxf>
      <font>
        <condense val="0"/>
        <extend val="0"/>
      </font>
      <fill>
        <patternFill>
          <bgColor indexed="2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condense val="0"/>
        <extend val="0"/>
        <outline val="0"/>
        <shadow val="0"/>
        <vertAlign val="baseline"/>
        <sz val="9"/>
        <color theme="1" tint="0.24994659260841701"/>
        <name val="Microsoft Sans Serif"/>
        <family val="2"/>
        <scheme val="minor"/>
      </font>
      <numFmt numFmtId="13" formatCode="0%"/>
      <fill>
        <patternFill patternType="solid">
          <fgColor indexed="64"/>
          <bgColor theme="6" tint="0.79998168889431442"/>
        </patternFill>
      </fill>
      <alignment horizontal="right" vertical="center" indent="2"/>
      <border outline="0">
        <left style="medium">
          <color theme="6" tint="0.39997558519241921"/>
        </left>
        <right style="medium">
          <color theme="6" tint="0.39997558519241921"/>
        </right>
        <top/>
        <bottom/>
      </border>
    </dxf>
    <dxf>
      <font>
        <strike val="0"/>
        <condense val="0"/>
        <extend val="0"/>
        <outline val="0"/>
        <shadow val="0"/>
        <vertAlign val="baseline"/>
        <sz val="12"/>
        <color theme="1" tint="0.24994659260841701"/>
        <name val="Microsoft Sans Serif"/>
        <family val="2"/>
        <scheme val="minor"/>
      </font>
      <numFmt numFmtId="13" formatCode="0%"/>
      <fill>
        <patternFill patternType="solid">
          <fgColor indexed="64"/>
          <bgColor theme="6" tint="0.79998168889431442"/>
        </patternFill>
      </fill>
      <alignment horizontal="right" vertical="center" indent="2"/>
      <border outline="0">
        <left style="medium">
          <color theme="6" tint="0.39997558519241921"/>
        </left>
        <right style="medium">
          <color theme="6" tint="0.39997558519241921"/>
        </right>
        <top style="medium">
          <color theme="6" tint="0.39997558519241921"/>
        </top>
        <bottom style="medium">
          <color theme="6" tint="0.39997558519241921"/>
        </bottom>
      </border>
    </dxf>
    <dxf>
      <font>
        <strike val="0"/>
        <condense val="0"/>
        <extend val="0"/>
        <outline val="0"/>
        <shadow val="0"/>
        <vertAlign val="baseline"/>
        <sz val="9"/>
        <color theme="1" tint="0.24994659260841701"/>
        <name val="Microsoft Sans Serif"/>
        <family val="2"/>
        <scheme val="minor"/>
      </font>
      <fill>
        <patternFill patternType="solid">
          <fgColor indexed="64"/>
          <bgColor theme="6" tint="0.79998168889431442"/>
        </patternFill>
      </fill>
      <alignment horizontal="right" vertical="center" indent="2"/>
      <border outline="0">
        <left style="medium">
          <color theme="6" tint="0.39997558519241921"/>
        </left>
        <right style="medium">
          <color theme="6" tint="0.39997558519241921"/>
        </right>
        <top/>
        <bottom/>
      </border>
    </dxf>
    <dxf>
      <font>
        <strike val="0"/>
        <condense val="0"/>
        <extend val="0"/>
        <outline val="0"/>
        <shadow val="0"/>
        <vertAlign val="baseline"/>
        <sz val="12"/>
        <color theme="1" tint="0.24994659260841701"/>
        <name val="Microsoft Sans Serif"/>
        <family val="2"/>
        <scheme val="minor"/>
      </font>
      <numFmt numFmtId="166" formatCode="\ &quot;R$&quot;#,##0.00"/>
      <fill>
        <patternFill patternType="solid">
          <fgColor indexed="64"/>
          <bgColor theme="5" tint="0.79998168889431442"/>
        </patternFill>
      </fill>
      <alignment horizontal="right" vertical="center"/>
      <border outline="0">
        <left/>
        <right style="medium">
          <color theme="6" tint="0.39994506668294322"/>
        </right>
        <top style="medium">
          <color theme="6" tint="0.39994506668294322"/>
        </top>
        <bottom style="medium">
          <color theme="6" tint="0.39994506668294322"/>
        </bottom>
      </border>
    </dxf>
    <dxf>
      <font>
        <strike val="0"/>
        <condense val="0"/>
        <extend val="0"/>
        <outline val="0"/>
        <shadow val="0"/>
        <vertAlign val="baseline"/>
        <sz val="9"/>
        <color theme="1" tint="0.24994659260841701"/>
        <name val="Microsoft Sans Serif"/>
        <family val="2"/>
        <scheme val="minor"/>
      </font>
      <fill>
        <patternFill patternType="solid">
          <fgColor indexed="64"/>
          <bgColor theme="6" tint="0.79998168889431442"/>
        </patternFill>
      </fill>
      <alignment horizontal="right" vertical="center" indent="2"/>
      <border outline="0">
        <left style="medium">
          <color theme="6" tint="0.39997558519241921"/>
        </left>
        <right style="medium">
          <color theme="6" tint="0.39997558519241921"/>
        </right>
        <top/>
        <bottom/>
      </border>
    </dxf>
    <dxf>
      <font>
        <strike val="0"/>
        <condense val="0"/>
        <extend val="0"/>
        <outline val="0"/>
        <shadow val="0"/>
        <vertAlign val="baseline"/>
        <sz val="12"/>
        <color theme="1" tint="0.24994659260841701"/>
        <name val="Microsoft Sans Serif"/>
        <family val="2"/>
        <scheme val="minor"/>
      </font>
      <numFmt numFmtId="166" formatCode="\ &quot;R$&quot;#,##0.00"/>
      <fill>
        <patternFill patternType="solid">
          <fgColor indexed="64"/>
          <bgColor theme="5" tint="0.79998168889431442"/>
        </patternFill>
      </fill>
      <alignment horizontal="right" vertical="center"/>
      <border outline="0">
        <left/>
        <right style="medium">
          <color theme="6" tint="0.39994506668294322"/>
        </right>
        <top style="medium">
          <color theme="6" tint="0.39994506668294322"/>
        </top>
        <bottom style="medium">
          <color theme="6" tint="0.39994506668294322"/>
        </bottom>
      </border>
    </dxf>
    <dxf>
      <font>
        <strike val="0"/>
        <condense val="0"/>
        <extend val="0"/>
        <outline val="0"/>
        <shadow val="0"/>
        <vertAlign val="baseline"/>
        <sz val="9"/>
        <color theme="1" tint="0.24994659260841701"/>
        <name val="Microsoft Sans Serif"/>
        <family val="2"/>
        <scheme val="minor"/>
      </font>
      <fill>
        <patternFill patternType="solid">
          <fgColor indexed="64"/>
          <bgColor theme="6" tint="0.79998168889431442"/>
        </patternFill>
      </fill>
      <alignment horizontal="right" vertical="center" indent="2"/>
      <border outline="0">
        <left style="medium">
          <color theme="6" tint="0.39997558519241921"/>
        </left>
        <right style="medium">
          <color theme="6" tint="0.39997558519241921"/>
        </right>
        <top/>
        <bottom/>
      </border>
    </dxf>
    <dxf>
      <font>
        <strike val="0"/>
        <condense val="0"/>
        <extend val="0"/>
        <outline val="0"/>
        <shadow val="0"/>
        <vertAlign val="baseline"/>
        <sz val="12"/>
        <color theme="1" tint="0.24994659260841701"/>
        <name val="Microsoft Sans Serif"/>
        <family val="2"/>
        <scheme val="minor"/>
      </font>
      <numFmt numFmtId="166" formatCode="\ &quot;R$&quot;#,##0.00"/>
      <fill>
        <patternFill patternType="solid">
          <fgColor indexed="64"/>
          <bgColor theme="5" tint="0.79998168889431442"/>
        </patternFill>
      </fill>
      <alignment horizontal="right" vertical="center"/>
      <border outline="0">
        <left/>
        <right style="medium">
          <color theme="6" tint="0.39994506668294322"/>
        </right>
        <top style="medium">
          <color theme="6" tint="0.39994506668294322"/>
        </top>
        <bottom style="medium">
          <color theme="6" tint="0.39994506668294322"/>
        </bottom>
      </border>
    </dxf>
    <dxf>
      <font>
        <strike val="0"/>
        <condense val="0"/>
        <extend val="0"/>
        <outline val="0"/>
        <shadow val="0"/>
        <vertAlign val="baseline"/>
        <sz val="9"/>
        <color theme="1" tint="0.24994659260841701"/>
        <name val="Microsoft Sans Serif"/>
        <family val="2"/>
        <scheme val="minor"/>
      </font>
      <fill>
        <patternFill patternType="solid">
          <fgColor indexed="64"/>
          <bgColor theme="6" tint="0.79998168889431442"/>
        </patternFill>
      </fill>
      <alignment horizontal="left" vertical="center" indent="2"/>
      <border outline="0">
        <left style="medium">
          <color theme="6" tint="0.39997558519241921"/>
        </left>
        <right style="medium">
          <color theme="6" tint="0.39997558519241921"/>
        </right>
        <top/>
        <bottom/>
      </border>
    </dxf>
    <dxf>
      <font>
        <strike val="0"/>
        <condense val="0"/>
        <extend val="0"/>
        <outline val="0"/>
        <shadow val="0"/>
        <vertAlign val="baseline"/>
        <sz val="12"/>
        <color theme="1" tint="0.24994659260841701"/>
        <name val="Microsoft Sans Serif"/>
        <family val="2"/>
        <scheme val="minor"/>
      </font>
      <numFmt numFmtId="0" formatCode="General"/>
      <fill>
        <patternFill patternType="solid">
          <fgColor indexed="64"/>
          <bgColor theme="6" tint="0.79998168889431442"/>
        </patternFill>
      </fill>
      <alignment horizontal="left" vertical="center" indent="2"/>
      <border outline="0">
        <left style="medium">
          <color theme="6" tint="0.39997558519241921"/>
        </left>
        <right style="medium">
          <color theme="6" tint="0.39997558519241921"/>
        </right>
        <top style="medium">
          <color theme="6" tint="0.39997558519241921"/>
        </top>
        <bottom style="medium">
          <color theme="6" tint="0.39997558519241921"/>
        </bottom>
      </border>
    </dxf>
    <dxf>
      <font>
        <strike val="0"/>
        <outline val="0"/>
        <shadow val="0"/>
        <vertAlign val="baseline"/>
        <sz val="12"/>
      </font>
    </dxf>
    <dxf>
      <border outline="0">
        <bottom style="medium">
          <color rgb="FF84C6EA"/>
        </bottom>
      </border>
    </dxf>
    <dxf>
      <font>
        <strike val="0"/>
        <condense val="0"/>
        <extend val="0"/>
        <outline val="0"/>
        <shadow val="0"/>
        <vertAlign val="baseline"/>
        <sz val="12"/>
        <color rgb="FF404040"/>
        <name val="Microsoft Sans Serif"/>
        <family val="2"/>
      </font>
      <fill>
        <patternFill patternType="solid">
          <fgColor rgb="FF000000"/>
          <bgColor rgb="FFD6ECF8"/>
        </patternFill>
      </fill>
      <alignment horizontal="right" vertical="center" indent="2"/>
    </dxf>
    <dxf>
      <font>
        <strike val="0"/>
        <outline val="0"/>
        <shadow val="0"/>
        <vertAlign val="baseline"/>
        <sz val="12"/>
      </font>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2"/>
      <border outline="0">
        <left/>
        <right style="medium">
          <color theme="6" tint="0.39994506668294322"/>
        </right>
        <top style="medium">
          <color theme="6" tint="0.39994506668294322"/>
        </top>
        <bottom/>
      </border>
    </dxf>
    <dxf>
      <font>
        <b/>
        <strike val="0"/>
        <outline val="0"/>
        <shadow val="0"/>
        <vertAlign val="baseline"/>
        <sz val="12"/>
        <color theme="0"/>
        <name val="Microsoft Sans Serif"/>
        <family val="2"/>
        <scheme val="minor"/>
      </font>
      <fill>
        <patternFill patternType="solid">
          <fgColor indexed="64"/>
          <bgColor theme="3"/>
        </patternFill>
      </fill>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border>
        <left/>
        <right style="medium">
          <color theme="6" tint="0.39994506668294322"/>
        </right>
        <top style="medium">
          <color theme="6" tint="0.39994506668294322"/>
        </top>
        <bottom style="medium">
          <color theme="6" tint="0.39994506668294322"/>
        </bottom>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2"/>
      <border outline="0">
        <left/>
        <right style="medium">
          <color theme="6" tint="0.39994506668294322"/>
        </right>
        <top style="medium">
          <color theme="6" tint="0.39994506668294322"/>
        </top>
        <bottom/>
      </border>
    </dxf>
    <dxf>
      <font>
        <b/>
        <strike val="0"/>
        <outline val="0"/>
        <shadow val="0"/>
        <vertAlign val="baseline"/>
        <sz val="10"/>
        <color theme="0"/>
        <name val="Microsoft Sans Serif"/>
        <family val="2"/>
        <scheme val="minor"/>
      </font>
      <fill>
        <patternFill patternType="solid">
          <fgColor indexed="64"/>
          <bgColor theme="3"/>
        </patternFill>
      </fill>
      <alignment horizontal="left" vertical="center" relativeIndent="-1"/>
      <border outline="0">
        <left/>
        <right style="medium">
          <color theme="6" tint="0.39994506668294322"/>
        </right>
        <top style="medium">
          <color theme="6" tint="0.39994506668294322"/>
        </top>
        <bottom style="medium">
          <color theme="6" tint="0.39994506668294322"/>
        </bottom>
      </border>
    </dxf>
    <dxf>
      <border>
        <top style="medium">
          <color rgb="FF84C6EA"/>
        </top>
      </border>
    </dxf>
    <dxf>
      <fill>
        <patternFill patternType="solid">
          <fgColor rgb="FF000000"/>
          <bgColor rgb="FFD6ECF8"/>
        </patternFill>
      </fill>
      <border outline="0">
        <left style="medium">
          <color rgb="FF84C6EA"/>
        </left>
        <right style="medium">
          <color rgb="FF84C6EA"/>
        </right>
        <top/>
        <bottom/>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style="medium">
          <color theme="6" tint="0.39994506668294322"/>
        </right>
        <top style="medium">
          <color theme="6" tint="0.39994506668294322"/>
        </top>
        <bottom/>
      </border>
    </dxf>
    <dxf>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6" tint="0.79998168889431442"/>
        </patternFill>
      </fill>
      <alignment horizontal="right" vertical="center"/>
      <border>
        <left style="medium">
          <color theme="6" tint="0.39994506668294322"/>
        </left>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2"/>
      <border outline="0">
        <left/>
        <right style="medium">
          <color theme="6" tint="0.39994506668294322"/>
        </right>
        <top style="medium">
          <color theme="6" tint="0.39994506668294322"/>
        </top>
        <bottom/>
      </border>
    </dxf>
    <dxf>
      <font>
        <b/>
        <strike val="0"/>
        <outline val="0"/>
        <shadow val="0"/>
        <vertAlign val="baseline"/>
        <sz val="12"/>
        <color theme="0"/>
        <name val="Microsoft Sans Serif"/>
        <family val="2"/>
        <scheme val="minor"/>
      </font>
      <fill>
        <patternFill patternType="solid">
          <fgColor indexed="64"/>
          <bgColor theme="3"/>
        </patternFill>
      </fill>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b/>
        <strike val="0"/>
        <condense val="0"/>
        <extend val="0"/>
        <outline val="0"/>
        <shadow val="0"/>
        <vertAlign val="baseline"/>
        <sz val="9"/>
        <color theme="1"/>
        <name val="Microsoft Sans Serif"/>
        <family val="2"/>
        <scheme val="minor"/>
      </font>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style="thin">
          <color theme="1"/>
        </bottom>
      </border>
    </dxf>
    <dxf>
      <font>
        <b/>
        <color theme="1"/>
      </font>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style="thin">
          <color theme="1"/>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6" tint="0.79998168889431442"/>
        </patternFill>
      </fill>
      <alignment horizontal="right" vertical="center"/>
      <border>
        <left style="medium">
          <color theme="6" tint="0.39994506668294322"/>
        </left>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2"/>
      <border outline="0">
        <left/>
        <right style="medium">
          <color theme="6" tint="0.39994506668294322"/>
        </right>
        <top style="medium">
          <color theme="6" tint="0.39994506668294322"/>
        </top>
        <bottom/>
      </border>
    </dxf>
    <dxf>
      <font>
        <b/>
        <strike val="0"/>
        <outline val="0"/>
        <shadow val="0"/>
        <vertAlign val="baseline"/>
        <sz val="12"/>
        <color theme="0"/>
        <name val="Microsoft Sans Serif"/>
        <family val="2"/>
        <scheme val="minor"/>
      </font>
      <fill>
        <patternFill patternType="solid">
          <fgColor indexed="64"/>
          <bgColor theme="3"/>
        </patternFill>
      </fill>
      <alignment horizontal="left" vertical="center" relativeIndent="-1"/>
      <border outline="0">
        <left/>
        <right/>
        <top style="medium">
          <color theme="6" tint="0.39994506668294322"/>
        </top>
        <bottom style="medium">
          <color theme="6" tint="0.39994506668294322"/>
        </bottom>
      </border>
    </dxf>
    <dxf>
      <border>
        <top style="medium">
          <color theme="6" tint="0.39994506668294322"/>
        </top>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theme="6" tint="0.39994506668294322"/>
        </top>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2"/>
      <border outline="0">
        <left/>
        <right style="medium">
          <color theme="6" tint="0.39994506668294322"/>
        </right>
        <top style="medium">
          <color theme="6" tint="0.39994506668294322"/>
        </top>
        <bottom/>
      </border>
    </dxf>
    <dxf>
      <font>
        <b/>
        <strike val="0"/>
        <outline val="0"/>
        <shadow val="0"/>
        <vertAlign val="baseline"/>
        <sz val="12"/>
        <color theme="0"/>
        <name val="Microsoft Sans Serif"/>
        <family val="2"/>
        <scheme val="minor"/>
      </font>
      <fill>
        <patternFill patternType="solid">
          <fgColor indexed="64"/>
          <bgColor theme="3"/>
        </patternFill>
      </fill>
      <alignment horizontal="left" vertical="center" relativeIndent="-1"/>
      <border outline="0">
        <left/>
        <right/>
        <top style="medium">
          <color theme="6" tint="0.39994506668294322"/>
        </top>
        <bottom style="medium">
          <color theme="6" tint="0.39994506668294322"/>
        </bottom>
      </border>
    </dxf>
    <dxf>
      <border>
        <top style="medium">
          <color theme="6" tint="0.39994506668294322"/>
        </top>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theme="6" tint="0.39994506668294322"/>
        </top>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theme="6" tint="0.39994506668294322"/>
        </top>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theme="6" tint="0.39994506668294322"/>
        </top>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theme="6" tint="0.39994506668294322"/>
        </top>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theme="6" tint="0.39994506668294322"/>
        </top>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theme="6" tint="0.39994506668294322"/>
        </top>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theme="6" tint="0.39994506668294322"/>
        </top>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theme="6" tint="0.39994506668294322"/>
        </top>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font>
        <strike val="0"/>
        <outline val="0"/>
        <shadow val="0"/>
        <vertAlign val="baseline"/>
        <sz val="9"/>
        <color theme="1" tint="0.24994659260841701"/>
        <name val="Microsoft Sans Serif"/>
        <family val="2"/>
        <scheme val="minor"/>
      </font>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outline="0">
        <left/>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border>
        <left/>
        <right style="medium">
          <color theme="6" tint="0.39994506668294322"/>
        </right>
        <top style="medium">
          <color theme="6" tint="0.39994506668294322"/>
        </top>
        <bottom style="medium">
          <color theme="6" tint="0.39994506668294322"/>
        </bottom>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theme="6" tint="0.39994506668294322"/>
        </top>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2"/>
      <border outline="0">
        <left/>
        <right style="medium">
          <color theme="6" tint="0.39994506668294322"/>
        </right>
        <top style="medium">
          <color theme="6" tint="0.39994506668294322"/>
        </top>
        <bottom/>
      </border>
    </dxf>
    <dxf>
      <font>
        <b/>
        <strike val="0"/>
        <outline val="0"/>
        <shadow val="0"/>
        <vertAlign val="baseline"/>
        <sz val="12"/>
        <color theme="0"/>
        <name val="Microsoft Sans Serif"/>
        <family val="2"/>
        <scheme val="minor"/>
      </font>
      <fill>
        <patternFill patternType="solid">
          <fgColor indexed="64"/>
          <bgColor theme="3"/>
        </patternFill>
      </fill>
      <alignment horizontal="left" vertical="center" relativeIndent="-1"/>
      <border outline="0">
        <left/>
        <right style="medium">
          <color theme="6" tint="0.39994506668294322"/>
        </right>
        <top style="medium">
          <color theme="6" tint="0.39994506668294322"/>
        </top>
        <bottom style="medium">
          <color theme="6" tint="0.39994506668294322"/>
        </bottom>
      </border>
    </dxf>
    <dxf>
      <border>
        <top style="medium">
          <color theme="6" tint="0.39994506668294322"/>
        </top>
      </border>
    </dxf>
    <dxf>
      <fill>
        <patternFill patternType="solid">
          <fgColor indexed="64"/>
          <bgColor theme="6" tint="0.79998168889431442"/>
        </patternFill>
      </fill>
      <border outline="0">
        <left style="medium">
          <color theme="6" tint="0.39994506668294322"/>
        </left>
        <right style="medium">
          <color theme="6" tint="0.39994506668294322"/>
        </right>
        <top/>
        <bottom/>
      </border>
    </dxf>
    <dxf>
      <border>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outline="0">
        <left/>
        <right style="medium">
          <color theme="6" tint="0.39994506668294322"/>
        </right>
        <top style="medium">
          <color theme="6" tint="0.39994506668294322"/>
        </top>
        <bottom style="medium">
          <color theme="6" tint="0.39994506668294322"/>
        </bottom>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style="medium">
          <color theme="6" tint="0.39994506668294322"/>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theme="6" tint="0.39994506668294322"/>
        </top>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theme="6" tint="0.39994506668294322"/>
        </top>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2"/>
      <border outline="0">
        <left/>
        <right style="medium">
          <color theme="6" tint="0.39994506668294322"/>
        </right>
        <top style="medium">
          <color theme="6" tint="0.39994506668294322"/>
        </top>
        <bottom/>
      </border>
    </dxf>
    <dxf>
      <font>
        <b/>
        <strike val="0"/>
        <outline val="0"/>
        <shadow val="0"/>
        <vertAlign val="baseline"/>
        <sz val="12"/>
        <color theme="0"/>
        <name val="Microsoft Sans Serif"/>
        <family val="2"/>
        <scheme val="minor"/>
      </font>
      <fill>
        <patternFill patternType="solid">
          <fgColor indexed="64"/>
          <bgColor theme="3"/>
        </patternFill>
      </fill>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6" tint="0.79998168889431442"/>
        </patternFill>
      </fill>
      <alignment horizontal="right" vertical="center"/>
      <border>
        <left style="medium">
          <color theme="6" tint="0.39994506668294322"/>
        </left>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b/>
        <strike val="0"/>
        <condense val="0"/>
        <extend val="0"/>
        <outline val="0"/>
        <shadow val="0"/>
        <vertAlign val="baseline"/>
        <sz val="9"/>
        <color theme="1"/>
        <name val="Microsoft Sans Serif"/>
        <family val="2"/>
        <scheme val="minor"/>
      </font>
      <numFmt numFmtId="165" formatCode="#,##0.00\ &quot;€&quot;;[Red]\-#,##0.00\ &quot;€&quot;"/>
      <fill>
        <patternFill patternType="solid">
          <fgColor indexed="64"/>
          <bgColor theme="6" tint="0.79998168889431442"/>
        </patternFill>
      </fill>
      <alignment horizontal="right" vertical="bottom"/>
      <border outline="0">
        <left style="medium">
          <color theme="6" tint="0.39997558519241921"/>
        </left>
        <right style="medium">
          <color theme="6" tint="0.39997558519241921"/>
        </right>
        <top/>
        <bottom/>
      </border>
    </dxf>
    <dxf>
      <font>
        <b/>
        <strike val="0"/>
        <condense val="0"/>
        <extend val="0"/>
        <outline val="0"/>
        <shadow val="0"/>
        <vertAlign val="baseline"/>
        <sz val="9"/>
        <color theme="1"/>
        <name val="Microsoft Sans Serif"/>
        <family val="2"/>
        <scheme val="minor"/>
      </font>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font>
        <b/>
        <strike val="0"/>
        <condense val="0"/>
        <extend val="0"/>
        <outline val="0"/>
        <shadow val="0"/>
        <vertAlign val="baseline"/>
        <sz val="9"/>
        <color theme="1"/>
        <name val="Microsoft Sans Serif"/>
        <family val="2"/>
        <scheme val="minor"/>
      </font>
      <fill>
        <patternFill patternType="solid">
          <fgColor indexed="64"/>
          <bgColor theme="6" tint="0.79998168889431442"/>
        </patternFill>
      </fill>
      <alignment horizontal="right" vertical="bottom"/>
      <border outline="0">
        <left style="medium">
          <color theme="6" tint="0.39997558519241921"/>
        </left>
        <right style="medium">
          <color theme="6" tint="0.39997558519241921"/>
        </right>
        <top/>
        <bottom/>
      </border>
    </dxf>
    <dxf>
      <font>
        <b/>
        <strike val="0"/>
        <condense val="0"/>
        <extend val="0"/>
        <outline val="0"/>
        <shadow val="0"/>
        <vertAlign val="baseline"/>
        <sz val="9"/>
        <color theme="1"/>
        <name val="Microsoft Sans Serif"/>
        <family val="2"/>
        <scheme val="minor"/>
      </font>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font>
        <b/>
        <strike val="0"/>
        <condense val="0"/>
        <extend val="0"/>
        <outline val="0"/>
        <shadow val="0"/>
        <vertAlign val="baseline"/>
        <sz val="9"/>
        <color theme="1"/>
        <name val="Microsoft Sans Serif"/>
        <family val="2"/>
        <scheme val="minor"/>
      </font>
      <fill>
        <patternFill patternType="solid">
          <fgColor indexed="64"/>
          <bgColor theme="6" tint="0.79998168889431442"/>
        </patternFill>
      </fill>
      <alignment horizontal="right" vertical="bottom"/>
      <border outline="0">
        <left style="medium">
          <color theme="6" tint="0.39997558519241921"/>
        </left>
        <right style="medium">
          <color theme="6" tint="0.39997558519241921"/>
        </right>
        <top/>
        <bottom/>
      </border>
    </dxf>
    <dxf>
      <font>
        <b/>
        <strike val="0"/>
        <condense val="0"/>
        <extend val="0"/>
        <outline val="0"/>
        <shadow val="0"/>
        <vertAlign val="baseline"/>
        <sz val="9"/>
        <color theme="1"/>
        <name val="Microsoft Sans Serif"/>
        <family val="2"/>
        <scheme val="minor"/>
      </font>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font>
        <b/>
        <strike val="0"/>
        <condense val="0"/>
        <extend val="0"/>
        <outline val="0"/>
        <shadow val="0"/>
        <vertAlign val="baseline"/>
        <sz val="9"/>
        <color theme="1"/>
        <name val="Microsoft Sans Serif"/>
        <family val="2"/>
        <scheme val="minor"/>
      </font>
      <fill>
        <patternFill patternType="solid">
          <fgColor indexed="64"/>
          <bgColor theme="6" tint="0.79998168889431442"/>
        </patternFill>
      </fill>
      <alignment horizontal="right" vertical="bottom"/>
      <border outline="0">
        <left style="medium">
          <color theme="6" tint="0.39997558519241921"/>
        </left>
        <right style="medium">
          <color theme="6" tint="0.39997558519241921"/>
        </right>
        <top/>
        <bottom/>
      </border>
    </dxf>
    <dxf>
      <font>
        <b/>
        <strike val="0"/>
        <condense val="0"/>
        <extend val="0"/>
        <outline val="0"/>
        <shadow val="0"/>
        <vertAlign val="baseline"/>
        <sz val="9"/>
        <color theme="1"/>
        <name val="Microsoft Sans Serif"/>
        <family val="2"/>
        <scheme val="minor"/>
      </font>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font>
        <b/>
        <strike val="0"/>
        <condense val="0"/>
        <extend val="0"/>
        <outline val="0"/>
        <shadow val="0"/>
        <vertAlign val="baseline"/>
        <sz val="9"/>
        <color theme="1"/>
        <name val="Microsoft Sans Serif"/>
        <family val="2"/>
        <scheme val="minor"/>
      </font>
      <fill>
        <patternFill patternType="solid">
          <fgColor indexed="64"/>
          <bgColor theme="6" tint="0.79998168889431442"/>
        </patternFill>
      </fill>
      <alignment horizontal="right" vertical="bottom"/>
      <border outline="0">
        <left style="medium">
          <color theme="6" tint="0.39997558519241921"/>
        </left>
        <right style="medium">
          <color theme="6" tint="0.39997558519241921"/>
        </right>
        <top/>
        <bottom/>
      </border>
    </dxf>
    <dxf>
      <font>
        <b/>
        <strike val="0"/>
        <condense val="0"/>
        <extend val="0"/>
        <outline val="0"/>
        <shadow val="0"/>
        <vertAlign val="baseline"/>
        <sz val="9"/>
        <color theme="1"/>
        <name val="Microsoft Sans Serif"/>
        <family val="2"/>
        <scheme val="minor"/>
      </font>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font>
        <b/>
        <strike val="0"/>
        <condense val="0"/>
        <extend val="0"/>
        <outline val="0"/>
        <shadow val="0"/>
        <vertAlign val="baseline"/>
        <sz val="9"/>
        <color theme="1"/>
        <name val="Microsoft Sans Serif"/>
        <family val="2"/>
        <scheme val="minor"/>
      </font>
      <fill>
        <patternFill patternType="solid">
          <fgColor indexed="64"/>
          <bgColor theme="6" tint="0.79998168889431442"/>
        </patternFill>
      </fill>
      <alignment horizontal="right" vertical="bottom"/>
      <border outline="0">
        <left style="medium">
          <color theme="6" tint="0.39997558519241921"/>
        </left>
        <right style="medium">
          <color theme="6" tint="0.39997558519241921"/>
        </right>
        <top/>
        <bottom/>
      </border>
    </dxf>
    <dxf>
      <font>
        <b/>
        <strike val="0"/>
        <condense val="0"/>
        <extend val="0"/>
        <outline val="0"/>
        <shadow val="0"/>
        <vertAlign val="baseline"/>
        <sz val="9"/>
        <color theme="1"/>
        <name val="Microsoft Sans Serif"/>
        <family val="2"/>
        <scheme val="minor"/>
      </font>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font>
        <b/>
        <strike val="0"/>
        <condense val="0"/>
        <extend val="0"/>
        <outline val="0"/>
        <shadow val="0"/>
        <vertAlign val="baseline"/>
        <sz val="9"/>
        <color theme="1"/>
        <name val="Microsoft Sans Serif"/>
        <family val="2"/>
        <scheme val="minor"/>
      </font>
      <fill>
        <patternFill patternType="solid">
          <fgColor indexed="64"/>
          <bgColor theme="6" tint="0.79998168889431442"/>
        </patternFill>
      </fill>
      <alignment horizontal="right" vertical="bottom"/>
      <border outline="0">
        <left style="medium">
          <color theme="6" tint="0.39997558519241921"/>
        </left>
        <right style="medium">
          <color theme="6" tint="0.39997558519241921"/>
        </right>
        <top/>
        <bottom/>
      </border>
    </dxf>
    <dxf>
      <font>
        <b/>
        <strike val="0"/>
        <condense val="0"/>
        <extend val="0"/>
        <outline val="0"/>
        <shadow val="0"/>
        <vertAlign val="baseline"/>
        <sz val="9"/>
        <color theme="1"/>
        <name val="Microsoft Sans Serif"/>
        <family val="2"/>
        <scheme val="minor"/>
      </font>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font>
        <b/>
        <strike val="0"/>
        <condense val="0"/>
        <extend val="0"/>
        <outline val="0"/>
        <shadow val="0"/>
        <vertAlign val="baseline"/>
        <sz val="9"/>
        <color theme="1"/>
        <name val="Microsoft Sans Serif"/>
        <family val="2"/>
        <scheme val="minor"/>
      </font>
      <fill>
        <patternFill patternType="solid">
          <fgColor indexed="64"/>
          <bgColor theme="6" tint="0.79998168889431442"/>
        </patternFill>
      </fill>
      <alignment horizontal="right" vertical="bottom"/>
      <border outline="0">
        <left style="medium">
          <color theme="6" tint="0.39997558519241921"/>
        </left>
        <right style="medium">
          <color theme="6" tint="0.39997558519241921"/>
        </right>
        <top/>
        <bottom/>
      </border>
    </dxf>
    <dxf>
      <font>
        <b/>
        <strike val="0"/>
        <condense val="0"/>
        <extend val="0"/>
        <outline val="0"/>
        <shadow val="0"/>
        <vertAlign val="baseline"/>
        <sz val="9"/>
        <color theme="1"/>
        <name val="Microsoft Sans Serif"/>
        <family val="2"/>
        <scheme val="minor"/>
      </font>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font>
        <b/>
        <strike val="0"/>
        <condense val="0"/>
        <extend val="0"/>
        <outline val="0"/>
        <shadow val="0"/>
        <vertAlign val="baseline"/>
        <sz val="9"/>
        <color theme="1"/>
        <name val="Microsoft Sans Serif"/>
        <family val="2"/>
        <scheme val="minor"/>
      </font>
      <fill>
        <patternFill patternType="solid">
          <fgColor indexed="64"/>
          <bgColor theme="6" tint="0.79998168889431442"/>
        </patternFill>
      </fill>
      <alignment horizontal="right" vertical="bottom"/>
      <border outline="0">
        <left style="medium">
          <color theme="6" tint="0.39997558519241921"/>
        </left>
        <right style="medium">
          <color theme="6" tint="0.39997558519241921"/>
        </right>
        <top/>
        <bottom/>
      </border>
    </dxf>
    <dxf>
      <font>
        <b/>
        <strike val="0"/>
        <condense val="0"/>
        <extend val="0"/>
        <outline val="0"/>
        <shadow val="0"/>
        <vertAlign val="baseline"/>
        <sz val="9"/>
        <color theme="1"/>
        <name val="Microsoft Sans Serif"/>
        <family val="2"/>
        <scheme val="minor"/>
      </font>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font>
        <b/>
        <strike val="0"/>
        <condense val="0"/>
        <extend val="0"/>
        <outline val="0"/>
        <shadow val="0"/>
        <vertAlign val="baseline"/>
        <sz val="9"/>
        <color theme="1"/>
        <name val="Microsoft Sans Serif"/>
        <family val="2"/>
        <scheme val="minor"/>
      </font>
      <fill>
        <patternFill patternType="solid">
          <fgColor indexed="64"/>
          <bgColor theme="6" tint="0.79998168889431442"/>
        </patternFill>
      </fill>
      <alignment horizontal="right" vertical="bottom"/>
      <border outline="0">
        <left style="medium">
          <color theme="6" tint="0.39997558519241921"/>
        </left>
        <right style="medium">
          <color theme="6" tint="0.39997558519241921"/>
        </right>
        <top/>
        <bottom/>
      </border>
    </dxf>
    <dxf>
      <font>
        <b/>
        <strike val="0"/>
        <condense val="0"/>
        <extend val="0"/>
        <outline val="0"/>
        <shadow val="0"/>
        <vertAlign val="baseline"/>
        <sz val="9"/>
        <color theme="1"/>
        <name val="Microsoft Sans Serif"/>
        <family val="2"/>
        <scheme val="minor"/>
      </font>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font>
        <b/>
        <strike val="0"/>
        <condense val="0"/>
        <extend val="0"/>
        <outline val="0"/>
        <shadow val="0"/>
        <vertAlign val="baseline"/>
        <sz val="9"/>
        <color theme="1"/>
        <name val="Microsoft Sans Serif"/>
        <family val="2"/>
        <scheme val="minor"/>
      </font>
      <fill>
        <patternFill patternType="solid">
          <fgColor indexed="64"/>
          <bgColor theme="6" tint="0.79998168889431442"/>
        </patternFill>
      </fill>
      <alignment horizontal="right" vertical="bottom"/>
      <border outline="0">
        <left style="medium">
          <color theme="6" tint="0.39997558519241921"/>
        </left>
        <right style="medium">
          <color theme="6" tint="0.39997558519241921"/>
        </right>
        <top/>
        <bottom/>
      </border>
    </dxf>
    <dxf>
      <font>
        <b/>
        <strike val="0"/>
        <condense val="0"/>
        <extend val="0"/>
        <outline val="0"/>
        <shadow val="0"/>
        <vertAlign val="baseline"/>
        <sz val="9"/>
        <color theme="1"/>
        <name val="Microsoft Sans Serif"/>
        <family val="2"/>
        <scheme val="minor"/>
      </font>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font>
        <b/>
        <strike val="0"/>
        <condense val="0"/>
        <extend val="0"/>
        <outline val="0"/>
        <shadow val="0"/>
        <vertAlign val="baseline"/>
        <sz val="9"/>
        <color theme="1"/>
        <name val="Microsoft Sans Serif"/>
        <family val="2"/>
        <scheme val="minor"/>
      </font>
      <fill>
        <patternFill patternType="solid">
          <fgColor indexed="64"/>
          <bgColor theme="6" tint="0.79998168889431442"/>
        </patternFill>
      </fill>
      <alignment horizontal="right" vertical="bottom"/>
      <border outline="0">
        <left style="medium">
          <color theme="6" tint="0.39997558519241921"/>
        </left>
        <right style="medium">
          <color theme="6" tint="0.39997558519241921"/>
        </right>
        <top/>
        <bottom/>
      </border>
    </dxf>
    <dxf>
      <font>
        <b/>
        <strike val="0"/>
        <condense val="0"/>
        <extend val="0"/>
        <outline val="0"/>
        <shadow val="0"/>
        <vertAlign val="baseline"/>
        <sz val="9"/>
        <color theme="1"/>
        <name val="Microsoft Sans Serif"/>
        <family val="2"/>
        <scheme val="minor"/>
      </font>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font>
        <b/>
        <strike val="0"/>
        <condense val="0"/>
        <extend val="0"/>
        <outline val="0"/>
        <shadow val="0"/>
        <vertAlign val="baseline"/>
        <sz val="9"/>
        <color theme="1"/>
        <name val="Microsoft Sans Serif"/>
        <family val="2"/>
        <scheme val="minor"/>
      </font>
      <fill>
        <patternFill patternType="solid">
          <fgColor indexed="64"/>
          <bgColor theme="6" tint="0.79998168889431442"/>
        </patternFill>
      </fill>
      <alignment horizontal="right" vertical="bottom"/>
      <border outline="0">
        <left/>
        <right style="medium">
          <color theme="6" tint="0.39997558519241921"/>
        </right>
        <top/>
        <bottom/>
      </border>
    </dxf>
    <dxf>
      <font>
        <b/>
        <strike val="0"/>
        <condense val="0"/>
        <extend val="0"/>
        <outline val="0"/>
        <shadow val="0"/>
        <vertAlign val="baseline"/>
        <sz val="9"/>
        <color theme="1"/>
        <name val="Microsoft Sans Serif"/>
        <family val="2"/>
        <scheme val="minor"/>
      </font>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font>
        <b/>
        <strike val="0"/>
        <condense val="0"/>
        <extend val="0"/>
        <outline val="0"/>
        <shadow val="0"/>
        <vertAlign val="baseline"/>
        <sz val="10"/>
        <color theme="0"/>
        <name val="Microsoft Sans Serif"/>
        <family val="2"/>
        <scheme val="minor"/>
      </font>
      <fill>
        <patternFill patternType="solid">
          <fgColor indexed="64"/>
          <bgColor theme="3"/>
        </patternFill>
      </fill>
      <alignment horizontal="left" vertical="center" indent="1"/>
      <border outline="0">
        <left/>
        <right/>
        <top/>
        <bottom/>
      </border>
    </dxf>
    <dxf>
      <font>
        <b/>
        <strike val="0"/>
        <condense val="0"/>
        <extend val="0"/>
        <outline val="0"/>
        <shadow val="0"/>
        <vertAlign val="baseline"/>
        <sz val="10"/>
        <color theme="0"/>
        <name val="Microsoft Sans Serif"/>
        <family val="2"/>
        <scheme val="minor"/>
      </font>
      <numFmt numFmtId="0" formatCode="General"/>
      <fill>
        <patternFill patternType="solid">
          <fgColor indexed="64"/>
          <bgColor theme="3"/>
        </patternFill>
      </fill>
      <alignment horizontal="left" vertical="center" relativeIndent="1"/>
      <border outline="0">
        <left/>
        <right/>
        <top style="medium">
          <color theme="6" tint="0.39997558519241921"/>
        </top>
        <bottom/>
      </border>
    </dxf>
    <dxf>
      <border outline="0">
        <left style="medium">
          <color rgb="FF84C6EA"/>
        </left>
        <bottom style="medium">
          <color rgb="FF84C6EA"/>
        </bottom>
      </border>
    </dxf>
    <dxf>
      <font>
        <b/>
        <strike val="0"/>
        <condense val="0"/>
        <extend val="0"/>
        <outline val="0"/>
        <shadow val="0"/>
        <vertAlign val="baseline"/>
        <sz val="9"/>
        <color rgb="FF000000"/>
        <name val="Microsoft Sans Serif"/>
        <family val="2"/>
      </font>
      <fill>
        <patternFill patternType="solid">
          <fgColor rgb="FF000000"/>
          <bgColor rgb="FFD6ECF8"/>
        </patternFill>
      </fill>
      <alignment horizontal="right" vertical="bottom"/>
    </dxf>
    <dxf>
      <font>
        <b/>
        <strike val="0"/>
        <condense val="0"/>
        <extend val="0"/>
        <outline val="0"/>
        <shadow val="0"/>
        <vertAlign val="baseline"/>
        <sz val="14"/>
        <color theme="2"/>
        <name val="Franklin Gothic Book"/>
        <family val="2"/>
        <scheme val="major"/>
      </font>
      <numFmt numFmtId="0" formatCode="General"/>
      <fill>
        <patternFill patternType="solid">
          <fgColor indexed="64"/>
          <bgColor theme="3" tint="-0.499984740745262"/>
        </patternFill>
      </fill>
      <alignment horizontal="general" vertical="cent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5" formatCode="#,##0.00\ &quot;€&quot;;[Red]\-#,##0.00\ &quot;€&quot;"/>
      <fill>
        <patternFill patternType="solid">
          <fgColor indexed="64"/>
          <bgColor theme="5" tint="0.79998168889431442"/>
        </patternFill>
      </fill>
      <alignment horizontal="right" vertical="center"/>
      <border>
        <left style="medium">
          <color theme="6" tint="0.39994506668294322"/>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border>
        <left/>
        <right style="medium">
          <color theme="6" tint="0.39994506668294322"/>
        </right>
        <top style="medium">
          <color theme="6" tint="0.39994506668294322"/>
        </top>
        <bottom style="medium">
          <color theme="6" tint="0.39994506668294322"/>
        </bottom>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outline="0">
        <left style="medium">
          <color theme="6" tint="0.39994506668294322"/>
        </left>
        <right style="medium">
          <color theme="6" tint="0.39994506668294322"/>
        </right>
        <top style="medium">
          <color theme="6" tint="0.39994506668294322"/>
        </top>
        <bottom style="medium">
          <color theme="6" tint="0.39994506668294322"/>
        </bottom>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2"/>
      <border outline="0">
        <left/>
        <right style="medium">
          <color theme="6" tint="0.39994506668294322"/>
        </right>
        <top style="medium">
          <color theme="6" tint="0.39994506668294322"/>
        </top>
        <bottom/>
      </border>
    </dxf>
    <dxf>
      <font>
        <b/>
        <strike val="0"/>
        <outline val="0"/>
        <shadow val="0"/>
        <vertAlign val="baseline"/>
        <sz val="12"/>
        <color theme="0"/>
        <name val="Microsoft Sans Serif"/>
        <family val="2"/>
        <scheme val="minor"/>
      </font>
      <fill>
        <patternFill patternType="solid">
          <fgColor indexed="64"/>
          <bgColor theme="3"/>
        </patternFill>
      </fill>
      <alignment horizontal="left" vertical="center" relativeIndent="-1"/>
      <border outline="0">
        <left/>
        <right style="medium">
          <color theme="6" tint="0.39994506668294322"/>
        </right>
        <top style="medium">
          <color theme="6" tint="0.39994506668294322"/>
        </top>
        <bottom style="medium">
          <color theme="6" tint="0.39994506668294322"/>
        </bottom>
      </border>
    </dxf>
    <dxf>
      <border>
        <top style="medium">
          <color rgb="FF84C6EA"/>
        </top>
      </border>
    </dxf>
    <dxf>
      <fill>
        <patternFill patternType="solid">
          <fgColor rgb="FF000000"/>
          <bgColor rgb="FFD6ECF8"/>
        </patternFill>
      </fill>
      <border outline="0">
        <left style="medium">
          <color rgb="FF84C6EA"/>
        </left>
        <right style="medium">
          <color rgb="FF84C6EA"/>
        </right>
        <top/>
        <bottom/>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outline="0">
        <left/>
        <right style="medium">
          <color theme="6" tint="0.39994506668294322"/>
        </right>
        <top style="medium">
          <color theme="6" tint="0.39994506668294322"/>
        </top>
        <bottom style="medium">
          <color theme="6" tint="0.39994506668294322"/>
        </bottom>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1"/>
      <border outline="0">
        <left/>
        <right style="medium">
          <color theme="6" tint="0.39994506668294322"/>
        </right>
        <top style="medium">
          <color theme="6" tint="0.39994506668294322"/>
        </top>
        <bottom/>
      </border>
    </dxf>
    <dxf>
      <font>
        <strike val="0"/>
        <outline val="0"/>
        <shadow val="0"/>
        <vertAlign val="baseline"/>
        <sz val="12"/>
        <color theme="0"/>
        <name val="Microsoft Sans Serif"/>
        <family val="2"/>
        <scheme val="minor"/>
      </font>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6" tint="0.79998168889431442"/>
        </patternFill>
      </fill>
      <alignment horizontal="general" vertical="center"/>
      <border>
        <left/>
        <right style="medium">
          <color theme="6" tint="0.39994506668294322"/>
        </right>
        <top style="medium">
          <color theme="6" tint="0.39994506668294322"/>
        </top>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numFmt numFmtId="166" formatCode="\ &quot;R$&quot;#,##0.00"/>
      <fill>
        <patternFill patternType="solid">
          <fgColor indexed="64"/>
          <bgColor theme="6" tint="0.79998168889431442"/>
        </patternFill>
      </fill>
      <alignment horizontal="general" vertical="center"/>
      <border outline="0">
        <left/>
        <right style="medium">
          <color theme="6" tint="0.39994506668294322"/>
        </right>
        <top style="medium">
          <color theme="6" tint="0.39994506668294322"/>
        </top>
        <bottom/>
      </border>
    </dxf>
    <dxf>
      <numFmt numFmtId="166" formatCode="\ &quot;R$&quot;#,##0.00"/>
      <fill>
        <patternFill patternType="solid">
          <fgColor indexed="64"/>
          <bgColor theme="5" tint="0.79998168889431442"/>
        </patternFill>
      </fill>
      <alignment horizontal="right" vertical="center"/>
      <border>
        <left/>
        <right style="medium">
          <color theme="6" tint="0.39994506668294322"/>
        </right>
        <top style="medium">
          <color theme="6" tint="0.39994506668294322"/>
        </top>
        <bottom style="medium">
          <color theme="6" tint="0.39994506668294322"/>
        </bottom>
        <vertical/>
        <horizontal/>
      </border>
    </dxf>
    <dxf>
      <font>
        <b/>
        <strike val="0"/>
        <condense val="0"/>
        <extend val="0"/>
        <outline val="0"/>
        <shadow val="0"/>
        <vertAlign val="baseline"/>
        <sz val="10"/>
        <color auto="1"/>
        <name val="Microsoft Sans Serif"/>
        <family val="2"/>
        <scheme val="minor"/>
      </font>
      <fill>
        <patternFill patternType="solid">
          <fgColor indexed="64"/>
          <bgColor theme="6" tint="0.79998168889431442"/>
        </patternFill>
      </fill>
      <alignment horizontal="left" vertical="center" indent="2"/>
      <border outline="0">
        <left/>
        <right style="medium">
          <color theme="6" tint="0.39994506668294322"/>
        </right>
        <top style="medium">
          <color theme="6" tint="0.39994506668294322"/>
        </top>
        <bottom/>
      </border>
    </dxf>
    <dxf>
      <font>
        <b/>
        <strike val="0"/>
        <outline val="0"/>
        <shadow val="0"/>
        <vertAlign val="baseline"/>
        <sz val="12"/>
        <color theme="0"/>
        <name val="Microsoft Sans Serif"/>
        <family val="2"/>
        <scheme val="minor"/>
      </font>
      <fill>
        <patternFill patternType="solid">
          <fgColor indexed="64"/>
          <bgColor theme="3"/>
        </patternFill>
      </fill>
      <alignment horizontal="left" vertical="center" relativeIndent="-1"/>
      <border outline="0">
        <left/>
        <right/>
        <top style="medium">
          <color theme="6" tint="0.39994506668294322"/>
        </top>
        <bottom style="medium">
          <color theme="6" tint="0.39994506668294322"/>
        </bottom>
      </border>
    </dxf>
    <dxf>
      <border>
        <top style="medium">
          <color rgb="FF84C6EA"/>
        </top>
      </border>
    </dxf>
    <dxf>
      <border>
        <left style="medium">
          <color rgb="FF84C6EA"/>
        </left>
        <right style="medium">
          <color rgb="FF84C6EA"/>
        </right>
        <top/>
        <bottom/>
        <vertical style="medium">
          <color rgb="FF84C6EA"/>
        </vertical>
        <horizontal style="medium">
          <color rgb="FF84C6EA"/>
        </horizontal>
      </border>
    </dxf>
    <dxf>
      <border>
        <left style="medium">
          <color rgb="FF84C6EA"/>
        </left>
        <right style="medium">
          <color rgb="FF84C6EA"/>
        </right>
        <top style="medium">
          <color rgb="FF84C6EA"/>
        </top>
        <bottom style="medium">
          <color rgb="FF84C6EA"/>
        </bottom>
      </border>
    </dxf>
    <dxf>
      <border>
        <bottom style="medium">
          <color rgb="FF84C6EA"/>
        </bottom>
      </border>
    </dxf>
    <dxf>
      <border>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b/>
        <strike val="0"/>
        <color theme="0"/>
      </font>
      <fill>
        <patternFill patternType="solid">
          <bgColor theme="5"/>
        </patternFill>
      </fill>
      <border>
        <bottom/>
      </border>
    </dxf>
    <dxf>
      <fill>
        <patternFill patternType="solid">
          <fgColor auto="1"/>
          <bgColor theme="0"/>
        </patternFill>
      </fill>
      <border>
        <horizontal style="thin">
          <color theme="4" tint="0.59996337778862885"/>
        </horizontal>
      </border>
    </dxf>
    <dxf>
      <font>
        <b/>
        <strike val="0"/>
        <color theme="0"/>
      </font>
      <fill>
        <patternFill>
          <bgColor theme="5"/>
        </patternFill>
      </fill>
      <border>
        <bottom/>
      </border>
    </dxf>
    <dxf>
      <fill>
        <patternFill>
          <bgColor theme="4" tint="0.59996337778862885"/>
        </patternFill>
      </fill>
      <border>
        <horizontal style="thin">
          <color theme="4" tint="-0.24994659260841701"/>
        </horizontal>
      </border>
    </dxf>
    <dxf>
      <font>
        <color auto="1"/>
      </font>
      <fill>
        <patternFill>
          <bgColor auto="1"/>
        </patternFill>
      </fill>
      <border>
        <left/>
        <right/>
        <top/>
        <bottom/>
        <vertical/>
        <horizontal style="medium">
          <color theme="6" tint="0.39994506668294322"/>
        </horizontal>
      </border>
    </dxf>
    <dxf>
      <font>
        <color theme="1"/>
      </font>
      <fill>
        <patternFill patternType="solid">
          <fgColor theme="0" tint="-0.1498764000366222"/>
          <bgColor theme="0"/>
        </patternFill>
      </fill>
      <border>
        <left/>
        <right/>
        <top/>
        <bottom/>
        <vertical/>
        <horizontal style="medium">
          <color theme="6" tint="0.39994506668294322"/>
        </horizontal>
      </border>
    </dxf>
    <dxf>
      <font>
        <color theme="1"/>
      </font>
      <fill>
        <patternFill>
          <bgColor theme="6" tint="0.79998168889431442"/>
        </patternFill>
      </fill>
      <border>
        <left/>
        <right/>
        <top/>
        <bottom/>
        <vertical/>
        <horizontal style="medium">
          <color theme="6" tint="0.39994506668294322"/>
        </horizontal>
      </border>
    </dxf>
    <dxf>
      <font>
        <color theme="0"/>
      </font>
      <fill>
        <patternFill>
          <fgColor theme="3"/>
          <bgColor theme="3"/>
        </patternFill>
      </fill>
      <border>
        <left/>
        <right/>
        <top/>
        <bottom/>
        <vertical/>
        <horizontal style="medium">
          <color theme="6" tint="0.39994506668294322"/>
        </horizontal>
      </border>
    </dxf>
    <dxf>
      <font>
        <b/>
        <color theme="1"/>
      </font>
      <fill>
        <patternFill>
          <bgColor theme="6" tint="0.79998168889431442"/>
        </patternFill>
      </fill>
      <border>
        <left/>
        <right/>
        <top style="medium">
          <color theme="6" tint="0.39994506668294322"/>
        </top>
        <bottom/>
        <vertical style="medium">
          <color theme="6" tint="0.39991454817346722"/>
        </vertical>
        <horizontal/>
      </border>
    </dxf>
    <dxf>
      <font>
        <color theme="6" tint="0.39994506668294322"/>
      </font>
      <fill>
        <patternFill>
          <bgColor theme="6" tint="0.39994506668294322"/>
        </patternFill>
      </fill>
      <border>
        <left/>
        <right/>
        <top/>
        <bottom style="medium">
          <color theme="6" tint="0.39994506668294322"/>
        </bottom>
        <vertical/>
        <horizontal/>
      </border>
    </dxf>
    <dxf>
      <font>
        <color theme="1"/>
      </font>
      <fill>
        <patternFill>
          <bgColor theme="0"/>
        </patternFill>
      </fill>
      <border>
        <left/>
        <right/>
        <top style="medium">
          <color theme="6" tint="0.39994506668294322"/>
        </top>
        <bottom style="medium">
          <color theme="6" tint="0.39994506668294322"/>
        </bottom>
        <vertical style="medium">
          <color theme="6" tint="0.39994506668294322"/>
        </vertical>
        <horizontal style="medium">
          <color theme="6" tint="0.39994506668294322"/>
        </horizontal>
      </border>
    </dxf>
    <dxf>
      <fill>
        <patternFill patternType="solid">
          <fgColor auto="1"/>
          <bgColor theme="2" tint="-9.9948118533890809E-2"/>
        </patternFill>
      </fill>
    </dxf>
    <dxf>
      <fill>
        <patternFill>
          <bgColor auto="1"/>
        </patternFill>
      </fill>
    </dxf>
    <dxf>
      <font>
        <color theme="0"/>
      </font>
      <fill>
        <patternFill patternType="solid">
          <fgColor theme="4"/>
          <bgColor theme="4"/>
        </patternFill>
      </fill>
      <border>
        <left/>
        <right/>
        <top/>
        <bottom style="thin">
          <color theme="4"/>
        </bottom>
        <vertical/>
      </border>
    </dxf>
    <dxf>
      <font>
        <color theme="3"/>
      </font>
      <border>
        <left/>
        <right/>
        <top/>
        <bottom/>
        <vertical/>
        <horizontal/>
      </border>
    </dxf>
  </dxfs>
  <tableStyles count="4" defaultTableStyle="TableStyleMedium9" defaultPivotStyle="PivotStyleLight16">
    <tableStyle name="Budget Tables" pivot="0" count="4" xr9:uid="{00000000-0011-0000-FFFF-FFFF00000000}">
      <tableStyleElement type="wholeTable" dxfId="1454"/>
      <tableStyleElement type="headerRow" dxfId="1453"/>
      <tableStyleElement type="firstColumn" dxfId="1452"/>
      <tableStyleElement type="firstRowStripe" dxfId="1451"/>
    </tableStyle>
    <tableStyle name="Estimations détaillées des dépenses Table 2" pivot="0" count="7" xr9:uid="{00000000-0011-0000-FFFF-FFFF01000000}">
      <tableStyleElement type="wholeTable" dxfId="1450"/>
      <tableStyleElement type="headerRow" dxfId="1449"/>
      <tableStyleElement type="totalRow" dxfId="1448"/>
      <tableStyleElement type="firstColumn" dxfId="1447"/>
      <tableStyleElement type="lastColumn" dxfId="1446"/>
      <tableStyleElement type="firstRowStripe" size="9" dxfId="1445"/>
      <tableStyleElement type="firstColumnStripe" dxfId="1444"/>
    </tableStyle>
    <tableStyle name="Other Custom Table Style" pivot="0" count="2" xr9:uid="{00000000-0011-0000-FFFF-FFFF02000000}">
      <tableStyleElement type="wholeTable" dxfId="1443"/>
      <tableStyleElement type="headerRow" dxfId="1442"/>
    </tableStyle>
    <tableStyle name="Setup Tables" pivot="0" count="2" xr9:uid="{00000000-0011-0000-FFFF-FFFF03000000}">
      <tableStyleElement type="wholeTable" dxfId="1441"/>
      <tableStyleElement type="headerRow" dxfId="144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7698573031211"/>
          <c:y val="0.1733053988119535"/>
          <c:w val="0.79968138263906308"/>
          <c:h val="0.71853463513379401"/>
        </c:manualLayout>
      </c:layout>
      <c:barChart>
        <c:barDir val="bar"/>
        <c:grouping val="clustered"/>
        <c:varyColors val="0"/>
        <c:ser>
          <c:idx val="0"/>
          <c:order val="0"/>
          <c:tx>
            <c:strRef>
              <c:f>'GRAFICO DESPESAS'!$C$5</c:f>
              <c:strCache>
                <c:ptCount val="1"/>
                <c:pt idx="0">
                  <c:v>Despesas Previstas</c:v>
                </c:pt>
              </c:strCache>
            </c:strRef>
          </c:tx>
          <c:spPr>
            <a:solidFill>
              <a:schemeClr val="accent2"/>
            </a:solidFill>
            <a:ln w="19050">
              <a:noFill/>
              <a:prstDash val="solid"/>
            </a:ln>
          </c:spPr>
          <c:invertIfNegative val="0"/>
          <c:cat>
            <c:strRef>
              <c:f>'GRAFICO DESPESAS'!$B$6:$B$21</c:f>
              <c:strCache>
                <c:ptCount val="16"/>
                <c:pt idx="0">
                  <c:v>Alimentação e limpeza</c:v>
                </c:pt>
                <c:pt idx="1">
                  <c:v>Caridade e doações</c:v>
                </c:pt>
                <c:pt idx="2">
                  <c:v>Carro</c:v>
                </c:pt>
                <c:pt idx="3">
                  <c:v>Criaturas de estimação</c:v>
                </c:pt>
                <c:pt idx="4">
                  <c:v>Cuidados pessoais e formação</c:v>
                </c:pt>
                <c:pt idx="5">
                  <c:v>Despesas bancárias</c:v>
                </c:pt>
                <c:pt idx="6">
                  <c:v>Despesas médicas</c:v>
                </c:pt>
                <c:pt idx="7">
                  <c:v>Eletrônica e informática</c:v>
                </c:pt>
                <c:pt idx="8">
                  <c:v>Impostos</c:v>
                </c:pt>
                <c:pt idx="9">
                  <c:v>Lazer</c:v>
                </c:pt>
                <c:pt idx="10">
                  <c:v>Manutenção casa</c:v>
                </c:pt>
                <c:pt idx="11">
                  <c:v>Seguros</c:v>
                </c:pt>
                <c:pt idx="12">
                  <c:v>Serviços</c:v>
                </c:pt>
                <c:pt idx="13">
                  <c:v>Viagens</c:v>
                </c:pt>
                <c:pt idx="14">
                  <c:v>TOTAL DESPESAS</c:v>
                </c:pt>
                <c:pt idx="15">
                  <c:v>GANHOS</c:v>
                </c:pt>
              </c:strCache>
            </c:strRef>
          </c:cat>
          <c:val>
            <c:numRef>
              <c:f>'GRAFICO DESPESAS'!$C$6:$C$21</c:f>
              <c:numCache>
                <c:formatCode>\ "R$"#,##0.00</c:formatCode>
                <c:ptCount val="16"/>
                <c:pt idx="0">
                  <c:v>19080</c:v>
                </c:pt>
                <c:pt idx="1">
                  <c:v>2952</c:v>
                </c:pt>
                <c:pt idx="2">
                  <c:v>3540</c:v>
                </c:pt>
                <c:pt idx="4">
                  <c:v>3660</c:v>
                </c:pt>
                <c:pt idx="6">
                  <c:v>27600</c:v>
                </c:pt>
                <c:pt idx="7">
                  <c:v>11112</c:v>
                </c:pt>
                <c:pt idx="8">
                  <c:v>3762</c:v>
                </c:pt>
                <c:pt idx="9">
                  <c:v>10080</c:v>
                </c:pt>
                <c:pt idx="10">
                  <c:v>69180</c:v>
                </c:pt>
                <c:pt idx="11">
                  <c:v>29542.2</c:v>
                </c:pt>
                <c:pt idx="12">
                  <c:v>29940</c:v>
                </c:pt>
                <c:pt idx="13">
                  <c:v>57840</c:v>
                </c:pt>
                <c:pt idx="14">
                  <c:v>268372.2</c:v>
                </c:pt>
                <c:pt idx="15">
                  <c:v>146695.74999999997</c:v>
                </c:pt>
              </c:numCache>
            </c:numRef>
          </c:val>
          <c:extLst>
            <c:ext xmlns:c16="http://schemas.microsoft.com/office/drawing/2014/chart" uri="{C3380CC4-5D6E-409C-BE32-E72D297353CC}">
              <c16:uniqueId val="{00000000-EB60-4E63-855F-357DD3B5C3FB}"/>
            </c:ext>
          </c:extLst>
        </c:ser>
        <c:ser>
          <c:idx val="1"/>
          <c:order val="1"/>
          <c:tx>
            <c:strRef>
              <c:f>'GRAFICO DESPESAS'!$D$5</c:f>
              <c:strCache>
                <c:ptCount val="1"/>
                <c:pt idx="0">
                  <c:v>Despesas Reais</c:v>
                </c:pt>
              </c:strCache>
            </c:strRef>
          </c:tx>
          <c:spPr>
            <a:solidFill>
              <a:schemeClr val="accent4"/>
            </a:solidFill>
            <a:ln w="19050">
              <a:noFill/>
              <a:prstDash val="solid"/>
            </a:ln>
          </c:spPr>
          <c:invertIfNegative val="0"/>
          <c:dPt>
            <c:idx val="0"/>
            <c:invertIfNegative val="0"/>
            <c:bubble3D val="0"/>
            <c:spPr>
              <a:ln>
                <a:prstDash val="solid"/>
              </a:ln>
            </c:spPr>
            <c:extLst>
              <c:ext xmlns:c16="http://schemas.microsoft.com/office/drawing/2014/chart" uri="{C3380CC4-5D6E-409C-BE32-E72D297353CC}">
                <c16:uniqueId val="{00000002-EB60-4E63-855F-357DD3B5C3FB}"/>
              </c:ext>
            </c:extLst>
          </c:dPt>
          <c:dPt>
            <c:idx val="1"/>
            <c:invertIfNegative val="0"/>
            <c:bubble3D val="0"/>
            <c:spPr>
              <a:ln>
                <a:prstDash val="solid"/>
              </a:ln>
            </c:spPr>
            <c:extLst>
              <c:ext xmlns:c16="http://schemas.microsoft.com/office/drawing/2014/chart" uri="{C3380CC4-5D6E-409C-BE32-E72D297353CC}">
                <c16:uniqueId val="{00000004-EB60-4E63-855F-357DD3B5C3FB}"/>
              </c:ext>
            </c:extLst>
          </c:dPt>
          <c:dPt>
            <c:idx val="2"/>
            <c:invertIfNegative val="0"/>
            <c:bubble3D val="0"/>
            <c:spPr>
              <a:ln>
                <a:prstDash val="solid"/>
              </a:ln>
            </c:spPr>
            <c:extLst>
              <c:ext xmlns:c16="http://schemas.microsoft.com/office/drawing/2014/chart" uri="{C3380CC4-5D6E-409C-BE32-E72D297353CC}">
                <c16:uniqueId val="{00000006-EB60-4E63-855F-357DD3B5C3FB}"/>
              </c:ext>
            </c:extLst>
          </c:dPt>
          <c:dPt>
            <c:idx val="3"/>
            <c:invertIfNegative val="0"/>
            <c:bubble3D val="0"/>
            <c:spPr>
              <a:ln>
                <a:prstDash val="solid"/>
              </a:ln>
            </c:spPr>
            <c:extLst>
              <c:ext xmlns:c16="http://schemas.microsoft.com/office/drawing/2014/chart" uri="{C3380CC4-5D6E-409C-BE32-E72D297353CC}">
                <c16:uniqueId val="{00000008-EB60-4E63-855F-357DD3B5C3FB}"/>
              </c:ext>
            </c:extLst>
          </c:dPt>
          <c:cat>
            <c:strRef>
              <c:f>'GRAFICO DESPESAS'!$B$6:$B$21</c:f>
              <c:strCache>
                <c:ptCount val="16"/>
                <c:pt idx="0">
                  <c:v>Alimentação e limpeza</c:v>
                </c:pt>
                <c:pt idx="1">
                  <c:v>Caridade e doações</c:v>
                </c:pt>
                <c:pt idx="2">
                  <c:v>Carro</c:v>
                </c:pt>
                <c:pt idx="3">
                  <c:v>Criaturas de estimação</c:v>
                </c:pt>
                <c:pt idx="4">
                  <c:v>Cuidados pessoais e formação</c:v>
                </c:pt>
                <c:pt idx="5">
                  <c:v>Despesas bancárias</c:v>
                </c:pt>
                <c:pt idx="6">
                  <c:v>Despesas médicas</c:v>
                </c:pt>
                <c:pt idx="7">
                  <c:v>Eletrônica e informática</c:v>
                </c:pt>
                <c:pt idx="8">
                  <c:v>Impostos</c:v>
                </c:pt>
                <c:pt idx="9">
                  <c:v>Lazer</c:v>
                </c:pt>
                <c:pt idx="10">
                  <c:v>Manutenção casa</c:v>
                </c:pt>
                <c:pt idx="11">
                  <c:v>Seguros</c:v>
                </c:pt>
                <c:pt idx="12">
                  <c:v>Serviços</c:v>
                </c:pt>
                <c:pt idx="13">
                  <c:v>Viagens</c:v>
                </c:pt>
                <c:pt idx="14">
                  <c:v>TOTAL DESPESAS</c:v>
                </c:pt>
                <c:pt idx="15">
                  <c:v>GANHOS</c:v>
                </c:pt>
              </c:strCache>
            </c:strRef>
          </c:cat>
          <c:val>
            <c:numRef>
              <c:f>'GRAFICO DESPESAS'!$D$6:$D$21</c:f>
              <c:numCache>
                <c:formatCode>\ "R$"#,##0.00</c:formatCode>
                <c:ptCount val="16"/>
                <c:pt idx="0">
                  <c:v>1750.29</c:v>
                </c:pt>
                <c:pt idx="1">
                  <c:v>220</c:v>
                </c:pt>
                <c:pt idx="2">
                  <c:v>100</c:v>
                </c:pt>
                <c:pt idx="4">
                  <c:v>275.54999999999995</c:v>
                </c:pt>
                <c:pt idx="6">
                  <c:v>2758.91</c:v>
                </c:pt>
                <c:pt idx="7">
                  <c:v>1861.4299999999998</c:v>
                </c:pt>
                <c:pt idx="8">
                  <c:v>295.89999999999998</c:v>
                </c:pt>
                <c:pt idx="9">
                  <c:v>464.06999999999994</c:v>
                </c:pt>
                <c:pt idx="10">
                  <c:v>1288.94</c:v>
                </c:pt>
                <c:pt idx="11">
                  <c:v>2716.48</c:v>
                </c:pt>
                <c:pt idx="12">
                  <c:v>2194.4699999999998</c:v>
                </c:pt>
                <c:pt idx="13">
                  <c:v>556.4</c:v>
                </c:pt>
                <c:pt idx="14">
                  <c:v>14504.859999999999</c:v>
                </c:pt>
                <c:pt idx="15">
                  <c:v>13168.670000000047</c:v>
                </c:pt>
              </c:numCache>
            </c:numRef>
          </c:val>
          <c:extLst>
            <c:ext xmlns:c16="http://schemas.microsoft.com/office/drawing/2014/chart" uri="{C3380CC4-5D6E-409C-BE32-E72D297353CC}">
              <c16:uniqueId val="{00000009-EB60-4E63-855F-357DD3B5C3FB}"/>
            </c:ext>
          </c:extLst>
        </c:ser>
        <c:dLbls>
          <c:showLegendKey val="0"/>
          <c:showVal val="0"/>
          <c:showCatName val="0"/>
          <c:showSerName val="0"/>
          <c:showPercent val="0"/>
          <c:showBubbleSize val="0"/>
        </c:dLbls>
        <c:gapWidth val="100"/>
        <c:axId val="716845712"/>
        <c:axId val="716855552"/>
      </c:barChart>
      <c:catAx>
        <c:axId val="7168457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fr-FR"/>
          </a:p>
        </c:txPr>
        <c:crossAx val="716855552"/>
        <c:crosses val="autoZero"/>
        <c:auto val="1"/>
        <c:lblAlgn val="ctr"/>
        <c:lblOffset val="100"/>
        <c:noMultiLvlLbl val="0"/>
      </c:catAx>
      <c:valAx>
        <c:axId val="716855552"/>
        <c:scaling>
          <c:orientation val="minMax"/>
          <c:max val="275000"/>
        </c:scaling>
        <c:delete val="0"/>
        <c:axPos val="t"/>
        <c:majorGridlines>
          <c:spPr>
            <a:ln w="9525" cap="flat" cmpd="sng" algn="ctr">
              <a:solidFill>
                <a:schemeClr val="tx1">
                  <a:lumMod val="15000"/>
                  <a:lumOff val="85000"/>
                </a:schemeClr>
              </a:solidFill>
              <a:prstDash val="solid"/>
              <a:round/>
            </a:ln>
          </c:spPr>
        </c:majorGridlines>
        <c:numFmt formatCode="\ &quot;R$&quot;#,##0" sourceLinked="0"/>
        <c:majorTickMark val="out"/>
        <c:minorTickMark val="none"/>
        <c:tickLblPos val="high"/>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fr-FR"/>
          </a:p>
        </c:txPr>
        <c:crossAx val="716845712"/>
        <c:crosses val="autoZero"/>
        <c:crossBetween val="between"/>
        <c:majorUnit val="25000"/>
        <c:dispUnits>
          <c:builtInUnit val="thousands"/>
          <c:dispUnitsLbl>
            <c:layout>
              <c:manualLayout>
                <c:xMode val="edge"/>
                <c:yMode val="edge"/>
                <c:x val="0.88923701186841542"/>
                <c:y val="0.94119752263847256"/>
              </c:manualLayout>
            </c:layout>
            <c:spPr>
              <a:noFill/>
              <a:ln>
                <a:noFill/>
                <a:prstDash val="solid"/>
              </a:ln>
            </c:spPr>
            <c: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endParaRPr lang="fr-FR"/>
              </a:p>
            </c:txPr>
          </c:dispUnitsLbl>
        </c:dispUnits>
      </c:valAx>
    </c:plotArea>
    <c:legend>
      <c:legendPos val="t"/>
      <c:layout>
        <c:manualLayout>
          <c:xMode val="edge"/>
          <c:yMode val="edge"/>
          <c:x val="1.0972101080870551E-3"/>
          <c:y val="1.041666381871615E-2"/>
          <c:w val="0.29634907228550161"/>
          <c:h val="5.5844254198311953E-2"/>
        </c:manualLayout>
      </c:layout>
      <c:overlay val="0"/>
      <c:spPr>
        <a:noFill/>
        <a:ln>
          <a:noFill/>
          <a:prstDash val="solid"/>
        </a:ln>
      </c:spPr>
      <c:txPr>
        <a:bodyPr rot="0" spcFirstLastPara="1" vertOverflow="ellipsis" vert="horz" wrap="square" anchor="ctr" anchorCtr="1"/>
        <a:lstStyle/>
        <a:p>
          <a:pPr>
            <a:defRPr sz="900" b="0" i="0" strike="noStrike" kern="1200" baseline="0">
              <a:solidFill>
                <a:schemeClr val="tx1"/>
              </a:solidFill>
              <a:latin typeface="Microsoft Sans Serif"/>
              <a:ea typeface="Microsoft Sans Serif"/>
              <a:cs typeface="Microsoft Sans Serif"/>
            </a:defRPr>
          </a:pPr>
          <a:endParaRPr lang="fr-FR"/>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50000"/>
                    <a:lumOff val="50000"/>
                  </a:schemeClr>
                </a:solidFill>
                <a:latin typeface="+mn-lt"/>
                <a:ea typeface="+mn-ea"/>
                <a:cs typeface="+mn-cs"/>
              </a:defRPr>
            </a:pPr>
            <a:r>
              <a:rPr lang="en-US">
                <a:solidFill>
                  <a:schemeClr val="tx1">
                    <a:lumMod val="50000"/>
                    <a:lumOff val="50000"/>
                  </a:schemeClr>
                </a:solidFill>
              </a:rPr>
              <a:t>Variações</a:t>
            </a:r>
            <a:r>
              <a:rPr lang="en-US" baseline="0">
                <a:solidFill>
                  <a:schemeClr val="tx1">
                    <a:lumMod val="50000"/>
                    <a:lumOff val="50000"/>
                  </a:schemeClr>
                </a:solidFill>
              </a:rPr>
              <a:t> Mensais</a:t>
            </a:r>
            <a:endParaRPr lang="en-US">
              <a:solidFill>
                <a:schemeClr val="tx1">
                  <a:lumMod val="50000"/>
                  <a:lumOff val="50000"/>
                </a:schemeClr>
              </a:solidFill>
            </a:endParaRPr>
          </a:p>
        </c:rich>
      </c:tx>
      <c:overlay val="0"/>
      <c:spPr>
        <a:noFill/>
        <a:ln>
          <a:noFill/>
          <a:prstDash val="solid"/>
        </a:ln>
      </c:spPr>
    </c:title>
    <c:autoTitleDeleted val="0"/>
    <c:plotArea>
      <c:layout/>
      <c:barChart>
        <c:barDir val="col"/>
        <c:grouping val="clustered"/>
        <c:varyColors val="0"/>
        <c:ser>
          <c:idx val="0"/>
          <c:order val="0"/>
          <c:tx>
            <c:strRef>
              <c:f>'VARIACOES DESPESAS'!$B$127</c:f>
              <c:strCache>
                <c:ptCount val="1"/>
                <c:pt idx="0">
                  <c:v> Sem Inflação</c:v>
                </c:pt>
              </c:strCache>
            </c:strRef>
          </c:tx>
          <c:spPr>
            <a:solidFill>
              <a:srgbClr val="92D050"/>
            </a:solidFill>
            <a:ln>
              <a:noFill/>
              <a:prstDash val="solid"/>
            </a:ln>
          </c:spPr>
          <c:invertIfNegative val="1"/>
          <c:cat>
            <c:strRef>
              <c:f>'VARIACOES DESPESAS'!$A$128:$A$140</c:f>
              <c:strCache>
                <c:ptCount val="13"/>
                <c:pt idx="0">
                  <c:v>Jan.</c:v>
                </c:pt>
                <c:pt idx="1">
                  <c:v>Fev.</c:v>
                </c:pt>
                <c:pt idx="2">
                  <c:v>Mar.</c:v>
                </c:pt>
                <c:pt idx="3">
                  <c:v>Abr.</c:v>
                </c:pt>
                <c:pt idx="4">
                  <c:v>Maio</c:v>
                </c:pt>
                <c:pt idx="5">
                  <c:v>Jun.</c:v>
                </c:pt>
                <c:pt idx="6">
                  <c:v>Jul.</c:v>
                </c:pt>
                <c:pt idx="7">
                  <c:v>Ago.</c:v>
                </c:pt>
                <c:pt idx="8">
                  <c:v>Set.</c:v>
                </c:pt>
                <c:pt idx="9">
                  <c:v>Out.</c:v>
                </c:pt>
                <c:pt idx="10">
                  <c:v>Nov.</c:v>
                </c:pt>
                <c:pt idx="11">
                  <c:v>Dez.</c:v>
                </c:pt>
                <c:pt idx="12">
                  <c:v>TOTAL</c:v>
                </c:pt>
              </c:strCache>
            </c:strRef>
          </c:cat>
          <c:val>
            <c:numRef>
              <c:f>'VARIACOES DESPESAS'!$B$128:$B$140</c:f>
              <c:numCache>
                <c:formatCode>\ "R$"#,##0.00</c:formatCode>
                <c:ptCount val="13"/>
                <c:pt idx="0">
                  <c:v>-1336.1899999999514</c:v>
                </c:pt>
                <c:pt idx="1">
                  <c:v>13168.670000000047</c:v>
                </c:pt>
                <c:pt idx="2">
                  <c:v>13168.670000000047</c:v>
                </c:pt>
                <c:pt idx="3">
                  <c:v>13168.670000000047</c:v>
                </c:pt>
                <c:pt idx="4">
                  <c:v>13168.670000000047</c:v>
                </c:pt>
                <c:pt idx="5">
                  <c:v>13168.670000000047</c:v>
                </c:pt>
                <c:pt idx="6">
                  <c:v>13168.670000000047</c:v>
                </c:pt>
                <c:pt idx="7">
                  <c:v>13168.670000000047</c:v>
                </c:pt>
                <c:pt idx="8">
                  <c:v>13168.670000000047</c:v>
                </c:pt>
                <c:pt idx="9">
                  <c:v>13168.670000000047</c:v>
                </c:pt>
                <c:pt idx="10">
                  <c:v>13168.670000000047</c:v>
                </c:pt>
                <c:pt idx="11">
                  <c:v>13168.670000000047</c:v>
                </c:pt>
                <c:pt idx="12">
                  <c:v>143519.18000000055</c:v>
                </c:pt>
              </c:numCache>
            </c:numRef>
          </c:val>
          <c:extLst>
            <c:ext xmlns:c14="http://schemas.microsoft.com/office/drawing/2007/8/2/chart" uri="{6F2FDCE9-48DA-4B69-8628-5D25D57E5C99}">
              <c14:invertSolidFillFmt>
                <c14:spPr xmlns:c14="http://schemas.microsoft.com/office/drawing/2007/8/2/chart">
                  <a:solidFill>
                    <a:srgbClr val="FFFFFF"/>
                  </a:solidFill>
                  <a:ln>
                    <a:noFill/>
                    <a:prstDash val="solid"/>
                  </a:ln>
                </c14:spPr>
              </c14:invertSolidFillFmt>
            </c:ext>
            <c:ext xmlns:c16="http://schemas.microsoft.com/office/drawing/2014/chart" uri="{C3380CC4-5D6E-409C-BE32-E72D297353CC}">
              <c16:uniqueId val="{00000000-FC6B-4FD3-8F13-C3A648B62129}"/>
            </c:ext>
          </c:extLst>
        </c:ser>
        <c:dLbls>
          <c:showLegendKey val="0"/>
          <c:showVal val="0"/>
          <c:showCatName val="0"/>
          <c:showSerName val="0"/>
          <c:showPercent val="0"/>
          <c:showBubbleSize val="0"/>
        </c:dLbls>
        <c:gapWidth val="219"/>
        <c:overlap val="-27"/>
        <c:axId val="604221248"/>
        <c:axId val="582199120"/>
      </c:barChart>
      <c:catAx>
        <c:axId val="60422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50000"/>
                    <a:lumOff val="50000"/>
                  </a:schemeClr>
                </a:solidFill>
                <a:latin typeface="+mn-lt"/>
                <a:ea typeface="+mn-ea"/>
                <a:cs typeface="+mn-cs"/>
              </a:defRPr>
            </a:pPr>
            <a:endParaRPr lang="fr-FR"/>
          </a:p>
        </c:txPr>
        <c:crossAx val="582199120"/>
        <c:crosses val="autoZero"/>
        <c:auto val="1"/>
        <c:lblAlgn val="ctr"/>
        <c:lblOffset val="100"/>
        <c:noMultiLvlLbl val="0"/>
      </c:catAx>
      <c:valAx>
        <c:axId val="582199120"/>
        <c:scaling>
          <c:orientation val="minMax"/>
        </c:scaling>
        <c:delete val="0"/>
        <c:axPos val="l"/>
        <c:majorGridlines>
          <c:spPr>
            <a:ln w="9525" cap="flat" cmpd="sng" algn="ctr">
              <a:solidFill>
                <a:schemeClr val="bg2">
                  <a:lumMod val="90000"/>
                </a:schemeClr>
              </a:solidFill>
              <a:prstDash val="solid"/>
              <a:round/>
            </a:ln>
          </c:spPr>
        </c:majorGridlines>
        <c:numFmt formatCode="\ &quot;R$&quot;#,##0" sourceLinked="0"/>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50000"/>
                    <a:lumOff val="50000"/>
                  </a:schemeClr>
                </a:solidFill>
                <a:latin typeface="+mn-lt"/>
                <a:ea typeface="+mn-ea"/>
                <a:cs typeface="+mn-cs"/>
              </a:defRPr>
            </a:pPr>
            <a:endParaRPr lang="fr-FR"/>
          </a:p>
        </c:txPr>
        <c:crossAx val="60422124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314323</xdr:colOff>
      <xdr:row>22</xdr:row>
      <xdr:rowOff>0</xdr:rowOff>
    </xdr:from>
    <xdr:to>
      <xdr:col>5</xdr:col>
      <xdr:colOff>1566686</xdr:colOff>
      <xdr:row>22</xdr:row>
      <xdr:rowOff>3657601</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885825</xdr:colOff>
      <xdr:row>1</xdr:row>
      <xdr:rowOff>1635</xdr:rowOff>
    </xdr:from>
    <xdr:to>
      <xdr:col>6</xdr:col>
      <xdr:colOff>59690</xdr:colOff>
      <xdr:row>1</xdr:row>
      <xdr:rowOff>548896</xdr:rowOff>
    </xdr:to>
    <xdr:pic>
      <xdr:nvPicPr>
        <xdr:cNvPr id="3" name="Image 18" descr="Espace réservé du logo">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115425" y="306435"/>
          <a:ext cx="1155065" cy="547261"/>
        </a:xfrm>
        <a:prstGeom prst="rect">
          <a:avLst/>
        </a:prstGeom>
        <a:noFill/>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63499</xdr:colOff>
      <xdr:row>1</xdr:row>
      <xdr:rowOff>112294</xdr:rowOff>
    </xdr:from>
    <xdr:to>
      <xdr:col>11</xdr:col>
      <xdr:colOff>454525</xdr:colOff>
      <xdr:row>22</xdr:row>
      <xdr:rowOff>66841</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TABILITE%202023.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f02780232_win325"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ord"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LiaisonExterneR&#233;cup&#233;r&#233;e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ue d’ensemble du budget"/>
      <sheetName val="Récapitulatif du budget"/>
      <sheetName val="Dépenses mensuelles"/>
      <sheetName val="Données supplémentaires"/>
      <sheetName val="COMPTABILITE 2023"/>
    </sheetNames>
    <sheetDataSet>
      <sheetData sheetId="0" refreshError="1"/>
      <sheetData sheetId="1" refreshError="1"/>
      <sheetData sheetId="2" refreshError="1"/>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au de bord"/>
      <sheetName val="Budget"/>
      <sheetName val="Installation"/>
      <sheetName val="données graphiques"/>
      <sheetName val="tf02780232_win325"/>
    </sheetNames>
    <sheetDataSet>
      <sheetData sheetId="0"/>
      <sheetData sheetId="1">
        <row r="5">
          <cell r="C5">
            <v>1000</v>
          </cell>
        </row>
        <row r="22">
          <cell r="B22" t="str">
            <v>foyer</v>
          </cell>
        </row>
        <row r="32">
          <cell r="B32" t="str">
            <v>vie quotidienne</v>
          </cell>
        </row>
        <row r="42">
          <cell r="B42" t="str">
            <v>enfants</v>
          </cell>
        </row>
        <row r="52">
          <cell r="B52" t="str">
            <v>transport</v>
          </cell>
        </row>
        <row r="62">
          <cell r="B62" t="str">
            <v>santé</v>
          </cell>
        </row>
        <row r="70">
          <cell r="B70" t="str">
            <v>assurance</v>
          </cell>
        </row>
        <row r="78">
          <cell r="B78" t="str">
            <v>enseignement</v>
          </cell>
        </row>
        <row r="86">
          <cell r="B86" t="str">
            <v>charité</v>
          </cell>
        </row>
        <row r="93">
          <cell r="B93" t="str">
            <v>épargne</v>
          </cell>
        </row>
        <row r="100">
          <cell r="B100" t="str">
            <v>obligations</v>
          </cell>
        </row>
        <row r="107">
          <cell r="B107" t="str">
            <v xml:space="preserve"> </v>
          </cell>
        </row>
        <row r="114">
          <cell r="B114" t="str">
            <v xml:space="preserve"> </v>
          </cell>
        </row>
        <row r="121">
          <cell r="B121" t="str">
            <v xml:space="preserve"> </v>
          </cell>
        </row>
        <row r="128">
          <cell r="B128" t="str">
            <v xml:space="preserve"> </v>
          </cell>
        </row>
        <row r="135">
          <cell r="B135" t="str">
            <v xml:space="preserve"> </v>
          </cell>
        </row>
      </sheetData>
      <sheetData sheetId="2">
        <row r="1">
          <cell r="B1" t="str">
            <v>FAMILLE DUBOIS 2012</v>
          </cell>
        </row>
      </sheetData>
      <sheetData sheetId="3">
        <row r="4">
          <cell r="C4">
            <v>13</v>
          </cell>
        </row>
        <row r="7">
          <cell r="B7" t="str">
            <v xml:space="preserve"> </v>
          </cell>
        </row>
        <row r="8">
          <cell r="B8" t="str">
            <v xml:space="preserve"> </v>
          </cell>
        </row>
        <row r="9">
          <cell r="B9" t="str">
            <v xml:space="preserve"> </v>
          </cell>
        </row>
        <row r="10">
          <cell r="B10" t="str">
            <v xml:space="preserve"> </v>
          </cell>
        </row>
        <row r="11">
          <cell r="B11" t="str">
            <v xml:space="preserve"> </v>
          </cell>
        </row>
        <row r="12">
          <cell r="B12" t="str">
            <v>obligations</v>
          </cell>
        </row>
        <row r="13">
          <cell r="B13" t="str">
            <v>épargne</v>
          </cell>
        </row>
        <row r="14">
          <cell r="B14" t="str">
            <v>charité</v>
          </cell>
        </row>
        <row r="15">
          <cell r="B15" t="str">
            <v>enseignement</v>
          </cell>
        </row>
        <row r="16">
          <cell r="B16" t="str">
            <v>assurance</v>
          </cell>
        </row>
        <row r="17">
          <cell r="B17" t="str">
            <v>santé</v>
          </cell>
        </row>
        <row r="18">
          <cell r="B18" t="str">
            <v>transport</v>
          </cell>
        </row>
        <row r="19">
          <cell r="B19" t="str">
            <v>enfants</v>
          </cell>
        </row>
        <row r="20">
          <cell r="B20" t="str">
            <v>vie quotidienne</v>
          </cell>
        </row>
        <row r="21">
          <cell r="B21" t="str">
            <v>foyer</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rd"/>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ORES MENSAIS"/>
      <sheetName val="MOVIMENTACOES MENSAIS"/>
      <sheetName val="HORA VERDADE"/>
      <sheetName val="Feuil2"/>
      <sheetName val="GRAFICO HV"/>
      <sheetName val="VARIACAO PATRIMONIAL"/>
      <sheetName val="BTG CDB PLUS"/>
      <sheetName val="HISTORICO "/>
      <sheetName val="HISTORICO APLICACOES"/>
      <sheetName val="DADOS FORMULARIO"/>
      <sheetName val="DISTRIBUICAO_MERCADOS"/>
      <sheetName val="DISTRIBUICAO_MODALIDADES"/>
      <sheetName val="VENCIMENTOS"/>
      <sheetName val="NOTAS CORRETAGEM"/>
      <sheetName val="MOVIMENTACAO_ACOES"/>
      <sheetName val="Feuil1"/>
      <sheetName val="Graphique2"/>
    </sheetNames>
    <sheetDataSet>
      <sheetData sheetId="0"/>
      <sheetData sheetId="1"/>
      <sheetData sheetId="2"/>
      <sheetData sheetId="3"/>
      <sheetData sheetId="4"/>
      <sheetData sheetId="5">
        <row r="52">
          <cell r="E52">
            <v>3030.4499999999662</v>
          </cell>
        </row>
      </sheetData>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PManutencaoCasa" displayName="DPManutencaoCasa" ref="A67:N79" totalsRowCount="1" headerRowDxfId="1439" totalsRowDxfId="1436" headerRowBorderDxfId="1438" tableBorderDxfId="1437" totalsRowBorderDxfId="1435">
  <autoFilter ref="A67:N78"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sortState xmlns:xlrd2="http://schemas.microsoft.com/office/spreadsheetml/2017/richdata2" ref="A68:N78">
    <sortCondition ref="A67:A78"/>
  </sortState>
  <tableColumns count="14">
    <tableColumn id="1" xr3:uid="{00000000-0010-0000-0000-000001000000}" name="Manutenção casa" totalsRowLabel="Sous-total" dataDxfId="1434" totalsRowDxfId="1433"/>
    <tableColumn id="2" xr3:uid="{00000000-0010-0000-0000-000002000000}" name="JANV" totalsRowFunction="sum" dataDxfId="1432" totalsRowDxfId="1431"/>
    <tableColumn id="3" xr3:uid="{00000000-0010-0000-0000-000003000000}" name="FÉVR" totalsRowFunction="sum" dataDxfId="1430" totalsRowDxfId="1429"/>
    <tableColumn id="4" xr3:uid="{00000000-0010-0000-0000-000004000000}" name="MARS" totalsRowFunction="sum" dataDxfId="1428" totalsRowDxfId="1427"/>
    <tableColumn id="5" xr3:uid="{00000000-0010-0000-0000-000005000000}" name="AVR" totalsRowFunction="sum" dataDxfId="1426" totalsRowDxfId="1425"/>
    <tableColumn id="6" xr3:uid="{00000000-0010-0000-0000-000006000000}" name="MAI" totalsRowFunction="sum" dataDxfId="1424" totalsRowDxfId="1423"/>
    <tableColumn id="7" xr3:uid="{00000000-0010-0000-0000-000007000000}" name="JUIN" totalsRowFunction="sum" dataDxfId="1422" totalsRowDxfId="1421"/>
    <tableColumn id="8" xr3:uid="{00000000-0010-0000-0000-000008000000}" name="JUIL" totalsRowFunction="sum" dataDxfId="1420" totalsRowDxfId="1419"/>
    <tableColumn id="9" xr3:uid="{00000000-0010-0000-0000-000009000000}" name="AOÛT" totalsRowFunction="sum" dataDxfId="1418" totalsRowDxfId="1417"/>
    <tableColumn id="10" xr3:uid="{00000000-0010-0000-0000-00000A000000}" name="SEPT" totalsRowFunction="sum" dataDxfId="1416" totalsRowDxfId="1415"/>
    <tableColumn id="11" xr3:uid="{00000000-0010-0000-0000-00000B000000}" name="OCT" totalsRowFunction="sum" dataDxfId="1414" totalsRowDxfId="1413"/>
    <tableColumn id="12" xr3:uid="{00000000-0010-0000-0000-00000C000000}" name="NOV" totalsRowFunction="sum" dataDxfId="1412" totalsRowDxfId="1411"/>
    <tableColumn id="13" xr3:uid="{00000000-0010-0000-0000-00000D000000}" name="DÉC" totalsRowFunction="sum" dataDxfId="1410" totalsRowDxfId="1409"/>
    <tableColumn id="14" xr3:uid="{00000000-0010-0000-0000-00000E000000}" name="ANNÉE" totalsRowFunction="sum" dataDxfId="1408" totalsRowDxfId="1407">
      <calculatedColumnFormula>SUM(B68:M68)</calculatedColumnFormula>
    </tableColumn>
  </tableColumns>
  <tableStyleInfo name="TableStyleMedium1" showFirstColumn="1" showLastColumn="1"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DPCriaturasEstimacao" displayName="DPCriaturasEstimacao" ref="A18:N21" totalsRowCount="1" headerRowDxfId="1144" totalsRowDxfId="1141" headerRowBorderDxfId="1143" tableBorderDxfId="1142" totalsRowBorderDxfId="1140">
  <autoFilter ref="A18:N20" xr:uid="{00000000-0009-0000-0100-00000A000000}"/>
  <tableColumns count="14">
    <tableColumn id="1" xr3:uid="{00000000-0010-0000-0900-000001000000}" name="Criaturas de estimação" totalsRowLabel="Sous-total" dataDxfId="1139" totalsRowDxfId="1138"/>
    <tableColumn id="2" xr3:uid="{00000000-0010-0000-0900-000002000000}" name="JANV" totalsRowFunction="sum" dataDxfId="1137" totalsRowDxfId="1136"/>
    <tableColumn id="3" xr3:uid="{00000000-0010-0000-0900-000003000000}" name="FÉVR" totalsRowFunction="sum" dataDxfId="1135" totalsRowDxfId="1134"/>
    <tableColumn id="4" xr3:uid="{00000000-0010-0000-0900-000004000000}" name="MARS" totalsRowFunction="sum" dataDxfId="1133" totalsRowDxfId="1132"/>
    <tableColumn id="5" xr3:uid="{00000000-0010-0000-0900-000005000000}" name="AVR" totalsRowFunction="sum" dataDxfId="1131" totalsRowDxfId="1130"/>
    <tableColumn id="6" xr3:uid="{00000000-0010-0000-0900-000006000000}" name="MAI" totalsRowFunction="sum" dataDxfId="1129" totalsRowDxfId="1128"/>
    <tableColumn id="7" xr3:uid="{00000000-0010-0000-0900-000007000000}" name="JUIN" totalsRowFunction="sum" dataDxfId="1127" totalsRowDxfId="1126"/>
    <tableColumn id="8" xr3:uid="{00000000-0010-0000-0900-000008000000}" name="JUIL" totalsRowFunction="sum" dataDxfId="1125" totalsRowDxfId="1124"/>
    <tableColumn id="9" xr3:uid="{00000000-0010-0000-0900-000009000000}" name="AOÛT" totalsRowFunction="sum" dataDxfId="1123" totalsRowDxfId="1122"/>
    <tableColumn id="10" xr3:uid="{00000000-0010-0000-0900-00000A000000}" name="SEPT" totalsRowFunction="sum" dataDxfId="1121" totalsRowDxfId="1120"/>
    <tableColumn id="11" xr3:uid="{00000000-0010-0000-0900-00000B000000}" name="OCT" totalsRowFunction="sum" dataDxfId="1119" totalsRowDxfId="1118"/>
    <tableColumn id="12" xr3:uid="{00000000-0010-0000-0900-00000C000000}" name="NOV" totalsRowFunction="sum" dataDxfId="1117" totalsRowDxfId="1116"/>
    <tableColumn id="13" xr3:uid="{00000000-0010-0000-0900-00000D000000}" name="DÉC" totalsRowFunction="sum" dataDxfId="1115" totalsRowDxfId="1114"/>
    <tableColumn id="14" xr3:uid="{00000000-0010-0000-0900-00000E000000}" name="ANNÉE" totalsRowFunction="sum" dataDxfId="1113" totalsRowDxfId="1112">
      <calculatedColumnFormula>SUM(B19:M19)</calculatedColumnFormula>
    </tableColumn>
  </tableColumns>
  <tableStyleInfo name="TableStyleMedium1" showFirstColumn="1" showLastColumn="1"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DPDespesasMedicas" displayName="DPDespesasMedicas" ref="A35:N41" totalsRowCount="1" headerRowDxfId="1111" totalsRowDxfId="1108" headerRowBorderDxfId="1110" tableBorderDxfId="1109" totalsRowBorderDxfId="1107">
  <tableColumns count="14">
    <tableColumn id="1" xr3:uid="{00000000-0010-0000-0A00-000001000000}" name="Despesas médicas" totalsRowLabel="Sous-total" dataDxfId="1106" totalsRowDxfId="1105"/>
    <tableColumn id="2" xr3:uid="{00000000-0010-0000-0A00-000002000000}" name="JANV" totalsRowFunction="sum" dataDxfId="1104" totalsRowDxfId="1103"/>
    <tableColumn id="3" xr3:uid="{00000000-0010-0000-0A00-000003000000}" name="FÉVR" totalsRowFunction="sum" dataDxfId="1102" totalsRowDxfId="1101"/>
    <tableColumn id="4" xr3:uid="{00000000-0010-0000-0A00-000004000000}" name="MARS" totalsRowFunction="sum" dataDxfId="1100" totalsRowDxfId="1099"/>
    <tableColumn id="5" xr3:uid="{00000000-0010-0000-0A00-000005000000}" name="AVR" totalsRowFunction="sum" dataDxfId="1098" totalsRowDxfId="1097"/>
    <tableColumn id="6" xr3:uid="{00000000-0010-0000-0A00-000006000000}" name="MAI" totalsRowFunction="sum" dataDxfId="1096" totalsRowDxfId="1095"/>
    <tableColumn id="7" xr3:uid="{00000000-0010-0000-0A00-000007000000}" name="JUIN" totalsRowFunction="sum" dataDxfId="1094" totalsRowDxfId="1093"/>
    <tableColumn id="8" xr3:uid="{00000000-0010-0000-0A00-000008000000}" name="JUIL" totalsRowFunction="sum" dataDxfId="1092" totalsRowDxfId="1091"/>
    <tableColumn id="9" xr3:uid="{00000000-0010-0000-0A00-000009000000}" name="AOÛT" totalsRowFunction="sum" dataDxfId="1090" totalsRowDxfId="1089"/>
    <tableColumn id="10" xr3:uid="{00000000-0010-0000-0A00-00000A000000}" name="SEPT" totalsRowFunction="sum" dataDxfId="1088" totalsRowDxfId="1087"/>
    <tableColumn id="11" xr3:uid="{00000000-0010-0000-0A00-00000B000000}" name="OCT" totalsRowFunction="sum" dataDxfId="1086" totalsRowDxfId="1085"/>
    <tableColumn id="12" xr3:uid="{00000000-0010-0000-0A00-00000C000000}" name="NOV" totalsRowFunction="sum" dataDxfId="1084" totalsRowDxfId="1083"/>
    <tableColumn id="13" xr3:uid="{00000000-0010-0000-0A00-00000D000000}" name="DÉC" totalsRowFunction="sum" dataDxfId="1082" totalsRowDxfId="1081"/>
    <tableColumn id="14" xr3:uid="{00000000-0010-0000-0A00-00000E000000}" name="ANNÉE" totalsRowFunction="sum" dataDxfId="1080" totalsRowDxfId="1079">
      <calculatedColumnFormula>SUM(B36:M36)</calculatedColumnFormula>
    </tableColumn>
  </tableColumns>
  <tableStyleInfo name="TableStyleMedium1" showFirstColumn="1" showLastColumn="1"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PEletronicaInformatica" displayName="DPEletronicaInformatica" ref="A43:N47" totalsRowCount="1" headerRowDxfId="1078" totalsRowDxfId="1075" headerRowBorderDxfId="1077" tableBorderDxfId="1076" totalsRowBorderDxfId="1074">
  <autoFilter ref="A43:N46" xr:uid="{00000000-0009-0000-0100-00000C000000}"/>
  <tableColumns count="14">
    <tableColumn id="1" xr3:uid="{00000000-0010-0000-0B00-000001000000}" name="Eletrônica e informática" totalsRowLabel="Sous-total" dataDxfId="1073" totalsRowDxfId="1072"/>
    <tableColumn id="2" xr3:uid="{00000000-0010-0000-0B00-000002000000}" name="JANV" totalsRowFunction="sum" dataDxfId="1071" totalsRowDxfId="1070"/>
    <tableColumn id="3" xr3:uid="{00000000-0010-0000-0B00-000003000000}" name="FÉVR" totalsRowFunction="sum" dataDxfId="1069" totalsRowDxfId="1068"/>
    <tableColumn id="4" xr3:uid="{00000000-0010-0000-0B00-000004000000}" name="MARS" totalsRowFunction="sum" dataDxfId="1067" totalsRowDxfId="1066"/>
    <tableColumn id="5" xr3:uid="{00000000-0010-0000-0B00-000005000000}" name="AVR" totalsRowFunction="sum" dataDxfId="1065" totalsRowDxfId="1064"/>
    <tableColumn id="6" xr3:uid="{00000000-0010-0000-0B00-000006000000}" name="MAI" totalsRowFunction="sum" dataDxfId="1063" totalsRowDxfId="1062"/>
    <tableColumn id="7" xr3:uid="{00000000-0010-0000-0B00-000007000000}" name="JUIN" totalsRowFunction="sum" dataDxfId="1061" totalsRowDxfId="1060"/>
    <tableColumn id="8" xr3:uid="{00000000-0010-0000-0B00-000008000000}" name="JUIL" totalsRowFunction="sum" dataDxfId="1059" totalsRowDxfId="1058"/>
    <tableColumn id="9" xr3:uid="{00000000-0010-0000-0B00-000009000000}" name="AOÛT" totalsRowFunction="sum" dataDxfId="1057" totalsRowDxfId="1056"/>
    <tableColumn id="10" xr3:uid="{00000000-0010-0000-0B00-00000A000000}" name="SEPT" totalsRowFunction="sum" dataDxfId="1055" totalsRowDxfId="1054"/>
    <tableColumn id="11" xr3:uid="{00000000-0010-0000-0B00-00000B000000}" name="OCT" totalsRowFunction="sum" dataDxfId="1053" totalsRowDxfId="1052"/>
    <tableColumn id="12" xr3:uid="{00000000-0010-0000-0B00-00000C000000}" name="NOV" totalsRowFunction="sum" dataDxfId="1051" totalsRowDxfId="1050"/>
    <tableColumn id="13" xr3:uid="{00000000-0010-0000-0B00-00000D000000}" name="DÉC" totalsRowFunction="sum" dataDxfId="1049" totalsRowDxfId="1048"/>
    <tableColumn id="14" xr3:uid="{00000000-0010-0000-0B00-00000E000000}" name="ANNÉE" totalsRowFunction="sum" dataDxfId="1047" totalsRowDxfId="1046">
      <calculatedColumnFormula>SUM(B44:M44)</calculatedColumnFormula>
    </tableColumn>
  </tableColumns>
  <tableStyleInfo name="TableStyleMedium1" showFirstColumn="1" showLastColumn="1"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DPImpostos" displayName="DPImpostos" ref="A49:N55" totalsRowCount="1" headerRowDxfId="1045" totalsRowDxfId="1042" headerRowBorderDxfId="1044" tableBorderDxfId="1043" totalsRowBorderDxfId="1041">
  <tableColumns count="14">
    <tableColumn id="1" xr3:uid="{00000000-0010-0000-0C00-000001000000}" name="Impostos" totalsRowLabel="Sous-total" dataDxfId="1040" totalsRowDxfId="1039"/>
    <tableColumn id="2" xr3:uid="{00000000-0010-0000-0C00-000002000000}" name="JANV" totalsRowFunction="sum" dataDxfId="1038" totalsRowDxfId="1037"/>
    <tableColumn id="3" xr3:uid="{00000000-0010-0000-0C00-000003000000}" name="FÉVR" totalsRowFunction="sum" dataDxfId="1036" totalsRowDxfId="1035"/>
    <tableColumn id="4" xr3:uid="{00000000-0010-0000-0C00-000004000000}" name="MARS" totalsRowFunction="sum" dataDxfId="1034" totalsRowDxfId="1033"/>
    <tableColumn id="5" xr3:uid="{00000000-0010-0000-0C00-000005000000}" name="AVR" totalsRowFunction="sum" dataDxfId="1032" totalsRowDxfId="1031"/>
    <tableColumn id="6" xr3:uid="{00000000-0010-0000-0C00-000006000000}" name="MAI" totalsRowFunction="sum" dataDxfId="1030" totalsRowDxfId="1029"/>
    <tableColumn id="7" xr3:uid="{00000000-0010-0000-0C00-000007000000}" name="JUIN" totalsRowFunction="sum" dataDxfId="1028" totalsRowDxfId="1027"/>
    <tableColumn id="8" xr3:uid="{00000000-0010-0000-0C00-000008000000}" name="JUIL" totalsRowFunction="sum" dataDxfId="1026" totalsRowDxfId="1025"/>
    <tableColumn id="9" xr3:uid="{00000000-0010-0000-0C00-000009000000}" name="AOÛT" totalsRowFunction="sum" dataDxfId="1024" totalsRowDxfId="1023"/>
    <tableColumn id="10" xr3:uid="{00000000-0010-0000-0C00-00000A000000}" name="SEPT" totalsRowFunction="sum" dataDxfId="1022" totalsRowDxfId="1021"/>
    <tableColumn id="11" xr3:uid="{00000000-0010-0000-0C00-00000B000000}" name="OCT" totalsRowFunction="sum" dataDxfId="1020" totalsRowDxfId="1019"/>
    <tableColumn id="12" xr3:uid="{00000000-0010-0000-0C00-00000C000000}" name="NOV" totalsRowFunction="sum" dataDxfId="1018" totalsRowDxfId="1017"/>
    <tableColumn id="13" xr3:uid="{00000000-0010-0000-0C00-00000D000000}" name="DÉC" totalsRowFunction="sum" dataDxfId="1016" totalsRowDxfId="1015"/>
    <tableColumn id="14" xr3:uid="{00000000-0010-0000-0C00-00000E000000}" name="ANNÉE" totalsRowFunction="sum" dataDxfId="1014" totalsRowDxfId="1013">
      <calculatedColumnFormula>SUM(B50:M50)</calculatedColumnFormula>
    </tableColumn>
  </tableColumns>
  <tableStyleInfo name="TableStyleMedium1" showFirstColumn="1" showLastColumn="1"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DPLazer" displayName="DPLazer" ref="A57:N65" totalsRowCount="1" headerRowDxfId="1012" totalsRowDxfId="1009" headerRowBorderDxfId="1011" tableBorderDxfId="1010" totalsRowBorderDxfId="1008">
  <sortState xmlns:xlrd2="http://schemas.microsoft.com/office/spreadsheetml/2017/richdata2" ref="A58:N64">
    <sortCondition ref="A57:A64"/>
  </sortState>
  <tableColumns count="14">
    <tableColumn id="1" xr3:uid="{00000000-0010-0000-0D00-000001000000}" name="Lazer e compras" totalsRowLabel="Sous-total" dataDxfId="1007" totalsRowDxfId="1006"/>
    <tableColumn id="2" xr3:uid="{00000000-0010-0000-0D00-000002000000}" name="JANV" totalsRowFunction="sum" dataDxfId="1005" totalsRowDxfId="1004"/>
    <tableColumn id="3" xr3:uid="{00000000-0010-0000-0D00-000003000000}" name="FÉVR" totalsRowFunction="sum" dataDxfId="1003" totalsRowDxfId="1002"/>
    <tableColumn id="4" xr3:uid="{00000000-0010-0000-0D00-000004000000}" name="MARS" totalsRowFunction="sum" dataDxfId="1001" totalsRowDxfId="1000"/>
    <tableColumn id="5" xr3:uid="{00000000-0010-0000-0D00-000005000000}" name="AVR" totalsRowFunction="sum" dataDxfId="999" totalsRowDxfId="998"/>
    <tableColumn id="6" xr3:uid="{00000000-0010-0000-0D00-000006000000}" name="MAI" totalsRowFunction="sum" dataDxfId="997" totalsRowDxfId="996"/>
    <tableColumn id="7" xr3:uid="{00000000-0010-0000-0D00-000007000000}" name="JUIN" totalsRowFunction="sum" dataDxfId="995" totalsRowDxfId="994"/>
    <tableColumn id="8" xr3:uid="{00000000-0010-0000-0D00-000008000000}" name="JUIL" totalsRowFunction="sum" dataDxfId="993" totalsRowDxfId="992"/>
    <tableColumn id="9" xr3:uid="{00000000-0010-0000-0D00-000009000000}" name="AOÛT" totalsRowFunction="sum" dataDxfId="991" totalsRowDxfId="990"/>
    <tableColumn id="10" xr3:uid="{00000000-0010-0000-0D00-00000A000000}" name="SEPT" totalsRowFunction="sum" dataDxfId="989" totalsRowDxfId="988"/>
    <tableColumn id="11" xr3:uid="{00000000-0010-0000-0D00-00000B000000}" name="OCT" totalsRowFunction="sum" dataDxfId="987" totalsRowDxfId="986"/>
    <tableColumn id="12" xr3:uid="{00000000-0010-0000-0D00-00000C000000}" name="NOV" totalsRowFunction="sum" dataDxfId="985" totalsRowDxfId="984"/>
    <tableColumn id="13" xr3:uid="{00000000-0010-0000-0D00-00000D000000}" name="DÉC" totalsRowFunction="sum" dataDxfId="983" totalsRowDxfId="982"/>
    <tableColumn id="14" xr3:uid="{00000000-0010-0000-0D00-00000E000000}" name="ANNÉE" totalsRowFunction="sum" dataDxfId="981" totalsRowDxfId="980">
      <calculatedColumnFormula>SUM(B58:M58)</calculatedColumnFormula>
    </tableColumn>
  </tableColumns>
  <tableStyleInfo name="TableStyleMedium1" showFirstColumn="1" showLastColumn="1"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DPViagens" displayName="DPViagens" ref="A99:N109" totalsRowCount="1" headerRowDxfId="979" totalsRowDxfId="976" headerRowBorderDxfId="978" tableBorderDxfId="977" totalsRowBorderDxfId="975">
  <autoFilter ref="A99:N108" xr:uid="{00000000-0009-0000-0100-00000F000000}"/>
  <sortState xmlns:xlrd2="http://schemas.microsoft.com/office/spreadsheetml/2017/richdata2" ref="A100:N108">
    <sortCondition ref="A99:A108"/>
  </sortState>
  <tableColumns count="14">
    <tableColumn id="1" xr3:uid="{00000000-0010-0000-0E00-000001000000}" name="Viagens" totalsRowLabel="Sous-total" dataDxfId="974" totalsRowDxfId="973"/>
    <tableColumn id="2" xr3:uid="{00000000-0010-0000-0E00-000002000000}" name="JANV" totalsRowFunction="sum" dataDxfId="972" totalsRowDxfId="971"/>
    <tableColumn id="3" xr3:uid="{00000000-0010-0000-0E00-000003000000}" name="FÉVR" totalsRowFunction="sum" dataDxfId="970" totalsRowDxfId="969"/>
    <tableColumn id="4" xr3:uid="{00000000-0010-0000-0E00-000004000000}" name="MARS" totalsRowFunction="sum" dataDxfId="968" totalsRowDxfId="967"/>
    <tableColumn id="5" xr3:uid="{00000000-0010-0000-0E00-000005000000}" name="AVR" totalsRowFunction="sum" dataDxfId="966" totalsRowDxfId="965"/>
    <tableColumn id="6" xr3:uid="{00000000-0010-0000-0E00-000006000000}" name="MAI" totalsRowFunction="sum" dataDxfId="964" totalsRowDxfId="963"/>
    <tableColumn id="7" xr3:uid="{00000000-0010-0000-0E00-000007000000}" name="JUIN" totalsRowFunction="sum" dataDxfId="962" totalsRowDxfId="961"/>
    <tableColumn id="8" xr3:uid="{00000000-0010-0000-0E00-000008000000}" name="JUIL" totalsRowFunction="sum" dataDxfId="960" totalsRowDxfId="959"/>
    <tableColumn id="9" xr3:uid="{00000000-0010-0000-0E00-000009000000}" name="AOÛT" totalsRowFunction="sum" dataDxfId="958" totalsRowDxfId="957"/>
    <tableColumn id="10" xr3:uid="{00000000-0010-0000-0E00-00000A000000}" name="SEPT" totalsRowFunction="sum" dataDxfId="956" totalsRowDxfId="955"/>
    <tableColumn id="11" xr3:uid="{00000000-0010-0000-0E00-00000B000000}" name="OCT" totalsRowFunction="sum" dataDxfId="954" totalsRowDxfId="953"/>
    <tableColumn id="12" xr3:uid="{00000000-0010-0000-0E00-00000C000000}" name="NOV" totalsRowFunction="sum" dataDxfId="952" totalsRowDxfId="951"/>
    <tableColumn id="13" xr3:uid="{00000000-0010-0000-0E00-00000D000000}" name="DÉC" totalsRowFunction="sum" dataDxfId="950" totalsRowDxfId="949"/>
    <tableColumn id="14" xr3:uid="{00000000-0010-0000-0E00-00000E000000}" name="ANNÉE" totalsRowFunction="sum" dataDxfId="948" totalsRowDxfId="947">
      <calculatedColumnFormula>SUM(B100:M100)</calculatedColumnFormula>
    </tableColumn>
  </tableColumns>
  <tableStyleInfo name="TableStyleMedium1" showFirstColumn="1" showLastColumn="1"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DRSeguros" displayName="DRSeguros" ref="A81:N86" totalsRowCount="1" headerRowDxfId="946" totalsRowDxfId="943" headerRowBorderDxfId="945" tableBorderDxfId="944" totalsRowBorderDxfId="942">
  <sortState xmlns:xlrd2="http://schemas.microsoft.com/office/spreadsheetml/2017/richdata2" ref="A82:N85">
    <sortCondition ref="A81:A85"/>
  </sortState>
  <tableColumns count="14">
    <tableColumn id="1" xr3:uid="{00000000-0010-0000-0F00-000001000000}" name="Seguros" totalsRowLabel="Sous-total" dataDxfId="941" totalsRowDxfId="940"/>
    <tableColumn id="2" xr3:uid="{00000000-0010-0000-0F00-000002000000}" name="JANV" totalsRowFunction="sum" dataDxfId="939" totalsRowDxfId="938"/>
    <tableColumn id="3" xr3:uid="{00000000-0010-0000-0F00-000003000000}" name="FÉVR" totalsRowFunction="sum" dataDxfId="937" totalsRowDxfId="936"/>
    <tableColumn id="4" xr3:uid="{00000000-0010-0000-0F00-000004000000}" name="MARS" totalsRowFunction="sum" dataDxfId="935" totalsRowDxfId="934"/>
    <tableColumn id="5" xr3:uid="{00000000-0010-0000-0F00-000005000000}" name="AVR" totalsRowFunction="sum" dataDxfId="933" totalsRowDxfId="932"/>
    <tableColumn id="6" xr3:uid="{00000000-0010-0000-0F00-000006000000}" name="MAI" totalsRowFunction="sum" dataDxfId="931" totalsRowDxfId="930"/>
    <tableColumn id="7" xr3:uid="{00000000-0010-0000-0F00-000007000000}" name="JUIN" totalsRowFunction="sum" dataDxfId="929" totalsRowDxfId="928"/>
    <tableColumn id="8" xr3:uid="{00000000-0010-0000-0F00-000008000000}" name="JUIL" totalsRowFunction="sum" dataDxfId="927" totalsRowDxfId="926"/>
    <tableColumn id="9" xr3:uid="{00000000-0010-0000-0F00-000009000000}" name="AOÛT" totalsRowFunction="sum" dataDxfId="925" totalsRowDxfId="924"/>
    <tableColumn id="10" xr3:uid="{00000000-0010-0000-0F00-00000A000000}" name="SEPT" totalsRowFunction="sum" dataDxfId="923" totalsRowDxfId="922"/>
    <tableColumn id="11" xr3:uid="{00000000-0010-0000-0F00-00000B000000}" name="OCT" totalsRowFunction="sum" dataDxfId="921" totalsRowDxfId="920"/>
    <tableColumn id="12" xr3:uid="{00000000-0010-0000-0F00-00000C000000}" name="NOV" totalsRowFunction="sum" dataDxfId="919" totalsRowDxfId="918"/>
    <tableColumn id="13" xr3:uid="{00000000-0010-0000-0F00-00000D000000}" name="DÉC" totalsRowFunction="sum" dataDxfId="917" totalsRowDxfId="916"/>
    <tableColumn id="14" xr3:uid="{00000000-0010-0000-0F00-00000E000000}" name="ANNÉE" totalsRowFunction="sum" dataDxfId="915" totalsRowDxfId="914">
      <calculatedColumnFormula>SUM(B82:M82)</calculatedColumnFormula>
    </tableColumn>
  </tableColumns>
  <tableStyleInfo name="TableStyleMedium1" showFirstColumn="1" showLastColumn="1"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DRServicos" displayName="DRServicos" ref="A88:N97" totalsRowCount="1" headerRowDxfId="913" totalsRowDxfId="910" headerRowBorderDxfId="912" tableBorderDxfId="911" totalsRowBorderDxfId="909">
  <sortState xmlns:xlrd2="http://schemas.microsoft.com/office/spreadsheetml/2017/richdata2" ref="A89:N96">
    <sortCondition ref="A88:A96"/>
  </sortState>
  <tableColumns count="14">
    <tableColumn id="1" xr3:uid="{00000000-0010-0000-1000-000001000000}" name="Serviços" totalsRowLabel="Sous-total" dataDxfId="908" totalsRowDxfId="907"/>
    <tableColumn id="2" xr3:uid="{00000000-0010-0000-1000-000002000000}" name="JANV" totalsRowFunction="sum" dataDxfId="906" totalsRowDxfId="905"/>
    <tableColumn id="3" xr3:uid="{00000000-0010-0000-1000-000003000000}" name="FÉVR" totalsRowFunction="sum" dataDxfId="904" totalsRowDxfId="903"/>
    <tableColumn id="4" xr3:uid="{00000000-0010-0000-1000-000004000000}" name="MARS" totalsRowFunction="sum" dataDxfId="902" totalsRowDxfId="901"/>
    <tableColumn id="5" xr3:uid="{00000000-0010-0000-1000-000005000000}" name="AVR" totalsRowFunction="sum" dataDxfId="900" totalsRowDxfId="899"/>
    <tableColumn id="6" xr3:uid="{00000000-0010-0000-1000-000006000000}" name="MAI" totalsRowFunction="sum" dataDxfId="898" totalsRowDxfId="897"/>
    <tableColumn id="7" xr3:uid="{00000000-0010-0000-1000-000007000000}" name="JUIN" totalsRowFunction="sum" dataDxfId="896" totalsRowDxfId="895"/>
    <tableColumn id="8" xr3:uid="{00000000-0010-0000-1000-000008000000}" name="JUIL" totalsRowFunction="sum" dataDxfId="894" totalsRowDxfId="893"/>
    <tableColumn id="9" xr3:uid="{00000000-0010-0000-1000-000009000000}" name="AOÛT" totalsRowFunction="sum" dataDxfId="892" totalsRowDxfId="891"/>
    <tableColumn id="10" xr3:uid="{00000000-0010-0000-1000-00000A000000}" name="SEPT" totalsRowFunction="sum" dataDxfId="890" totalsRowDxfId="889"/>
    <tableColumn id="11" xr3:uid="{00000000-0010-0000-1000-00000B000000}" name="OCT" totalsRowFunction="sum" dataDxfId="888" totalsRowDxfId="887"/>
    <tableColumn id="12" xr3:uid="{00000000-0010-0000-1000-00000C000000}" name="NOV" totalsRowFunction="sum" dataDxfId="886" totalsRowDxfId="885"/>
    <tableColumn id="13" xr3:uid="{00000000-0010-0000-1000-00000D000000}" name="DÉC" totalsRowFunction="sum" dataDxfId="884" totalsRowDxfId="883"/>
    <tableColumn id="14" xr3:uid="{00000000-0010-0000-1000-00000E000000}" name="ANNÉE" totalsRowFunction="sum" dataDxfId="882" totalsRowDxfId="881">
      <calculatedColumnFormula>SUM(B89:M89)</calculatedColumnFormula>
    </tableColumn>
  </tableColumns>
  <tableStyleInfo name="TableStyleMedium1" showFirstColumn="1" showLastColumn="1"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DRAlimentacaoLimpeza" displayName="DRAlimentacaoLimpeza" ref="A2:O6" totalsRowCount="1" headerRowDxfId="880" totalsRowDxfId="877" headerRowBorderDxfId="879" tableBorderDxfId="878" totalsRowBorderDxfId="876">
  <autoFilter ref="A2:O5" xr:uid="{00000000-0009-0000-0100-00001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00000000-0010-0000-1100-000001000000}" name="Alimentação e limpeza" totalsRowLabel="Sous-total" dataDxfId="875" totalsRowDxfId="874"/>
    <tableColumn id="2" xr3:uid="{00000000-0010-0000-1100-000002000000}" name="JANV" totalsRowFunction="sum" dataDxfId="873" totalsRowDxfId="872">
      <calculatedColumnFormula>B2*0.27</calculatedColumnFormula>
    </tableColumn>
    <tableColumn id="3" xr3:uid="{00000000-0010-0000-1100-000003000000}" name="FÉVR" totalsRowFunction="sum" dataDxfId="871" totalsRowDxfId="870">
      <calculatedColumnFormula>550.9 + 25.7</calculatedColumnFormula>
    </tableColumn>
    <tableColumn id="4" xr3:uid="{00000000-0010-0000-1100-000004000000}" name="MARS" totalsRowFunction="sum" dataDxfId="869" totalsRowDxfId="868"/>
    <tableColumn id="5" xr3:uid="{00000000-0010-0000-1100-000005000000}" name="AVR" totalsRowFunction="sum" dataDxfId="867" totalsRowDxfId="866"/>
    <tableColumn id="6" xr3:uid="{00000000-0010-0000-1100-000006000000}" name="MAI" totalsRowFunction="sum" dataDxfId="865" totalsRowDxfId="864">
      <calculatedColumnFormula>200 + 73.2 + 45 + 85.2 + 5 + 101 + 50.23 + 79.35 + 127.29 + 38.81 + 8.73 + 20.8 + 56.04 + 62.93</calculatedColumnFormula>
    </tableColumn>
    <tableColumn id="7" xr3:uid="{00000000-0010-0000-1100-000007000000}" name="JUIN" totalsRowFunction="sum" dataDxfId="863" totalsRowDxfId="862"/>
    <tableColumn id="8" xr3:uid="{00000000-0010-0000-1100-000008000000}" name="JUIL" totalsRowFunction="sum" dataDxfId="861" totalsRowDxfId="860"/>
    <tableColumn id="9" xr3:uid="{00000000-0010-0000-1100-000009000000}" name="AOÛT" totalsRowFunction="sum" dataDxfId="859" totalsRowDxfId="858"/>
    <tableColumn id="10" xr3:uid="{00000000-0010-0000-1100-00000A000000}" name="SEPT" totalsRowFunction="sum" dataDxfId="857" totalsRowDxfId="856"/>
    <tableColumn id="11" xr3:uid="{00000000-0010-0000-1100-00000B000000}" name="OCT" totalsRowFunction="sum" dataDxfId="855" totalsRowDxfId="854"/>
    <tableColumn id="12" xr3:uid="{00000000-0010-0000-1100-00000C000000}" name="NOV" totalsRowFunction="sum" dataDxfId="853" totalsRowDxfId="852"/>
    <tableColumn id="13" xr3:uid="{00000000-0010-0000-1100-00000D000000}" name="DÉC" totalsRowFunction="sum" dataDxfId="851" totalsRowDxfId="850"/>
    <tableColumn id="14" xr3:uid="{00000000-0010-0000-1100-00000E000000}" name="ANNÉE" totalsRowFunction="sum" dataDxfId="849" totalsRowDxfId="848">
      <calculatedColumnFormula>SUM(B3:M3)</calculatedColumnFormula>
    </tableColumn>
    <tableColumn id="15" xr3:uid="{00000000-0010-0000-1100-00000F000000}" name="Colonne1" dataDxfId="847" totalsRowDxfId="846">
      <calculatedColumnFormula>AVERAGE(B3:M3)</calculatedColumnFormula>
    </tableColumn>
  </tableColumns>
  <tableStyleInfo name="TableStyleMedium1" showFirstColumn="1" showLastColumn="1"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DRCarro" displayName="DRCarro" ref="A13:N16" totalsRowCount="1" headerRowDxfId="845" totalsRowDxfId="842" headerRowBorderDxfId="844" tableBorderDxfId="843" totalsRowBorderDxfId="841">
  <tableColumns count="14">
    <tableColumn id="1" xr3:uid="{00000000-0010-0000-1200-000001000000}" name="Carro" totalsRowLabel="Sous-total" dataDxfId="840" totalsRowDxfId="839"/>
    <tableColumn id="2" xr3:uid="{00000000-0010-0000-1200-000002000000}" name="JANV" totalsRowFunction="sum" dataDxfId="838" totalsRowDxfId="837">
      <calculatedColumnFormula>B13*0.27</calculatedColumnFormula>
    </tableColumn>
    <tableColumn id="3" xr3:uid="{00000000-0010-0000-1200-000003000000}" name="FÉVR" totalsRowFunction="sum" dataDxfId="836" totalsRowDxfId="835"/>
    <tableColumn id="4" xr3:uid="{00000000-0010-0000-1200-000004000000}" name="MARS" totalsRowFunction="sum" dataDxfId="834" totalsRowDxfId="833"/>
    <tableColumn id="5" xr3:uid="{00000000-0010-0000-1200-000005000000}" name="AVR" totalsRowFunction="sum" dataDxfId="832" totalsRowDxfId="831"/>
    <tableColumn id="6" xr3:uid="{00000000-0010-0000-1200-000006000000}" name="MAI" totalsRowFunction="sum" dataDxfId="830" totalsRowDxfId="829"/>
    <tableColumn id="7" xr3:uid="{00000000-0010-0000-1200-000007000000}" name="JUIN" totalsRowFunction="sum" dataDxfId="828" totalsRowDxfId="827"/>
    <tableColumn id="8" xr3:uid="{00000000-0010-0000-1200-000008000000}" name="JUIL" totalsRowFunction="sum" dataDxfId="826" totalsRowDxfId="825"/>
    <tableColumn id="9" xr3:uid="{00000000-0010-0000-1200-000009000000}" name="AOÛT" totalsRowFunction="sum" dataDxfId="824" totalsRowDxfId="823"/>
    <tableColumn id="10" xr3:uid="{00000000-0010-0000-1200-00000A000000}" name="SEPT" totalsRowFunction="sum" dataDxfId="822" totalsRowDxfId="821"/>
    <tableColumn id="11" xr3:uid="{00000000-0010-0000-1200-00000B000000}" name="OCT" totalsRowFunction="sum" dataDxfId="820" totalsRowDxfId="819"/>
    <tableColumn id="12" xr3:uid="{00000000-0010-0000-1200-00000C000000}" name="NOV" totalsRowFunction="sum" dataDxfId="818" totalsRowDxfId="817"/>
    <tableColumn id="13" xr3:uid="{00000000-0010-0000-1200-00000D000000}" name="DÉC" totalsRowFunction="sum" dataDxfId="816" totalsRowDxfId="815"/>
    <tableColumn id="14" xr3:uid="{00000000-0010-0000-1200-00000E000000}" name="ANNÉE" totalsRowFunction="sum" dataDxfId="814" totalsRowDxfId="813">
      <calculatedColumnFormula>SUM(B14:M14)</calculatedColumnFormula>
    </tableColumn>
  </tableColumns>
  <tableStyleInfo name="TableStyleMedium1" showFirstColumn="1" showLastColumn="1"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PSeguros" displayName="DPSeguros" ref="A81:N86" totalsRowCount="1" headerRowDxfId="1406" totalsRowDxfId="1403" headerRowBorderDxfId="1405" tableBorderDxfId="1404" totalsRowBorderDxfId="1402">
  <sortState xmlns:xlrd2="http://schemas.microsoft.com/office/spreadsheetml/2017/richdata2" ref="A82:N85">
    <sortCondition ref="A81:A85"/>
  </sortState>
  <tableColumns count="14">
    <tableColumn id="1" xr3:uid="{00000000-0010-0000-0100-000001000000}" name="Seguros" totalsRowLabel="Sous-total" dataDxfId="1401" totalsRowDxfId="1400"/>
    <tableColumn id="2" xr3:uid="{00000000-0010-0000-0100-000002000000}" name="JANV" totalsRowFunction="sum" dataDxfId="1399" totalsRowDxfId="1398"/>
    <tableColumn id="3" xr3:uid="{00000000-0010-0000-0100-000003000000}" name="FÉVR" totalsRowFunction="sum" dataDxfId="1397" totalsRowDxfId="1396"/>
    <tableColumn id="4" xr3:uid="{00000000-0010-0000-0100-000004000000}" name="MARS" totalsRowFunction="sum" dataDxfId="1395" totalsRowDxfId="1394"/>
    <tableColumn id="5" xr3:uid="{00000000-0010-0000-0100-000005000000}" name="AVR" totalsRowFunction="sum" dataDxfId="1393" totalsRowDxfId="1392"/>
    <tableColumn id="6" xr3:uid="{00000000-0010-0000-0100-000006000000}" name="MAI" totalsRowFunction="sum" dataDxfId="1391" totalsRowDxfId="1390"/>
    <tableColumn id="7" xr3:uid="{00000000-0010-0000-0100-000007000000}" name="JUIN" totalsRowFunction="sum" dataDxfId="1389" totalsRowDxfId="1388"/>
    <tableColumn id="8" xr3:uid="{00000000-0010-0000-0100-000008000000}" name="JUIL" totalsRowFunction="sum" dataDxfId="1387" totalsRowDxfId="1386"/>
    <tableColumn id="9" xr3:uid="{00000000-0010-0000-0100-000009000000}" name="AOÛT" totalsRowFunction="sum" dataDxfId="1385" totalsRowDxfId="1384"/>
    <tableColumn id="10" xr3:uid="{00000000-0010-0000-0100-00000A000000}" name="SEPT" totalsRowFunction="sum" dataDxfId="1383" totalsRowDxfId="1382"/>
    <tableColumn id="11" xr3:uid="{00000000-0010-0000-0100-00000B000000}" name="OCT" totalsRowFunction="sum" dataDxfId="1381" totalsRowDxfId="1380"/>
    <tableColumn id="12" xr3:uid="{00000000-0010-0000-0100-00000C000000}" name="NOV" totalsRowFunction="sum" dataDxfId="1379" totalsRowDxfId="1378"/>
    <tableColumn id="13" xr3:uid="{00000000-0010-0000-0100-00000D000000}" name="DÉC" totalsRowFunction="sum" dataDxfId="1377" totalsRowDxfId="1376"/>
    <tableColumn id="14" xr3:uid="{00000000-0010-0000-0100-00000E000000}" name="ANNÉE" totalsRowFunction="sum" dataDxfId="1375" totalsRowDxfId="1374">
      <calculatedColumnFormula>SUM(B82:M82)</calculatedColumnFormula>
    </tableColumn>
  </tableColumns>
  <tableStyleInfo name="TableStyleMedium1" showFirstColumn="1" showLastColumn="1"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DRCaridadeDoacoes" displayName="DRCaridadeDoacoes" ref="A8:N11" totalsRowCount="1" headerRowDxfId="812" totalsRowDxfId="809" headerRowBorderDxfId="811" tableBorderDxfId="810" totalsRowBorderDxfId="808">
  <tableColumns count="14">
    <tableColumn id="1" xr3:uid="{00000000-0010-0000-1300-000001000000}" name="Caridade e doações" totalsRowLabel="Sous-total" dataDxfId="807" totalsRowDxfId="806"/>
    <tableColumn id="2" xr3:uid="{00000000-0010-0000-1300-000002000000}" name="JANV" totalsRowFunction="sum" dataDxfId="805" totalsRowDxfId="804">
      <calculatedColumnFormula>B8*0.27</calculatedColumnFormula>
    </tableColumn>
    <tableColumn id="3" xr3:uid="{00000000-0010-0000-1300-000003000000}" name="FÉVR" totalsRowFunction="sum" dataDxfId="803" totalsRowDxfId="802"/>
    <tableColumn id="4" xr3:uid="{00000000-0010-0000-1300-000004000000}" name="MARS" totalsRowFunction="sum" dataDxfId="801" totalsRowDxfId="800"/>
    <tableColumn id="5" xr3:uid="{00000000-0010-0000-1300-000005000000}" name="AVR" totalsRowFunction="sum" dataDxfId="799" totalsRowDxfId="798"/>
    <tableColumn id="6" xr3:uid="{00000000-0010-0000-1300-000006000000}" name="MAI" totalsRowFunction="sum" dataDxfId="797" totalsRowDxfId="796"/>
    <tableColumn id="7" xr3:uid="{00000000-0010-0000-1300-000007000000}" name="JUIN" totalsRowFunction="sum" dataDxfId="795" totalsRowDxfId="794"/>
    <tableColumn id="8" xr3:uid="{00000000-0010-0000-1300-000008000000}" name="JUIL" totalsRowFunction="sum" dataDxfId="793" totalsRowDxfId="792"/>
    <tableColumn id="9" xr3:uid="{00000000-0010-0000-1300-000009000000}" name="AOÛT" totalsRowFunction="sum" dataDxfId="791" totalsRowDxfId="790"/>
    <tableColumn id="10" xr3:uid="{00000000-0010-0000-1300-00000A000000}" name="SEPT" totalsRowFunction="sum" dataDxfId="789" totalsRowDxfId="788"/>
    <tableColumn id="11" xr3:uid="{00000000-0010-0000-1300-00000B000000}" name="OCT" totalsRowFunction="sum" dataDxfId="787" totalsRowDxfId="786"/>
    <tableColumn id="12" xr3:uid="{00000000-0010-0000-1300-00000C000000}" name="NOV" totalsRowFunction="sum" dataDxfId="785" totalsRowDxfId="784"/>
    <tableColumn id="13" xr3:uid="{00000000-0010-0000-1300-00000D000000}" name="DÉC" totalsRowFunction="sum" dataDxfId="783" totalsRowDxfId="782"/>
    <tableColumn id="14" xr3:uid="{00000000-0010-0000-1300-00000E000000}" name="ANNÉE" totalsRowFunction="sum" dataDxfId="781" totalsRowDxfId="780">
      <calculatedColumnFormula>SUM(B9:M9)</calculatedColumnFormula>
    </tableColumn>
  </tableColumns>
  <tableStyleInfo name="TableStyleMedium1" showFirstColumn="1" showLastColumn="1"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DRCuidadosPessoaisFormacao" displayName="DRCuidadosPessoaisFormacao" ref="A23:N27" totalsRowCount="1" headerRowDxfId="779" totalsRowDxfId="776" headerRowBorderDxfId="778" tableBorderDxfId="777" totalsRowBorderDxfId="775">
  <tableColumns count="14">
    <tableColumn id="1" xr3:uid="{00000000-0010-0000-1400-000001000000}" name="Cuidados pessoais e formação" totalsRowLabel="Sous-total" dataDxfId="774" totalsRowDxfId="773"/>
    <tableColumn id="2" xr3:uid="{00000000-0010-0000-1400-000002000000}" name="JANV" totalsRowFunction="sum" dataDxfId="772" totalsRowDxfId="771"/>
    <tableColumn id="3" xr3:uid="{00000000-0010-0000-1400-000003000000}" name="FÉVR" totalsRowFunction="sum" dataDxfId="770" totalsRowDxfId="769"/>
    <tableColumn id="4" xr3:uid="{00000000-0010-0000-1400-000004000000}" name="MARS" totalsRowFunction="sum" dataDxfId="768" totalsRowDxfId="767"/>
    <tableColumn id="5" xr3:uid="{00000000-0010-0000-1400-000005000000}" name="AVR" totalsRowFunction="sum" dataDxfId="766" totalsRowDxfId="765"/>
    <tableColumn id="6" xr3:uid="{00000000-0010-0000-1400-000006000000}" name="MAI" totalsRowFunction="sum" dataDxfId="764" totalsRowDxfId="763"/>
    <tableColumn id="7" xr3:uid="{00000000-0010-0000-1400-000007000000}" name="JUIN" totalsRowFunction="sum" dataDxfId="762" totalsRowDxfId="761"/>
    <tableColumn id="8" xr3:uid="{00000000-0010-0000-1400-000008000000}" name="JUIL" totalsRowFunction="sum" dataDxfId="760" totalsRowDxfId="759"/>
    <tableColumn id="9" xr3:uid="{00000000-0010-0000-1400-000009000000}" name="AOÛT" totalsRowFunction="sum" dataDxfId="758" totalsRowDxfId="757"/>
    <tableColumn id="10" xr3:uid="{00000000-0010-0000-1400-00000A000000}" name="SEPT" totalsRowFunction="sum" dataDxfId="756" totalsRowDxfId="755"/>
    <tableColumn id="11" xr3:uid="{00000000-0010-0000-1400-00000B000000}" name="OCT" totalsRowFunction="sum" dataDxfId="754" totalsRowDxfId="753"/>
    <tableColumn id="12" xr3:uid="{00000000-0010-0000-1400-00000C000000}" name="NOV" totalsRowFunction="sum" dataDxfId="752" totalsRowDxfId="751"/>
    <tableColumn id="13" xr3:uid="{00000000-0010-0000-1400-00000D000000}" name="DÉC" totalsRowFunction="sum" dataDxfId="750" totalsRowDxfId="749"/>
    <tableColumn id="14" xr3:uid="{00000000-0010-0000-1400-00000E000000}" name="ANNÉE" totalsRowFunction="sum" dataDxfId="748" totalsRowDxfId="747">
      <calculatedColumnFormula>SUM(B24:M24)</calculatedColumnFormula>
    </tableColumn>
  </tableColumns>
  <tableStyleInfo name="TableStyleMedium1" showFirstColumn="1" showLastColumn="1"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DRDespesasBancarias" displayName="DRDespesasBancarias" ref="A29:N33" totalsRowCount="1" headerRowDxfId="746" totalsRowDxfId="743" headerRowBorderDxfId="745" tableBorderDxfId="744" totalsRowBorderDxfId="742">
  <tableColumns count="14">
    <tableColumn id="1" xr3:uid="{00000000-0010-0000-1500-000001000000}" name="Despesas bancárias" totalsRowLabel="Sous-total" dataDxfId="741" totalsRowDxfId="740"/>
    <tableColumn id="2" xr3:uid="{00000000-0010-0000-1500-000002000000}" name="JANV" totalsRowFunction="sum" dataDxfId="739" totalsRowDxfId="738">
      <calculatedColumnFormula>19.85 + 0.89</calculatedColumnFormula>
    </tableColumn>
    <tableColumn id="3" xr3:uid="{00000000-0010-0000-1500-000003000000}" name="FÉVR" totalsRowFunction="sum" dataDxfId="737" totalsRowDxfId="736"/>
    <tableColumn id="4" xr3:uid="{00000000-0010-0000-1500-000004000000}" name="MARS" totalsRowFunction="sum" dataDxfId="735" totalsRowDxfId="734"/>
    <tableColumn id="5" xr3:uid="{00000000-0010-0000-1500-000005000000}" name="AVR" totalsRowFunction="sum" dataDxfId="733" totalsRowDxfId="732"/>
    <tableColumn id="6" xr3:uid="{00000000-0010-0000-1500-000006000000}" name="MAI" totalsRowFunction="sum" dataDxfId="731" totalsRowDxfId="730"/>
    <tableColumn id="7" xr3:uid="{00000000-0010-0000-1500-000007000000}" name="JUIN" totalsRowFunction="sum" dataDxfId="729" totalsRowDxfId="728"/>
    <tableColumn id="8" xr3:uid="{00000000-0010-0000-1500-000008000000}" name="JUIL" totalsRowFunction="sum" dataDxfId="727" totalsRowDxfId="726"/>
    <tableColumn id="9" xr3:uid="{00000000-0010-0000-1500-000009000000}" name="AOÛT" totalsRowFunction="sum" dataDxfId="725" totalsRowDxfId="724"/>
    <tableColumn id="10" xr3:uid="{00000000-0010-0000-1500-00000A000000}" name="SEPT" totalsRowFunction="sum" dataDxfId="723" totalsRowDxfId="722"/>
    <tableColumn id="11" xr3:uid="{00000000-0010-0000-1500-00000B000000}" name="OCT" totalsRowFunction="sum" dataDxfId="721" totalsRowDxfId="720"/>
    <tableColumn id="12" xr3:uid="{00000000-0010-0000-1500-00000C000000}" name="NOV" totalsRowFunction="sum" dataDxfId="719" totalsRowDxfId="718"/>
    <tableColumn id="13" xr3:uid="{00000000-0010-0000-1500-00000D000000}" name="DÉC" totalsRowFunction="sum" dataDxfId="717" totalsRowDxfId="716"/>
    <tableColumn id="14" xr3:uid="{00000000-0010-0000-1500-00000E000000}" name="ANNÉE" totalsRowFunction="sum" dataDxfId="715" totalsRowDxfId="714">
      <calculatedColumnFormula>SUM(B30:M30)</calculatedColumnFormula>
    </tableColumn>
  </tableColumns>
  <tableStyleInfo name="TableStyleMedium1" showFirstColumn="1" showLastColumn="1"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DRCriaturasEstimacao" displayName="DRCriaturasEstimacao" ref="A18:N21" totalsRowCount="1" headerRowDxfId="713" totalsRowDxfId="710" headerRowBorderDxfId="712" tableBorderDxfId="711" totalsRowBorderDxfId="709">
  <tableColumns count="14">
    <tableColumn id="1" xr3:uid="{00000000-0010-0000-1600-000001000000}" name="Criaturas de estimação" totalsRowLabel="Sous-total" dataDxfId="708" totalsRowDxfId="707"/>
    <tableColumn id="2" xr3:uid="{00000000-0010-0000-1600-000002000000}" name="JANV" totalsRowFunction="sum" dataDxfId="706" totalsRowDxfId="705"/>
    <tableColumn id="3" xr3:uid="{00000000-0010-0000-1600-000003000000}" name="FÉVR" totalsRowFunction="sum" dataDxfId="704" totalsRowDxfId="703"/>
    <tableColumn id="4" xr3:uid="{00000000-0010-0000-1600-000004000000}" name="MARS" totalsRowFunction="sum" dataDxfId="702" totalsRowDxfId="701"/>
    <tableColumn id="5" xr3:uid="{00000000-0010-0000-1600-000005000000}" name="AVR" totalsRowFunction="sum" dataDxfId="700" totalsRowDxfId="699"/>
    <tableColumn id="6" xr3:uid="{00000000-0010-0000-1600-000006000000}" name="MAI" totalsRowFunction="sum" dataDxfId="698" totalsRowDxfId="697"/>
    <tableColumn id="7" xr3:uid="{00000000-0010-0000-1600-000007000000}" name="JUIN" totalsRowFunction="sum" dataDxfId="696" totalsRowDxfId="695"/>
    <tableColumn id="8" xr3:uid="{00000000-0010-0000-1600-000008000000}" name="JUIL" totalsRowFunction="sum" dataDxfId="694" totalsRowDxfId="693"/>
    <tableColumn id="9" xr3:uid="{00000000-0010-0000-1600-000009000000}" name="AOÛT" totalsRowFunction="sum" dataDxfId="692" totalsRowDxfId="691"/>
    <tableColumn id="10" xr3:uid="{00000000-0010-0000-1600-00000A000000}" name="SEPT" totalsRowFunction="sum" dataDxfId="690" totalsRowDxfId="689"/>
    <tableColumn id="11" xr3:uid="{00000000-0010-0000-1600-00000B000000}" name="OCT" totalsRowFunction="sum" dataDxfId="688" totalsRowDxfId="687"/>
    <tableColumn id="12" xr3:uid="{00000000-0010-0000-1600-00000C000000}" name="NOV" totalsRowFunction="sum" dataDxfId="686" totalsRowDxfId="685"/>
    <tableColumn id="13" xr3:uid="{00000000-0010-0000-1600-00000D000000}" name="DÉC" totalsRowFunction="sum" dataDxfId="684" totalsRowDxfId="683"/>
    <tableColumn id="14" xr3:uid="{00000000-0010-0000-1600-00000E000000}" name="ANNÉE" totalsRowFunction="sum" dataDxfId="682" totalsRowDxfId="681">
      <calculatedColumnFormula>SUM(B19:M19)</calculatedColumnFormula>
    </tableColumn>
  </tableColumns>
  <tableStyleInfo name="TableStyleMedium1" showFirstColumn="1" showLastColumn="1"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DRDespesasMedicas" displayName="DRDespesasMedicas" ref="A35:N41" totalsRowCount="1" headerRowDxfId="680" totalsRowDxfId="677" headerRowBorderDxfId="679" tableBorderDxfId="678" totalsRowBorderDxfId="676">
  <tableColumns count="14">
    <tableColumn id="1" xr3:uid="{00000000-0010-0000-1700-000001000000}" name="Despesas médicas" totalsRowLabel="Sous-total" dataDxfId="675" totalsRowDxfId="674"/>
    <tableColumn id="2" xr3:uid="{00000000-0010-0000-1700-000002000000}" name="JANV" totalsRowFunction="sum" dataDxfId="673" totalsRowDxfId="672"/>
    <tableColumn id="3" xr3:uid="{00000000-0010-0000-1700-000003000000}" name="FÉVR" totalsRowFunction="sum" dataDxfId="671" totalsRowDxfId="670"/>
    <tableColumn id="4" xr3:uid="{00000000-0010-0000-1700-000004000000}" name="MARS" totalsRowFunction="sum" dataDxfId="669" totalsRowDxfId="668"/>
    <tableColumn id="5" xr3:uid="{00000000-0010-0000-1700-000005000000}" name="AVR" totalsRowFunction="sum" dataDxfId="667" totalsRowDxfId="666"/>
    <tableColumn id="6" xr3:uid="{00000000-0010-0000-1700-000006000000}" name="MAI" totalsRowFunction="sum" dataDxfId="665" totalsRowDxfId="664"/>
    <tableColumn id="7" xr3:uid="{00000000-0010-0000-1700-000007000000}" name="JUIN" totalsRowFunction="sum" dataDxfId="663" totalsRowDxfId="662"/>
    <tableColumn id="8" xr3:uid="{00000000-0010-0000-1700-000008000000}" name="JUIL" totalsRowFunction="sum" dataDxfId="661" totalsRowDxfId="660"/>
    <tableColumn id="9" xr3:uid="{00000000-0010-0000-1700-000009000000}" name="AOÛT" totalsRowFunction="sum" dataDxfId="659" totalsRowDxfId="658"/>
    <tableColumn id="10" xr3:uid="{00000000-0010-0000-1700-00000A000000}" name="SEPT" totalsRowFunction="sum" dataDxfId="657" totalsRowDxfId="656"/>
    <tableColumn id="11" xr3:uid="{00000000-0010-0000-1700-00000B000000}" name="OCT" totalsRowFunction="sum" dataDxfId="655" totalsRowDxfId="654"/>
    <tableColumn id="12" xr3:uid="{00000000-0010-0000-1700-00000C000000}" name="NOV" totalsRowFunction="sum" dataDxfId="653" totalsRowDxfId="652"/>
    <tableColumn id="13" xr3:uid="{00000000-0010-0000-1700-00000D000000}" name="DÉC" totalsRowFunction="sum" dataDxfId="651" totalsRowDxfId="650"/>
    <tableColumn id="14" xr3:uid="{00000000-0010-0000-1700-00000E000000}" name="ANNÉE" totalsRowFunction="sum" dataDxfId="649" totalsRowDxfId="648">
      <calculatedColumnFormula>SUM(B36:M36)</calculatedColumnFormula>
    </tableColumn>
  </tableColumns>
  <tableStyleInfo name="TableStyleMedium1" showFirstColumn="1" showLastColumn="1"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DREletronicaInformatica" displayName="DREletronicaInformatica" ref="A43:N47" totalsRowCount="1" headerRowDxfId="647" totalsRowDxfId="644" headerRowBorderDxfId="646" tableBorderDxfId="645" totalsRowBorderDxfId="643">
  <tableColumns count="14">
    <tableColumn id="1" xr3:uid="{00000000-0010-0000-1800-000001000000}" name="Eletrônica e informática" totalsRowLabel="Sous-total" dataDxfId="642" totalsRowDxfId="641"/>
    <tableColumn id="2" xr3:uid="{00000000-0010-0000-1800-000002000000}" name="JANV" totalsRowFunction="sum" dataDxfId="640" totalsRowDxfId="639"/>
    <tableColumn id="3" xr3:uid="{00000000-0010-0000-1800-000003000000}" name="FÉVR" totalsRowFunction="sum" dataDxfId="638" totalsRowDxfId="637"/>
    <tableColumn id="4" xr3:uid="{00000000-0010-0000-1800-000004000000}" name="MARS" totalsRowFunction="sum" dataDxfId="636" totalsRowDxfId="635"/>
    <tableColumn id="5" xr3:uid="{00000000-0010-0000-1800-000005000000}" name="AVR" totalsRowFunction="sum" dataDxfId="634" totalsRowDxfId="633"/>
    <tableColumn id="6" xr3:uid="{00000000-0010-0000-1800-000006000000}" name="MAI" totalsRowFunction="sum" dataDxfId="632" totalsRowDxfId="631"/>
    <tableColumn id="7" xr3:uid="{00000000-0010-0000-1800-000007000000}" name="JUIN" totalsRowFunction="sum" dataDxfId="630" totalsRowDxfId="629"/>
    <tableColumn id="8" xr3:uid="{00000000-0010-0000-1800-000008000000}" name="JUIL" totalsRowFunction="sum" dataDxfId="628" totalsRowDxfId="627"/>
    <tableColumn id="9" xr3:uid="{00000000-0010-0000-1800-000009000000}" name="AOÛT" totalsRowFunction="sum" dataDxfId="626" totalsRowDxfId="625"/>
    <tableColumn id="10" xr3:uid="{00000000-0010-0000-1800-00000A000000}" name="SEPT" totalsRowFunction="sum" dataDxfId="624" totalsRowDxfId="623"/>
    <tableColumn id="11" xr3:uid="{00000000-0010-0000-1800-00000B000000}" name="OCT" totalsRowFunction="sum" dataDxfId="622" totalsRowDxfId="621"/>
    <tableColumn id="12" xr3:uid="{00000000-0010-0000-1800-00000C000000}" name="NOV" totalsRowFunction="sum" dataDxfId="620" totalsRowDxfId="619"/>
    <tableColumn id="13" xr3:uid="{00000000-0010-0000-1800-00000D000000}" name="DÉC" totalsRowFunction="sum" dataDxfId="618" totalsRowDxfId="617"/>
    <tableColumn id="14" xr3:uid="{00000000-0010-0000-1800-00000E000000}" name="ANNÉE" totalsRowFunction="sum" dataDxfId="616" totalsRowDxfId="615">
      <calculatedColumnFormula>SUM(B44:M44)</calculatedColumnFormula>
    </tableColumn>
  </tableColumns>
  <tableStyleInfo name="TableStyleMedium1" showFirstColumn="1" showLastColumn="1"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DRImpostos" displayName="DRImpostos" ref="A49:N55" totalsRowCount="1" headerRowDxfId="614" totalsRowDxfId="611" headerRowBorderDxfId="613" tableBorderDxfId="612" totalsRowBorderDxfId="610">
  <tableColumns count="14">
    <tableColumn id="1" xr3:uid="{00000000-0010-0000-1900-000001000000}" name="Impostos" totalsRowLabel="Sous-total" dataDxfId="609" totalsRowDxfId="608"/>
    <tableColumn id="2" xr3:uid="{00000000-0010-0000-1900-000002000000}" name="JANV" totalsRowFunction="sum" dataDxfId="607" totalsRowDxfId="606"/>
    <tableColumn id="3" xr3:uid="{00000000-0010-0000-1900-000003000000}" name="FÉVR" totalsRowFunction="sum" dataDxfId="605" totalsRowDxfId="604"/>
    <tableColumn id="4" xr3:uid="{00000000-0010-0000-1900-000004000000}" name="MARS" totalsRowFunction="sum" dataDxfId="603" totalsRowDxfId="602"/>
    <tableColumn id="5" xr3:uid="{00000000-0010-0000-1900-000005000000}" name="AVR" totalsRowFunction="sum" dataDxfId="601" totalsRowDxfId="600"/>
    <tableColumn id="6" xr3:uid="{00000000-0010-0000-1900-000006000000}" name="MAI" totalsRowFunction="sum" dataDxfId="599" totalsRowDxfId="598"/>
    <tableColumn id="7" xr3:uid="{00000000-0010-0000-1900-000007000000}" name="JUIN" totalsRowFunction="sum" dataDxfId="597" totalsRowDxfId="596"/>
    <tableColumn id="8" xr3:uid="{00000000-0010-0000-1900-000008000000}" name="JUIL" totalsRowFunction="sum" dataDxfId="595" totalsRowDxfId="594"/>
    <tableColumn id="9" xr3:uid="{00000000-0010-0000-1900-000009000000}" name="AOÛT" totalsRowFunction="sum" dataDxfId="593" totalsRowDxfId="592"/>
    <tableColumn id="10" xr3:uid="{00000000-0010-0000-1900-00000A000000}" name="SEPT" totalsRowFunction="sum" dataDxfId="591" totalsRowDxfId="590"/>
    <tableColumn id="11" xr3:uid="{00000000-0010-0000-1900-00000B000000}" name="OCT" totalsRowFunction="sum" dataDxfId="589" totalsRowDxfId="588"/>
    <tableColumn id="12" xr3:uid="{00000000-0010-0000-1900-00000C000000}" name="NOV" totalsRowFunction="sum" dataDxfId="587" totalsRowDxfId="586"/>
    <tableColumn id="13" xr3:uid="{00000000-0010-0000-1900-00000D000000}" name="DÉC" totalsRowFunction="sum" dataDxfId="585" totalsRowDxfId="584"/>
    <tableColumn id="14" xr3:uid="{00000000-0010-0000-1900-00000E000000}" name="ANNÉE" totalsRowFunction="sum" dataDxfId="583" totalsRowDxfId="582">
      <calculatedColumnFormula>SUM(B50:M50)</calculatedColumnFormula>
    </tableColumn>
  </tableColumns>
  <tableStyleInfo name="TableStyleMedium1" showFirstColumn="1" showLastColumn="1"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DRLazer" displayName="DRLazer" ref="A57:N65" totalsRowCount="1" headerRowDxfId="581" totalsRowDxfId="578" headerRowBorderDxfId="580" tableBorderDxfId="579" totalsRowBorderDxfId="577">
  <sortState xmlns:xlrd2="http://schemas.microsoft.com/office/spreadsheetml/2017/richdata2" ref="A58:N64">
    <sortCondition ref="A57:A64"/>
  </sortState>
  <tableColumns count="14">
    <tableColumn id="1" xr3:uid="{00000000-0010-0000-1A00-000001000000}" name="Lazer e Compras" totalsRowLabel="Sous-total" dataDxfId="576" totalsRowDxfId="575"/>
    <tableColumn id="2" xr3:uid="{00000000-0010-0000-1A00-000002000000}" name="JANV" totalsRowFunction="sum" dataDxfId="574" totalsRowDxfId="573"/>
    <tableColumn id="3" xr3:uid="{00000000-0010-0000-1A00-000003000000}" name="FÉVR" totalsRowFunction="sum" dataDxfId="572" totalsRowDxfId="571"/>
    <tableColumn id="4" xr3:uid="{00000000-0010-0000-1A00-000004000000}" name="MARS" totalsRowFunction="sum" dataDxfId="570" totalsRowDxfId="569"/>
    <tableColumn id="5" xr3:uid="{00000000-0010-0000-1A00-000005000000}" name="AVR" totalsRowFunction="sum" dataDxfId="568" totalsRowDxfId="567"/>
    <tableColumn id="6" xr3:uid="{00000000-0010-0000-1A00-000006000000}" name="MAI" totalsRowFunction="sum" dataDxfId="566" totalsRowDxfId="565"/>
    <tableColumn id="7" xr3:uid="{00000000-0010-0000-1A00-000007000000}" name="JUIN" totalsRowFunction="sum" dataDxfId="564" totalsRowDxfId="563"/>
    <tableColumn id="8" xr3:uid="{00000000-0010-0000-1A00-000008000000}" name="JUIL" totalsRowFunction="sum" dataDxfId="562" totalsRowDxfId="561"/>
    <tableColumn id="9" xr3:uid="{00000000-0010-0000-1A00-000009000000}" name="AOÛT" totalsRowFunction="sum" dataDxfId="560" totalsRowDxfId="559"/>
    <tableColumn id="10" xr3:uid="{00000000-0010-0000-1A00-00000A000000}" name="SEPT" totalsRowFunction="sum" dataDxfId="558" totalsRowDxfId="557"/>
    <tableColumn id="11" xr3:uid="{00000000-0010-0000-1A00-00000B000000}" name="OCT" totalsRowFunction="sum" dataDxfId="556" totalsRowDxfId="555"/>
    <tableColumn id="12" xr3:uid="{00000000-0010-0000-1A00-00000C000000}" name="NOV" totalsRowFunction="sum" dataDxfId="554" totalsRowDxfId="553"/>
    <tableColumn id="13" xr3:uid="{00000000-0010-0000-1A00-00000D000000}" name="DÉC" totalsRowFunction="sum" dataDxfId="552" totalsRowDxfId="551"/>
    <tableColumn id="14" xr3:uid="{00000000-0010-0000-1A00-00000E000000}" name="ANNÉE" totalsRowFunction="sum" dataDxfId="550" totalsRowDxfId="549">
      <calculatedColumnFormula>SUM(B58:M58)</calculatedColumnFormula>
    </tableColumn>
  </tableColumns>
  <tableStyleInfo name="TableStyleMedium1" showFirstColumn="1" showLastColumn="1"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DRViagens" displayName="DRViagens" ref="A99:N109" totalsRowCount="1" headerRowDxfId="548" totalsRowDxfId="545" headerRowBorderDxfId="547" tableBorderDxfId="546" totalsRowBorderDxfId="544">
  <sortState xmlns:xlrd2="http://schemas.microsoft.com/office/spreadsheetml/2017/richdata2" ref="A100:N108">
    <sortCondition ref="A100:A108"/>
  </sortState>
  <tableColumns count="14">
    <tableColumn id="1" xr3:uid="{00000000-0010-0000-1B00-000001000000}" name="Viagens" totalsRowLabel="Sous-total" dataDxfId="543" totalsRowDxfId="542"/>
    <tableColumn id="2" xr3:uid="{00000000-0010-0000-1B00-000002000000}" name="JANV" totalsRowFunction="sum" dataDxfId="541" totalsRowDxfId="540"/>
    <tableColumn id="3" xr3:uid="{00000000-0010-0000-1B00-000003000000}" name="FÉVR" totalsRowFunction="sum" dataDxfId="539" totalsRowDxfId="538"/>
    <tableColumn id="4" xr3:uid="{00000000-0010-0000-1B00-000004000000}" name="MARS" totalsRowFunction="sum" dataDxfId="537" totalsRowDxfId="536"/>
    <tableColumn id="5" xr3:uid="{00000000-0010-0000-1B00-000005000000}" name="AVR" totalsRowFunction="sum" dataDxfId="535" totalsRowDxfId="534"/>
    <tableColumn id="6" xr3:uid="{00000000-0010-0000-1B00-000006000000}" name="MAI" totalsRowFunction="sum" dataDxfId="533" totalsRowDxfId="532"/>
    <tableColumn id="7" xr3:uid="{00000000-0010-0000-1B00-000007000000}" name="JUIN" totalsRowFunction="sum" dataDxfId="531" totalsRowDxfId="530"/>
    <tableColumn id="8" xr3:uid="{00000000-0010-0000-1B00-000008000000}" name="JUIL" totalsRowFunction="sum" dataDxfId="529" totalsRowDxfId="528"/>
    <tableColumn id="9" xr3:uid="{00000000-0010-0000-1B00-000009000000}" name="AOÛT" totalsRowFunction="sum" dataDxfId="527" totalsRowDxfId="526"/>
    <tableColumn id="10" xr3:uid="{00000000-0010-0000-1B00-00000A000000}" name="SEPT" totalsRowFunction="sum" dataDxfId="525" totalsRowDxfId="524"/>
    <tableColumn id="11" xr3:uid="{00000000-0010-0000-1B00-00000B000000}" name="OCT" totalsRowFunction="sum" dataDxfId="523" totalsRowDxfId="522"/>
    <tableColumn id="12" xr3:uid="{00000000-0010-0000-1B00-00000C000000}" name="NOV" totalsRowFunction="sum" dataDxfId="521" totalsRowDxfId="520"/>
    <tableColumn id="13" xr3:uid="{00000000-0010-0000-1B00-00000D000000}" name="DÉC" totalsRowFunction="sum" dataDxfId="519" totalsRowDxfId="518"/>
    <tableColumn id="14" xr3:uid="{00000000-0010-0000-1B00-00000E000000}" name="ANNÉE" totalsRowFunction="sum" dataDxfId="517" totalsRowDxfId="516">
      <calculatedColumnFormula>SUM(B100:M100)</calculatedColumnFormula>
    </tableColumn>
  </tableColumns>
  <tableStyleInfo name="TableStyleMedium1" showFirstColumn="1" showLastColumn="1"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ManutencaoCasa" displayName="ManutencaoCasa" ref="A67:O79" totalsRowCount="1" headerRowDxfId="515" totalsRowDxfId="512" headerRowBorderDxfId="514" tableBorderDxfId="513" totalsRowBorderDxfId="511">
  <autoFilter ref="A67:O78" xr:uid="{00000000-0009-0000-0100-00001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sortState xmlns:xlrd2="http://schemas.microsoft.com/office/spreadsheetml/2017/richdata2" ref="A68:N78">
    <sortCondition ref="A67:A78"/>
  </sortState>
  <tableColumns count="15">
    <tableColumn id="1" xr3:uid="{00000000-0010-0000-1C00-000001000000}" name="Manutenção casa" totalsRowLabel="Sous-total" dataDxfId="510" totalsRowDxfId="509"/>
    <tableColumn id="2" xr3:uid="{00000000-0010-0000-1C00-000002000000}" name="JANV" totalsRowFunction="sum" dataDxfId="508" totalsRowDxfId="507"/>
    <tableColumn id="3" xr3:uid="{00000000-0010-0000-1C00-000003000000}" name="FÉVR" totalsRowFunction="sum" dataDxfId="506" totalsRowDxfId="505"/>
    <tableColumn id="4" xr3:uid="{00000000-0010-0000-1C00-000004000000}" name="MARS" totalsRowFunction="sum" dataDxfId="504" totalsRowDxfId="503"/>
    <tableColumn id="5" xr3:uid="{00000000-0010-0000-1C00-000005000000}" name="AVR" totalsRowFunction="sum" dataDxfId="502" totalsRowDxfId="501"/>
    <tableColumn id="6" xr3:uid="{00000000-0010-0000-1C00-000006000000}" name="MAI" totalsRowFunction="sum" dataDxfId="500" totalsRowDxfId="499"/>
    <tableColumn id="7" xr3:uid="{00000000-0010-0000-1C00-000007000000}" name="JUIN" totalsRowFunction="sum" dataDxfId="498" totalsRowDxfId="497"/>
    <tableColumn id="8" xr3:uid="{00000000-0010-0000-1C00-000008000000}" name="JUIL" totalsRowFunction="sum" dataDxfId="496" totalsRowDxfId="495"/>
    <tableColumn id="9" xr3:uid="{00000000-0010-0000-1C00-000009000000}" name="AOÛT" totalsRowFunction="sum" dataDxfId="494" totalsRowDxfId="493"/>
    <tableColumn id="10" xr3:uid="{00000000-0010-0000-1C00-00000A000000}" name="SEPT" totalsRowFunction="sum" dataDxfId="492" totalsRowDxfId="491"/>
    <tableColumn id="11" xr3:uid="{00000000-0010-0000-1C00-00000B000000}" name="OCT" totalsRowFunction="sum" dataDxfId="490" totalsRowDxfId="489"/>
    <tableColumn id="12" xr3:uid="{00000000-0010-0000-1C00-00000C000000}" name="NOV" totalsRowFunction="sum" dataDxfId="488" totalsRowDxfId="487"/>
    <tableColumn id="13" xr3:uid="{00000000-0010-0000-1C00-00000D000000}" name="DÉC" totalsRowFunction="sum" dataDxfId="486" totalsRowDxfId="485"/>
    <tableColumn id="14" xr3:uid="{00000000-0010-0000-1C00-00000E000000}" name="ANNÉE" totalsRowFunction="sum" dataDxfId="484" totalsRowDxfId="483">
      <calculatedColumnFormula>SUM(B68:M68)</calculatedColumnFormula>
    </tableColumn>
    <tableColumn id="15" xr3:uid="{00000000-0010-0000-1C00-00000F000000}" name="MOYENNE" dataDxfId="482" totalsRowDxfId="481">
      <calculatedColumnFormula>AVERAGE(B68:M68)</calculatedColumnFormula>
    </tableColumn>
  </tableColumns>
  <tableStyleInfo name="TableStyleMedium1" showFirstColumn="1" showLastColumn="1"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DPServicos" displayName="DPServicos" ref="A88:N97" totalsRowCount="1" headerRowDxfId="1373" totalsRowDxfId="1370" headerRowBorderDxfId="1372" tableBorderDxfId="1371" totalsRowBorderDxfId="1369">
  <sortState xmlns:xlrd2="http://schemas.microsoft.com/office/spreadsheetml/2017/richdata2" ref="A89:N96">
    <sortCondition ref="A88:A96"/>
  </sortState>
  <tableColumns count="14">
    <tableColumn id="1" xr3:uid="{00000000-0010-0000-0200-000001000000}" name="Serviços" totalsRowLabel="Sous-total" dataDxfId="1368" totalsRowDxfId="1367"/>
    <tableColumn id="2" xr3:uid="{00000000-0010-0000-0200-000002000000}" name="JANV" totalsRowFunction="sum" dataDxfId="1366" totalsRowDxfId="1365"/>
    <tableColumn id="3" xr3:uid="{00000000-0010-0000-0200-000003000000}" name="FÉVR" totalsRowFunction="sum" dataDxfId="1364" totalsRowDxfId="1363"/>
    <tableColumn id="4" xr3:uid="{00000000-0010-0000-0200-000004000000}" name="MARS" totalsRowFunction="sum" dataDxfId="1362" totalsRowDxfId="1361"/>
    <tableColumn id="5" xr3:uid="{00000000-0010-0000-0200-000005000000}" name="AVR" totalsRowFunction="sum" dataDxfId="1360" totalsRowDxfId="1359"/>
    <tableColumn id="6" xr3:uid="{00000000-0010-0000-0200-000006000000}" name="MAI" totalsRowFunction="sum" dataDxfId="1358" totalsRowDxfId="1357"/>
    <tableColumn id="7" xr3:uid="{00000000-0010-0000-0200-000007000000}" name="JUIN" totalsRowFunction="sum" dataDxfId="1356" totalsRowDxfId="1355"/>
    <tableColumn id="8" xr3:uid="{00000000-0010-0000-0200-000008000000}" name="JUIL" totalsRowFunction="sum" dataDxfId="1354" totalsRowDxfId="1353"/>
    <tableColumn id="9" xr3:uid="{00000000-0010-0000-0200-000009000000}" name="AOÛT" totalsRowFunction="sum" dataDxfId="1352" totalsRowDxfId="1351"/>
    <tableColumn id="10" xr3:uid="{00000000-0010-0000-0200-00000A000000}" name="SEPT" totalsRowFunction="sum" dataDxfId="1350" totalsRowDxfId="1349"/>
    <tableColumn id="11" xr3:uid="{00000000-0010-0000-0200-00000B000000}" name="OCT" totalsRowFunction="sum" dataDxfId="1348" totalsRowDxfId="1347"/>
    <tableColumn id="12" xr3:uid="{00000000-0010-0000-0200-00000C000000}" name="NOV" totalsRowFunction="sum" dataDxfId="1346" totalsRowDxfId="1345"/>
    <tableColumn id="13" xr3:uid="{00000000-0010-0000-0200-00000D000000}" name="DÉC" totalsRowFunction="sum" dataDxfId="1344" totalsRowDxfId="1343"/>
    <tableColumn id="14" xr3:uid="{00000000-0010-0000-0200-00000E000000}" name="ANNÉE" totalsRowFunction="sum" dataDxfId="1342" totalsRowDxfId="1341">
      <calculatedColumnFormula>SUM(B89:M89)</calculatedColumnFormula>
    </tableColumn>
  </tableColumns>
  <tableStyleInfo name="TableStyleMedium1" showFirstColumn="1" showLastColumn="1"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ManutencaoCasa2" displayName="ManutencaoCasa2" ref="A67:N79" totalsRowCount="1" headerRowDxfId="480" totalsRowDxfId="477" headerRowBorderDxfId="479" tableBorderDxfId="478" totalsRowBorderDxfId="476">
  <autoFilter ref="A67:N78" xr:uid="{00000000-0009-0000-0100-00001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sortState xmlns:xlrd2="http://schemas.microsoft.com/office/spreadsheetml/2017/richdata2" ref="A68:N78">
    <sortCondition ref="A67:A78"/>
  </sortState>
  <tableColumns count="14">
    <tableColumn id="1" xr3:uid="{00000000-0010-0000-1D00-000001000000}" name="Manutenção casa" totalsRowLabel="Sous-total" dataDxfId="475" totalsRowDxfId="474"/>
    <tableColumn id="2" xr3:uid="{00000000-0010-0000-1D00-000002000000}" name="JANV" totalsRowFunction="sum" dataDxfId="473" totalsRowDxfId="472">
      <calculatedColumnFormula>DPManutencaoCasa[[#This Row],[JANV]] - ManutencaoCasa[[#This Row],[JANV]]</calculatedColumnFormula>
    </tableColumn>
    <tableColumn id="3" xr3:uid="{00000000-0010-0000-1D00-000003000000}" name="FÉVR" totalsRowFunction="sum" dataDxfId="471" totalsRowDxfId="470">
      <calculatedColumnFormula>DPManutencaoCasa[[#This Row],[FÉVR]] - ManutencaoCasa[[#This Row],[FÉVR]]</calculatedColumnFormula>
    </tableColumn>
    <tableColumn id="4" xr3:uid="{00000000-0010-0000-1D00-000004000000}" name="MARS" totalsRowFunction="sum" dataDxfId="469" totalsRowDxfId="468">
      <calculatedColumnFormula>DPManutencaoCasa[[#This Row],[MARS]] - ManutencaoCasa[[#This Row],[MARS]]</calculatedColumnFormula>
    </tableColumn>
    <tableColumn id="5" xr3:uid="{00000000-0010-0000-1D00-000005000000}" name="AVR" totalsRowFunction="sum" dataDxfId="467" totalsRowDxfId="466">
      <calculatedColumnFormula>DPManutencaoCasa[[#This Row],[AVR]] - ManutencaoCasa[[#This Row],[AVR]]</calculatedColumnFormula>
    </tableColumn>
    <tableColumn id="6" xr3:uid="{00000000-0010-0000-1D00-000006000000}" name="MAI" totalsRowFunction="sum" dataDxfId="465" totalsRowDxfId="464">
      <calculatedColumnFormula>DPManutencaoCasa[[#This Row],[MAI]] - ManutencaoCasa[[#This Row],[MAI]]</calculatedColumnFormula>
    </tableColumn>
    <tableColumn id="7" xr3:uid="{00000000-0010-0000-1D00-000007000000}" name="JUIN" totalsRowFunction="sum" dataDxfId="463" totalsRowDxfId="462">
      <calculatedColumnFormula>DPManutencaoCasa[[#This Row],[JUIN]] - ManutencaoCasa[[#This Row],[JUIN]]</calculatedColumnFormula>
    </tableColumn>
    <tableColumn id="8" xr3:uid="{00000000-0010-0000-1D00-000008000000}" name="JUIL" totalsRowFunction="sum" dataDxfId="461" totalsRowDxfId="460">
      <calculatedColumnFormula>DPManutencaoCasa[[#This Row],[JUIL]] - ManutencaoCasa[[#This Row],[JUIL]]</calculatedColumnFormula>
    </tableColumn>
    <tableColumn id="9" xr3:uid="{00000000-0010-0000-1D00-000009000000}" name="AOÛT" totalsRowFunction="sum" dataDxfId="459" totalsRowDxfId="458">
      <calculatedColumnFormula>DPManutencaoCasa[[#This Row],[AOÛT]] - ManutencaoCasa[[#This Row],[AOÛT]]</calculatedColumnFormula>
    </tableColumn>
    <tableColumn id="10" xr3:uid="{00000000-0010-0000-1D00-00000A000000}" name="SEPT" totalsRowFunction="sum" dataDxfId="457" totalsRowDxfId="456">
      <calculatedColumnFormula>DPManutencaoCasa[[#This Row],[SEPT]] - ManutencaoCasa[[#This Row],[SEPT]]</calculatedColumnFormula>
    </tableColumn>
    <tableColumn id="11" xr3:uid="{00000000-0010-0000-1D00-00000B000000}" name="OCT" totalsRowFunction="sum" dataDxfId="455" totalsRowDxfId="454">
      <calculatedColumnFormula>DPManutencaoCasa[[#This Row],[OCT]] - ManutencaoCasa[[#This Row],[OCT]]</calculatedColumnFormula>
    </tableColumn>
    <tableColumn id="12" xr3:uid="{00000000-0010-0000-1D00-00000C000000}" name="NOV" totalsRowFunction="sum" dataDxfId="453" totalsRowDxfId="452">
      <calculatedColumnFormula>DPManutencaoCasa[[#This Row],[NOV]] - ManutencaoCasa[[#This Row],[NOV]]</calculatedColumnFormula>
    </tableColumn>
    <tableColumn id="13" xr3:uid="{00000000-0010-0000-1D00-00000D000000}" name="DÉC" totalsRowFunction="sum" dataDxfId="451" totalsRowDxfId="450">
      <calculatedColumnFormula>DPManutencaoCasa[[#This Row],[DÉC]] - ManutencaoCasa[[#This Row],[DÉC]]</calculatedColumnFormula>
    </tableColumn>
    <tableColumn id="14" xr3:uid="{00000000-0010-0000-1D00-00000E000000}" name="ANNÉE" totalsRowFunction="sum" dataDxfId="449" totalsRowDxfId="448">
      <calculatedColumnFormula>SUM(B68:M68)</calculatedColumnFormula>
    </tableColumn>
  </tableColumns>
  <tableStyleInfo name="TableStyleMedium1" showFirstColumn="1" showLastColumn="1"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Seguros4" displayName="Seguros4" ref="A81:N86" totalsRowCount="1" headerRowDxfId="447" totalsRowDxfId="444" headerRowBorderDxfId="446" tableBorderDxfId="445" totalsRowBorderDxfId="443">
  <sortState xmlns:xlrd2="http://schemas.microsoft.com/office/spreadsheetml/2017/richdata2" ref="A82:N85">
    <sortCondition ref="A81:A85"/>
  </sortState>
  <tableColumns count="14">
    <tableColumn id="1" xr3:uid="{00000000-0010-0000-1E00-000001000000}" name="Seguros" totalsRowLabel="Sous-total" dataDxfId="442" totalsRowDxfId="441"/>
    <tableColumn id="2" xr3:uid="{00000000-0010-0000-1E00-000002000000}" name="JANV" totalsRowFunction="sum" dataDxfId="440" totalsRowDxfId="439">
      <calculatedColumnFormula>DPSeguros[[#This Row],[JANV]] - DRSeguros[[#This Row],[JANV]]</calculatedColumnFormula>
    </tableColumn>
    <tableColumn id="3" xr3:uid="{00000000-0010-0000-1E00-000003000000}" name="FÉVR" totalsRowFunction="sum" dataDxfId="438" totalsRowDxfId="437">
      <calculatedColumnFormula>DPSeguros[[#This Row],[FÉVR]] - DRSeguros[[#This Row],[FÉVR]]</calculatedColumnFormula>
    </tableColumn>
    <tableColumn id="4" xr3:uid="{00000000-0010-0000-1E00-000004000000}" name="MARS" totalsRowFunction="sum" dataDxfId="436" totalsRowDxfId="435">
      <calculatedColumnFormula>DPSeguros[[#This Row],[MARS]] - DRSeguros[[#This Row],[MARS]]</calculatedColumnFormula>
    </tableColumn>
    <tableColumn id="5" xr3:uid="{00000000-0010-0000-1E00-000005000000}" name="AVR" totalsRowFunction="sum" dataDxfId="434" totalsRowDxfId="433">
      <calculatedColumnFormula>DPSeguros[[#This Row],[AVR]] - DRSeguros[[#This Row],[AVR]]</calculatedColumnFormula>
    </tableColumn>
    <tableColumn id="6" xr3:uid="{00000000-0010-0000-1E00-000006000000}" name="MAI" totalsRowFunction="sum" dataDxfId="432" totalsRowDxfId="431">
      <calculatedColumnFormula>DPSeguros[[#This Row],[MAI]] - DRSeguros[[#This Row],[MAI]]</calculatedColumnFormula>
    </tableColumn>
    <tableColumn id="7" xr3:uid="{00000000-0010-0000-1E00-000007000000}" name="JUIN" totalsRowFunction="sum" dataDxfId="430" totalsRowDxfId="429">
      <calculatedColumnFormula>DPSeguros[[#This Row],[JUIN]] - DRSeguros[[#This Row],[JUIN]]</calculatedColumnFormula>
    </tableColumn>
    <tableColumn id="8" xr3:uid="{00000000-0010-0000-1E00-000008000000}" name="JUIL" totalsRowFunction="sum" dataDxfId="428" totalsRowDxfId="427">
      <calculatedColumnFormula>DPSeguros[[#This Row],[JUIL]] - DRSeguros[[#This Row],[JUIL]]</calculatedColumnFormula>
    </tableColumn>
    <tableColumn id="9" xr3:uid="{00000000-0010-0000-1E00-000009000000}" name="AOÛT" totalsRowFunction="sum" dataDxfId="426" totalsRowDxfId="425">
      <calculatedColumnFormula>DPSeguros[[#This Row],[AOÛT]] - DRSeguros[[#This Row],[AOÛT]]</calculatedColumnFormula>
    </tableColumn>
    <tableColumn id="10" xr3:uid="{00000000-0010-0000-1E00-00000A000000}" name="SEPT" totalsRowFunction="sum" dataDxfId="424" totalsRowDxfId="423">
      <calculatedColumnFormula>DPSeguros[[#This Row],[SEPT]] - DRSeguros[[#This Row],[SEPT]]</calculatedColumnFormula>
    </tableColumn>
    <tableColumn id="11" xr3:uid="{00000000-0010-0000-1E00-00000B000000}" name="OCT" totalsRowFunction="sum" dataDxfId="422" totalsRowDxfId="421">
      <calculatedColumnFormula>DPSeguros[[#This Row],[OCT]] - DRSeguros[[#This Row],[OCT]]</calculatedColumnFormula>
    </tableColumn>
    <tableColumn id="12" xr3:uid="{00000000-0010-0000-1E00-00000C000000}" name="NOV" totalsRowFunction="sum" dataDxfId="420" totalsRowDxfId="419">
      <calculatedColumnFormula>DPSeguros[[#This Row],[NOV]] - DRSeguros[[#This Row],[NOV]]</calculatedColumnFormula>
    </tableColumn>
    <tableColumn id="13" xr3:uid="{00000000-0010-0000-1E00-00000D000000}" name="DÉC" totalsRowFunction="sum" dataDxfId="418" totalsRowDxfId="417">
      <calculatedColumnFormula>DPSeguros[[#This Row],[DÉC]] - DRSeguros[[#This Row],[DÉC]]</calculatedColumnFormula>
    </tableColumn>
    <tableColumn id="14" xr3:uid="{00000000-0010-0000-1E00-00000E000000}" name="ANNÉE" totalsRowFunction="sum" dataDxfId="416" totalsRowDxfId="415">
      <calculatedColumnFormula>SUM(B82:M82)</calculatedColumnFormula>
    </tableColumn>
  </tableColumns>
  <tableStyleInfo name="TableStyleMedium1" showFirstColumn="1" showLastColumn="1"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Servicos8" displayName="Servicos8" ref="A88:N97" totalsRowCount="1" headerRowDxfId="414" totalsRowDxfId="411" headerRowBorderDxfId="413" tableBorderDxfId="412" totalsRowBorderDxfId="410">
  <sortState xmlns:xlrd2="http://schemas.microsoft.com/office/spreadsheetml/2017/richdata2" ref="A89:N96">
    <sortCondition ref="A88:A96"/>
  </sortState>
  <tableColumns count="14">
    <tableColumn id="1" xr3:uid="{00000000-0010-0000-1F00-000001000000}" name="Serviços" totalsRowLabel="Sous-total" dataDxfId="409" totalsRowDxfId="408"/>
    <tableColumn id="2" xr3:uid="{00000000-0010-0000-1F00-000002000000}" name="JANV" totalsRowFunction="sum" dataDxfId="407" totalsRowDxfId="406">
      <calculatedColumnFormula>DPServicos[[#This Row],[JANV]] - DRServicos[[#This Row],[JANV]]</calculatedColumnFormula>
    </tableColumn>
    <tableColumn id="3" xr3:uid="{00000000-0010-0000-1F00-000003000000}" name="FÉVR" totalsRowFunction="sum" dataDxfId="405" totalsRowDxfId="404">
      <calculatedColumnFormula>DPServicos[[#This Row],[FÉVR]] - DRServicos[[#This Row],[FÉVR]]</calculatedColumnFormula>
    </tableColumn>
    <tableColumn id="4" xr3:uid="{00000000-0010-0000-1F00-000004000000}" name="MARS" totalsRowFunction="sum" dataDxfId="403" totalsRowDxfId="402">
      <calculatedColumnFormula>DPServicos[[#This Row],[MARS]] - DRServicos[[#This Row],[MARS]]</calculatedColumnFormula>
    </tableColumn>
    <tableColumn id="5" xr3:uid="{00000000-0010-0000-1F00-000005000000}" name="AVR" totalsRowFunction="sum" dataDxfId="401" totalsRowDxfId="400">
      <calculatedColumnFormula>DPServicos[[#This Row],[AVR]] - DRServicos[[#This Row],[AVR]]</calculatedColumnFormula>
    </tableColumn>
    <tableColumn id="6" xr3:uid="{00000000-0010-0000-1F00-000006000000}" name="MAI" totalsRowFunction="sum" dataDxfId="399" totalsRowDxfId="398">
      <calculatedColumnFormula>DPServicos[[#This Row],[MAI]] - DRServicos[[#This Row],[MAI]]</calculatedColumnFormula>
    </tableColumn>
    <tableColumn id="7" xr3:uid="{00000000-0010-0000-1F00-000007000000}" name="JUIN" totalsRowFunction="sum" dataDxfId="397" totalsRowDxfId="396">
      <calculatedColumnFormula>DPServicos[[#This Row],[JUIN]] - DRServicos[[#This Row],[JUIN]]</calculatedColumnFormula>
    </tableColumn>
    <tableColumn id="8" xr3:uid="{00000000-0010-0000-1F00-000008000000}" name="JUIL" totalsRowFunction="sum" dataDxfId="395" totalsRowDxfId="394">
      <calculatedColumnFormula>DPServicos[[#This Row],[JUIL]] - DRServicos[[#This Row],[JUIL]]</calculatedColumnFormula>
    </tableColumn>
    <tableColumn id="9" xr3:uid="{00000000-0010-0000-1F00-000009000000}" name="AOÛT" totalsRowFunction="sum" dataDxfId="393" totalsRowDxfId="392">
      <calculatedColumnFormula>DPServicos[[#This Row],[AOÛT]] - DRServicos[[#This Row],[AOÛT]]</calculatedColumnFormula>
    </tableColumn>
    <tableColumn id="10" xr3:uid="{00000000-0010-0000-1F00-00000A000000}" name="SEPT" totalsRowFunction="sum" dataDxfId="391" totalsRowDxfId="390">
      <calculatedColumnFormula>DPServicos[[#This Row],[SEPT]] - DRServicos[[#This Row],[SEPT]]</calculatedColumnFormula>
    </tableColumn>
    <tableColumn id="11" xr3:uid="{00000000-0010-0000-1F00-00000B000000}" name="OCT" totalsRowFunction="sum" dataDxfId="389" totalsRowDxfId="388">
      <calculatedColumnFormula>DPServicos[[#This Row],[OCT]] - DRServicos[[#This Row],[OCT]]</calculatedColumnFormula>
    </tableColumn>
    <tableColumn id="12" xr3:uid="{00000000-0010-0000-1F00-00000C000000}" name="NOV" totalsRowFunction="sum" dataDxfId="387" totalsRowDxfId="386">
      <calculatedColumnFormula>DPServicos[[#This Row],[NOV]] - DRServicos[[#This Row],[NOV]]</calculatedColumnFormula>
    </tableColumn>
    <tableColumn id="13" xr3:uid="{00000000-0010-0000-1F00-00000D000000}" name="DÉC" totalsRowFunction="sum" dataDxfId="385" totalsRowDxfId="384">
      <calculatedColumnFormula>DPServicos[[#This Row],[DÉC]] - DRServicos[[#This Row],[DÉC]]</calculatedColumnFormula>
    </tableColumn>
    <tableColumn id="14" xr3:uid="{00000000-0010-0000-1F00-00000E000000}" name="ANNÉE" totalsRowFunction="sum" dataDxfId="383" totalsRowDxfId="382">
      <calculatedColumnFormula>SUM(B89:M89)</calculatedColumnFormula>
    </tableColumn>
  </tableColumns>
  <tableStyleInfo name="TableStyleMedium1" showFirstColumn="1" showLastColumn="1"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VDAlimentacaoLimpeza" displayName="VDAlimentacaoLimpeza" ref="A2:N6" totalsRowCount="1" headerRowDxfId="381" totalsRowDxfId="378" headerRowBorderDxfId="380" tableBorderDxfId="379" totalsRowBorderDxfId="377">
  <autoFilter ref="A2:N5" xr:uid="{00000000-0009-0000-0100-00002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2000-000001000000}" name="Alimentação e limpeza" totalsRowLabel="Sous-total" dataDxfId="376" totalsRowDxfId="375"/>
    <tableColumn id="2" xr3:uid="{00000000-0010-0000-2000-000002000000}" name="JANV" totalsRowFunction="sum" dataDxfId="374" totalsRowDxfId="373">
      <calculatedColumnFormula>DPAlimentacaoLimpeza[[#This Row],[JANV]] - DRAlimentacaoLimpeza[[#This Row],[JANV]]</calculatedColumnFormula>
    </tableColumn>
    <tableColumn id="3" xr3:uid="{00000000-0010-0000-2000-000003000000}" name="FÉVR" totalsRowFunction="sum" dataDxfId="372" totalsRowDxfId="371">
      <calculatedColumnFormula>INDEX(DPAlimentacaoLimpeza[[#This Row],[Alimentação e limpeza]],6,4)</calculatedColumnFormula>
    </tableColumn>
    <tableColumn id="4" xr3:uid="{00000000-0010-0000-2000-000004000000}" name="MARS" totalsRowFunction="sum" dataDxfId="370" totalsRowDxfId="369"/>
    <tableColumn id="5" xr3:uid="{00000000-0010-0000-2000-000005000000}" name="AVR" totalsRowFunction="sum" dataDxfId="368" totalsRowDxfId="367"/>
    <tableColumn id="6" xr3:uid="{00000000-0010-0000-2000-000006000000}" name="MAI" totalsRowFunction="sum" dataDxfId="366" totalsRowDxfId="365"/>
    <tableColumn id="7" xr3:uid="{00000000-0010-0000-2000-000007000000}" name="JUIN" totalsRowFunction="sum" dataDxfId="364" totalsRowDxfId="363"/>
    <tableColumn id="8" xr3:uid="{00000000-0010-0000-2000-000008000000}" name="JUIL" totalsRowFunction="sum" dataDxfId="362" totalsRowDxfId="361"/>
    <tableColumn id="9" xr3:uid="{00000000-0010-0000-2000-000009000000}" name="AOÛT" totalsRowFunction="sum" dataDxfId="360" totalsRowDxfId="359"/>
    <tableColumn id="10" xr3:uid="{00000000-0010-0000-2000-00000A000000}" name="SEPT" totalsRowFunction="sum" dataDxfId="358" totalsRowDxfId="357"/>
    <tableColumn id="11" xr3:uid="{00000000-0010-0000-2000-00000B000000}" name="OCT" totalsRowFunction="sum" dataDxfId="356" totalsRowDxfId="355"/>
    <tableColumn id="12" xr3:uid="{00000000-0010-0000-2000-00000C000000}" name="NOV" totalsRowFunction="sum" dataDxfId="354" totalsRowDxfId="353"/>
    <tableColumn id="13" xr3:uid="{00000000-0010-0000-2000-00000D000000}" name="DÉC" totalsRowFunction="sum" dataDxfId="352" totalsRowDxfId="351"/>
    <tableColumn id="14" xr3:uid="{00000000-0010-0000-2000-00000E000000}" name="ANNÉE" totalsRowFunction="sum" dataDxfId="350" totalsRowDxfId="349">
      <calculatedColumnFormula>SUM(B3:M3)</calculatedColumnFormula>
    </tableColumn>
  </tableColumns>
  <tableStyleInfo name="TableStyleMedium1" showFirstColumn="1" showLastColumn="1"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VDCarro" displayName="VDCarro" ref="A13:N16" totalsRowCount="1" headerRowDxfId="348" totalsRowDxfId="345" headerRowBorderDxfId="347" tableBorderDxfId="346" totalsRowBorderDxfId="344">
  <tableColumns count="14">
    <tableColumn id="1" xr3:uid="{00000000-0010-0000-2100-000001000000}" name="Carro" totalsRowLabel="Sous-total" dataDxfId="343" totalsRowDxfId="342"/>
    <tableColumn id="2" xr3:uid="{00000000-0010-0000-2100-000002000000}" name="JANV" totalsRowFunction="sum" dataDxfId="341" totalsRowDxfId="340">
      <calculatedColumnFormula>DPCarro[[#This Row],[JANV]] - DRCarro[[#This Row],[JANV]]</calculatedColumnFormula>
    </tableColumn>
    <tableColumn id="3" xr3:uid="{00000000-0010-0000-2100-000003000000}" name="FÉVR" totalsRowFunction="sum" dataDxfId="339" totalsRowDxfId="338"/>
    <tableColumn id="4" xr3:uid="{00000000-0010-0000-2100-000004000000}" name="MARS" totalsRowFunction="sum" dataDxfId="337" totalsRowDxfId="336"/>
    <tableColumn id="5" xr3:uid="{00000000-0010-0000-2100-000005000000}" name="AVR" totalsRowFunction="sum" dataDxfId="335" totalsRowDxfId="334"/>
    <tableColumn id="6" xr3:uid="{00000000-0010-0000-2100-000006000000}" name="MAI" totalsRowFunction="sum" dataDxfId="333" totalsRowDxfId="332"/>
    <tableColumn id="7" xr3:uid="{00000000-0010-0000-2100-000007000000}" name="JUIN" totalsRowFunction="sum" dataDxfId="331" totalsRowDxfId="330"/>
    <tableColumn id="8" xr3:uid="{00000000-0010-0000-2100-000008000000}" name="JUIL" totalsRowFunction="sum" dataDxfId="329" totalsRowDxfId="328"/>
    <tableColumn id="9" xr3:uid="{00000000-0010-0000-2100-000009000000}" name="AOÛT" totalsRowFunction="sum" dataDxfId="327" totalsRowDxfId="326"/>
    <tableColumn id="10" xr3:uid="{00000000-0010-0000-2100-00000A000000}" name="SEPT" totalsRowFunction="sum" dataDxfId="325" totalsRowDxfId="324"/>
    <tableColumn id="11" xr3:uid="{00000000-0010-0000-2100-00000B000000}" name="OCT" totalsRowFunction="sum" dataDxfId="323" totalsRowDxfId="322"/>
    <tableColumn id="12" xr3:uid="{00000000-0010-0000-2100-00000C000000}" name="NOV" totalsRowFunction="sum" dataDxfId="321" totalsRowDxfId="320"/>
    <tableColumn id="13" xr3:uid="{00000000-0010-0000-2100-00000D000000}" name="DÉC" totalsRowFunction="sum" dataDxfId="319" totalsRowDxfId="318"/>
    <tableColumn id="14" xr3:uid="{00000000-0010-0000-2100-00000E000000}" name="ANNÉE" totalsRowFunction="sum" dataDxfId="317" totalsRowDxfId="316">
      <calculatedColumnFormula>SUM(B14:M14)</calculatedColumnFormula>
    </tableColumn>
  </tableColumns>
  <tableStyleInfo name="TableStyleMedium1" showFirstColumn="1" showLastColumn="1"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VDCaridadeDoacoes" displayName="VDCaridadeDoacoes" ref="A8:N11" totalsRowCount="1" headerRowDxfId="315" totalsRowDxfId="312" headerRowBorderDxfId="314" tableBorderDxfId="313" totalsRowBorderDxfId="311">
  <tableColumns count="14">
    <tableColumn id="1" xr3:uid="{00000000-0010-0000-2200-000001000000}" name="Caridade e doações" totalsRowLabel="Sous-total" dataDxfId="310" totalsRowDxfId="309"/>
    <tableColumn id="2" xr3:uid="{00000000-0010-0000-2200-000002000000}" name="JANV" totalsRowFunction="sum" dataDxfId="308" totalsRowDxfId="307">
      <calculatedColumnFormula>DPCaridadeDoacoes[[#This Row],[JANV]] - DRCaridadeDoacoes[[#This Row],[JANV]]</calculatedColumnFormula>
    </tableColumn>
    <tableColumn id="3" xr3:uid="{00000000-0010-0000-2200-000003000000}" name="FÉVR" totalsRowFunction="sum" dataDxfId="306" totalsRowDxfId="305"/>
    <tableColumn id="4" xr3:uid="{00000000-0010-0000-2200-000004000000}" name="MARS" totalsRowFunction="sum" dataDxfId="304" totalsRowDxfId="303"/>
    <tableColumn id="5" xr3:uid="{00000000-0010-0000-2200-000005000000}" name="AVR" totalsRowFunction="sum" dataDxfId="302" totalsRowDxfId="301"/>
    <tableColumn id="6" xr3:uid="{00000000-0010-0000-2200-000006000000}" name="MAI" totalsRowFunction="sum" dataDxfId="300" totalsRowDxfId="299"/>
    <tableColumn id="7" xr3:uid="{00000000-0010-0000-2200-000007000000}" name="JUIN" totalsRowFunction="sum" dataDxfId="298" totalsRowDxfId="297"/>
    <tableColumn id="8" xr3:uid="{00000000-0010-0000-2200-000008000000}" name="JUIL" totalsRowFunction="sum" dataDxfId="296" totalsRowDxfId="295"/>
    <tableColumn id="9" xr3:uid="{00000000-0010-0000-2200-000009000000}" name="AOÛT" totalsRowFunction="sum" dataDxfId="294" totalsRowDxfId="293"/>
    <tableColumn id="10" xr3:uid="{00000000-0010-0000-2200-00000A000000}" name="SEPT" totalsRowFunction="sum" dataDxfId="292" totalsRowDxfId="291"/>
    <tableColumn id="11" xr3:uid="{00000000-0010-0000-2200-00000B000000}" name="OCT" totalsRowFunction="sum" dataDxfId="290" totalsRowDxfId="289"/>
    <tableColumn id="12" xr3:uid="{00000000-0010-0000-2200-00000C000000}" name="NOV" totalsRowFunction="sum" dataDxfId="288" totalsRowDxfId="287"/>
    <tableColumn id="13" xr3:uid="{00000000-0010-0000-2200-00000D000000}" name="DÉC" totalsRowFunction="sum" dataDxfId="286" totalsRowDxfId="285"/>
    <tableColumn id="14" xr3:uid="{00000000-0010-0000-2200-00000E000000}" name="ANNÉE" totalsRowFunction="sum" dataDxfId="284" totalsRowDxfId="283">
      <calculatedColumnFormula>SUM(B9:M9)</calculatedColumnFormula>
    </tableColumn>
  </tableColumns>
  <tableStyleInfo name="TableStyleMedium1" showFirstColumn="1" showLastColumn="1"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VDCuidadosPessoaisFormacao" displayName="VDCuidadosPessoaisFormacao" ref="A23:N27" totalsRowCount="1" headerRowDxfId="282" totalsRowDxfId="279" headerRowBorderDxfId="281" tableBorderDxfId="280" totalsRowBorderDxfId="278">
  <tableColumns count="14">
    <tableColumn id="1" xr3:uid="{00000000-0010-0000-2300-000001000000}" name="Cuidados pessoais e formação" totalsRowLabel="Sous-total" dataDxfId="277" totalsRowDxfId="276"/>
    <tableColumn id="2" xr3:uid="{00000000-0010-0000-2300-000002000000}" name="JANV" totalsRowFunction="sum" dataDxfId="275" totalsRowDxfId="274">
      <calculatedColumnFormula>DPCuidadosPessoaisFormacao[[#This Row],[JANV]] - DRCuidadosPessoaisFormacao[[#This Row],[JANV]]</calculatedColumnFormula>
    </tableColumn>
    <tableColumn id="3" xr3:uid="{00000000-0010-0000-2300-000003000000}" name="FÉVR" totalsRowFunction="sum" dataDxfId="273" totalsRowDxfId="272"/>
    <tableColumn id="4" xr3:uid="{00000000-0010-0000-2300-000004000000}" name="MARS" totalsRowFunction="sum" dataDxfId="271" totalsRowDxfId="270"/>
    <tableColumn id="5" xr3:uid="{00000000-0010-0000-2300-000005000000}" name="AVR" totalsRowFunction="sum" dataDxfId="269" totalsRowDxfId="268"/>
    <tableColumn id="6" xr3:uid="{00000000-0010-0000-2300-000006000000}" name="MAI" totalsRowFunction="sum" dataDxfId="267" totalsRowDxfId="266"/>
    <tableColumn id="7" xr3:uid="{00000000-0010-0000-2300-000007000000}" name="JUIN" totalsRowFunction="sum" dataDxfId="265" totalsRowDxfId="264"/>
    <tableColumn id="8" xr3:uid="{00000000-0010-0000-2300-000008000000}" name="JUIL" totalsRowFunction="sum" dataDxfId="263" totalsRowDxfId="262"/>
    <tableColumn id="9" xr3:uid="{00000000-0010-0000-2300-000009000000}" name="AOÛT" totalsRowFunction="sum" dataDxfId="261" totalsRowDxfId="260"/>
    <tableColumn id="10" xr3:uid="{00000000-0010-0000-2300-00000A000000}" name="SEPT" totalsRowFunction="sum" dataDxfId="259" totalsRowDxfId="258"/>
    <tableColumn id="11" xr3:uid="{00000000-0010-0000-2300-00000B000000}" name="OCT" totalsRowFunction="sum" dataDxfId="257" totalsRowDxfId="256"/>
    <tableColumn id="12" xr3:uid="{00000000-0010-0000-2300-00000C000000}" name="NOV" totalsRowFunction="sum" dataDxfId="255" totalsRowDxfId="254"/>
    <tableColumn id="13" xr3:uid="{00000000-0010-0000-2300-00000D000000}" name="DÉC" totalsRowFunction="sum" dataDxfId="253" totalsRowDxfId="252"/>
    <tableColumn id="14" xr3:uid="{00000000-0010-0000-2300-00000E000000}" name="ANNÉE" totalsRowFunction="sum" dataDxfId="251" totalsRowDxfId="250">
      <calculatedColumnFormula>SUM(B24:M24)</calculatedColumnFormula>
    </tableColumn>
  </tableColumns>
  <tableStyleInfo name="TableStyleMedium1" showFirstColumn="1" showLastColumn="1"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VDDespesasBancarias" displayName="VDDespesasBancarias" ref="A29:N33" totalsRowCount="1" headerRowDxfId="249" totalsRowDxfId="246" headerRowBorderDxfId="248" tableBorderDxfId="247" totalsRowBorderDxfId="245">
  <tableColumns count="14">
    <tableColumn id="1" xr3:uid="{00000000-0010-0000-2400-000001000000}" name="Despesas bancárias" totalsRowLabel="Sous-total" dataDxfId="244" totalsRowDxfId="243"/>
    <tableColumn id="2" xr3:uid="{00000000-0010-0000-2400-000002000000}" name="JANV" totalsRowFunction="sum" dataDxfId="242" totalsRowDxfId="241">
      <calculatedColumnFormula>DPDespesasBancarias[[#This Row],[JANV]] - DRDespesasBancarias[[#This Row],[JANV]]</calculatedColumnFormula>
    </tableColumn>
    <tableColumn id="3" xr3:uid="{00000000-0010-0000-2400-000003000000}" name="FÉVR" totalsRowFunction="sum" dataDxfId="240" totalsRowDxfId="239"/>
    <tableColumn id="4" xr3:uid="{00000000-0010-0000-2400-000004000000}" name="MARS" totalsRowFunction="sum" dataDxfId="238" totalsRowDxfId="237"/>
    <tableColumn id="5" xr3:uid="{00000000-0010-0000-2400-000005000000}" name="AVR" totalsRowFunction="sum" dataDxfId="236" totalsRowDxfId="235"/>
    <tableColumn id="6" xr3:uid="{00000000-0010-0000-2400-000006000000}" name="MAI" totalsRowFunction="sum" dataDxfId="234" totalsRowDxfId="233"/>
    <tableColumn id="7" xr3:uid="{00000000-0010-0000-2400-000007000000}" name="JUIN" totalsRowFunction="sum" dataDxfId="232" totalsRowDxfId="231"/>
    <tableColumn id="8" xr3:uid="{00000000-0010-0000-2400-000008000000}" name="JUIL" totalsRowFunction="sum" dataDxfId="230" totalsRowDxfId="229"/>
    <tableColumn id="9" xr3:uid="{00000000-0010-0000-2400-000009000000}" name="AOÛT" totalsRowFunction="sum" dataDxfId="228" totalsRowDxfId="227"/>
    <tableColumn id="10" xr3:uid="{00000000-0010-0000-2400-00000A000000}" name="SEPT" totalsRowFunction="sum" dataDxfId="226" totalsRowDxfId="225"/>
    <tableColumn id="11" xr3:uid="{00000000-0010-0000-2400-00000B000000}" name="OCT" totalsRowFunction="sum" dataDxfId="224" totalsRowDxfId="223"/>
    <tableColumn id="12" xr3:uid="{00000000-0010-0000-2400-00000C000000}" name="NOV" totalsRowFunction="sum" dataDxfId="222" totalsRowDxfId="221"/>
    <tableColumn id="13" xr3:uid="{00000000-0010-0000-2400-00000D000000}" name="DÉC" totalsRowFunction="sum" dataDxfId="220" totalsRowDxfId="219"/>
    <tableColumn id="14" xr3:uid="{00000000-0010-0000-2400-00000E000000}" name="ANNÉE" totalsRowFunction="sum" dataDxfId="218" totalsRowDxfId="217">
      <calculatedColumnFormula>SUM(B30:M30)</calculatedColumnFormula>
    </tableColumn>
  </tableColumns>
  <tableStyleInfo name="TableStyleMedium1" showFirstColumn="1" showLastColumn="1"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VDCriaturasEstimacao" displayName="VDCriaturasEstimacao" ref="A18:N21" totalsRowCount="1" headerRowDxfId="216" totalsRowDxfId="213" headerRowBorderDxfId="215" tableBorderDxfId="214" totalsRowBorderDxfId="212">
  <tableColumns count="14">
    <tableColumn id="1" xr3:uid="{00000000-0010-0000-2500-000001000000}" name="Criaturas de estimação" totalsRowLabel="Sous-total" dataDxfId="211" totalsRowDxfId="210"/>
    <tableColumn id="2" xr3:uid="{00000000-0010-0000-2500-000002000000}" name="JANV" totalsRowFunction="sum" dataDxfId="209" totalsRowDxfId="208">
      <calculatedColumnFormula>DPCriaturasEstimacao[[#This Row],[JANV]] - DRCriaturasEstimacao[[#This Row],[JANV]]</calculatedColumnFormula>
    </tableColumn>
    <tableColumn id="3" xr3:uid="{00000000-0010-0000-2500-000003000000}" name="FÉVR" totalsRowFunction="sum" dataDxfId="207" totalsRowDxfId="206"/>
    <tableColumn id="4" xr3:uid="{00000000-0010-0000-2500-000004000000}" name="MARS" totalsRowFunction="sum" dataDxfId="205" totalsRowDxfId="204"/>
    <tableColumn id="5" xr3:uid="{00000000-0010-0000-2500-000005000000}" name="AVR" totalsRowFunction="sum" dataDxfId="203" totalsRowDxfId="202"/>
    <tableColumn id="6" xr3:uid="{00000000-0010-0000-2500-000006000000}" name="MAI" totalsRowFunction="sum" dataDxfId="201" totalsRowDxfId="200"/>
    <tableColumn id="7" xr3:uid="{00000000-0010-0000-2500-000007000000}" name="JUIN" totalsRowFunction="sum" dataDxfId="199" totalsRowDxfId="198"/>
    <tableColumn id="8" xr3:uid="{00000000-0010-0000-2500-000008000000}" name="JUIL" totalsRowFunction="sum" dataDxfId="197" totalsRowDxfId="196"/>
    <tableColumn id="9" xr3:uid="{00000000-0010-0000-2500-000009000000}" name="AOÛT" totalsRowFunction="sum" dataDxfId="195" totalsRowDxfId="194"/>
    <tableColumn id="10" xr3:uid="{00000000-0010-0000-2500-00000A000000}" name="SEPT" totalsRowFunction="sum" dataDxfId="193" totalsRowDxfId="192"/>
    <tableColumn id="11" xr3:uid="{00000000-0010-0000-2500-00000B000000}" name="OCT" totalsRowFunction="sum" dataDxfId="191" totalsRowDxfId="190"/>
    <tableColumn id="12" xr3:uid="{00000000-0010-0000-2500-00000C000000}" name="NOV" totalsRowFunction="sum" dataDxfId="189" totalsRowDxfId="188"/>
    <tableColumn id="13" xr3:uid="{00000000-0010-0000-2500-00000D000000}" name="DÉC" totalsRowFunction="sum" dataDxfId="187" totalsRowDxfId="186"/>
    <tableColumn id="14" xr3:uid="{00000000-0010-0000-2500-00000E000000}" name="ANNÉE" totalsRowFunction="sum" dataDxfId="185" totalsRowDxfId="184">
      <calculatedColumnFormula>SUM(B19:M19)</calculatedColumnFormula>
    </tableColumn>
  </tableColumns>
  <tableStyleInfo name="TableStyleMedium1" showFirstColumn="1" showLastColumn="1"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VDDespesasMedicas" displayName="VDDespesasMedicas" ref="A35:N41" totalsRowCount="1" headerRowDxfId="183" totalsRowDxfId="180" headerRowBorderDxfId="182" tableBorderDxfId="181" totalsRowBorderDxfId="179">
  <tableColumns count="14">
    <tableColumn id="1" xr3:uid="{00000000-0010-0000-2600-000001000000}" name="Despesas médicas" totalsRowLabel="Sous-total" dataDxfId="178" totalsRowDxfId="177"/>
    <tableColumn id="2" xr3:uid="{00000000-0010-0000-2600-000002000000}" name="JANV" totalsRowFunction="sum" dataDxfId="176" totalsRowDxfId="175">
      <calculatedColumnFormula>DPDespesasMedicas[[#This Row],[JANV]] - DRDespesasMedicas[[#This Row],[JANV]]</calculatedColumnFormula>
    </tableColumn>
    <tableColumn id="3" xr3:uid="{00000000-0010-0000-2600-000003000000}" name="FÉVR" totalsRowFunction="sum" dataDxfId="174" totalsRowDxfId="173"/>
    <tableColumn id="4" xr3:uid="{00000000-0010-0000-2600-000004000000}" name="MARS" totalsRowFunction="sum" dataDxfId="172" totalsRowDxfId="171"/>
    <tableColumn id="5" xr3:uid="{00000000-0010-0000-2600-000005000000}" name="AVR" totalsRowFunction="sum" dataDxfId="170" totalsRowDxfId="169"/>
    <tableColumn id="6" xr3:uid="{00000000-0010-0000-2600-000006000000}" name="MAI" totalsRowFunction="sum" dataDxfId="168" totalsRowDxfId="167"/>
    <tableColumn id="7" xr3:uid="{00000000-0010-0000-2600-000007000000}" name="JUIN" totalsRowFunction="sum" dataDxfId="166" totalsRowDxfId="165"/>
    <tableColumn id="8" xr3:uid="{00000000-0010-0000-2600-000008000000}" name="JUIL" totalsRowFunction="sum" dataDxfId="164" totalsRowDxfId="163"/>
    <tableColumn id="9" xr3:uid="{00000000-0010-0000-2600-000009000000}" name="AOÛT" totalsRowFunction="sum" dataDxfId="162" totalsRowDxfId="161"/>
    <tableColumn id="10" xr3:uid="{00000000-0010-0000-2600-00000A000000}" name="SEPT" totalsRowFunction="sum" dataDxfId="160" totalsRowDxfId="159"/>
    <tableColumn id="11" xr3:uid="{00000000-0010-0000-2600-00000B000000}" name="OCT" totalsRowFunction="sum" dataDxfId="158" totalsRowDxfId="157"/>
    <tableColumn id="12" xr3:uid="{00000000-0010-0000-2600-00000C000000}" name="NOV" totalsRowFunction="sum" dataDxfId="156" totalsRowDxfId="155"/>
    <tableColumn id="13" xr3:uid="{00000000-0010-0000-2600-00000D000000}" name="DÉC" totalsRowFunction="sum" dataDxfId="154" totalsRowDxfId="153"/>
    <tableColumn id="14" xr3:uid="{00000000-0010-0000-2600-00000E000000}" name="ANNÉE" totalsRowFunction="sum" dataDxfId="152" totalsRowDxfId="151">
      <calculatedColumnFormula>SUM(B36:M36)</calculatedColumnFormula>
    </tableColumn>
  </tableColumns>
  <tableStyleInfo name="TableStyleMedium1" showFirstColumn="1" showLastColumn="1"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DPAlimentacaoLimpeza" displayName="DPAlimentacaoLimpeza" ref="A2:N6" totalsRowCount="1" headerRowDxfId="1340" totalsRowDxfId="1337" headerRowBorderDxfId="1339" tableBorderDxfId="1338" totalsRowBorderDxfId="1336">
  <autoFilter ref="A2:N5"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Alimentação e limpeza" totalsRowLabel="Sous-total" dataDxfId="1335" totalsRowDxfId="1334"/>
    <tableColumn id="2" xr3:uid="{00000000-0010-0000-0300-000002000000}" name="JANV" totalsRowFunction="sum" dataDxfId="1333" totalsRowDxfId="1332"/>
    <tableColumn id="3" xr3:uid="{00000000-0010-0000-0300-000003000000}" name="FÉVR" totalsRowFunction="sum" dataDxfId="1331" totalsRowDxfId="1330"/>
    <tableColumn id="4" xr3:uid="{00000000-0010-0000-0300-000004000000}" name="MARS" totalsRowFunction="sum" dataDxfId="1329" totalsRowDxfId="1328"/>
    <tableColumn id="5" xr3:uid="{00000000-0010-0000-0300-000005000000}" name="AVR" totalsRowFunction="sum" dataDxfId="1327" totalsRowDxfId="1326"/>
    <tableColumn id="6" xr3:uid="{00000000-0010-0000-0300-000006000000}" name="MAI" totalsRowFunction="sum" dataDxfId="1325" totalsRowDxfId="1324"/>
    <tableColumn id="7" xr3:uid="{00000000-0010-0000-0300-000007000000}" name="JUIN" totalsRowFunction="sum" dataDxfId="1323" totalsRowDxfId="1322"/>
    <tableColumn id="8" xr3:uid="{00000000-0010-0000-0300-000008000000}" name="JUIL" totalsRowFunction="sum" dataDxfId="1321" totalsRowDxfId="1320"/>
    <tableColumn id="9" xr3:uid="{00000000-0010-0000-0300-000009000000}" name="AOÛT" totalsRowFunction="sum" dataDxfId="1319" totalsRowDxfId="1318"/>
    <tableColumn id="10" xr3:uid="{00000000-0010-0000-0300-00000A000000}" name="SEPT" totalsRowFunction="sum" dataDxfId="1317" totalsRowDxfId="1316"/>
    <tableColumn id="11" xr3:uid="{00000000-0010-0000-0300-00000B000000}" name="OCT" totalsRowFunction="sum" dataDxfId="1315" totalsRowDxfId="1314"/>
    <tableColumn id="12" xr3:uid="{00000000-0010-0000-0300-00000C000000}" name="NOV" totalsRowFunction="sum" dataDxfId="1313" totalsRowDxfId="1312"/>
    <tableColumn id="13" xr3:uid="{00000000-0010-0000-0300-00000D000000}" name="DÉC" totalsRowFunction="sum" dataDxfId="1311" totalsRowDxfId="1310"/>
    <tableColumn id="14" xr3:uid="{00000000-0010-0000-0300-00000E000000}" name="ANNÉE" totalsRowFunction="sum" dataDxfId="1309" totalsRowDxfId="1308">
      <calculatedColumnFormula>SUM(B3:M3)</calculatedColumnFormula>
    </tableColumn>
  </tableColumns>
  <tableStyleInfo name="TableStyleMedium1" showFirstColumn="1" showLastColumn="1"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VDEletronicaInformatica" displayName="VDEletronicaInformatica" ref="A43:N47" totalsRowCount="1" headerRowDxfId="150" totalsRowDxfId="147" headerRowBorderDxfId="149" tableBorderDxfId="148" totalsRowBorderDxfId="146">
  <tableColumns count="14">
    <tableColumn id="1" xr3:uid="{00000000-0010-0000-2700-000001000000}" name="Eletrônica e informática" totalsRowLabel="Sous-total" dataDxfId="145" totalsRowDxfId="144"/>
    <tableColumn id="2" xr3:uid="{00000000-0010-0000-2700-000002000000}" name="JANV" totalsRowFunction="sum" dataDxfId="143" totalsRowDxfId="142">
      <calculatedColumnFormula>DPEletronicaInformatica[[#This Row],[JANV]] - DREletronicaInformatica[[#This Row],[JANV]]</calculatedColumnFormula>
    </tableColumn>
    <tableColumn id="3" xr3:uid="{00000000-0010-0000-2700-000003000000}" name="FÉVR" totalsRowFunction="sum" dataDxfId="141" totalsRowDxfId="140">
      <calculatedColumnFormula>DPEletronicaInformatica[[#This Row],[FÉVR]] - DREletronicaInformatica[[#This Row],[FÉVR]]</calculatedColumnFormula>
    </tableColumn>
    <tableColumn id="4" xr3:uid="{00000000-0010-0000-2700-000004000000}" name="MARS" totalsRowFunction="sum" dataDxfId="139" totalsRowDxfId="138">
      <calculatedColumnFormula>DPEletronicaInformatica[[#This Row],[MARS]] - DREletronicaInformatica[[#This Row],[MARS]]</calculatedColumnFormula>
    </tableColumn>
    <tableColumn id="5" xr3:uid="{00000000-0010-0000-2700-000005000000}" name="AVR" totalsRowFunction="sum" dataDxfId="137" totalsRowDxfId="136">
      <calculatedColumnFormula>DPEletronicaInformatica[[#This Row],[AVR]] - DREletronicaInformatica[[#This Row],[AVR]]</calculatedColumnFormula>
    </tableColumn>
    <tableColumn id="6" xr3:uid="{00000000-0010-0000-2700-000006000000}" name="MAI" totalsRowFunction="sum" dataDxfId="135" totalsRowDxfId="134">
      <calculatedColumnFormula>DPEletronicaInformatica[[#This Row],[MAI]] - DREletronicaInformatica[[#This Row],[MAI]]</calculatedColumnFormula>
    </tableColumn>
    <tableColumn id="7" xr3:uid="{00000000-0010-0000-2700-000007000000}" name="JUIN" totalsRowFunction="sum" dataDxfId="133" totalsRowDxfId="132">
      <calculatedColumnFormula>DPEletronicaInformatica[[#This Row],[JUIN]] - DREletronicaInformatica[[#This Row],[JUIN]]</calculatedColumnFormula>
    </tableColumn>
    <tableColumn id="8" xr3:uid="{00000000-0010-0000-2700-000008000000}" name="JUIL" totalsRowFunction="sum" dataDxfId="131" totalsRowDxfId="130">
      <calculatedColumnFormula>DPEletronicaInformatica[[#This Row],[JUIL]] - DREletronicaInformatica[[#This Row],[JUIL]]</calculatedColumnFormula>
    </tableColumn>
    <tableColumn id="9" xr3:uid="{00000000-0010-0000-2700-000009000000}" name="AOÛT" totalsRowFunction="sum" dataDxfId="129" totalsRowDxfId="128">
      <calculatedColumnFormula>DPEletronicaInformatica[[#This Row],[AOÛT]] - DREletronicaInformatica[[#This Row],[AOÛT]]</calculatedColumnFormula>
    </tableColumn>
    <tableColumn id="10" xr3:uid="{00000000-0010-0000-2700-00000A000000}" name="SEPT" totalsRowFunction="sum" dataDxfId="127" totalsRowDxfId="126">
      <calculatedColumnFormula>DPEletronicaInformatica[[#This Row],[SEPT]] - DREletronicaInformatica[[#This Row],[SEPT]]</calculatedColumnFormula>
    </tableColumn>
    <tableColumn id="11" xr3:uid="{00000000-0010-0000-2700-00000B000000}" name="OCT" totalsRowFunction="sum" dataDxfId="125" totalsRowDxfId="124">
      <calculatedColumnFormula>DPEletronicaInformatica[[#This Row],[OCT]] - DREletronicaInformatica[[#This Row],[OCT]]</calculatedColumnFormula>
    </tableColumn>
    <tableColumn id="12" xr3:uid="{00000000-0010-0000-2700-00000C000000}" name="NOV" totalsRowFunction="sum" dataDxfId="123" totalsRowDxfId="122">
      <calculatedColumnFormula>DPEletronicaInformatica[[#This Row],[NOV]] - DREletronicaInformatica[[#This Row],[NOV]]</calculatedColumnFormula>
    </tableColumn>
    <tableColumn id="13" xr3:uid="{00000000-0010-0000-2700-00000D000000}" name="DÉC" totalsRowFunction="sum" dataDxfId="121" totalsRowDxfId="120">
      <calculatedColumnFormula>DPEletronicaInformatica[[#This Row],[DÉC]] - DREletronicaInformatica[[#This Row],[DÉC]]</calculatedColumnFormula>
    </tableColumn>
    <tableColumn id="14" xr3:uid="{00000000-0010-0000-2700-00000E000000}" name="ANNÉE" totalsRowFunction="sum" dataDxfId="119" totalsRowDxfId="118">
      <calculatedColumnFormula>SUM(B44:M44)</calculatedColumnFormula>
    </tableColumn>
  </tableColumns>
  <tableStyleInfo name="TableStyleMedium1" showFirstColumn="1" showLastColumn="1"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Impostos52" displayName="Impostos52" ref="A49:N55" totalsRowCount="1" headerRowDxfId="117" totalsRowDxfId="114" headerRowBorderDxfId="116" tableBorderDxfId="115" totalsRowBorderDxfId="113">
  <tableColumns count="14">
    <tableColumn id="1" xr3:uid="{00000000-0010-0000-2800-000001000000}" name="Impostos" totalsRowLabel="Sous-total" dataDxfId="112" totalsRowDxfId="111"/>
    <tableColumn id="2" xr3:uid="{00000000-0010-0000-2800-000002000000}" name="JANV" totalsRowFunction="sum" dataDxfId="110" totalsRowDxfId="109">
      <calculatedColumnFormula>DPImpostos[[#This Row],[JANV]] - DRImpostos[[#This Row],[JANV]]</calculatedColumnFormula>
    </tableColumn>
    <tableColumn id="3" xr3:uid="{00000000-0010-0000-2800-000003000000}" name="FÉVR" totalsRowFunction="sum" dataDxfId="108" totalsRowDxfId="107">
      <calculatedColumnFormula>DPImpostos[[#This Row],[FÉVR]] - DRImpostos[[#This Row],[FÉVR]]</calculatedColumnFormula>
    </tableColumn>
    <tableColumn id="4" xr3:uid="{00000000-0010-0000-2800-000004000000}" name="MARS" totalsRowFunction="sum" dataDxfId="106" totalsRowDxfId="105">
      <calculatedColumnFormula>DPImpostos[[#This Row],[MARS]] - DRImpostos[[#This Row],[MARS]]</calculatedColumnFormula>
    </tableColumn>
    <tableColumn id="5" xr3:uid="{00000000-0010-0000-2800-000005000000}" name="AVR" totalsRowFunction="sum" dataDxfId="104" totalsRowDxfId="103">
      <calculatedColumnFormula>DPImpostos[[#This Row],[AVR]] - DRImpostos[[#This Row],[AVR]]</calculatedColumnFormula>
    </tableColumn>
    <tableColumn id="6" xr3:uid="{00000000-0010-0000-2800-000006000000}" name="MAI" totalsRowFunction="sum" dataDxfId="102" totalsRowDxfId="101">
      <calculatedColumnFormula>DPImpostos[[#This Row],[MAI]] - DRImpostos[[#This Row],[MAI]]</calculatedColumnFormula>
    </tableColumn>
    <tableColumn id="7" xr3:uid="{00000000-0010-0000-2800-000007000000}" name="JUIN" totalsRowFunction="sum" dataDxfId="100" totalsRowDxfId="99">
      <calculatedColumnFormula>DPImpostos[[#This Row],[JUIN]] - DRImpostos[[#This Row],[JUIN]]</calculatedColumnFormula>
    </tableColumn>
    <tableColumn id="8" xr3:uid="{00000000-0010-0000-2800-000008000000}" name="JUIL" totalsRowFunction="sum" dataDxfId="98" totalsRowDxfId="97">
      <calculatedColumnFormula>DPImpostos[[#This Row],[JUIL]] - DRImpostos[[#This Row],[JUIL]]</calculatedColumnFormula>
    </tableColumn>
    <tableColumn id="9" xr3:uid="{00000000-0010-0000-2800-000009000000}" name="AOÛT" totalsRowFunction="sum" dataDxfId="96" totalsRowDxfId="95">
      <calculatedColumnFormula>DPImpostos[[#This Row],[AOÛT]] - DRImpostos[[#This Row],[AOÛT]]</calculatedColumnFormula>
    </tableColumn>
    <tableColumn id="10" xr3:uid="{00000000-0010-0000-2800-00000A000000}" name="SEPT" totalsRowFunction="sum" dataDxfId="94" totalsRowDxfId="93">
      <calculatedColumnFormula>DPImpostos[[#This Row],[SEPT]] - DRImpostos[[#This Row],[SEPT]]</calculatedColumnFormula>
    </tableColumn>
    <tableColumn id="11" xr3:uid="{00000000-0010-0000-2800-00000B000000}" name="OCT" totalsRowFunction="sum" dataDxfId="92" totalsRowDxfId="91">
      <calculatedColumnFormula>DPImpostos[[#This Row],[OCT]] - DRImpostos[[#This Row],[OCT]]</calculatedColumnFormula>
    </tableColumn>
    <tableColumn id="12" xr3:uid="{00000000-0010-0000-2800-00000C000000}" name="NOV" totalsRowFunction="sum" dataDxfId="90" totalsRowDxfId="89">
      <calculatedColumnFormula>DPImpostos[[#This Row],[NOV]] - DRImpostos[[#This Row],[NOV]]</calculatedColumnFormula>
    </tableColumn>
    <tableColumn id="13" xr3:uid="{00000000-0010-0000-2800-00000D000000}" name="DÉC" totalsRowFunction="sum" dataDxfId="88" totalsRowDxfId="87">
      <calculatedColumnFormula>DPImpostos[[#This Row],[DÉC]] - DRImpostos[[#This Row],[DÉC]]</calculatedColumnFormula>
    </tableColumn>
    <tableColumn id="14" xr3:uid="{00000000-0010-0000-2800-00000E000000}" name="ANNÉE" totalsRowFunction="sum" dataDxfId="86" totalsRowDxfId="85">
      <calculatedColumnFormula>SUM(B50:M50)</calculatedColumnFormula>
    </tableColumn>
  </tableColumns>
  <tableStyleInfo name="TableStyleMedium1" showFirstColumn="1" showLastColumn="1"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Lazer53" displayName="Lazer53" ref="A57:N65" totalsRowCount="1" headerRowDxfId="84" totalsRowDxfId="81" headerRowBorderDxfId="83" tableBorderDxfId="82" totalsRowBorderDxfId="80">
  <sortState xmlns:xlrd2="http://schemas.microsoft.com/office/spreadsheetml/2017/richdata2" ref="A58:N64">
    <sortCondition ref="A57:A64"/>
  </sortState>
  <tableColumns count="14">
    <tableColumn id="1" xr3:uid="{00000000-0010-0000-2900-000001000000}" name="Lazer" totalsRowLabel="Sous-total" dataDxfId="79" totalsRowDxfId="78"/>
    <tableColumn id="2" xr3:uid="{00000000-0010-0000-2900-000002000000}" name="JANV" totalsRowFunction="sum" dataDxfId="77" totalsRowDxfId="76"/>
    <tableColumn id="3" xr3:uid="{00000000-0010-0000-2900-000003000000}" name="FÉVR" totalsRowFunction="sum" dataDxfId="75" totalsRowDxfId="74"/>
    <tableColumn id="4" xr3:uid="{00000000-0010-0000-2900-000004000000}" name="MARS" totalsRowFunction="sum" dataDxfId="73" totalsRowDxfId="72"/>
    <tableColumn id="5" xr3:uid="{00000000-0010-0000-2900-000005000000}" name="AVR" totalsRowFunction="sum" dataDxfId="71" totalsRowDxfId="70"/>
    <tableColumn id="6" xr3:uid="{00000000-0010-0000-2900-000006000000}" name="MAI" totalsRowFunction="sum" dataDxfId="69" totalsRowDxfId="68"/>
    <tableColumn id="7" xr3:uid="{00000000-0010-0000-2900-000007000000}" name="JUIN" totalsRowFunction="sum" dataDxfId="67" totalsRowDxfId="66"/>
    <tableColumn id="8" xr3:uid="{00000000-0010-0000-2900-000008000000}" name="JUIL" totalsRowFunction="sum" dataDxfId="65" totalsRowDxfId="64"/>
    <tableColumn id="9" xr3:uid="{00000000-0010-0000-2900-000009000000}" name="AOÛT" totalsRowFunction="sum" dataDxfId="63" totalsRowDxfId="62"/>
    <tableColumn id="10" xr3:uid="{00000000-0010-0000-2900-00000A000000}" name="SEPT" totalsRowFunction="sum" dataDxfId="61" totalsRowDxfId="60"/>
    <tableColumn id="11" xr3:uid="{00000000-0010-0000-2900-00000B000000}" name="OCT" totalsRowFunction="sum" dataDxfId="59" totalsRowDxfId="58"/>
    <tableColumn id="12" xr3:uid="{00000000-0010-0000-2900-00000C000000}" name="NOV" totalsRowFunction="sum" dataDxfId="57" totalsRowDxfId="56"/>
    <tableColumn id="13" xr3:uid="{00000000-0010-0000-2900-00000D000000}" name="DÉC" totalsRowFunction="sum" dataDxfId="55" totalsRowDxfId="54"/>
    <tableColumn id="14" xr3:uid="{00000000-0010-0000-2900-00000E000000}" name="ANNÉE" totalsRowFunction="sum" dataDxfId="53" totalsRowDxfId="52">
      <calculatedColumnFormula>SUM(B58:M58)</calculatedColumnFormula>
    </tableColumn>
  </tableColumns>
  <tableStyleInfo name="TableStyleMedium1" showFirstColumn="1" showLastColumn="1"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Viagens54" displayName="Viagens54" ref="A99:N109" totalsRowCount="1" headerRowDxfId="51" totalsRowDxfId="48" headerRowBorderDxfId="50" tableBorderDxfId="49" totalsRowBorderDxfId="47">
  <sortState xmlns:xlrd2="http://schemas.microsoft.com/office/spreadsheetml/2017/richdata2" ref="A100:N108">
    <sortCondition ref="A100:A108"/>
  </sortState>
  <tableColumns count="14">
    <tableColumn id="1" xr3:uid="{00000000-0010-0000-2A00-000001000000}" name="Viagens" totalsRowLabel="Sous-total" dataDxfId="46" totalsRowDxfId="45"/>
    <tableColumn id="2" xr3:uid="{00000000-0010-0000-2A00-000002000000}" name="JANV" totalsRowFunction="sum" dataDxfId="44" totalsRowDxfId="43">
      <calculatedColumnFormula>DPViagens[[#This Row],[JANV]] - DRViagens[[#This Row],[JANV]]</calculatedColumnFormula>
    </tableColumn>
    <tableColumn id="3" xr3:uid="{00000000-0010-0000-2A00-000003000000}" name="FÉVR" totalsRowFunction="sum" dataDxfId="42" totalsRowDxfId="41">
      <calculatedColumnFormula>DPViagens[[#This Row],[FÉVR]] - DRViagens[[#This Row],[FÉVR]]</calculatedColumnFormula>
    </tableColumn>
    <tableColumn id="4" xr3:uid="{00000000-0010-0000-2A00-000004000000}" name="MARS" totalsRowFunction="sum" dataDxfId="40" totalsRowDxfId="39">
      <calculatedColumnFormula>DPViagens[[#This Row],[MARS]] - DRViagens[[#This Row],[MARS]]</calculatedColumnFormula>
    </tableColumn>
    <tableColumn id="5" xr3:uid="{00000000-0010-0000-2A00-000005000000}" name="AVR" totalsRowFunction="sum" dataDxfId="38" totalsRowDxfId="37">
      <calculatedColumnFormula>DPViagens[[#This Row],[AVR]] - DRViagens[[#This Row],[AVR]]</calculatedColumnFormula>
    </tableColumn>
    <tableColumn id="6" xr3:uid="{00000000-0010-0000-2A00-000006000000}" name="MAI" totalsRowFunction="sum" dataDxfId="36" totalsRowDxfId="35">
      <calculatedColumnFormula>DPViagens[[#This Row],[MAI]] - DRViagens[[#This Row],[MAI]]</calculatedColumnFormula>
    </tableColumn>
    <tableColumn id="7" xr3:uid="{00000000-0010-0000-2A00-000007000000}" name="JUIN" totalsRowFunction="sum" dataDxfId="34" totalsRowDxfId="33">
      <calculatedColumnFormula>DPViagens[[#This Row],[JUIN]] - DRViagens[[#This Row],[JUIN]]</calculatedColumnFormula>
    </tableColumn>
    <tableColumn id="8" xr3:uid="{00000000-0010-0000-2A00-000008000000}" name="JUIL" totalsRowFunction="sum" dataDxfId="32" totalsRowDxfId="31">
      <calculatedColumnFormula>DPViagens[[#This Row],[JUIL]] - DRViagens[[#This Row],[JUIL]]</calculatedColumnFormula>
    </tableColumn>
    <tableColumn id="9" xr3:uid="{00000000-0010-0000-2A00-000009000000}" name="AOÛT" totalsRowFunction="sum" dataDxfId="30" totalsRowDxfId="29">
      <calculatedColumnFormula>DPViagens[[#This Row],[AOÛT]] - DRViagens[[#This Row],[AOÛT]]</calculatedColumnFormula>
    </tableColumn>
    <tableColumn id="10" xr3:uid="{00000000-0010-0000-2A00-00000A000000}" name="SEPT" totalsRowFunction="sum" dataDxfId="28" totalsRowDxfId="27">
      <calculatedColumnFormula>DPViagens[[#This Row],[SEPT]] - DRViagens[[#This Row],[SEPT]]</calculatedColumnFormula>
    </tableColumn>
    <tableColumn id="11" xr3:uid="{00000000-0010-0000-2A00-00000B000000}" name="OCT" totalsRowFunction="sum" dataDxfId="26" totalsRowDxfId="25">
      <calculatedColumnFormula>DPViagens[[#This Row],[OCT]] - DRViagens[[#This Row],[OCT]]</calculatedColumnFormula>
    </tableColumn>
    <tableColumn id="12" xr3:uid="{00000000-0010-0000-2A00-00000C000000}" name="NOV" totalsRowFunction="sum" dataDxfId="24" totalsRowDxfId="23">
      <calculatedColumnFormula>DPViagens[[#This Row],[NOV]] - DRViagens[[#This Row],[NOV]]</calculatedColumnFormula>
    </tableColumn>
    <tableColumn id="13" xr3:uid="{00000000-0010-0000-2A00-00000D000000}" name="DÉC" totalsRowFunction="sum" dataDxfId="22" totalsRowDxfId="21">
      <calculatedColumnFormula>DPViagens[[#This Row],[DÉC]] - DRViagens[[#This Row],[DÉC]]</calculatedColumnFormula>
    </tableColumn>
    <tableColumn id="14" xr3:uid="{00000000-0010-0000-2A00-00000E000000}" name="ANNÉE" totalsRowFunction="sum" dataDxfId="20" totalsRowDxfId="19">
      <calculatedColumnFormula>SUM(B100:M100)</calculatedColumnFormula>
    </tableColumn>
  </tableColumns>
  <tableStyleInfo name="TableStyleMedium1" showFirstColumn="1" showLastColumn="1"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Analyse31" displayName="Analyse31" ref="B5:F21" headerRowDxfId="18" dataDxfId="17" totalsRowDxfId="15" tableBorderDxfId="16">
  <autoFilter ref="B5:F21" xr:uid="{00000000-0009-0000-0100-00002C000000}">
    <filterColumn colId="0" hiddenButton="1"/>
    <filterColumn colId="1" hiddenButton="1"/>
    <filterColumn colId="2" hiddenButton="1"/>
    <filterColumn colId="3" hiddenButton="1"/>
    <filterColumn colId="4" hiddenButton="1"/>
  </autoFilter>
  <tableColumns count="5">
    <tableColumn id="1" xr3:uid="{00000000-0010-0000-2B00-000001000000}" name="Catégorie de dépenses" totalsRowLabel="Total" dataDxfId="14" totalsRowDxfId="13"/>
    <tableColumn id="2" xr3:uid="{00000000-0010-0000-2B00-000002000000}" name="Despesas Previstas" dataDxfId="12" totalsRowDxfId="11"/>
    <tableColumn id="3" xr3:uid="{00000000-0010-0000-2B00-000003000000}" name="Despesas Reais" dataDxfId="10" totalsRowDxfId="9"/>
    <tableColumn id="4" xr3:uid="{00000000-0010-0000-2B00-000004000000}" name="Variação das Despesas" dataDxfId="8" totalsRowDxfId="7">
      <calculatedColumnFormula>C6-D6</calculatedColumnFormula>
    </tableColumn>
    <tableColumn id="5" xr3:uid="{00000000-0010-0000-2B00-000005000000}" name="Porcentagem de variação" totalsRowFunction="sum" dataDxfId="6" totalsRowDxfId="5">
      <calculatedColumnFormula>E6/C6</calculatedColumnFormula>
    </tableColumn>
  </tableColumns>
  <tableStyleInfo showFirstColumn="1"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otalDespesasPrevistas" displayName="TotalDespesasPrevistas" ref="A111:N113" headerRowDxfId="1307" dataDxfId="1306" tableBorderDxfId="1305">
  <autoFilter ref="A111:N113"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TOTAL das despesas reais" totalsRowLabel="Total" dataDxfId="1304" totalsRowDxfId="1303"/>
    <tableColumn id="2" xr3:uid="{00000000-0010-0000-0400-000002000000}" name="Jan" dataDxfId="1302" totalsRowDxfId="1301">
      <calculatedColumnFormula>SUM($B111:B$112)</calculatedColumnFormula>
    </tableColumn>
    <tableColumn id="3" xr3:uid="{00000000-0010-0000-0400-000003000000}" name="Fév" dataDxfId="1300" totalsRowDxfId="1299">
      <calculatedColumnFormula>SUM($B111:C$112)</calculatedColumnFormula>
    </tableColumn>
    <tableColumn id="4" xr3:uid="{00000000-0010-0000-0400-000004000000}" name="Mar" dataDxfId="1298" totalsRowDxfId="1297">
      <calculatedColumnFormula>SUM($B111:D$112)</calculatedColumnFormula>
    </tableColumn>
    <tableColumn id="5" xr3:uid="{00000000-0010-0000-0400-000005000000}" name="Avr" dataDxfId="1296" totalsRowDxfId="1295">
      <calculatedColumnFormula>SUM($B111:E$112)</calculatedColumnFormula>
    </tableColumn>
    <tableColumn id="6" xr3:uid="{00000000-0010-0000-0400-000006000000}" name="Mai" dataDxfId="1294" totalsRowDxfId="1293">
      <calculatedColumnFormula>SUM($B111:F$112)</calculatedColumnFormula>
    </tableColumn>
    <tableColumn id="7" xr3:uid="{00000000-0010-0000-0400-000007000000}" name="Juin" dataDxfId="1292" totalsRowDxfId="1291">
      <calculatedColumnFormula>SUM($B111:G$112)</calculatedColumnFormula>
    </tableColumn>
    <tableColumn id="8" xr3:uid="{00000000-0010-0000-0400-000008000000}" name="Juil" dataDxfId="1290" totalsRowDxfId="1289">
      <calculatedColumnFormula>SUM($B111:H$112)</calculatedColumnFormula>
    </tableColumn>
    <tableColumn id="9" xr3:uid="{00000000-0010-0000-0400-000009000000}" name="Août" dataDxfId="1288" totalsRowDxfId="1287">
      <calculatedColumnFormula>SUM($B111:I$112)</calculatedColumnFormula>
    </tableColumn>
    <tableColumn id="10" xr3:uid="{00000000-0010-0000-0400-00000A000000}" name="Sept" dataDxfId="1286" totalsRowDxfId="1285">
      <calculatedColumnFormula>SUM($B111:J$112)</calculatedColumnFormula>
    </tableColumn>
    <tableColumn id="11" xr3:uid="{00000000-0010-0000-0400-00000B000000}" name="Oct" dataDxfId="1284" totalsRowDxfId="1283">
      <calculatedColumnFormula>SUM($B111:K$112)</calculatedColumnFormula>
    </tableColumn>
    <tableColumn id="12" xr3:uid="{00000000-0010-0000-0400-00000C000000}" name="Nov" dataDxfId="1282" totalsRowDxfId="1281">
      <calculatedColumnFormula>SUM($B111:L$112)</calculatedColumnFormula>
    </tableColumn>
    <tableColumn id="13" xr3:uid="{00000000-0010-0000-0400-00000D000000}" name="Déc" dataDxfId="1280" totalsRowDxfId="1279">
      <calculatedColumnFormula>SUM($B111:M$112)</calculatedColumnFormula>
    </tableColumn>
    <tableColumn id="14" xr3:uid="{00000000-0010-0000-0400-00000E000000}" name="Année" totalsRowFunction="sum" dataDxfId="1278" totalsRowDxfId="1277">
      <calculatedColumnFormula>DPAlimentacaoLimpeza[[#Totals],[ANNÉE]] + DPCaridadeDoacoes[[#Totals],[ANNÉE]] + DPCarro[[#Totals],[ANNÉE]] + DPCriaturasEstimacao[[#Totals],[ANNÉE]] + DPCuidadosPessoaisFormacao[[#Totals],[ANNÉE]] + DPDespesasBancarias[[#Totals],[ANNÉE]] + DPDespesasMedicas[[#Totals],[ANNÉE]] + DPEletronicaInformatica[[#Totals],[ANNÉE]] + DPImpostos[[#Totals],[ANNÉE]] + DPLazer[[#Totals],[ANNÉE]] + DPManutencaoCasa[[#Totals],[ANNÉE]] + DPSeguros[[#Totals],[ANNÉE]] + DPServicos[[#Totals],[ANNÉE]]</calculatedColumnFormula>
    </tableColumn>
  </tableColumns>
  <tableStyleInfo name="TableStyleMedium1" showFirstColumn="1"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DPCarro" displayName="DPCarro" ref="A13:N16" totalsRowCount="1" headerRowDxfId="1276" totalsRowDxfId="1273" headerRowBorderDxfId="1275" tableBorderDxfId="1274" totalsRowBorderDxfId="1272">
  <tableColumns count="14">
    <tableColumn id="1" xr3:uid="{00000000-0010-0000-0500-000001000000}" name="Carro" totalsRowLabel="Sous-total" dataDxfId="1271" totalsRowDxfId="1270"/>
    <tableColumn id="2" xr3:uid="{00000000-0010-0000-0500-000002000000}" name="JANV" totalsRowFunction="sum" dataDxfId="1269" totalsRowDxfId="1268"/>
    <tableColumn id="3" xr3:uid="{00000000-0010-0000-0500-000003000000}" name="FÉVR" totalsRowFunction="sum" dataDxfId="1267" totalsRowDxfId="1266"/>
    <tableColumn id="4" xr3:uid="{00000000-0010-0000-0500-000004000000}" name="MARS" totalsRowFunction="sum" dataDxfId="1265" totalsRowDxfId="1264"/>
    <tableColumn id="5" xr3:uid="{00000000-0010-0000-0500-000005000000}" name="AVR" totalsRowFunction="sum" dataDxfId="1263" totalsRowDxfId="1262"/>
    <tableColumn id="6" xr3:uid="{00000000-0010-0000-0500-000006000000}" name="MAI" totalsRowFunction="sum" dataDxfId="1261" totalsRowDxfId="1260"/>
    <tableColumn id="7" xr3:uid="{00000000-0010-0000-0500-000007000000}" name="JUIN" totalsRowFunction="sum" dataDxfId="1259" totalsRowDxfId="1258"/>
    <tableColumn id="8" xr3:uid="{00000000-0010-0000-0500-000008000000}" name="JUIL" totalsRowFunction="sum" dataDxfId="1257" totalsRowDxfId="1256"/>
    <tableColumn id="9" xr3:uid="{00000000-0010-0000-0500-000009000000}" name="AOÛT" totalsRowFunction="sum" dataDxfId="1255" totalsRowDxfId="1254"/>
    <tableColumn id="10" xr3:uid="{00000000-0010-0000-0500-00000A000000}" name="SEPT" totalsRowFunction="sum" dataDxfId="1253" totalsRowDxfId="1252"/>
    <tableColumn id="11" xr3:uid="{00000000-0010-0000-0500-00000B000000}" name="OCT" totalsRowFunction="sum" dataDxfId="1251" totalsRowDxfId="1250"/>
    <tableColumn id="12" xr3:uid="{00000000-0010-0000-0500-00000C000000}" name="NOV" totalsRowFunction="sum" dataDxfId="1249" totalsRowDxfId="1248"/>
    <tableColumn id="13" xr3:uid="{00000000-0010-0000-0500-00000D000000}" name="DÉC" totalsRowFunction="sum" dataDxfId="1247" totalsRowDxfId="1246"/>
    <tableColumn id="14" xr3:uid="{00000000-0010-0000-0500-00000E000000}" name="ANNÉE" totalsRowFunction="sum" dataDxfId="1245" totalsRowDxfId="1244">
      <calculatedColumnFormula>SUM(B14:M14)</calculatedColumnFormula>
    </tableColumn>
  </tableColumns>
  <tableStyleInfo name="TableStyleMedium1" showFirstColumn="1" showLastColumn="1"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DPCaridadeDoacoes" displayName="DPCaridadeDoacoes" ref="A8:N11" totalsRowCount="1" headerRowDxfId="1243" totalsRowDxfId="1240" headerRowBorderDxfId="1242" tableBorderDxfId="1241" totalsRowBorderDxfId="1239">
  <tableColumns count="14">
    <tableColumn id="1" xr3:uid="{00000000-0010-0000-0600-000001000000}" name="Caridade e doações" totalsRowLabel="Sous-total" dataDxfId="1238" totalsRowDxfId="1237"/>
    <tableColumn id="2" xr3:uid="{00000000-0010-0000-0600-000002000000}" name="JANV" totalsRowFunction="sum" dataDxfId="1236" totalsRowDxfId="1235">
      <calculatedColumnFormula>B8*0.27</calculatedColumnFormula>
    </tableColumn>
    <tableColumn id="3" xr3:uid="{00000000-0010-0000-0600-000003000000}" name="FÉVR" totalsRowFunction="sum" dataDxfId="1234" totalsRowDxfId="1233"/>
    <tableColumn id="4" xr3:uid="{00000000-0010-0000-0600-000004000000}" name="MARS" totalsRowFunction="sum" dataDxfId="1232" totalsRowDxfId="1231"/>
    <tableColumn id="5" xr3:uid="{00000000-0010-0000-0600-000005000000}" name="AVR" totalsRowFunction="sum" dataDxfId="1230" totalsRowDxfId="1229"/>
    <tableColumn id="6" xr3:uid="{00000000-0010-0000-0600-000006000000}" name="MAI" totalsRowFunction="sum" dataDxfId="1228" totalsRowDxfId="1227"/>
    <tableColumn id="7" xr3:uid="{00000000-0010-0000-0600-000007000000}" name="JUIN" totalsRowFunction="sum" dataDxfId="1226" totalsRowDxfId="1225"/>
    <tableColumn id="8" xr3:uid="{00000000-0010-0000-0600-000008000000}" name="JUIL" totalsRowFunction="sum" dataDxfId="1224" totalsRowDxfId="1223"/>
    <tableColumn id="9" xr3:uid="{00000000-0010-0000-0600-000009000000}" name="AOÛT" totalsRowFunction="sum" dataDxfId="1222" totalsRowDxfId="1221"/>
    <tableColumn id="10" xr3:uid="{00000000-0010-0000-0600-00000A000000}" name="SEPT" totalsRowFunction="sum" dataDxfId="1220" totalsRowDxfId="1219"/>
    <tableColumn id="11" xr3:uid="{00000000-0010-0000-0600-00000B000000}" name="OCT" totalsRowFunction="sum" dataDxfId="1218" totalsRowDxfId="1217"/>
    <tableColumn id="12" xr3:uid="{00000000-0010-0000-0600-00000C000000}" name="NOV" totalsRowFunction="sum" dataDxfId="1216" totalsRowDxfId="1215"/>
    <tableColumn id="13" xr3:uid="{00000000-0010-0000-0600-00000D000000}" name="DÉC" totalsRowFunction="sum" dataDxfId="1214" totalsRowDxfId="1213"/>
    <tableColumn id="14" xr3:uid="{00000000-0010-0000-0600-00000E000000}" name="ANNÉE" totalsRowFunction="sum" dataDxfId="1212" totalsRowDxfId="1211">
      <calculatedColumnFormula>SUM(B9:M9)</calculatedColumnFormula>
    </tableColumn>
  </tableColumns>
  <tableStyleInfo name="TableStyleMedium1" showFirstColumn="1" showLastColumn="1"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DPCuidadosPessoaisFormacao" displayName="DPCuidadosPessoaisFormacao" ref="A23:N27" totalsRowCount="1" headerRowDxfId="1210" totalsRowDxfId="1207" headerRowBorderDxfId="1209" tableBorderDxfId="1208" totalsRowBorderDxfId="1206">
  <tableColumns count="14">
    <tableColumn id="1" xr3:uid="{00000000-0010-0000-0700-000001000000}" name="Cuidados pessoais e formação" totalsRowLabel="Sous-total" dataDxfId="1205" totalsRowDxfId="1204"/>
    <tableColumn id="2" xr3:uid="{00000000-0010-0000-0700-000002000000}" name="JANV" totalsRowFunction="sum" dataDxfId="1203" totalsRowDxfId="1202"/>
    <tableColumn id="3" xr3:uid="{00000000-0010-0000-0700-000003000000}" name="FÉVR" totalsRowFunction="sum" dataDxfId="1201" totalsRowDxfId="1200"/>
    <tableColumn id="4" xr3:uid="{00000000-0010-0000-0700-000004000000}" name="MARS" totalsRowFunction="sum" dataDxfId="1199" totalsRowDxfId="1198"/>
    <tableColumn id="5" xr3:uid="{00000000-0010-0000-0700-000005000000}" name="AVR" totalsRowFunction="sum" dataDxfId="1197" totalsRowDxfId="1196"/>
    <tableColumn id="6" xr3:uid="{00000000-0010-0000-0700-000006000000}" name="MAI" totalsRowFunction="sum" dataDxfId="1195" totalsRowDxfId="1194"/>
    <tableColumn id="7" xr3:uid="{00000000-0010-0000-0700-000007000000}" name="JUIN" totalsRowFunction="sum" dataDxfId="1193" totalsRowDxfId="1192"/>
    <tableColumn id="8" xr3:uid="{00000000-0010-0000-0700-000008000000}" name="JUIL" totalsRowFunction="sum" dataDxfId="1191" totalsRowDxfId="1190"/>
    <tableColumn id="9" xr3:uid="{00000000-0010-0000-0700-000009000000}" name="AOÛT" totalsRowFunction="sum" dataDxfId="1189" totalsRowDxfId="1188"/>
    <tableColumn id="10" xr3:uid="{00000000-0010-0000-0700-00000A000000}" name="SEPT" totalsRowFunction="sum" dataDxfId="1187" totalsRowDxfId="1186"/>
    <tableColumn id="11" xr3:uid="{00000000-0010-0000-0700-00000B000000}" name="OCT" totalsRowFunction="sum" dataDxfId="1185" totalsRowDxfId="1184"/>
    <tableColumn id="12" xr3:uid="{00000000-0010-0000-0700-00000C000000}" name="NOV" totalsRowFunction="sum" dataDxfId="1183" totalsRowDxfId="1182"/>
    <tableColumn id="13" xr3:uid="{00000000-0010-0000-0700-00000D000000}" name="DÉC" totalsRowFunction="sum" dataDxfId="1181" totalsRowDxfId="1180"/>
    <tableColumn id="14" xr3:uid="{00000000-0010-0000-0700-00000E000000}" name="ANNÉE" totalsRowFunction="sum" dataDxfId="1179" totalsRowDxfId="1178">
      <calculatedColumnFormula>SUM(B24:M24)</calculatedColumnFormula>
    </tableColumn>
  </tableColumns>
  <tableStyleInfo name="TableStyleMedium1" showFirstColumn="1" showLastColumn="1"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DPDespesasBancarias" displayName="DPDespesasBancarias" ref="A29:N33" totalsRowCount="1" headerRowDxfId="1177" totalsRowDxfId="1174" headerRowBorderDxfId="1176" tableBorderDxfId="1175" totalsRowBorderDxfId="1173">
  <tableColumns count="14">
    <tableColumn id="1" xr3:uid="{00000000-0010-0000-0800-000001000000}" name="Despesas bancárias" totalsRowLabel="Sous-total" dataDxfId="1172" totalsRowDxfId="1171"/>
    <tableColumn id="2" xr3:uid="{00000000-0010-0000-0800-000002000000}" name="JANV" totalsRowFunction="sum" dataDxfId="1170" totalsRowDxfId="1169"/>
    <tableColumn id="3" xr3:uid="{00000000-0010-0000-0800-000003000000}" name="FÉVR" totalsRowFunction="sum" dataDxfId="1168" totalsRowDxfId="1167"/>
    <tableColumn id="4" xr3:uid="{00000000-0010-0000-0800-000004000000}" name="MARS" totalsRowFunction="sum" dataDxfId="1166" totalsRowDxfId="1165"/>
    <tableColumn id="5" xr3:uid="{00000000-0010-0000-0800-000005000000}" name="AVR" totalsRowFunction="sum" dataDxfId="1164" totalsRowDxfId="1163"/>
    <tableColumn id="6" xr3:uid="{00000000-0010-0000-0800-000006000000}" name="MAI" totalsRowFunction="sum" dataDxfId="1162" totalsRowDxfId="1161"/>
    <tableColumn id="7" xr3:uid="{00000000-0010-0000-0800-000007000000}" name="JUIN" totalsRowFunction="sum" dataDxfId="1160" totalsRowDxfId="1159"/>
    <tableColumn id="8" xr3:uid="{00000000-0010-0000-0800-000008000000}" name="JUIL" totalsRowFunction="sum" dataDxfId="1158" totalsRowDxfId="1157"/>
    <tableColumn id="9" xr3:uid="{00000000-0010-0000-0800-000009000000}" name="AOÛT" totalsRowFunction="sum" dataDxfId="1156" totalsRowDxfId="1155"/>
    <tableColumn id="10" xr3:uid="{00000000-0010-0000-0800-00000A000000}" name="SEPT" totalsRowFunction="sum" dataDxfId="1154" totalsRowDxfId="1153"/>
    <tableColumn id="11" xr3:uid="{00000000-0010-0000-0800-00000B000000}" name="OCT" totalsRowFunction="sum" dataDxfId="1152" totalsRowDxfId="1151"/>
    <tableColumn id="12" xr3:uid="{00000000-0010-0000-0800-00000C000000}" name="NOV" totalsRowFunction="sum" dataDxfId="1150" totalsRowDxfId="1149"/>
    <tableColumn id="13" xr3:uid="{00000000-0010-0000-0800-00000D000000}" name="DÉC" totalsRowFunction="sum" dataDxfId="1148" totalsRowDxfId="1147"/>
    <tableColumn id="14" xr3:uid="{00000000-0010-0000-0800-00000E000000}" name="ANNÉE" totalsRowFunction="sum" dataDxfId="1146" totalsRowDxfId="1145">
      <calculatedColumnFormula>SUM(B30:M30)</calculatedColumnFormula>
    </tableColumn>
  </tableColumns>
  <tableStyleInfo name="TableStyleMedium1" showFirstColumn="1" showLastColumn="1" showRowStripes="0" showColumnStripes="0"/>
</table>
</file>

<file path=xl/theme/theme1.xml><?xml version="1.0" encoding="utf-8"?>
<a:theme xmlns:a="http://schemas.openxmlformats.org/drawingml/2006/main" name="Office Theme">
  <a:themeElements>
    <a:clrScheme name="Custom 25">
      <a:dk1>
        <a:sysClr val="windowText" lastClr="000000"/>
      </a:dk1>
      <a:lt1>
        <a:srgbClr val="FFFFFF"/>
      </a:lt1>
      <a:dk2>
        <a:srgbClr val="2F4B83"/>
      </a:dk2>
      <a:lt2>
        <a:srgbClr val="F2F2F2"/>
      </a:lt2>
      <a:accent1>
        <a:srgbClr val="CC1D10"/>
      </a:accent1>
      <a:accent2>
        <a:srgbClr val="357B37"/>
      </a:accent2>
      <a:accent3>
        <a:srgbClr val="34A0DC"/>
      </a:accent3>
      <a:accent4>
        <a:srgbClr val="B71F66"/>
      </a:accent4>
      <a:accent5>
        <a:srgbClr val="255D77"/>
      </a:accent5>
      <a:accent6>
        <a:srgbClr val="EF4538"/>
      </a:accent6>
      <a:hlink>
        <a:srgbClr val="7DC6F3"/>
      </a:hlink>
      <a:folHlink>
        <a:srgbClr val="7DC6F3"/>
      </a:folHlink>
    </a:clrScheme>
    <a:fontScheme name="Custom 18">
      <a:majorFont>
        <a:latin typeface="Franklin Gothic Book"/>
        <a:ea typeface=""/>
        <a:cs typeface=""/>
      </a:majorFont>
      <a:minorFont>
        <a:latin typeface="Microsoft Sans Serif"/>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3.xml"/><Relationship Id="rId13" Type="http://schemas.openxmlformats.org/officeDocument/2006/relationships/table" Target="../tables/table28.xml"/><Relationship Id="rId3" Type="http://schemas.openxmlformats.org/officeDocument/2006/relationships/table" Target="../tables/table18.xml"/><Relationship Id="rId7" Type="http://schemas.openxmlformats.org/officeDocument/2006/relationships/table" Target="../tables/table22.xml"/><Relationship Id="rId12" Type="http://schemas.openxmlformats.org/officeDocument/2006/relationships/table" Target="../tables/table27.xml"/><Relationship Id="rId2" Type="http://schemas.openxmlformats.org/officeDocument/2006/relationships/table" Target="../tables/table17.xml"/><Relationship Id="rId1" Type="http://schemas.openxmlformats.org/officeDocument/2006/relationships/table" Target="../tables/table16.xml"/><Relationship Id="rId6" Type="http://schemas.openxmlformats.org/officeDocument/2006/relationships/table" Target="../tables/table21.xml"/><Relationship Id="rId11" Type="http://schemas.openxmlformats.org/officeDocument/2006/relationships/table" Target="../tables/table26.xml"/><Relationship Id="rId5" Type="http://schemas.openxmlformats.org/officeDocument/2006/relationships/table" Target="../tables/table20.xml"/><Relationship Id="rId10" Type="http://schemas.openxmlformats.org/officeDocument/2006/relationships/table" Target="../tables/table25.xml"/><Relationship Id="rId4" Type="http://schemas.openxmlformats.org/officeDocument/2006/relationships/table" Target="../tables/table19.xml"/><Relationship Id="rId9" Type="http://schemas.openxmlformats.org/officeDocument/2006/relationships/table" Target="../tables/table24.xml"/><Relationship Id="rId14" Type="http://schemas.openxmlformats.org/officeDocument/2006/relationships/table" Target="../tables/table29.xml"/></Relationships>
</file>

<file path=xl/worksheets/_rels/sheet5.xml.rels><?xml version="1.0" encoding="UTF-8" standalone="yes"?>
<Relationships xmlns="http://schemas.openxmlformats.org/package/2006/relationships"><Relationship Id="rId8" Type="http://schemas.openxmlformats.org/officeDocument/2006/relationships/table" Target="../tables/table37.xml"/><Relationship Id="rId13" Type="http://schemas.openxmlformats.org/officeDocument/2006/relationships/table" Target="../tables/table42.xml"/><Relationship Id="rId3" Type="http://schemas.openxmlformats.org/officeDocument/2006/relationships/table" Target="../tables/table32.xml"/><Relationship Id="rId7" Type="http://schemas.openxmlformats.org/officeDocument/2006/relationships/table" Target="../tables/table36.xml"/><Relationship Id="rId12" Type="http://schemas.openxmlformats.org/officeDocument/2006/relationships/table" Target="../tables/table41.xml"/><Relationship Id="rId2" Type="http://schemas.openxmlformats.org/officeDocument/2006/relationships/table" Target="../tables/table31.xml"/><Relationship Id="rId1" Type="http://schemas.openxmlformats.org/officeDocument/2006/relationships/table" Target="../tables/table30.xml"/><Relationship Id="rId6" Type="http://schemas.openxmlformats.org/officeDocument/2006/relationships/table" Target="../tables/table35.xml"/><Relationship Id="rId11" Type="http://schemas.openxmlformats.org/officeDocument/2006/relationships/table" Target="../tables/table40.xml"/><Relationship Id="rId5" Type="http://schemas.openxmlformats.org/officeDocument/2006/relationships/table" Target="../tables/table34.xml"/><Relationship Id="rId10" Type="http://schemas.openxmlformats.org/officeDocument/2006/relationships/table" Target="../tables/table39.xml"/><Relationship Id="rId4" Type="http://schemas.openxmlformats.org/officeDocument/2006/relationships/table" Target="../tables/table33.xml"/><Relationship Id="rId9" Type="http://schemas.openxmlformats.org/officeDocument/2006/relationships/table" Target="../tables/table38.xml"/><Relationship Id="rId14" Type="http://schemas.openxmlformats.org/officeDocument/2006/relationships/table" Target="../tables/table4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RowHeight="11.65" x14ac:dyDescent="0.3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1"/>
  <dimension ref="A1:G22"/>
  <sheetViews>
    <sheetView zoomScale="190" zoomScaleNormal="190" workbookViewId="0">
      <selection activeCell="C3" sqref="C3"/>
    </sheetView>
  </sheetViews>
  <sheetFormatPr baseColWidth="10" defaultRowHeight="11.65" x14ac:dyDescent="0.35"/>
  <cols>
    <col min="1" max="1" width="15.15234375" style="220" customWidth="1"/>
    <col min="2" max="2" width="15" style="220" customWidth="1"/>
    <col min="3" max="3" width="12.53515625" style="220" customWidth="1"/>
    <col min="4" max="4" width="47.23046875" style="220" customWidth="1"/>
    <col min="5" max="5" width="16.4609375" style="220" customWidth="1"/>
    <col min="6" max="6" width="30.3046875" style="220" customWidth="1"/>
    <col min="7" max="7" width="18.4609375" style="220" customWidth="1"/>
  </cols>
  <sheetData>
    <row r="1" spans="1:7" ht="35" customHeight="1" thickTop="1" x14ac:dyDescent="0.35">
      <c r="A1" s="184" t="s">
        <v>226</v>
      </c>
      <c r="B1" s="185" t="s">
        <v>227</v>
      </c>
      <c r="C1" s="185" t="s">
        <v>228</v>
      </c>
      <c r="D1" s="185" t="s">
        <v>229</v>
      </c>
      <c r="E1" s="185" t="s">
        <v>230</v>
      </c>
      <c r="F1" s="185" t="s">
        <v>231</v>
      </c>
      <c r="G1" s="186" t="s">
        <v>232</v>
      </c>
    </row>
    <row r="2" spans="1:7" ht="35" customHeight="1" x14ac:dyDescent="0.35">
      <c r="A2" s="191" t="s">
        <v>233</v>
      </c>
      <c r="B2" s="192" t="s">
        <v>233</v>
      </c>
      <c r="C2" s="200">
        <v>1</v>
      </c>
      <c r="D2" s="193" t="s">
        <v>234</v>
      </c>
      <c r="E2" s="193" t="s">
        <v>235</v>
      </c>
      <c r="F2" s="193" t="s">
        <v>236</v>
      </c>
      <c r="G2" s="194">
        <v>0.5</v>
      </c>
    </row>
    <row r="3" spans="1:7" ht="35" customHeight="1" x14ac:dyDescent="0.35">
      <c r="A3" s="191" t="s">
        <v>233</v>
      </c>
      <c r="B3" s="192" t="s">
        <v>233</v>
      </c>
      <c r="C3" s="200">
        <v>1</v>
      </c>
      <c r="D3" s="193" t="s">
        <v>237</v>
      </c>
      <c r="E3" s="193" t="s">
        <v>238</v>
      </c>
      <c r="F3" s="193" t="s">
        <v>239</v>
      </c>
      <c r="G3" s="194">
        <v>1.5</v>
      </c>
    </row>
    <row r="4" spans="1:7" ht="35" customHeight="1" x14ac:dyDescent="0.35">
      <c r="A4" s="188" t="s">
        <v>240</v>
      </c>
      <c r="B4" s="189" t="s">
        <v>241</v>
      </c>
      <c r="C4" s="201" t="s">
        <v>242</v>
      </c>
      <c r="D4" s="190" t="s">
        <v>243</v>
      </c>
      <c r="E4" s="190" t="s">
        <v>244</v>
      </c>
      <c r="F4" s="190" t="s">
        <v>236</v>
      </c>
      <c r="G4" s="187">
        <v>0.5</v>
      </c>
    </row>
    <row r="5" spans="1:7" ht="35" customHeight="1" x14ac:dyDescent="0.35">
      <c r="A5" s="188" t="s">
        <v>240</v>
      </c>
      <c r="B5" s="189" t="s">
        <v>241</v>
      </c>
      <c r="C5" s="201" t="s">
        <v>242</v>
      </c>
      <c r="D5" s="190" t="s">
        <v>245</v>
      </c>
      <c r="E5" s="190" t="s">
        <v>246</v>
      </c>
      <c r="F5" s="190" t="s">
        <v>239</v>
      </c>
      <c r="G5" s="187">
        <v>1.5</v>
      </c>
    </row>
    <row r="6" spans="1:7" ht="35" customHeight="1" x14ac:dyDescent="0.35">
      <c r="A6" s="191" t="s">
        <v>241</v>
      </c>
      <c r="B6" s="192" t="s">
        <v>240</v>
      </c>
      <c r="C6" s="200" t="s">
        <v>247</v>
      </c>
      <c r="D6" s="193" t="s">
        <v>243</v>
      </c>
      <c r="E6" s="193" t="s">
        <v>248</v>
      </c>
      <c r="F6" s="193" t="s">
        <v>236</v>
      </c>
      <c r="G6" s="194">
        <v>0.5</v>
      </c>
    </row>
    <row r="7" spans="1:7" ht="35" customHeight="1" x14ac:dyDescent="0.35">
      <c r="A7" s="191" t="s">
        <v>241</v>
      </c>
      <c r="B7" s="192" t="s">
        <v>240</v>
      </c>
      <c r="C7" s="200" t="s">
        <v>247</v>
      </c>
      <c r="D7" s="193" t="s">
        <v>245</v>
      </c>
      <c r="E7" s="193" t="s">
        <v>249</v>
      </c>
      <c r="F7" s="193" t="s">
        <v>239</v>
      </c>
      <c r="G7" s="194">
        <v>1.5</v>
      </c>
    </row>
    <row r="8" spans="1:7" ht="35" customHeight="1" x14ac:dyDescent="0.35">
      <c r="A8" s="188" t="s">
        <v>250</v>
      </c>
      <c r="B8" s="189" t="s">
        <v>250</v>
      </c>
      <c r="C8" s="201" t="s">
        <v>251</v>
      </c>
      <c r="D8" s="190" t="s">
        <v>252</v>
      </c>
      <c r="E8" s="190" t="s">
        <v>253</v>
      </c>
      <c r="F8" s="190" t="s">
        <v>254</v>
      </c>
      <c r="G8" s="187">
        <v>2.5</v>
      </c>
    </row>
    <row r="9" spans="1:7" ht="35" customHeight="1" x14ac:dyDescent="0.35">
      <c r="A9" s="188" t="s">
        <v>250</v>
      </c>
      <c r="B9" s="189" t="s">
        <v>250</v>
      </c>
      <c r="C9" s="201" t="s">
        <v>251</v>
      </c>
      <c r="D9" s="190" t="s">
        <v>255</v>
      </c>
      <c r="E9" s="190" t="s">
        <v>256</v>
      </c>
      <c r="F9" s="190" t="s">
        <v>257</v>
      </c>
      <c r="G9" s="187">
        <v>3.5</v>
      </c>
    </row>
    <row r="11" spans="1:7" x14ac:dyDescent="0.35">
      <c r="F11">
        <v>2.5</v>
      </c>
    </row>
    <row r="13" spans="1:7" ht="30" customHeight="1" x14ac:dyDescent="0.35">
      <c r="A13" s="195" t="s">
        <v>226</v>
      </c>
      <c r="B13" s="195" t="s">
        <v>227</v>
      </c>
    </row>
    <row r="14" spans="1:7" ht="15" customHeight="1" x14ac:dyDescent="0.35">
      <c r="A14" s="196" t="s">
        <v>258</v>
      </c>
      <c r="B14" s="196" t="s">
        <v>258</v>
      </c>
    </row>
    <row r="15" spans="1:7" ht="15" customHeight="1" x14ac:dyDescent="0.35">
      <c r="A15" s="196" t="s">
        <v>258</v>
      </c>
      <c r="B15" s="196">
        <v>0</v>
      </c>
    </row>
    <row r="16" spans="1:7" ht="15" customHeight="1" x14ac:dyDescent="0.35">
      <c r="A16" s="196" t="s">
        <v>258</v>
      </c>
      <c r="B16" s="196" t="s">
        <v>259</v>
      </c>
    </row>
    <row r="17" spans="1:2" ht="15" customHeight="1" x14ac:dyDescent="0.35">
      <c r="A17" s="196">
        <v>0</v>
      </c>
      <c r="B17" s="196" t="s">
        <v>258</v>
      </c>
    </row>
    <row r="18" spans="1:2" ht="15" customHeight="1" x14ac:dyDescent="0.35">
      <c r="A18" s="196">
        <v>0</v>
      </c>
      <c r="B18" s="196">
        <v>0</v>
      </c>
    </row>
    <row r="19" spans="1:2" ht="15" customHeight="1" x14ac:dyDescent="0.35">
      <c r="A19" s="196">
        <v>0</v>
      </c>
      <c r="B19" s="196" t="s">
        <v>259</v>
      </c>
    </row>
    <row r="20" spans="1:2" ht="15" customHeight="1" x14ac:dyDescent="0.35">
      <c r="A20" s="196" t="s">
        <v>259</v>
      </c>
      <c r="B20" s="196" t="s">
        <v>258</v>
      </c>
    </row>
    <row r="21" spans="1:2" ht="15" customHeight="1" x14ac:dyDescent="0.35">
      <c r="A21" s="196" t="s">
        <v>259</v>
      </c>
      <c r="B21" s="196">
        <v>0</v>
      </c>
    </row>
    <row r="22" spans="1:2" ht="15" customHeight="1" x14ac:dyDescent="0.35">
      <c r="A22" s="196" t="s">
        <v>259</v>
      </c>
      <c r="B22" s="196" t="s">
        <v>259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6">
    <tabColor theme="8"/>
    <pageSetUpPr autoPageBreaks="0"/>
  </sheetPr>
  <dimension ref="A1:P50"/>
  <sheetViews>
    <sheetView showGridLines="0" topLeftCell="A7" zoomScale="95" zoomScaleNormal="95" workbookViewId="0">
      <selection activeCell="L9" sqref="L9"/>
    </sheetView>
  </sheetViews>
  <sheetFormatPr baseColWidth="10" defaultColWidth="9.3046875" defaultRowHeight="16.899999999999999" x14ac:dyDescent="0.4"/>
  <cols>
    <col min="1" max="1" width="4.69140625" style="16" customWidth="1"/>
    <col min="2" max="2" width="37" style="2" customWidth="1"/>
    <col min="3" max="6" width="31.3046875" style="2" customWidth="1"/>
    <col min="7" max="7" width="4.69140625" style="1" customWidth="1"/>
    <col min="8" max="8" width="9" style="220" customWidth="1"/>
    <col min="9" max="18" width="9.3046875" style="2" customWidth="1"/>
    <col min="19" max="16384" width="9.3046875" style="2"/>
  </cols>
  <sheetData>
    <row r="1" spans="1:16" s="1" customFormat="1" ht="24" customHeight="1" x14ac:dyDescent="0.4">
      <c r="A1" s="13"/>
      <c r="B1" s="5"/>
      <c r="C1" s="5"/>
      <c r="D1" s="5"/>
      <c r="E1" s="4"/>
      <c r="F1" s="4"/>
      <c r="G1" s="22" t="s">
        <v>260</v>
      </c>
      <c r="I1"/>
      <c r="J1"/>
      <c r="K1"/>
      <c r="L1"/>
      <c r="M1"/>
      <c r="N1"/>
      <c r="O1"/>
      <c r="P1" t="s">
        <v>260</v>
      </c>
    </row>
    <row r="2" spans="1:16" s="1" customFormat="1" ht="45" customHeight="1" x14ac:dyDescent="0.5">
      <c r="A2" s="13"/>
      <c r="B2" s="33" t="e">
        <f>'DESPESAS PREVISTAS'!#REF!</f>
        <v>#REF!</v>
      </c>
      <c r="C2" s="33"/>
      <c r="D2" s="33"/>
      <c r="E2" s="8"/>
      <c r="F2" s="35"/>
      <c r="G2" s="35"/>
      <c r="I2"/>
      <c r="J2"/>
      <c r="K2"/>
      <c r="L2"/>
      <c r="M2"/>
      <c r="N2"/>
      <c r="O2"/>
      <c r="P2"/>
    </row>
    <row r="3" spans="1:16" s="1" customFormat="1" ht="30" customHeight="1" x14ac:dyDescent="0.4">
      <c r="A3" s="13"/>
      <c r="B3" s="33"/>
      <c r="C3" s="33"/>
      <c r="D3" s="33"/>
      <c r="E3" s="224" t="e">
        <f>titre_feuille_de_calcul</f>
        <v>#REF!</v>
      </c>
      <c r="F3" s="225"/>
      <c r="G3" s="225"/>
      <c r="I3"/>
      <c r="J3"/>
      <c r="K3"/>
      <c r="L3"/>
      <c r="M3"/>
      <c r="N3"/>
      <c r="O3"/>
      <c r="P3"/>
    </row>
    <row r="4" spans="1:16" ht="18.75" customHeight="1" x14ac:dyDescent="0.4">
      <c r="A4" s="9"/>
    </row>
    <row r="5" spans="1:16" ht="25.15" customHeight="1" thickBot="1" x14ac:dyDescent="0.45">
      <c r="A5" s="14"/>
      <c r="B5" s="45" t="s">
        <v>261</v>
      </c>
      <c r="C5" s="46" t="s">
        <v>262</v>
      </c>
      <c r="D5" s="218" t="s">
        <v>263</v>
      </c>
      <c r="E5" s="45" t="s">
        <v>264</v>
      </c>
      <c r="F5" s="47" t="s">
        <v>265</v>
      </c>
      <c r="G5" s="6"/>
      <c r="I5"/>
      <c r="J5"/>
      <c r="K5"/>
      <c r="L5"/>
      <c r="M5"/>
      <c r="N5"/>
      <c r="O5"/>
      <c r="P5"/>
    </row>
    <row r="6" spans="1:16" ht="25.15" customHeight="1" thickBot="1" x14ac:dyDescent="0.45">
      <c r="A6" s="15"/>
      <c r="B6" s="50" t="s">
        <v>1</v>
      </c>
      <c r="C6" s="48">
        <f>DPAlimentacaoLimpeza[[#Totals],[ANNÉE]]</f>
        <v>19080</v>
      </c>
      <c r="D6" s="48">
        <f>DRAlimentacaoLimpeza[[#Totals],[ANNÉE]]</f>
        <v>1750.29</v>
      </c>
      <c r="E6" s="48">
        <f t="shared" ref="E6:E21" si="0">C6-D6</f>
        <v>17329.71</v>
      </c>
      <c r="F6" s="49">
        <f t="shared" ref="F6:F21" si="1">E6/C6</f>
        <v>0.9082657232704402</v>
      </c>
    </row>
    <row r="7" spans="1:16" ht="25.15" customHeight="1" thickBot="1" x14ac:dyDescent="0.45">
      <c r="A7" s="14"/>
      <c r="B7" s="50" t="s">
        <v>5</v>
      </c>
      <c r="C7" s="48">
        <f>DPCaridadeDoacoes[[#Totals],[ANNÉE]]</f>
        <v>2952</v>
      </c>
      <c r="D7" s="48">
        <f>DRCaridadeDoacoes[[#Totals],[ANNÉE]]</f>
        <v>220</v>
      </c>
      <c r="E7" s="48">
        <f t="shared" si="0"/>
        <v>2732</v>
      </c>
      <c r="F7" s="49">
        <f t="shared" si="1"/>
        <v>0.92547425474254741</v>
      </c>
    </row>
    <row r="8" spans="1:16" ht="25.15" customHeight="1" thickBot="1" x14ac:dyDescent="0.45">
      <c r="A8" s="14"/>
      <c r="B8" s="50" t="s">
        <v>8</v>
      </c>
      <c r="C8" s="48">
        <f>DPCarro[[#Totals],[ANNÉE]]</f>
        <v>3540</v>
      </c>
      <c r="D8" s="48">
        <f>DRCarro[[#Totals],[ANNÉE]]</f>
        <v>100</v>
      </c>
      <c r="E8" s="48">
        <f t="shared" si="0"/>
        <v>3440</v>
      </c>
      <c r="F8" s="49">
        <f t="shared" si="1"/>
        <v>0.97175141242937857</v>
      </c>
    </row>
    <row r="9" spans="1:16" ht="25.15" customHeight="1" thickBot="1" x14ac:dyDescent="0.45">
      <c r="A9" s="14"/>
      <c r="B9" s="50" t="s">
        <v>11</v>
      </c>
      <c r="C9" s="48"/>
      <c r="D9" s="48"/>
      <c r="E9" s="48">
        <f t="shared" si="0"/>
        <v>0</v>
      </c>
      <c r="F9" s="49" t="e">
        <f t="shared" si="1"/>
        <v>#DIV/0!</v>
      </c>
    </row>
    <row r="10" spans="1:16" ht="25.15" customHeight="1" thickBot="1" x14ac:dyDescent="0.45">
      <c r="A10" s="14"/>
      <c r="B10" s="50" t="s">
        <v>14</v>
      </c>
      <c r="C10" s="48">
        <f>DPCuidadosPessoaisFormacao[[#Totals],[ANNÉE]]</f>
        <v>3660</v>
      </c>
      <c r="D10" s="48">
        <f>DRCuidadosPessoaisFormacao[[#Totals],[ANNÉE]]</f>
        <v>275.54999999999995</v>
      </c>
      <c r="E10" s="48">
        <f t="shared" si="0"/>
        <v>3384.45</v>
      </c>
      <c r="F10" s="49">
        <f t="shared" si="1"/>
        <v>0.92471311475409834</v>
      </c>
    </row>
    <row r="11" spans="1:16" ht="25.15" customHeight="1" thickBot="1" x14ac:dyDescent="0.45">
      <c r="A11" s="14"/>
      <c r="B11" s="50" t="s">
        <v>18</v>
      </c>
      <c r="C11" s="48"/>
      <c r="D11" s="48"/>
      <c r="E11" s="48">
        <f t="shared" si="0"/>
        <v>0</v>
      </c>
      <c r="F11" s="49" t="e">
        <f t="shared" si="1"/>
        <v>#DIV/0!</v>
      </c>
    </row>
    <row r="12" spans="1:16" ht="25.15" customHeight="1" thickBot="1" x14ac:dyDescent="0.45">
      <c r="A12" s="14"/>
      <c r="B12" s="50" t="s">
        <v>22</v>
      </c>
      <c r="C12" s="48">
        <f>DPDespesasMedicas[[#Totals],[ANNÉE]]</f>
        <v>27600</v>
      </c>
      <c r="D12" s="48">
        <f>DRDespesasMedicas[[#Totals],[ANNÉE]]</f>
        <v>2758.91</v>
      </c>
      <c r="E12" s="48">
        <f t="shared" si="0"/>
        <v>24841.09</v>
      </c>
      <c r="F12" s="49">
        <f t="shared" si="1"/>
        <v>0.90003949275362316</v>
      </c>
    </row>
    <row r="13" spans="1:16" ht="25.15" customHeight="1" thickBot="1" x14ac:dyDescent="0.45">
      <c r="A13" s="14"/>
      <c r="B13" s="50" t="s">
        <v>28</v>
      </c>
      <c r="C13" s="48">
        <f>DPEletronicaInformatica[[#Totals],[ANNÉE]]</f>
        <v>11112</v>
      </c>
      <c r="D13" s="48">
        <f>DREletronicaInformatica[[#Totals],[ANNÉE]]</f>
        <v>1861.4299999999998</v>
      </c>
      <c r="E13" s="48">
        <f t="shared" si="0"/>
        <v>9250.57</v>
      </c>
      <c r="F13" s="49">
        <f t="shared" si="1"/>
        <v>0.83248470122390206</v>
      </c>
    </row>
    <row r="14" spans="1:16" ht="25.15" customHeight="1" thickBot="1" x14ac:dyDescent="0.45">
      <c r="A14" s="14"/>
      <c r="B14" s="50" t="s">
        <v>33</v>
      </c>
      <c r="C14" s="48">
        <f>'DESPESAS PREVISTAS'!$N$55</f>
        <v>3762</v>
      </c>
      <c r="D14" s="48">
        <f>'DESPESAS REAIS'!$N$55</f>
        <v>295.89999999999998</v>
      </c>
      <c r="E14" s="48">
        <f t="shared" si="0"/>
        <v>3466.1</v>
      </c>
      <c r="F14" s="49">
        <f t="shared" si="1"/>
        <v>0.92134502923976602</v>
      </c>
    </row>
    <row r="15" spans="1:16" ht="25.15" customHeight="1" thickBot="1" x14ac:dyDescent="0.45">
      <c r="A15" s="14"/>
      <c r="B15" s="50" t="s">
        <v>147</v>
      </c>
      <c r="C15" s="48">
        <f>DPLazer[[#Totals],[ANNÉE]]</f>
        <v>10080</v>
      </c>
      <c r="D15" s="48">
        <f>DRLazer[[#Totals],[ANNÉE]]</f>
        <v>464.06999999999994</v>
      </c>
      <c r="E15" s="48">
        <f t="shared" si="0"/>
        <v>9615.93</v>
      </c>
      <c r="F15" s="49">
        <f t="shared" si="1"/>
        <v>0.95396130952380953</v>
      </c>
    </row>
    <row r="16" spans="1:16" ht="25.15" customHeight="1" thickBot="1" x14ac:dyDescent="0.45">
      <c r="A16" s="14"/>
      <c r="B16" s="50" t="s">
        <v>47</v>
      </c>
      <c r="C16" s="48">
        <f>DPManutencaoCasa[[#Totals],[ANNÉE]]</f>
        <v>69180</v>
      </c>
      <c r="D16" s="48">
        <f>'DESPESAS REAIS'!$N$79</f>
        <v>1288.94</v>
      </c>
      <c r="E16" s="48">
        <f t="shared" si="0"/>
        <v>67891.06</v>
      </c>
      <c r="F16" s="49">
        <f t="shared" si="1"/>
        <v>0.98136831454177509</v>
      </c>
    </row>
    <row r="17" spans="1:16" ht="25.15" customHeight="1" thickBot="1" x14ac:dyDescent="0.45">
      <c r="A17" s="14"/>
      <c r="B17" s="50" t="s">
        <v>59</v>
      </c>
      <c r="C17" s="48">
        <f>'DESPESAS PREVISTAS'!$N$86</f>
        <v>29542.2</v>
      </c>
      <c r="D17" s="48">
        <f>'DESPESAS REAIS'!$N$86</f>
        <v>2716.48</v>
      </c>
      <c r="E17" s="48">
        <f t="shared" si="0"/>
        <v>26825.72</v>
      </c>
      <c r="F17" s="49">
        <f t="shared" si="1"/>
        <v>0.90804747107527539</v>
      </c>
    </row>
    <row r="18" spans="1:16" ht="25.15" customHeight="1" thickBot="1" x14ac:dyDescent="0.45">
      <c r="A18" s="14"/>
      <c r="B18" s="50" t="s">
        <v>65</v>
      </c>
      <c r="C18" s="48">
        <f>DPServicos[[#Totals],[ANNÉE]]</f>
        <v>29940</v>
      </c>
      <c r="D18" s="48">
        <f>DRServicos[[#Totals],[ANNÉE]]</f>
        <v>2194.4699999999998</v>
      </c>
      <c r="E18" s="48">
        <f t="shared" si="0"/>
        <v>27745.53</v>
      </c>
      <c r="F18" s="49">
        <f t="shared" si="1"/>
        <v>0.92670440881763527</v>
      </c>
    </row>
    <row r="19" spans="1:16" ht="25.15" customHeight="1" thickBot="1" x14ac:dyDescent="0.45">
      <c r="A19" s="14"/>
      <c r="B19" s="51" t="s">
        <v>74</v>
      </c>
      <c r="C19" s="48">
        <f>DPViagens[[#Totals],[ANNÉE]]</f>
        <v>57840</v>
      </c>
      <c r="D19" s="48">
        <f>DRViagens[[#Totals],[ANNÉE]]</f>
        <v>556.4</v>
      </c>
      <c r="E19" s="48">
        <f t="shared" si="0"/>
        <v>57283.6</v>
      </c>
      <c r="F19" s="52">
        <f t="shared" si="1"/>
        <v>0.99038035961272475</v>
      </c>
    </row>
    <row r="20" spans="1:16" ht="25.15" customHeight="1" thickBot="1" x14ac:dyDescent="0.45">
      <c r="A20" s="14"/>
      <c r="B20" s="53" t="s">
        <v>266</v>
      </c>
      <c r="C20" s="48">
        <f>'DESPESAS PREVISTAS'!N112</f>
        <v>268372.2</v>
      </c>
      <c r="D20" s="48">
        <f>'DESPESAS REAIS'!N112</f>
        <v>14504.859999999999</v>
      </c>
      <c r="E20" s="48">
        <f t="shared" si="0"/>
        <v>253867.34000000003</v>
      </c>
      <c r="F20" s="52">
        <f t="shared" si="1"/>
        <v>0.94595244962034075</v>
      </c>
    </row>
    <row r="21" spans="1:16" ht="25.15" customHeight="1" x14ac:dyDescent="0.4">
      <c r="A21" s="14"/>
      <c r="B21" s="53" t="s">
        <v>267</v>
      </c>
      <c r="C21" s="56">
        <f>'GANHOS PREVISTOS'!$O$14</f>
        <v>146695.74999999997</v>
      </c>
      <c r="D21" s="56">
        <f>'GANHOS REAIS'!$O$14</f>
        <v>13168.670000000047</v>
      </c>
      <c r="E21" s="56">
        <f t="shared" si="0"/>
        <v>133527.07999999993</v>
      </c>
      <c r="F21" s="52">
        <f t="shared" si="1"/>
        <v>0.9102314143388609</v>
      </c>
    </row>
    <row r="22" spans="1:16" x14ac:dyDescent="0.4">
      <c r="A22" s="14"/>
      <c r="B22" s="29"/>
      <c r="C22" s="39"/>
      <c r="D22" s="39"/>
      <c r="E22" s="39"/>
      <c r="F22" s="3"/>
    </row>
    <row r="23" spans="1:16" ht="300" customHeight="1" x14ac:dyDescent="0.4">
      <c r="A23" s="14"/>
      <c r="B23" s="226"/>
      <c r="C23" s="227"/>
      <c r="D23" s="227"/>
      <c r="E23" s="227"/>
      <c r="F23" s="227"/>
      <c r="G23"/>
    </row>
    <row r="24" spans="1:16" ht="18.75" customHeight="1" x14ac:dyDescent="0.4">
      <c r="A24" s="14"/>
      <c r="B24" s="30"/>
    </row>
    <row r="25" spans="1:16" x14ac:dyDescent="0.4">
      <c r="A25" s="14"/>
      <c r="B25" s="30"/>
      <c r="C25" s="32"/>
      <c r="D25" s="32"/>
      <c r="E25" s="32"/>
      <c r="F25" s="32"/>
    </row>
    <row r="26" spans="1:16" x14ac:dyDescent="0.4">
      <c r="A26" s="14"/>
      <c r="B26" s="30"/>
      <c r="C26" s="32"/>
      <c r="D26" s="32"/>
      <c r="E26" s="32"/>
      <c r="F26" s="32"/>
    </row>
    <row r="27" spans="1:16" x14ac:dyDescent="0.4">
      <c r="A27" s="14"/>
      <c r="B27" s="30"/>
      <c r="C27" s="32"/>
      <c r="D27" s="32"/>
      <c r="E27" s="32"/>
      <c r="F27" s="32"/>
    </row>
    <row r="28" spans="1:16" s="1" customFormat="1" x14ac:dyDescent="0.4">
      <c r="A28" s="14"/>
      <c r="B28" s="30"/>
      <c r="C28" s="32"/>
      <c r="D28" s="32"/>
      <c r="E28" s="32"/>
      <c r="F28" s="32"/>
      <c r="H28"/>
      <c r="I28" s="2"/>
      <c r="J28" s="2"/>
      <c r="K28" s="2"/>
      <c r="L28" s="2"/>
      <c r="M28" s="2"/>
      <c r="N28" s="2"/>
      <c r="O28" s="2"/>
      <c r="P28" s="2"/>
    </row>
    <row r="29" spans="1:16" s="1" customFormat="1" x14ac:dyDescent="0.4">
      <c r="A29" s="14"/>
      <c r="B29" s="30"/>
      <c r="C29" s="32"/>
      <c r="D29" s="32"/>
      <c r="E29" s="32"/>
      <c r="F29" s="32"/>
      <c r="H29"/>
      <c r="I29" s="2"/>
      <c r="J29" s="2"/>
      <c r="K29" s="2"/>
      <c r="L29" s="2"/>
      <c r="M29" s="2"/>
      <c r="N29" s="2"/>
      <c r="O29" s="2"/>
      <c r="P29" s="2"/>
    </row>
    <row r="30" spans="1:16" s="1" customFormat="1" x14ac:dyDescent="0.4">
      <c r="A30" s="14"/>
      <c r="B30" s="32"/>
      <c r="C30" s="32"/>
      <c r="D30" s="32"/>
      <c r="E30" s="32"/>
      <c r="F30" s="32"/>
      <c r="H30"/>
      <c r="I30" s="2"/>
      <c r="J30" s="2"/>
      <c r="K30" s="2"/>
      <c r="L30" s="2"/>
      <c r="M30" s="2"/>
      <c r="N30" s="2"/>
      <c r="O30" s="2"/>
      <c r="P30" s="2"/>
    </row>
    <row r="31" spans="1:16" s="1" customFormat="1" x14ac:dyDescent="0.4">
      <c r="A31" s="14"/>
      <c r="B31" s="32"/>
      <c r="C31" s="32"/>
      <c r="D31" s="32"/>
      <c r="E31" s="32"/>
      <c r="F31" s="32"/>
      <c r="H31"/>
      <c r="I31" s="2"/>
      <c r="J31" s="2"/>
      <c r="K31" s="2"/>
      <c r="L31" s="2"/>
      <c r="M31" s="2"/>
      <c r="N31" s="2"/>
      <c r="O31" s="2">
        <v>3.5</v>
      </c>
      <c r="P31" s="2"/>
    </row>
    <row r="32" spans="1:16" s="1" customFormat="1" x14ac:dyDescent="0.4">
      <c r="A32" s="14"/>
      <c r="B32" s="32"/>
      <c r="C32" s="32"/>
      <c r="D32" s="32"/>
      <c r="E32" s="32"/>
      <c r="F32" s="32"/>
      <c r="H32"/>
      <c r="I32" s="2"/>
      <c r="J32" s="2"/>
      <c r="K32" s="2"/>
      <c r="L32" s="2"/>
      <c r="M32" s="2"/>
      <c r="N32" s="2"/>
      <c r="O32" s="2"/>
      <c r="P32" s="2"/>
    </row>
    <row r="33" spans="1:16" s="1" customFormat="1" x14ac:dyDescent="0.4">
      <c r="A33" s="14"/>
      <c r="B33" s="30"/>
      <c r="C33" s="32"/>
      <c r="D33" s="32"/>
      <c r="E33" s="32"/>
      <c r="F33" s="32"/>
      <c r="H33"/>
      <c r="I33" s="2"/>
      <c r="J33" s="2"/>
      <c r="K33" s="2"/>
      <c r="L33" s="2"/>
      <c r="M33" s="2"/>
      <c r="N33" s="2"/>
      <c r="O33" s="2"/>
      <c r="P33" s="2"/>
    </row>
    <row r="34" spans="1:16" s="1" customFormat="1" x14ac:dyDescent="0.4">
      <c r="A34" s="14"/>
      <c r="B34" s="30"/>
      <c r="C34" s="32"/>
      <c r="D34" s="32"/>
      <c r="E34" s="32"/>
      <c r="F34" s="32"/>
      <c r="H34"/>
      <c r="I34" s="2"/>
      <c r="J34" s="2"/>
      <c r="K34" s="2"/>
      <c r="L34" s="2"/>
      <c r="M34" s="2"/>
      <c r="N34" s="2"/>
      <c r="O34" s="2"/>
      <c r="P34" s="2"/>
    </row>
    <row r="35" spans="1:16" s="1" customFormat="1" x14ac:dyDescent="0.4">
      <c r="A35" s="14"/>
      <c r="B35" s="30"/>
      <c r="C35" s="32"/>
      <c r="D35" s="32"/>
      <c r="E35" s="32"/>
      <c r="F35" s="32"/>
      <c r="H35"/>
      <c r="I35" s="2"/>
      <c r="J35" s="2"/>
      <c r="K35" s="2"/>
      <c r="L35" s="2"/>
      <c r="M35" s="2"/>
      <c r="N35" s="2"/>
      <c r="O35" s="2"/>
      <c r="P35" s="2"/>
    </row>
    <row r="36" spans="1:16" s="1" customFormat="1" x14ac:dyDescent="0.4">
      <c r="A36" s="14"/>
      <c r="B36" s="30"/>
      <c r="C36" s="32"/>
      <c r="D36" s="32"/>
      <c r="E36" s="32"/>
      <c r="F36" s="32"/>
      <c r="H36"/>
      <c r="I36" s="2"/>
      <c r="J36" s="2"/>
      <c r="K36" s="2"/>
      <c r="L36" s="2"/>
      <c r="M36" s="2"/>
      <c r="N36" s="2"/>
      <c r="O36" s="2"/>
      <c r="P36" s="2"/>
    </row>
    <row r="37" spans="1:16" s="1" customFormat="1" x14ac:dyDescent="0.4">
      <c r="A37" s="14"/>
      <c r="B37" s="30"/>
      <c r="C37" s="32"/>
      <c r="D37" s="32"/>
      <c r="E37" s="32"/>
      <c r="F37" s="32"/>
      <c r="H37"/>
      <c r="I37" s="2"/>
      <c r="J37" s="2"/>
      <c r="K37" s="2"/>
      <c r="L37" s="2"/>
      <c r="M37" s="2"/>
      <c r="N37" s="2"/>
      <c r="O37" s="2"/>
      <c r="P37" s="2"/>
    </row>
    <row r="38" spans="1:16" s="1" customFormat="1" x14ac:dyDescent="0.4">
      <c r="A38" s="14"/>
      <c r="B38" s="30"/>
      <c r="C38" s="32"/>
      <c r="D38" s="32"/>
      <c r="E38" s="32"/>
      <c r="F38" s="32"/>
      <c r="H38"/>
      <c r="I38" s="2"/>
      <c r="J38" s="2"/>
      <c r="K38" s="2"/>
      <c r="L38" s="2"/>
      <c r="M38" s="2"/>
      <c r="N38" s="2"/>
      <c r="O38" s="2"/>
      <c r="P38" s="2"/>
    </row>
    <row r="39" spans="1:16" s="1" customFormat="1" x14ac:dyDescent="0.4">
      <c r="A39" s="14"/>
      <c r="B39" s="32"/>
      <c r="C39" s="32"/>
      <c r="D39" s="32"/>
      <c r="E39" s="32"/>
      <c r="F39" s="32"/>
      <c r="H39"/>
      <c r="I39" s="2"/>
      <c r="J39" s="2"/>
      <c r="K39" s="2"/>
      <c r="L39" s="2"/>
      <c r="M39" s="2"/>
      <c r="N39" s="2"/>
      <c r="O39" s="2"/>
      <c r="P39" s="2"/>
    </row>
    <row r="40" spans="1:16" s="1" customFormat="1" x14ac:dyDescent="0.4">
      <c r="A40" s="14"/>
      <c r="B40" s="32"/>
      <c r="C40" s="32"/>
      <c r="D40" s="32"/>
      <c r="E40" s="32"/>
      <c r="F40" s="32"/>
      <c r="H40"/>
      <c r="I40" s="2"/>
      <c r="J40" s="2"/>
      <c r="K40" s="2"/>
      <c r="L40" s="2"/>
      <c r="M40" s="2"/>
      <c r="N40" s="2"/>
      <c r="O40" s="2"/>
      <c r="P40" s="2"/>
    </row>
    <row r="41" spans="1:16" s="1" customFormat="1" x14ac:dyDescent="0.4">
      <c r="A41" s="14"/>
      <c r="B41" s="32"/>
      <c r="C41" s="32"/>
      <c r="D41" s="32"/>
      <c r="E41" s="32"/>
      <c r="F41" s="32"/>
      <c r="H41"/>
      <c r="I41" s="2"/>
      <c r="J41" s="2"/>
      <c r="K41" s="2"/>
      <c r="L41" s="2"/>
      <c r="M41" s="2"/>
      <c r="N41" s="2"/>
      <c r="O41" s="2"/>
      <c r="P41" s="2"/>
    </row>
    <row r="42" spans="1:16" s="1" customFormat="1" x14ac:dyDescent="0.4">
      <c r="A42" s="14"/>
      <c r="B42" s="30"/>
      <c r="C42" s="32"/>
      <c r="D42" s="32"/>
      <c r="E42" s="32"/>
      <c r="F42" s="32"/>
      <c r="H42"/>
      <c r="I42" s="2"/>
      <c r="J42" s="2"/>
      <c r="K42" s="2"/>
      <c r="L42" s="2"/>
      <c r="M42" s="2"/>
      <c r="N42" s="2"/>
      <c r="O42" s="2"/>
      <c r="P42" s="2"/>
    </row>
    <row r="43" spans="1:16" s="1" customFormat="1" x14ac:dyDescent="0.4">
      <c r="A43" s="14"/>
      <c r="B43" s="30"/>
      <c r="C43" s="32"/>
      <c r="D43" s="32"/>
      <c r="E43" s="32"/>
      <c r="F43" s="32"/>
      <c r="H43"/>
      <c r="I43" s="2"/>
      <c r="J43" s="2"/>
      <c r="K43" s="2"/>
      <c r="L43" s="2"/>
      <c r="M43" s="2"/>
      <c r="N43" s="2"/>
      <c r="O43" s="2"/>
      <c r="P43" s="2"/>
    </row>
    <row r="44" spans="1:16" s="1" customFormat="1" x14ac:dyDescent="0.4">
      <c r="A44" s="14"/>
      <c r="B44" s="32"/>
      <c r="C44" s="32"/>
      <c r="D44" s="32"/>
      <c r="E44" s="32"/>
      <c r="F44" s="32"/>
      <c r="H44"/>
      <c r="I44" s="2"/>
      <c r="J44" s="2"/>
      <c r="K44" s="2"/>
      <c r="L44" s="2"/>
      <c r="M44" s="2"/>
      <c r="N44" s="2"/>
      <c r="O44" s="2"/>
      <c r="P44" s="2"/>
    </row>
    <row r="45" spans="1:16" s="1" customFormat="1" x14ac:dyDescent="0.4">
      <c r="A45" s="14"/>
      <c r="B45" s="32"/>
      <c r="C45" s="32"/>
      <c r="D45" s="32"/>
      <c r="E45" s="32"/>
      <c r="F45" s="32"/>
      <c r="H45"/>
      <c r="I45" s="2"/>
      <c r="J45" s="2"/>
      <c r="K45" s="2"/>
      <c r="L45" s="2"/>
      <c r="M45" s="2"/>
      <c r="N45" s="2"/>
      <c r="O45" s="2"/>
      <c r="P45" s="2"/>
    </row>
    <row r="46" spans="1:16" s="1" customFormat="1" x14ac:dyDescent="0.4">
      <c r="A46" s="14"/>
      <c r="B46" s="32"/>
      <c r="C46" s="32"/>
      <c r="D46" s="32"/>
      <c r="E46" s="32"/>
      <c r="F46" s="32"/>
      <c r="H46"/>
      <c r="I46" s="2"/>
      <c r="J46" s="2"/>
      <c r="K46" s="2"/>
      <c r="L46" s="2"/>
      <c r="M46" s="2"/>
      <c r="N46" s="2"/>
      <c r="O46" s="2"/>
      <c r="P46" s="2"/>
    </row>
    <row r="47" spans="1:16" s="1" customFormat="1" x14ac:dyDescent="0.4">
      <c r="A47" s="14"/>
      <c r="B47" s="34"/>
      <c r="C47" s="32"/>
      <c r="D47" s="32"/>
      <c r="E47" s="32"/>
      <c r="F47" s="32"/>
      <c r="H47"/>
      <c r="I47" s="2"/>
      <c r="J47" s="2"/>
      <c r="K47" s="2"/>
      <c r="L47" s="2"/>
      <c r="M47" s="2"/>
      <c r="N47" s="2"/>
      <c r="O47" s="2"/>
      <c r="P47" s="2"/>
    </row>
    <row r="48" spans="1:16" s="1" customFormat="1" x14ac:dyDescent="0.4">
      <c r="A48" s="14"/>
      <c r="B48" s="34"/>
      <c r="C48" s="32"/>
      <c r="D48" s="32"/>
      <c r="E48" s="32"/>
      <c r="F48" s="32"/>
      <c r="H48"/>
      <c r="I48" s="2"/>
      <c r="J48" s="2"/>
      <c r="K48" s="2"/>
      <c r="L48" s="2"/>
      <c r="M48" s="2"/>
      <c r="N48" s="2"/>
      <c r="O48" s="2"/>
      <c r="P48" s="2"/>
    </row>
    <row r="49" spans="1:16" s="1" customFormat="1" x14ac:dyDescent="0.4">
      <c r="A49" s="14"/>
      <c r="B49" s="2"/>
      <c r="C49" s="2"/>
      <c r="D49" s="2"/>
      <c r="E49" s="2"/>
      <c r="F49" s="2"/>
      <c r="H49"/>
      <c r="I49" s="2"/>
      <c r="J49" s="2"/>
      <c r="K49" s="2"/>
      <c r="L49" s="2"/>
      <c r="M49" s="2"/>
      <c r="N49" s="2"/>
      <c r="O49" s="2"/>
      <c r="P49" s="2"/>
    </row>
    <row r="50" spans="1:16" s="1" customFormat="1" x14ac:dyDescent="0.4">
      <c r="A50" s="14"/>
      <c r="B50" s="2"/>
      <c r="C50" s="2"/>
      <c r="D50" s="2"/>
      <c r="E50" s="2"/>
      <c r="F50" s="2"/>
      <c r="H50"/>
      <c r="I50" s="2"/>
      <c r="J50" s="2"/>
      <c r="K50" s="2"/>
      <c r="L50" s="2"/>
      <c r="M50" s="2"/>
      <c r="N50" s="2"/>
      <c r="O50" s="2"/>
      <c r="P50" s="2"/>
    </row>
  </sheetData>
  <mergeCells count="2">
    <mergeCell ref="E3:G3"/>
    <mergeCell ref="B23:F23"/>
  </mergeCells>
  <dataValidations count="9">
    <dataValidation allowBlank="1" showInputMessage="1" showErrorMessage="1" prompt="L’espace réservé du logo se trouve dans cette cellule." sqref="F2:G2" xr:uid="{00000000-0002-0000-0A00-000000000000}"/>
    <dataValidation allowBlank="1" showInputMessage="1" showErrorMessage="1" prompt="Le graphique présentant les dépenses prévues, les dépenses réelles et l’écart des dépenses mensuelles se trouve dans la cellule de droite." sqref="A25" xr:uid="{00000000-0002-0000-0A00-000001000000}"/>
    <dataValidation allowBlank="1" showInputMessage="1" showErrorMessage="1" prompt="Le graphique en secteurs des dépenses prévues se trouve dans la cellule de droite et le graphique en secteurs des dépenses réelles dans la cellule D12. L’instruction suivante se trouve dans la cellule A14." sqref="A23" xr:uid="{00000000-0002-0000-0A00-000002000000}"/>
    <dataValidation allowBlank="1" showInputMessage="1" showErrorMessage="1" prompt="Les dépenses planifiées, les dépenses réelles, l’écart de dépenses et le pourcentage d’écart sont automatiquement calculés dans la table Analyse en commençant par la cellule de droite. L’instruction suivante se trouve dans la cellule A12." sqref="A5" xr:uid="{00000000-0002-0000-0A00-000003000000}"/>
    <dataValidation allowBlank="1" showInputMessage="1" showErrorMessage="1" prompt="Le titre de cette feuille de calcul se trouve dans la cellule E3. L’instruction suivante se trouve dans la cellule A5." sqref="A3" xr:uid="{00000000-0002-0000-0A00-000004000000}"/>
    <dataValidation allowBlank="1" showInputMessage="1" showErrorMessage="1" prompt="Le nom de la société est automatiquement mis à jour dans la cellule située à droite. Entrez Logo dans la cellule F2." sqref="A2" xr:uid="{00000000-0002-0000-0A00-000005000000}"/>
    <dataValidation allowBlank="1" showInputMessage="1" showErrorMessage="1" prompt="Dépenses planifiées annuelles et réelles, Écarts de dépenses et Pourcentage d’écart sont automatiquement mis à jour pour chaque catégorie. Instructions sur l’utilisation de cette feuille de calcul dans cellules de cette colonne. Flèche bas pour commencer." sqref="A1" xr:uid="{00000000-0002-0000-0A00-000006000000}"/>
    <dataValidation allowBlank="1" showInputMessage="1" showErrorMessage="1" prompt="Le graphique en secteurs présentant les dépenses prévues par catégories se trouve dans cette cellule." sqref="B23:F23" xr:uid="{00000000-0002-0000-0A00-000007000000}"/>
    <dataValidation type="list" allowBlank="1" showInputMessage="1" showErrorMessage="1" sqref="B6:B19" xr:uid="{00000000-0002-0000-0A00-000008000000}">
      <formula1>#REF!</formula1>
    </dataValidation>
  </dataValidations>
  <pageMargins left="0.7" right="0.7" top="0.75" bottom="0.75" header="0.3" footer="0.3"/>
  <pageSetup paperSize="9" scale="67" orientation="portrait"/>
  <rowBreaks count="1" manualBreakCount="1">
    <brk id="36" max="16383" man="1"/>
  </rowBreaks>
  <colBreaks count="2" manualBreakCount="2">
    <brk id="4" max="1048575" man="1"/>
    <brk id="12" max="1048575" man="1"/>
  </colBreaks>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7">
    <tabColor theme="9" tint="-0.249977111117893"/>
  </sheetPr>
  <dimension ref="A1"/>
  <sheetViews>
    <sheetView topLeftCell="B1" zoomScale="180" zoomScaleNormal="180" workbookViewId="0">
      <selection activeCell="N15" sqref="N15"/>
    </sheetView>
  </sheetViews>
  <sheetFormatPr baseColWidth="10" defaultColWidth="11.23046875" defaultRowHeight="11.65" x14ac:dyDescent="0.3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9">
    <tabColor rgb="FF7030A0"/>
  </sheetPr>
  <dimension ref="A1:C11"/>
  <sheetViews>
    <sheetView tabSelected="1" topLeftCell="A65" zoomScale="160" zoomScaleNormal="160" workbookViewId="0">
      <selection activeCell="E6" sqref="E6"/>
    </sheetView>
  </sheetViews>
  <sheetFormatPr baseColWidth="10" defaultColWidth="11.23046875" defaultRowHeight="11.65" x14ac:dyDescent="0.35"/>
  <cols>
    <col min="2" max="2" width="16.921875" style="220" bestFit="1" customWidth="1"/>
    <col min="3" max="3" width="18.3046875" style="220" bestFit="1" customWidth="1"/>
  </cols>
  <sheetData>
    <row r="1" spans="1:3" ht="25.05" customHeight="1" thickTop="1" x14ac:dyDescent="0.35">
      <c r="A1" s="135" t="s">
        <v>97</v>
      </c>
      <c r="B1" s="136" t="s">
        <v>268</v>
      </c>
      <c r="C1" s="137" t="s">
        <v>269</v>
      </c>
    </row>
    <row r="2" spans="1:3" ht="25.05" customHeight="1" x14ac:dyDescent="0.45">
      <c r="A2" s="139">
        <v>2024</v>
      </c>
      <c r="B2" s="143">
        <v>3.2500000000000001E-2</v>
      </c>
      <c r="C2" s="144">
        <v>5.0000000000000001E-3</v>
      </c>
    </row>
    <row r="3" spans="1:3" ht="25.05" customHeight="1" x14ac:dyDescent="0.45">
      <c r="A3" s="138">
        <v>2025</v>
      </c>
      <c r="B3" s="141">
        <v>0.03</v>
      </c>
      <c r="C3" s="142">
        <v>4.0000000000000001E-3</v>
      </c>
    </row>
    <row r="4" spans="1:3" ht="25.05" customHeight="1" x14ac:dyDescent="0.45">
      <c r="A4" s="139">
        <v>2026</v>
      </c>
      <c r="B4" s="143">
        <v>0.03</v>
      </c>
      <c r="C4" s="144">
        <v>4.0000000000000001E-3</v>
      </c>
    </row>
    <row r="5" spans="1:3" ht="25.05" customHeight="1" x14ac:dyDescent="0.45">
      <c r="A5" s="138">
        <v>2027</v>
      </c>
      <c r="B5" s="141">
        <v>0.03</v>
      </c>
      <c r="C5" s="142">
        <v>4.0000000000000001E-3</v>
      </c>
    </row>
    <row r="6" spans="1:3" ht="25.05" customHeight="1" x14ac:dyDescent="0.45">
      <c r="A6" s="139">
        <v>2028</v>
      </c>
      <c r="B6" s="143"/>
      <c r="C6" s="144"/>
    </row>
    <row r="7" spans="1:3" ht="25.05" customHeight="1" x14ac:dyDescent="0.45">
      <c r="A7" s="138">
        <v>2029</v>
      </c>
      <c r="B7" s="141"/>
      <c r="C7" s="142"/>
    </row>
    <row r="8" spans="1:3" ht="25.05" customHeight="1" x14ac:dyDescent="0.45">
      <c r="A8" s="139">
        <v>2030</v>
      </c>
      <c r="B8" s="143"/>
      <c r="C8" s="144"/>
    </row>
    <row r="9" spans="1:3" ht="25.05" customHeight="1" x14ac:dyDescent="0.45">
      <c r="A9" s="138">
        <v>2031</v>
      </c>
      <c r="B9" s="141"/>
      <c r="C9" s="142"/>
    </row>
    <row r="10" spans="1:3" ht="25.05" customHeight="1" thickBot="1" x14ac:dyDescent="0.5">
      <c r="A10" s="140">
        <v>2032</v>
      </c>
      <c r="B10" s="145"/>
      <c r="C10" s="146"/>
    </row>
    <row r="11" spans="1:3" ht="12" customHeight="1" thickTop="1"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8">
    <tabColor theme="4"/>
  </sheetPr>
  <dimension ref="A1:L15"/>
  <sheetViews>
    <sheetView zoomScale="90" zoomScaleNormal="90" workbookViewId="0">
      <selection activeCell="B10" sqref="B10"/>
    </sheetView>
  </sheetViews>
  <sheetFormatPr baseColWidth="10" defaultColWidth="11.23046875" defaultRowHeight="11.65" x14ac:dyDescent="0.35"/>
  <cols>
    <col min="1" max="1" width="36.921875" style="220" bestFit="1" customWidth="1"/>
    <col min="2" max="2" width="26" style="220" customWidth="1"/>
    <col min="3" max="3" width="42.921875" style="220" customWidth="1"/>
    <col min="4" max="4" width="49.3828125" style="220" customWidth="1"/>
    <col min="5" max="5" width="29.61328125" style="220" bestFit="1" customWidth="1"/>
    <col min="6" max="6" width="28.3828125" style="220" bestFit="1" customWidth="1"/>
    <col min="7" max="7" width="18.69140625" style="220" customWidth="1"/>
    <col min="8" max="8" width="26.61328125" style="220" customWidth="1"/>
    <col min="9" max="9" width="30.53515625" style="220" customWidth="1"/>
    <col min="10" max="10" width="24.3046875" style="220" customWidth="1"/>
    <col min="11" max="11" width="15.07421875" style="220" customWidth="1"/>
    <col min="12" max="12" width="15.53515625" style="220" customWidth="1"/>
  </cols>
  <sheetData>
    <row r="1" spans="1:12" ht="34.9" customHeight="1" x14ac:dyDescent="0.35">
      <c r="A1" s="67" t="s">
        <v>0</v>
      </c>
      <c r="B1" s="68"/>
      <c r="C1" s="68"/>
      <c r="D1" s="68"/>
      <c r="E1" s="68"/>
      <c r="F1" s="68"/>
      <c r="G1" s="68"/>
      <c r="H1" s="68"/>
      <c r="I1" s="68"/>
      <c r="J1" s="68"/>
      <c r="K1" s="69"/>
    </row>
    <row r="2" spans="1:12" ht="34.9" customHeight="1" x14ac:dyDescent="0.35">
      <c r="A2" s="70" t="s">
        <v>1</v>
      </c>
      <c r="B2" s="71" t="s">
        <v>2</v>
      </c>
      <c r="C2" s="71" t="s">
        <v>3</v>
      </c>
      <c r="D2" s="71" t="s">
        <v>4</v>
      </c>
      <c r="E2" s="71"/>
      <c r="F2" s="71"/>
      <c r="G2" s="71"/>
      <c r="H2" s="71"/>
      <c r="I2" s="71"/>
      <c r="J2" s="71"/>
      <c r="K2" s="72"/>
    </row>
    <row r="3" spans="1:12" ht="34.9" customHeight="1" x14ac:dyDescent="0.35">
      <c r="A3" s="73" t="s">
        <v>5</v>
      </c>
      <c r="B3" s="74" t="s">
        <v>6</v>
      </c>
      <c r="C3" s="74" t="s">
        <v>7</v>
      </c>
      <c r="D3" s="74"/>
      <c r="E3" s="74"/>
      <c r="F3" s="74"/>
      <c r="G3" s="74"/>
      <c r="H3" s="74"/>
      <c r="I3" s="74"/>
      <c r="J3" s="74"/>
      <c r="K3" s="75"/>
    </row>
    <row r="4" spans="1:12" ht="34.9" customHeight="1" x14ac:dyDescent="0.35">
      <c r="A4" s="70" t="s">
        <v>8</v>
      </c>
      <c r="B4" s="71" t="s">
        <v>9</v>
      </c>
      <c r="C4" s="71" t="s">
        <v>10</v>
      </c>
      <c r="D4" s="71"/>
      <c r="E4" s="71"/>
      <c r="F4" s="71"/>
      <c r="G4" s="71"/>
      <c r="H4" s="71"/>
      <c r="I4" s="71"/>
      <c r="J4" s="71"/>
      <c r="K4" s="72"/>
    </row>
    <row r="5" spans="1:12" ht="34.9" customHeight="1" x14ac:dyDescent="0.35">
      <c r="A5" s="73" t="s">
        <v>11</v>
      </c>
      <c r="B5" s="74" t="s">
        <v>12</v>
      </c>
      <c r="C5" s="74" t="s">
        <v>13</v>
      </c>
      <c r="D5" s="74"/>
      <c r="E5" s="74"/>
      <c r="F5" s="74"/>
      <c r="G5" s="74"/>
      <c r="H5" s="74"/>
      <c r="I5" s="74"/>
      <c r="J5" s="74"/>
      <c r="K5" s="75"/>
    </row>
    <row r="6" spans="1:12" ht="34.9" customHeight="1" x14ac:dyDescent="0.35">
      <c r="A6" s="70" t="s">
        <v>14</v>
      </c>
      <c r="B6" s="71" t="s">
        <v>15</v>
      </c>
      <c r="C6" s="71" t="s">
        <v>16</v>
      </c>
      <c r="D6" s="71" t="s">
        <v>17</v>
      </c>
      <c r="E6" s="71"/>
      <c r="F6" s="71"/>
      <c r="G6" s="71"/>
      <c r="H6" s="71"/>
      <c r="I6" s="71"/>
      <c r="J6" s="71"/>
      <c r="K6" s="72"/>
    </row>
    <row r="7" spans="1:12" ht="34.9" customHeight="1" x14ac:dyDescent="0.35">
      <c r="A7" s="73" t="s">
        <v>18</v>
      </c>
      <c r="B7" s="74" t="s">
        <v>19</v>
      </c>
      <c r="C7" s="74" t="s">
        <v>20</v>
      </c>
      <c r="D7" s="74" t="s">
        <v>21</v>
      </c>
      <c r="E7" s="74"/>
      <c r="F7" s="74"/>
      <c r="G7" s="74"/>
      <c r="H7" s="74"/>
      <c r="I7" s="74"/>
      <c r="J7" s="74"/>
      <c r="K7" s="75"/>
    </row>
    <row r="8" spans="1:12" ht="34.9" customHeight="1" x14ac:dyDescent="0.35">
      <c r="A8" s="70" t="s">
        <v>22</v>
      </c>
      <c r="B8" s="71" t="s">
        <v>23</v>
      </c>
      <c r="C8" s="71" t="s">
        <v>24</v>
      </c>
      <c r="D8" s="71" t="s">
        <v>25</v>
      </c>
      <c r="E8" s="71" t="s">
        <v>26</v>
      </c>
      <c r="F8" s="71" t="s">
        <v>27</v>
      </c>
      <c r="G8" s="71"/>
      <c r="H8" s="71"/>
      <c r="I8" s="71"/>
      <c r="J8" s="71"/>
      <c r="K8" s="72"/>
    </row>
    <row r="9" spans="1:12" ht="34.9" customHeight="1" x14ac:dyDescent="0.35">
      <c r="A9" s="73" t="s">
        <v>28</v>
      </c>
      <c r="B9" s="74" t="s">
        <v>29</v>
      </c>
      <c r="C9" s="74" t="s">
        <v>30</v>
      </c>
      <c r="D9" s="74" t="s">
        <v>31</v>
      </c>
      <c r="E9" s="74" t="s">
        <v>32</v>
      </c>
      <c r="F9" s="74"/>
      <c r="G9" s="74"/>
      <c r="H9" s="74"/>
      <c r="I9" s="74"/>
      <c r="J9" s="74"/>
      <c r="K9" s="75"/>
    </row>
    <row r="10" spans="1:12" ht="34.9" customHeight="1" x14ac:dyDescent="0.35">
      <c r="A10" s="70" t="s">
        <v>33</v>
      </c>
      <c r="B10" s="71" t="s">
        <v>34</v>
      </c>
      <c r="C10" s="71" t="s">
        <v>35</v>
      </c>
      <c r="D10" s="71" t="s">
        <v>36</v>
      </c>
      <c r="E10" s="71" t="s">
        <v>37</v>
      </c>
      <c r="F10" s="71" t="s">
        <v>38</v>
      </c>
      <c r="G10" s="71"/>
      <c r="H10" s="71"/>
      <c r="I10" s="71"/>
      <c r="J10" s="71"/>
      <c r="K10" s="72"/>
    </row>
    <row r="11" spans="1:12" ht="34.9" customHeight="1" x14ac:dyDescent="0.35">
      <c r="A11" s="73" t="s">
        <v>39</v>
      </c>
      <c r="B11" s="74" t="s">
        <v>40</v>
      </c>
      <c r="C11" s="74" t="s">
        <v>41</v>
      </c>
      <c r="D11" s="74" t="s">
        <v>42</v>
      </c>
      <c r="E11" s="74" t="s">
        <v>43</v>
      </c>
      <c r="F11" s="74" t="s">
        <v>44</v>
      </c>
      <c r="G11" s="74" t="s">
        <v>45</v>
      </c>
      <c r="H11" s="74" t="s">
        <v>46</v>
      </c>
      <c r="I11" s="74"/>
      <c r="J11" s="74"/>
      <c r="K11" s="75"/>
    </row>
    <row r="12" spans="1:12" ht="34.9" customHeight="1" x14ac:dyDescent="0.35">
      <c r="A12" s="70" t="s">
        <v>47</v>
      </c>
      <c r="B12" s="71" t="s">
        <v>48</v>
      </c>
      <c r="C12" s="71" t="s">
        <v>49</v>
      </c>
      <c r="D12" s="71" t="s">
        <v>50</v>
      </c>
      <c r="E12" s="71" t="s">
        <v>51</v>
      </c>
      <c r="F12" s="71" t="s">
        <v>52</v>
      </c>
      <c r="G12" s="71" t="s">
        <v>53</v>
      </c>
      <c r="H12" s="71" t="s">
        <v>54</v>
      </c>
      <c r="I12" s="71" t="s">
        <v>55</v>
      </c>
      <c r="J12" s="71" t="s">
        <v>56</v>
      </c>
      <c r="K12" s="72" t="s">
        <v>57</v>
      </c>
      <c r="L12" s="72" t="s">
        <v>58</v>
      </c>
    </row>
    <row r="13" spans="1:12" ht="34.9" customHeight="1" x14ac:dyDescent="0.35">
      <c r="A13" s="73" t="s">
        <v>59</v>
      </c>
      <c r="B13" s="74" t="s">
        <v>60</v>
      </c>
      <c r="C13" s="74" t="s">
        <v>61</v>
      </c>
      <c r="D13" s="74" t="s">
        <v>62</v>
      </c>
      <c r="E13" s="74" t="s">
        <v>63</v>
      </c>
      <c r="F13" s="74" t="s">
        <v>64</v>
      </c>
      <c r="G13" s="74"/>
      <c r="H13" s="74"/>
      <c r="I13" s="74"/>
      <c r="J13" s="74"/>
      <c r="K13" s="75"/>
    </row>
    <row r="14" spans="1:12" ht="34.9" customHeight="1" x14ac:dyDescent="0.35">
      <c r="A14" s="70" t="s">
        <v>65</v>
      </c>
      <c r="B14" s="71" t="s">
        <v>66</v>
      </c>
      <c r="C14" s="71" t="s">
        <v>67</v>
      </c>
      <c r="D14" s="71" t="s">
        <v>68</v>
      </c>
      <c r="E14" s="71" t="s">
        <v>69</v>
      </c>
      <c r="F14" s="71" t="s">
        <v>70</v>
      </c>
      <c r="G14" s="71" t="s">
        <v>71</v>
      </c>
      <c r="H14" s="71" t="s">
        <v>72</v>
      </c>
      <c r="I14" s="71" t="s">
        <v>73</v>
      </c>
      <c r="J14" s="71"/>
      <c r="K14" s="72"/>
    </row>
    <row r="15" spans="1:12" ht="34.9" customHeight="1" x14ac:dyDescent="0.35">
      <c r="A15" s="73" t="s">
        <v>74</v>
      </c>
      <c r="B15" s="74" t="s">
        <v>75</v>
      </c>
      <c r="C15" s="74" t="s">
        <v>76</v>
      </c>
      <c r="D15" s="74" t="s">
        <v>77</v>
      </c>
      <c r="E15" s="74" t="s">
        <v>78</v>
      </c>
      <c r="F15" s="74" t="s">
        <v>79</v>
      </c>
      <c r="G15" s="74" t="s">
        <v>80</v>
      </c>
      <c r="H15" s="74" t="s">
        <v>81</v>
      </c>
      <c r="I15" s="74" t="s">
        <v>82</v>
      </c>
      <c r="J15" s="74" t="s">
        <v>83</v>
      </c>
      <c r="K15" s="7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tabColor rgb="FF3B893D"/>
    <pageSetUpPr autoPageBreaks="0"/>
  </sheetPr>
  <dimension ref="A1:O114"/>
  <sheetViews>
    <sheetView showGridLines="0" topLeftCell="A84" zoomScale="140" zoomScaleNormal="140" workbookViewId="0">
      <selection activeCell="A81" sqref="A81"/>
    </sheetView>
  </sheetViews>
  <sheetFormatPr baseColWidth="10" defaultColWidth="9.3046875" defaultRowHeight="21" customHeight="1" x14ac:dyDescent="0.4"/>
  <cols>
    <col min="1" max="1" width="65" style="2" bestFit="1" customWidth="1"/>
    <col min="2" max="13" width="17.61328125" style="2" customWidth="1"/>
    <col min="14" max="14" width="16.3046875" style="2" customWidth="1"/>
    <col min="15" max="15" width="16.07421875" style="1" customWidth="1"/>
    <col min="16" max="25" width="9.3046875" style="2" customWidth="1"/>
    <col min="26" max="16384" width="9.3046875" style="2"/>
  </cols>
  <sheetData>
    <row r="1" spans="1:15" s="6" customFormat="1" ht="49.5" customHeight="1" x14ac:dyDescent="0.4">
      <c r="A1" s="79" t="s">
        <v>84</v>
      </c>
      <c r="B1" s="79" t="s">
        <v>85</v>
      </c>
      <c r="C1" s="79" t="s">
        <v>86</v>
      </c>
      <c r="D1" s="79" t="s">
        <v>87</v>
      </c>
      <c r="E1" s="79" t="s">
        <v>88</v>
      </c>
      <c r="F1" s="79" t="s">
        <v>89</v>
      </c>
      <c r="G1" s="79" t="s">
        <v>90</v>
      </c>
      <c r="H1" s="79" t="s">
        <v>91</v>
      </c>
      <c r="I1" s="79" t="s">
        <v>92</v>
      </c>
      <c r="J1" s="79" t="s">
        <v>93</v>
      </c>
      <c r="K1" s="79" t="s">
        <v>94</v>
      </c>
      <c r="L1" s="79" t="s">
        <v>95</v>
      </c>
      <c r="M1" s="79" t="s">
        <v>96</v>
      </c>
      <c r="N1" s="79" t="s">
        <v>97</v>
      </c>
      <c r="O1" s="78" t="s">
        <v>98</v>
      </c>
    </row>
    <row r="2" spans="1:15" ht="25.15" customHeight="1" thickBot="1" x14ac:dyDescent="0.45">
      <c r="A2" s="17" t="s">
        <v>1</v>
      </c>
      <c r="B2" s="64" t="s">
        <v>99</v>
      </c>
      <c r="C2" s="65" t="s">
        <v>100</v>
      </c>
      <c r="D2" s="65" t="s">
        <v>101</v>
      </c>
      <c r="E2" s="65" t="s">
        <v>102</v>
      </c>
      <c r="F2" s="65" t="s">
        <v>103</v>
      </c>
      <c r="G2" s="65" t="s">
        <v>104</v>
      </c>
      <c r="H2" s="65" t="s">
        <v>105</v>
      </c>
      <c r="I2" s="65" t="s">
        <v>106</v>
      </c>
      <c r="J2" s="65" t="s">
        <v>107</v>
      </c>
      <c r="K2" s="65" t="s">
        <v>108</v>
      </c>
      <c r="L2" s="65" t="s">
        <v>109</v>
      </c>
      <c r="M2" s="65" t="s">
        <v>110</v>
      </c>
      <c r="N2" s="66" t="s">
        <v>111</v>
      </c>
    </row>
    <row r="3" spans="1:15" ht="25.15" customHeight="1" thickBot="1" x14ac:dyDescent="0.45">
      <c r="A3" s="40" t="s">
        <v>2</v>
      </c>
      <c r="B3" s="42">
        <v>70</v>
      </c>
      <c r="C3" s="42">
        <v>70</v>
      </c>
      <c r="D3" s="42">
        <v>70</v>
      </c>
      <c r="E3" s="42">
        <v>70</v>
      </c>
      <c r="F3" s="42">
        <v>70</v>
      </c>
      <c r="G3" s="42">
        <v>70</v>
      </c>
      <c r="H3" s="42">
        <v>70</v>
      </c>
      <c r="I3" s="42">
        <v>70</v>
      </c>
      <c r="J3" s="42">
        <v>70</v>
      </c>
      <c r="K3" s="42">
        <v>70</v>
      </c>
      <c r="L3" s="42">
        <v>70</v>
      </c>
      <c r="M3" s="42">
        <v>70</v>
      </c>
      <c r="N3" s="43">
        <f>SUM(B3:M3)</f>
        <v>840</v>
      </c>
    </row>
    <row r="4" spans="1:15" ht="25.15" customHeight="1" thickBot="1" x14ac:dyDescent="0.45">
      <c r="A4" s="40" t="s">
        <v>112</v>
      </c>
      <c r="B4" s="42">
        <v>20</v>
      </c>
      <c r="C4" s="42">
        <v>20</v>
      </c>
      <c r="D4" s="42">
        <v>20</v>
      </c>
      <c r="E4" s="42">
        <v>20</v>
      </c>
      <c r="F4" s="42">
        <v>20</v>
      </c>
      <c r="G4" s="42">
        <v>20</v>
      </c>
      <c r="H4" s="42">
        <v>20</v>
      </c>
      <c r="I4" s="42">
        <v>20</v>
      </c>
      <c r="J4" s="42">
        <v>20</v>
      </c>
      <c r="K4" s="42">
        <v>20</v>
      </c>
      <c r="L4" s="42">
        <v>20</v>
      </c>
      <c r="M4" s="42">
        <v>20</v>
      </c>
      <c r="N4" s="43">
        <f>SUM(B4:M4)</f>
        <v>240</v>
      </c>
    </row>
    <row r="5" spans="1:15" ht="25.15" customHeight="1" thickBot="1" x14ac:dyDescent="0.45">
      <c r="A5" s="40" t="s">
        <v>4</v>
      </c>
      <c r="B5" s="42">
        <v>1500</v>
      </c>
      <c r="C5" s="42">
        <v>1500</v>
      </c>
      <c r="D5" s="42">
        <v>1500</v>
      </c>
      <c r="E5" s="42">
        <v>1500</v>
      </c>
      <c r="F5" s="42">
        <v>1500</v>
      </c>
      <c r="G5" s="42">
        <v>1500</v>
      </c>
      <c r="H5" s="42">
        <v>1500</v>
      </c>
      <c r="I5" s="42">
        <v>1500</v>
      </c>
      <c r="J5" s="42">
        <v>1500</v>
      </c>
      <c r="K5" s="42">
        <v>1500</v>
      </c>
      <c r="L5" s="42">
        <v>1500</v>
      </c>
      <c r="M5" s="42">
        <v>1500</v>
      </c>
      <c r="N5" s="43">
        <f>SUM(B5:M5)</f>
        <v>18000</v>
      </c>
    </row>
    <row r="6" spans="1:15" ht="25.15" customHeight="1" x14ac:dyDescent="0.4">
      <c r="A6" s="25" t="s">
        <v>113</v>
      </c>
      <c r="B6" s="43">
        <f>SUBTOTAL(109,DPAlimentacaoLimpeza[JANV])</f>
        <v>1590</v>
      </c>
      <c r="C6" s="43">
        <f>SUBTOTAL(109,DPAlimentacaoLimpeza[FÉVR])</f>
        <v>1590</v>
      </c>
      <c r="D6" s="43">
        <f>SUBTOTAL(109,DPAlimentacaoLimpeza[MARS])</f>
        <v>1590</v>
      </c>
      <c r="E6" s="43">
        <f>SUBTOTAL(109,DPAlimentacaoLimpeza[AVR])</f>
        <v>1590</v>
      </c>
      <c r="F6" s="43">
        <f>SUBTOTAL(109,DPAlimentacaoLimpeza[MAI])</f>
        <v>1590</v>
      </c>
      <c r="G6" s="43">
        <f>SUBTOTAL(109,DPAlimentacaoLimpeza[JUIN])</f>
        <v>1590</v>
      </c>
      <c r="H6" s="43">
        <f>SUBTOTAL(109,DPAlimentacaoLimpeza[JUIL])</f>
        <v>1590</v>
      </c>
      <c r="I6" s="43">
        <f>SUBTOTAL(109,DPAlimentacaoLimpeza[AOÛT])</f>
        <v>1590</v>
      </c>
      <c r="J6" s="43">
        <f>SUBTOTAL(109,DPAlimentacaoLimpeza[SEPT])</f>
        <v>1590</v>
      </c>
      <c r="K6" s="43">
        <f>SUBTOTAL(109,DPAlimentacaoLimpeza[OCT])</f>
        <v>1590</v>
      </c>
      <c r="L6" s="43">
        <f>SUBTOTAL(109,DPAlimentacaoLimpeza[NOV])</f>
        <v>1590</v>
      </c>
      <c r="M6" s="43">
        <f>SUBTOTAL(109,DPAlimentacaoLimpeza[DÉC])</f>
        <v>1590</v>
      </c>
      <c r="N6" s="43">
        <f>SUBTOTAL(109,DPAlimentacaoLimpeza[ANNÉE])</f>
        <v>19080</v>
      </c>
    </row>
    <row r="7" spans="1:15" ht="25.15" customHeight="1" x14ac:dyDescent="0.4">
      <c r="A7" s="12"/>
      <c r="B7" s="12"/>
      <c r="C7" s="12"/>
      <c r="D7" s="12"/>
      <c r="E7" s="12"/>
      <c r="F7" s="12"/>
      <c r="G7" s="12"/>
      <c r="H7" s="12"/>
      <c r="I7" s="12"/>
      <c r="J7" s="12"/>
      <c r="K7" s="12"/>
      <c r="L7" s="12"/>
      <c r="M7" s="12"/>
      <c r="N7" s="12"/>
    </row>
    <row r="8" spans="1:15" ht="25.15" customHeight="1" thickBot="1" x14ac:dyDescent="0.45">
      <c r="A8" s="17" t="s">
        <v>5</v>
      </c>
      <c r="B8" s="64" t="s">
        <v>99</v>
      </c>
      <c r="C8" s="65" t="s">
        <v>100</v>
      </c>
      <c r="D8" s="65" t="s">
        <v>101</v>
      </c>
      <c r="E8" s="65" t="s">
        <v>102</v>
      </c>
      <c r="F8" s="65" t="s">
        <v>103</v>
      </c>
      <c r="G8" s="65" t="s">
        <v>104</v>
      </c>
      <c r="H8" s="65" t="s">
        <v>105</v>
      </c>
      <c r="I8" s="65" t="s">
        <v>106</v>
      </c>
      <c r="J8" s="65" t="s">
        <v>107</v>
      </c>
      <c r="K8" s="65" t="s">
        <v>108</v>
      </c>
      <c r="L8" s="65" t="s">
        <v>109</v>
      </c>
      <c r="M8" s="65" t="s">
        <v>110</v>
      </c>
      <c r="N8" s="66" t="s">
        <v>111</v>
      </c>
    </row>
    <row r="9" spans="1:15" ht="25.15" customHeight="1" thickBot="1" x14ac:dyDescent="0.45">
      <c r="A9" s="40" t="s">
        <v>6</v>
      </c>
      <c r="B9" s="42">
        <v>220</v>
      </c>
      <c r="C9" s="42">
        <v>220</v>
      </c>
      <c r="D9" s="42">
        <v>220</v>
      </c>
      <c r="E9" s="42">
        <v>220</v>
      </c>
      <c r="F9" s="42">
        <v>220</v>
      </c>
      <c r="G9" s="42">
        <v>220</v>
      </c>
      <c r="H9" s="42">
        <v>220</v>
      </c>
      <c r="I9" s="42">
        <v>220</v>
      </c>
      <c r="J9" s="42">
        <v>220</v>
      </c>
      <c r="K9" s="42">
        <v>220</v>
      </c>
      <c r="L9" s="42">
        <v>220</v>
      </c>
      <c r="M9" s="42">
        <v>220</v>
      </c>
      <c r="N9" s="43">
        <f>SUM(B9:M9)</f>
        <v>2640</v>
      </c>
    </row>
    <row r="10" spans="1:15" ht="25.15" customHeight="1" thickBot="1" x14ac:dyDescent="0.45">
      <c r="A10" s="40" t="s">
        <v>7</v>
      </c>
      <c r="B10" s="42">
        <v>26</v>
      </c>
      <c r="C10" s="42">
        <v>26</v>
      </c>
      <c r="D10" s="42">
        <v>26</v>
      </c>
      <c r="E10" s="42">
        <v>26</v>
      </c>
      <c r="F10" s="42">
        <v>26</v>
      </c>
      <c r="G10" s="42">
        <v>26</v>
      </c>
      <c r="H10" s="42">
        <v>26</v>
      </c>
      <c r="I10" s="42">
        <v>26</v>
      </c>
      <c r="J10" s="42">
        <v>26</v>
      </c>
      <c r="K10" s="42">
        <v>26</v>
      </c>
      <c r="L10" s="42">
        <v>26</v>
      </c>
      <c r="M10" s="42">
        <v>26</v>
      </c>
      <c r="N10" s="43">
        <f>SUM(B10:M10)</f>
        <v>312</v>
      </c>
    </row>
    <row r="11" spans="1:15" ht="25.15" customHeight="1" x14ac:dyDescent="0.4">
      <c r="A11" s="25" t="s">
        <v>113</v>
      </c>
      <c r="B11" s="43">
        <f>SUBTOTAL(109,DPCaridadeDoacoes[JANV])</f>
        <v>246</v>
      </c>
      <c r="C11" s="43">
        <f>SUBTOTAL(109,DPCaridadeDoacoes[FÉVR])</f>
        <v>246</v>
      </c>
      <c r="D11" s="43">
        <f>SUBTOTAL(109,DPCaridadeDoacoes[MARS])</f>
        <v>246</v>
      </c>
      <c r="E11" s="43">
        <f>SUBTOTAL(109,DPCaridadeDoacoes[AVR])</f>
        <v>246</v>
      </c>
      <c r="F11" s="43">
        <f>SUBTOTAL(109,DPCaridadeDoacoes[MAI])</f>
        <v>246</v>
      </c>
      <c r="G11" s="43">
        <f>SUBTOTAL(109,DPCaridadeDoacoes[JUIN])</f>
        <v>246</v>
      </c>
      <c r="H11" s="43">
        <f>SUBTOTAL(109,DPCaridadeDoacoes[JUIL])</f>
        <v>246</v>
      </c>
      <c r="I11" s="43">
        <f>SUBTOTAL(109,DPCaridadeDoacoes[AOÛT])</f>
        <v>246</v>
      </c>
      <c r="J11" s="43">
        <f>SUBTOTAL(109,DPCaridadeDoacoes[SEPT])</f>
        <v>246</v>
      </c>
      <c r="K11" s="43">
        <f>SUBTOTAL(109,DPCaridadeDoacoes[OCT])</f>
        <v>246</v>
      </c>
      <c r="L11" s="43">
        <f>SUBTOTAL(109,DPCaridadeDoacoes[NOV])</f>
        <v>246</v>
      </c>
      <c r="M11" s="43">
        <f>SUBTOTAL(109,DPCaridadeDoacoes[DÉC])</f>
        <v>246</v>
      </c>
      <c r="N11" s="43">
        <f>SUBTOTAL(109,DPCaridadeDoacoes[ANNÉE])</f>
        <v>2952</v>
      </c>
    </row>
    <row r="12" spans="1:15" ht="25.15" customHeight="1" x14ac:dyDescent="0.4">
      <c r="A12" s="12"/>
      <c r="B12" s="12"/>
      <c r="C12" s="12"/>
      <c r="D12" s="12"/>
      <c r="E12" s="12"/>
      <c r="F12" s="12"/>
      <c r="G12" s="12"/>
      <c r="H12" s="12"/>
      <c r="I12" s="12"/>
      <c r="J12" s="12"/>
      <c r="K12" s="12"/>
      <c r="L12" s="12"/>
      <c r="M12" s="12"/>
      <c r="N12" s="12"/>
    </row>
    <row r="13" spans="1:15" ht="25.15" customHeight="1" thickBot="1" x14ac:dyDescent="0.45">
      <c r="A13" s="17" t="s">
        <v>8</v>
      </c>
      <c r="B13" s="64" t="s">
        <v>99</v>
      </c>
      <c r="C13" s="65" t="s">
        <v>100</v>
      </c>
      <c r="D13" s="65" t="s">
        <v>101</v>
      </c>
      <c r="E13" s="65" t="s">
        <v>102</v>
      </c>
      <c r="F13" s="65" t="s">
        <v>103</v>
      </c>
      <c r="G13" s="65" t="s">
        <v>104</v>
      </c>
      <c r="H13" s="65" t="s">
        <v>105</v>
      </c>
      <c r="I13" s="65" t="s">
        <v>106</v>
      </c>
      <c r="J13" s="65" t="s">
        <v>107</v>
      </c>
      <c r="K13" s="65" t="s">
        <v>108</v>
      </c>
      <c r="L13" s="65" t="s">
        <v>109</v>
      </c>
      <c r="M13" s="65" t="s">
        <v>110</v>
      </c>
      <c r="N13" s="66" t="s">
        <v>111</v>
      </c>
    </row>
    <row r="14" spans="1:15" ht="25.15" customHeight="1" thickBot="1" x14ac:dyDescent="0.45">
      <c r="A14" s="40" t="s">
        <v>9</v>
      </c>
      <c r="B14" s="42">
        <v>145</v>
      </c>
      <c r="C14" s="42">
        <v>145</v>
      </c>
      <c r="D14" s="42">
        <v>145</v>
      </c>
      <c r="E14" s="42">
        <v>145</v>
      </c>
      <c r="F14" s="42">
        <v>145</v>
      </c>
      <c r="G14" s="42">
        <v>145</v>
      </c>
      <c r="H14" s="42">
        <v>145</v>
      </c>
      <c r="I14" s="42">
        <v>145</v>
      </c>
      <c r="J14" s="42">
        <v>145</v>
      </c>
      <c r="K14" s="42">
        <v>145</v>
      </c>
      <c r="L14" s="42">
        <v>145</v>
      </c>
      <c r="M14" s="42">
        <v>145</v>
      </c>
      <c r="N14" s="43">
        <f>SUM(B14:M14)</f>
        <v>1740</v>
      </c>
    </row>
    <row r="15" spans="1:15" ht="25.15" customHeight="1" thickBot="1" x14ac:dyDescent="0.45">
      <c r="A15" s="40" t="s">
        <v>10</v>
      </c>
      <c r="B15" s="42">
        <v>150</v>
      </c>
      <c r="C15" s="42">
        <v>150</v>
      </c>
      <c r="D15" s="42">
        <v>150</v>
      </c>
      <c r="E15" s="42">
        <v>150</v>
      </c>
      <c r="F15" s="42">
        <v>150</v>
      </c>
      <c r="G15" s="42">
        <v>150</v>
      </c>
      <c r="H15" s="42">
        <v>150</v>
      </c>
      <c r="I15" s="42">
        <v>150</v>
      </c>
      <c r="J15" s="42">
        <v>150</v>
      </c>
      <c r="K15" s="42">
        <v>150</v>
      </c>
      <c r="L15" s="42">
        <v>150</v>
      </c>
      <c r="M15" s="42">
        <v>150</v>
      </c>
      <c r="N15" s="43">
        <f>SUM(B15:M15)</f>
        <v>1800</v>
      </c>
    </row>
    <row r="16" spans="1:15" ht="25.15" customHeight="1" x14ac:dyDescent="0.4">
      <c r="A16" s="25" t="s">
        <v>113</v>
      </c>
      <c r="B16" s="43">
        <f>SUBTOTAL(109,DPCarro[JANV])</f>
        <v>295</v>
      </c>
      <c r="C16" s="43">
        <f>SUBTOTAL(109,DPCarro[FÉVR])</f>
        <v>295</v>
      </c>
      <c r="D16" s="43">
        <f>SUBTOTAL(109,DPCarro[MARS])</f>
        <v>295</v>
      </c>
      <c r="E16" s="43">
        <f>SUBTOTAL(109,DPCarro[AVR])</f>
        <v>295</v>
      </c>
      <c r="F16" s="43">
        <f>SUBTOTAL(109,DPCarro[MAI])</f>
        <v>295</v>
      </c>
      <c r="G16" s="43">
        <f>SUBTOTAL(109,DPCarro[JUIN])</f>
        <v>295</v>
      </c>
      <c r="H16" s="43">
        <f>SUBTOTAL(109,DPCarro[JUIL])</f>
        <v>295</v>
      </c>
      <c r="I16" s="43">
        <f>SUBTOTAL(109,DPCarro[AOÛT])</f>
        <v>295</v>
      </c>
      <c r="J16" s="43">
        <f>SUBTOTAL(109,DPCarro[SEPT])</f>
        <v>295</v>
      </c>
      <c r="K16" s="43">
        <f>SUBTOTAL(109,DPCarro[OCT])</f>
        <v>295</v>
      </c>
      <c r="L16" s="43">
        <f>SUBTOTAL(109,DPCarro[NOV])</f>
        <v>295</v>
      </c>
      <c r="M16" s="43">
        <f>SUBTOTAL(109,DPCarro[DÉC])</f>
        <v>295</v>
      </c>
      <c r="N16" s="43">
        <f>SUBTOTAL(109,DPCarro[ANNÉE])</f>
        <v>3540</v>
      </c>
    </row>
    <row r="17" spans="1:14" ht="25.15" customHeight="1" x14ac:dyDescent="0.4">
      <c r="A17" s="31"/>
      <c r="B17" s="31"/>
      <c r="C17" s="31"/>
      <c r="D17" s="31"/>
      <c r="E17" s="31"/>
      <c r="F17" s="31"/>
      <c r="G17" s="31"/>
      <c r="H17" s="31"/>
      <c r="I17" s="31"/>
      <c r="J17" s="31"/>
      <c r="K17" s="31"/>
      <c r="L17" s="31"/>
      <c r="M17" s="31"/>
      <c r="N17" s="31"/>
    </row>
    <row r="18" spans="1:14" ht="25.15" customHeight="1" thickBot="1" x14ac:dyDescent="0.45">
      <c r="A18" s="17" t="s">
        <v>11</v>
      </c>
      <c r="B18" s="64" t="s">
        <v>99</v>
      </c>
      <c r="C18" s="65" t="s">
        <v>100</v>
      </c>
      <c r="D18" s="65" t="s">
        <v>101</v>
      </c>
      <c r="E18" s="65" t="s">
        <v>102</v>
      </c>
      <c r="F18" s="65" t="s">
        <v>103</v>
      </c>
      <c r="G18" s="65" t="s">
        <v>104</v>
      </c>
      <c r="H18" s="65" t="s">
        <v>105</v>
      </c>
      <c r="I18" s="65" t="s">
        <v>106</v>
      </c>
      <c r="J18" s="65" t="s">
        <v>107</v>
      </c>
      <c r="K18" s="65" t="s">
        <v>108</v>
      </c>
      <c r="L18" s="65" t="s">
        <v>109</v>
      </c>
      <c r="M18" s="65" t="s">
        <v>110</v>
      </c>
      <c r="N18" s="66" t="s">
        <v>111</v>
      </c>
    </row>
    <row r="19" spans="1:14" ht="25.15" customHeight="1" thickBot="1" x14ac:dyDescent="0.45">
      <c r="A19" s="40" t="s">
        <v>12</v>
      </c>
      <c r="B19" s="42">
        <v>0</v>
      </c>
      <c r="C19" s="42"/>
      <c r="D19" s="42"/>
      <c r="E19" s="42"/>
      <c r="F19" s="42"/>
      <c r="G19" s="42"/>
      <c r="H19" s="42"/>
      <c r="I19" s="42"/>
      <c r="J19" s="42"/>
      <c r="K19" s="42"/>
      <c r="L19" s="42"/>
      <c r="M19" s="42"/>
      <c r="N19" s="43">
        <f>SUM(B19:M19)</f>
        <v>0</v>
      </c>
    </row>
    <row r="20" spans="1:14" ht="25.15" customHeight="1" thickBot="1" x14ac:dyDescent="0.45">
      <c r="A20" s="40" t="s">
        <v>13</v>
      </c>
      <c r="B20" s="42">
        <v>0</v>
      </c>
      <c r="C20" s="42"/>
      <c r="D20" s="42"/>
      <c r="E20" s="42"/>
      <c r="F20" s="42"/>
      <c r="G20" s="42"/>
      <c r="H20" s="42"/>
      <c r="I20" s="42"/>
      <c r="J20" s="42"/>
      <c r="K20" s="42"/>
      <c r="L20" s="42"/>
      <c r="M20" s="42"/>
      <c r="N20" s="43">
        <f>SUM(B20:M20)</f>
        <v>0</v>
      </c>
    </row>
    <row r="21" spans="1:14" ht="25.15" customHeight="1" x14ac:dyDescent="0.4">
      <c r="A21" s="25" t="s">
        <v>113</v>
      </c>
      <c r="B21" s="43">
        <f>SUBTOTAL(109,DPCriaturasEstimacao[JANV])</f>
        <v>0</v>
      </c>
      <c r="C21" s="43">
        <f>SUBTOTAL(109,DPCriaturasEstimacao[FÉVR])</f>
        <v>0</v>
      </c>
      <c r="D21" s="43">
        <f>SUBTOTAL(109,DPCriaturasEstimacao[MARS])</f>
        <v>0</v>
      </c>
      <c r="E21" s="43">
        <f>SUBTOTAL(109,DPCriaturasEstimacao[AVR])</f>
        <v>0</v>
      </c>
      <c r="F21" s="43">
        <f>SUBTOTAL(109,DPCriaturasEstimacao[MAI])</f>
        <v>0</v>
      </c>
      <c r="G21" s="43">
        <f>SUBTOTAL(109,DPCriaturasEstimacao[JUIN])</f>
        <v>0</v>
      </c>
      <c r="H21" s="43">
        <f>SUBTOTAL(109,DPCriaturasEstimacao[JUIL])</f>
        <v>0</v>
      </c>
      <c r="I21" s="43">
        <f>SUBTOTAL(109,DPCriaturasEstimacao[AOÛT])</f>
        <v>0</v>
      </c>
      <c r="J21" s="43">
        <f>SUBTOTAL(109,DPCriaturasEstimacao[SEPT])</f>
        <v>0</v>
      </c>
      <c r="K21" s="43">
        <f>SUBTOTAL(109,DPCriaturasEstimacao[OCT])</f>
        <v>0</v>
      </c>
      <c r="L21" s="43">
        <f>SUBTOTAL(109,DPCriaturasEstimacao[NOV])</f>
        <v>0</v>
      </c>
      <c r="M21" s="43">
        <f>SUBTOTAL(109,DPCriaturasEstimacao[DÉC])</f>
        <v>0</v>
      </c>
      <c r="N21" s="43">
        <f>SUBTOTAL(109,DPCriaturasEstimacao[ANNÉE])</f>
        <v>0</v>
      </c>
    </row>
    <row r="22" spans="1:14" ht="25.15" customHeight="1" x14ac:dyDescent="0.4">
      <c r="A22" s="31"/>
      <c r="B22" s="31"/>
      <c r="C22" s="31"/>
      <c r="D22" s="31"/>
      <c r="E22" s="31"/>
      <c r="F22" s="31"/>
      <c r="G22" s="31"/>
      <c r="H22" s="31"/>
      <c r="I22" s="31"/>
      <c r="J22" s="31"/>
      <c r="K22" s="31"/>
      <c r="L22" s="31"/>
      <c r="M22" s="31"/>
      <c r="N22" s="31"/>
    </row>
    <row r="23" spans="1:14" ht="25.15" customHeight="1" thickBot="1" x14ac:dyDescent="0.45">
      <c r="A23" s="17" t="s">
        <v>14</v>
      </c>
      <c r="B23" s="64" t="s">
        <v>99</v>
      </c>
      <c r="C23" s="65" t="s">
        <v>100</v>
      </c>
      <c r="D23" s="65" t="s">
        <v>101</v>
      </c>
      <c r="E23" s="65" t="s">
        <v>102</v>
      </c>
      <c r="F23" s="65" t="s">
        <v>103</v>
      </c>
      <c r="G23" s="65" t="s">
        <v>104</v>
      </c>
      <c r="H23" s="65" t="s">
        <v>105</v>
      </c>
      <c r="I23" s="65" t="s">
        <v>106</v>
      </c>
      <c r="J23" s="65" t="s">
        <v>107</v>
      </c>
      <c r="K23" s="65" t="s">
        <v>108</v>
      </c>
      <c r="L23" s="65" t="s">
        <v>109</v>
      </c>
      <c r="M23" s="65" t="s">
        <v>110</v>
      </c>
      <c r="N23" s="66" t="s">
        <v>111</v>
      </c>
    </row>
    <row r="24" spans="1:14" ht="25.15" customHeight="1" thickBot="1" x14ac:dyDescent="0.45">
      <c r="A24" s="40" t="s">
        <v>15</v>
      </c>
      <c r="B24" s="42">
        <v>110</v>
      </c>
      <c r="C24" s="42">
        <v>110</v>
      </c>
      <c r="D24" s="42">
        <v>110</v>
      </c>
      <c r="E24" s="42">
        <v>110</v>
      </c>
      <c r="F24" s="42">
        <v>110</v>
      </c>
      <c r="G24" s="42">
        <v>110</v>
      </c>
      <c r="H24" s="42">
        <v>110</v>
      </c>
      <c r="I24" s="42">
        <v>110</v>
      </c>
      <c r="J24" s="42">
        <v>110</v>
      </c>
      <c r="K24" s="42">
        <v>110</v>
      </c>
      <c r="L24" s="42">
        <v>110</v>
      </c>
      <c r="M24" s="42">
        <v>110</v>
      </c>
      <c r="N24" s="43">
        <f>SUM(B24:M24)</f>
        <v>1320</v>
      </c>
    </row>
    <row r="25" spans="1:14" ht="25.15" customHeight="1" thickBot="1" x14ac:dyDescent="0.45">
      <c r="A25" s="40" t="s">
        <v>114</v>
      </c>
      <c r="B25" s="42">
        <v>85</v>
      </c>
      <c r="C25" s="42">
        <v>85</v>
      </c>
      <c r="D25" s="42">
        <v>85</v>
      </c>
      <c r="E25" s="42">
        <v>85</v>
      </c>
      <c r="F25" s="42">
        <v>85</v>
      </c>
      <c r="G25" s="42">
        <v>85</v>
      </c>
      <c r="H25" s="42">
        <v>85</v>
      </c>
      <c r="I25" s="42">
        <v>85</v>
      </c>
      <c r="J25" s="42">
        <v>85</v>
      </c>
      <c r="K25" s="42">
        <v>85</v>
      </c>
      <c r="L25" s="42">
        <v>85</v>
      </c>
      <c r="M25" s="42">
        <v>85</v>
      </c>
      <c r="N25" s="43">
        <f>SUM(B25:M25)</f>
        <v>1020</v>
      </c>
    </row>
    <row r="26" spans="1:14" ht="25.15" customHeight="1" thickBot="1" x14ac:dyDescent="0.45">
      <c r="A26" s="40" t="s">
        <v>17</v>
      </c>
      <c r="B26" s="42">
        <v>110</v>
      </c>
      <c r="C26" s="42">
        <v>110</v>
      </c>
      <c r="D26" s="42">
        <v>110</v>
      </c>
      <c r="E26" s="42">
        <v>110</v>
      </c>
      <c r="F26" s="42">
        <v>110</v>
      </c>
      <c r="G26" s="42">
        <v>110</v>
      </c>
      <c r="H26" s="42">
        <v>110</v>
      </c>
      <c r="I26" s="42">
        <v>110</v>
      </c>
      <c r="J26" s="42">
        <v>110</v>
      </c>
      <c r="K26" s="42">
        <v>110</v>
      </c>
      <c r="L26" s="42">
        <v>110</v>
      </c>
      <c r="M26" s="42">
        <v>110</v>
      </c>
      <c r="N26" s="43">
        <f>SUM(B26:M26)</f>
        <v>1320</v>
      </c>
    </row>
    <row r="27" spans="1:14" ht="25.15" customHeight="1" x14ac:dyDescent="0.4">
      <c r="A27" s="25" t="s">
        <v>113</v>
      </c>
      <c r="B27" s="43">
        <f>SUBTOTAL(109,DPCuidadosPessoaisFormacao[JANV])</f>
        <v>305</v>
      </c>
      <c r="C27" s="43">
        <f>SUBTOTAL(109,DPCuidadosPessoaisFormacao[FÉVR])</f>
        <v>305</v>
      </c>
      <c r="D27" s="43">
        <f>SUBTOTAL(109,DPCuidadosPessoaisFormacao[MARS])</f>
        <v>305</v>
      </c>
      <c r="E27" s="43">
        <f>SUBTOTAL(109,DPCuidadosPessoaisFormacao[AVR])</f>
        <v>305</v>
      </c>
      <c r="F27" s="43">
        <f>SUBTOTAL(109,DPCuidadosPessoaisFormacao[MAI])</f>
        <v>305</v>
      </c>
      <c r="G27" s="43">
        <f>SUBTOTAL(109,DPCuidadosPessoaisFormacao[JUIN])</f>
        <v>305</v>
      </c>
      <c r="H27" s="43">
        <f>SUBTOTAL(109,DPCuidadosPessoaisFormacao[JUIL])</f>
        <v>305</v>
      </c>
      <c r="I27" s="43">
        <f>SUBTOTAL(109,DPCuidadosPessoaisFormacao[AOÛT])</f>
        <v>305</v>
      </c>
      <c r="J27" s="43">
        <f>SUBTOTAL(109,DPCuidadosPessoaisFormacao[SEPT])</f>
        <v>305</v>
      </c>
      <c r="K27" s="43">
        <f>SUBTOTAL(109,DPCuidadosPessoaisFormacao[OCT])</f>
        <v>305</v>
      </c>
      <c r="L27" s="43">
        <f>SUBTOTAL(109,DPCuidadosPessoaisFormacao[NOV])</f>
        <v>305</v>
      </c>
      <c r="M27" s="43">
        <f>SUBTOTAL(109,DPCuidadosPessoaisFormacao[DÉC])</f>
        <v>305</v>
      </c>
      <c r="N27" s="43">
        <f>SUBTOTAL(109,DPCuidadosPessoaisFormacao[ANNÉE])</f>
        <v>3660</v>
      </c>
    </row>
    <row r="28" spans="1:14" ht="25.15" customHeight="1" x14ac:dyDescent="0.4">
      <c r="A28" s="31"/>
      <c r="B28" s="31"/>
      <c r="C28" s="31"/>
      <c r="D28" s="31"/>
      <c r="E28" s="31"/>
      <c r="F28" s="31"/>
      <c r="G28" s="31"/>
      <c r="H28" s="31"/>
      <c r="I28" s="31"/>
      <c r="J28" s="31"/>
      <c r="K28" s="31"/>
      <c r="L28" s="31"/>
      <c r="M28" s="31"/>
      <c r="N28" s="31"/>
    </row>
    <row r="29" spans="1:14" ht="25.15" customHeight="1" thickBot="1" x14ac:dyDescent="0.45">
      <c r="A29" s="17" t="s">
        <v>18</v>
      </c>
      <c r="B29" s="64" t="s">
        <v>99</v>
      </c>
      <c r="C29" s="65" t="s">
        <v>100</v>
      </c>
      <c r="D29" s="65" t="s">
        <v>101</v>
      </c>
      <c r="E29" s="65" t="s">
        <v>102</v>
      </c>
      <c r="F29" s="65" t="s">
        <v>103</v>
      </c>
      <c r="G29" s="65" t="s">
        <v>104</v>
      </c>
      <c r="H29" s="65" t="s">
        <v>105</v>
      </c>
      <c r="I29" s="65" t="s">
        <v>106</v>
      </c>
      <c r="J29" s="65" t="s">
        <v>107</v>
      </c>
      <c r="K29" s="65" t="s">
        <v>108</v>
      </c>
      <c r="L29" s="65" t="s">
        <v>109</v>
      </c>
      <c r="M29" s="65" t="s">
        <v>110</v>
      </c>
      <c r="N29" s="66" t="s">
        <v>111</v>
      </c>
    </row>
    <row r="30" spans="1:14" ht="25.15" customHeight="1" thickBot="1" x14ac:dyDescent="0.45">
      <c r="A30" s="40" t="s">
        <v>19</v>
      </c>
      <c r="B30" s="42">
        <v>150</v>
      </c>
      <c r="C30" s="42">
        <v>150</v>
      </c>
      <c r="D30" s="42">
        <v>150</v>
      </c>
      <c r="E30" s="42">
        <v>150</v>
      </c>
      <c r="F30" s="42">
        <v>150</v>
      </c>
      <c r="G30" s="42">
        <v>150</v>
      </c>
      <c r="H30" s="42">
        <v>150</v>
      </c>
      <c r="I30" s="42">
        <v>150</v>
      </c>
      <c r="J30" s="42">
        <v>150</v>
      </c>
      <c r="K30" s="42">
        <v>150</v>
      </c>
      <c r="L30" s="42">
        <v>150</v>
      </c>
      <c r="M30" s="42">
        <v>150</v>
      </c>
      <c r="N30" s="43">
        <f>SUM(B30:M30)</f>
        <v>1800</v>
      </c>
    </row>
    <row r="31" spans="1:14" ht="25.15" customHeight="1" thickBot="1" x14ac:dyDescent="0.45">
      <c r="A31" s="40" t="s">
        <v>115</v>
      </c>
      <c r="B31" s="42">
        <v>-168</v>
      </c>
      <c r="C31" s="42">
        <v>-168</v>
      </c>
      <c r="D31" s="42">
        <v>-168</v>
      </c>
      <c r="E31" s="42">
        <v>-168</v>
      </c>
      <c r="F31" s="42">
        <v>-168</v>
      </c>
      <c r="G31" s="42">
        <v>-168</v>
      </c>
      <c r="H31" s="42">
        <v>-168</v>
      </c>
      <c r="I31" s="42">
        <v>-168</v>
      </c>
      <c r="J31" s="42">
        <v>-168</v>
      </c>
      <c r="K31" s="42">
        <v>-168</v>
      </c>
      <c r="L31" s="42">
        <v>-168</v>
      </c>
      <c r="M31" s="42">
        <v>-168</v>
      </c>
      <c r="N31" s="43">
        <f>SUM(B31:M31)</f>
        <v>-2016</v>
      </c>
    </row>
    <row r="32" spans="1:14" ht="25.15" customHeight="1" thickBot="1" x14ac:dyDescent="0.45">
      <c r="A32" s="40" t="s">
        <v>116</v>
      </c>
      <c r="B32" s="42">
        <v>25</v>
      </c>
      <c r="C32" s="42">
        <v>25</v>
      </c>
      <c r="D32" s="42">
        <v>25</v>
      </c>
      <c r="E32" s="42">
        <v>25</v>
      </c>
      <c r="F32" s="42">
        <v>25</v>
      </c>
      <c r="G32" s="42">
        <v>25</v>
      </c>
      <c r="H32" s="42">
        <v>25</v>
      </c>
      <c r="I32" s="42">
        <v>25</v>
      </c>
      <c r="J32" s="42">
        <v>25</v>
      </c>
      <c r="K32" s="42">
        <v>25</v>
      </c>
      <c r="L32" s="42">
        <v>25</v>
      </c>
      <c r="M32" s="42">
        <v>25</v>
      </c>
      <c r="N32" s="43">
        <f>SUM(B32:M32)</f>
        <v>300</v>
      </c>
    </row>
    <row r="33" spans="1:14" ht="25.15" customHeight="1" x14ac:dyDescent="0.4">
      <c r="A33" s="25" t="s">
        <v>113</v>
      </c>
      <c r="B33" s="43">
        <f>SUBTOTAL(109,DPDespesasBancarias[JANV])</f>
        <v>7</v>
      </c>
      <c r="C33" s="43">
        <f>SUBTOTAL(109,DPDespesasBancarias[FÉVR])</f>
        <v>7</v>
      </c>
      <c r="D33" s="43">
        <f>SUBTOTAL(109,DPDespesasBancarias[MARS])</f>
        <v>7</v>
      </c>
      <c r="E33" s="43">
        <f>SUBTOTAL(109,DPDespesasBancarias[AVR])</f>
        <v>7</v>
      </c>
      <c r="F33" s="43">
        <f>SUBTOTAL(109,DPDespesasBancarias[MAI])</f>
        <v>7</v>
      </c>
      <c r="G33" s="43">
        <f>SUBTOTAL(109,DPDespesasBancarias[JUIN])</f>
        <v>7</v>
      </c>
      <c r="H33" s="43">
        <f>SUBTOTAL(109,DPDespesasBancarias[JUIL])</f>
        <v>7</v>
      </c>
      <c r="I33" s="43">
        <f>SUBTOTAL(109,DPDespesasBancarias[AOÛT])</f>
        <v>7</v>
      </c>
      <c r="J33" s="43">
        <f>SUBTOTAL(109,DPDespesasBancarias[SEPT])</f>
        <v>7</v>
      </c>
      <c r="K33" s="43">
        <f>SUBTOTAL(109,DPDespesasBancarias[OCT])</f>
        <v>7</v>
      </c>
      <c r="L33" s="43">
        <f>SUBTOTAL(109,DPDespesasBancarias[NOV])</f>
        <v>7</v>
      </c>
      <c r="M33" s="43">
        <f>SUBTOTAL(109,DPDespesasBancarias[DÉC])</f>
        <v>7</v>
      </c>
      <c r="N33" s="43">
        <f>SUBTOTAL(109,DPDespesasBancarias[ANNÉE])</f>
        <v>84</v>
      </c>
    </row>
    <row r="34" spans="1:14" ht="25.15" customHeight="1" x14ac:dyDescent="0.4">
      <c r="A34" s="31"/>
      <c r="B34" s="31"/>
      <c r="C34" s="31"/>
      <c r="D34" s="31"/>
      <c r="E34" s="31"/>
      <c r="F34" s="31"/>
      <c r="G34" s="31"/>
      <c r="H34" s="31"/>
      <c r="I34" s="31"/>
      <c r="J34" s="31"/>
      <c r="K34" s="31"/>
      <c r="L34" s="31"/>
      <c r="M34" s="31"/>
      <c r="N34" s="31"/>
    </row>
    <row r="35" spans="1:14" ht="25.15" customHeight="1" thickBot="1" x14ac:dyDescent="0.45">
      <c r="A35" s="17" t="s">
        <v>22</v>
      </c>
      <c r="B35" s="64" t="s">
        <v>99</v>
      </c>
      <c r="C35" s="65" t="s">
        <v>100</v>
      </c>
      <c r="D35" s="65" t="s">
        <v>101</v>
      </c>
      <c r="E35" s="65" t="s">
        <v>102</v>
      </c>
      <c r="F35" s="65" t="s">
        <v>103</v>
      </c>
      <c r="G35" s="65" t="s">
        <v>104</v>
      </c>
      <c r="H35" s="65" t="s">
        <v>105</v>
      </c>
      <c r="I35" s="65" t="s">
        <v>106</v>
      </c>
      <c r="J35" s="65" t="s">
        <v>107</v>
      </c>
      <c r="K35" s="65" t="s">
        <v>108</v>
      </c>
      <c r="L35" s="65" t="s">
        <v>109</v>
      </c>
      <c r="M35" s="65" t="s">
        <v>110</v>
      </c>
      <c r="N35" s="66" t="s">
        <v>111</v>
      </c>
    </row>
    <row r="36" spans="1:14" ht="25.15" customHeight="1" thickBot="1" x14ac:dyDescent="0.45">
      <c r="A36" s="40" t="s">
        <v>23</v>
      </c>
      <c r="B36" s="42">
        <v>950</v>
      </c>
      <c r="C36" s="42">
        <v>950</v>
      </c>
      <c r="D36" s="42">
        <v>950</v>
      </c>
      <c r="E36" s="42">
        <v>950</v>
      </c>
      <c r="F36" s="42">
        <v>950</v>
      </c>
      <c r="G36" s="42">
        <v>950</v>
      </c>
      <c r="H36" s="42">
        <v>950</v>
      </c>
      <c r="I36" s="42">
        <v>950</v>
      </c>
      <c r="J36" s="42">
        <v>950</v>
      </c>
      <c r="K36" s="42">
        <v>950</v>
      </c>
      <c r="L36" s="42">
        <v>950</v>
      </c>
      <c r="M36" s="42">
        <v>950</v>
      </c>
      <c r="N36" s="43">
        <f>SUM(B36:M36)</f>
        <v>11400</v>
      </c>
    </row>
    <row r="37" spans="1:14" ht="25.15" customHeight="1" thickBot="1" x14ac:dyDescent="0.45">
      <c r="A37" s="40" t="s">
        <v>24</v>
      </c>
      <c r="B37" s="42">
        <v>130</v>
      </c>
      <c r="C37" s="42">
        <v>130</v>
      </c>
      <c r="D37" s="42">
        <v>130</v>
      </c>
      <c r="E37" s="42">
        <v>130</v>
      </c>
      <c r="F37" s="42">
        <v>130</v>
      </c>
      <c r="G37" s="42">
        <v>130</v>
      </c>
      <c r="H37" s="42">
        <v>130</v>
      </c>
      <c r="I37" s="42">
        <v>130</v>
      </c>
      <c r="J37" s="42">
        <v>130</v>
      </c>
      <c r="K37" s="42">
        <v>130</v>
      </c>
      <c r="L37" s="42">
        <v>130</v>
      </c>
      <c r="M37" s="42">
        <v>130</v>
      </c>
      <c r="N37" s="43">
        <f>SUM(B37:M37)</f>
        <v>1560</v>
      </c>
    </row>
    <row r="38" spans="1:14" ht="25.15" customHeight="1" thickBot="1" x14ac:dyDescent="0.45">
      <c r="A38" s="40" t="s">
        <v>25</v>
      </c>
      <c r="B38" s="42">
        <v>200</v>
      </c>
      <c r="C38" s="42">
        <v>200</v>
      </c>
      <c r="D38" s="42">
        <v>200</v>
      </c>
      <c r="E38" s="42">
        <v>200</v>
      </c>
      <c r="F38" s="42">
        <v>200</v>
      </c>
      <c r="G38" s="42">
        <v>200</v>
      </c>
      <c r="H38" s="42">
        <v>200</v>
      </c>
      <c r="I38" s="42">
        <v>200</v>
      </c>
      <c r="J38" s="42">
        <v>200</v>
      </c>
      <c r="K38" s="42">
        <v>200</v>
      </c>
      <c r="L38" s="42">
        <v>200</v>
      </c>
      <c r="M38" s="42">
        <v>200</v>
      </c>
      <c r="N38" s="43">
        <f>SUM(B38:M38)</f>
        <v>2400</v>
      </c>
    </row>
    <row r="39" spans="1:14" ht="25.15" customHeight="1" thickBot="1" x14ac:dyDescent="0.45">
      <c r="A39" s="40" t="s">
        <v>26</v>
      </c>
      <c r="B39" s="42">
        <v>770</v>
      </c>
      <c r="C39" s="42">
        <v>770</v>
      </c>
      <c r="D39" s="42">
        <v>770</v>
      </c>
      <c r="E39" s="42">
        <v>770</v>
      </c>
      <c r="F39" s="42">
        <v>770</v>
      </c>
      <c r="G39" s="42">
        <v>770</v>
      </c>
      <c r="H39" s="42">
        <v>770</v>
      </c>
      <c r="I39" s="42">
        <v>770</v>
      </c>
      <c r="J39" s="42">
        <v>770</v>
      </c>
      <c r="K39" s="42">
        <v>770</v>
      </c>
      <c r="L39" s="42">
        <v>770</v>
      </c>
      <c r="M39" s="42">
        <v>770</v>
      </c>
      <c r="N39" s="43">
        <f>SUM(B39:M39)</f>
        <v>9240</v>
      </c>
    </row>
    <row r="40" spans="1:14" ht="25.15" customHeight="1" thickBot="1" x14ac:dyDescent="0.45">
      <c r="A40" s="40" t="s">
        <v>117</v>
      </c>
      <c r="B40" s="42">
        <v>250</v>
      </c>
      <c r="C40" s="42">
        <v>250</v>
      </c>
      <c r="D40" s="42">
        <v>250</v>
      </c>
      <c r="E40" s="42">
        <v>250</v>
      </c>
      <c r="F40" s="42">
        <v>250</v>
      </c>
      <c r="G40" s="42">
        <v>250</v>
      </c>
      <c r="H40" s="42">
        <v>250</v>
      </c>
      <c r="I40" s="42">
        <v>250</v>
      </c>
      <c r="J40" s="42">
        <v>250</v>
      </c>
      <c r="K40" s="42">
        <v>250</v>
      </c>
      <c r="L40" s="42">
        <v>250</v>
      </c>
      <c r="M40" s="42">
        <v>250</v>
      </c>
      <c r="N40" s="43">
        <f>SUM(B40:M40)</f>
        <v>3000</v>
      </c>
    </row>
    <row r="41" spans="1:14" ht="25.15" customHeight="1" x14ac:dyDescent="0.4">
      <c r="A41" s="25" t="s">
        <v>113</v>
      </c>
      <c r="B41" s="43">
        <f>SUBTOTAL(109,DPDespesasMedicas[JANV])</f>
        <v>2300</v>
      </c>
      <c r="C41" s="43">
        <f>SUBTOTAL(109,DPDespesasMedicas[FÉVR])</f>
        <v>2300</v>
      </c>
      <c r="D41" s="43">
        <f>SUBTOTAL(109,DPDespesasMedicas[MARS])</f>
        <v>2300</v>
      </c>
      <c r="E41" s="43">
        <f>SUBTOTAL(109,DPDespesasMedicas[AVR])</f>
        <v>2300</v>
      </c>
      <c r="F41" s="43">
        <f>SUBTOTAL(109,DPDespesasMedicas[MAI])</f>
        <v>2300</v>
      </c>
      <c r="G41" s="43">
        <f>SUBTOTAL(109,DPDespesasMedicas[JUIN])</f>
        <v>2300</v>
      </c>
      <c r="H41" s="43">
        <f>SUBTOTAL(109,DPDespesasMedicas[JUIL])</f>
        <v>2300</v>
      </c>
      <c r="I41" s="43">
        <f>SUBTOTAL(109,DPDespesasMedicas[AOÛT])</f>
        <v>2300</v>
      </c>
      <c r="J41" s="43">
        <f>SUBTOTAL(109,DPDespesasMedicas[SEPT])</f>
        <v>2300</v>
      </c>
      <c r="K41" s="43">
        <f>SUBTOTAL(109,DPDespesasMedicas[OCT])</f>
        <v>2300</v>
      </c>
      <c r="L41" s="43">
        <f>SUBTOTAL(109,DPDespesasMedicas[NOV])</f>
        <v>2300</v>
      </c>
      <c r="M41" s="43">
        <f>SUBTOTAL(109,DPDespesasMedicas[DÉC])</f>
        <v>2300</v>
      </c>
      <c r="N41" s="43">
        <f>SUBTOTAL(109,DPDespesasMedicas[ANNÉE])</f>
        <v>27600</v>
      </c>
    </row>
    <row r="42" spans="1:14" ht="25.15" customHeight="1" x14ac:dyDescent="0.4">
      <c r="A42" s="31"/>
      <c r="B42" s="31"/>
      <c r="C42" s="31"/>
      <c r="D42" s="31"/>
      <c r="E42" s="31"/>
      <c r="F42" s="31"/>
      <c r="G42" s="31"/>
      <c r="H42" s="31"/>
      <c r="I42" s="31"/>
      <c r="J42" s="31"/>
      <c r="K42" s="31"/>
      <c r="L42" s="31"/>
      <c r="M42" s="31"/>
      <c r="N42" s="31"/>
    </row>
    <row r="43" spans="1:14" ht="25.15" customHeight="1" thickBot="1" x14ac:dyDescent="0.45">
      <c r="A43" s="17" t="s">
        <v>28</v>
      </c>
      <c r="B43" s="64" t="s">
        <v>99</v>
      </c>
      <c r="C43" s="65" t="s">
        <v>100</v>
      </c>
      <c r="D43" s="65" t="s">
        <v>101</v>
      </c>
      <c r="E43" s="65" t="s">
        <v>102</v>
      </c>
      <c r="F43" s="65" t="s">
        <v>103</v>
      </c>
      <c r="G43" s="65" t="s">
        <v>104</v>
      </c>
      <c r="H43" s="65" t="s">
        <v>105</v>
      </c>
      <c r="I43" s="65" t="s">
        <v>106</v>
      </c>
      <c r="J43" s="65" t="s">
        <v>107</v>
      </c>
      <c r="K43" s="65" t="s">
        <v>108</v>
      </c>
      <c r="L43" s="65" t="s">
        <v>109</v>
      </c>
      <c r="M43" s="65" t="s">
        <v>110</v>
      </c>
      <c r="N43" s="66" t="s">
        <v>111</v>
      </c>
    </row>
    <row r="44" spans="1:14" ht="25.15" customHeight="1" thickBot="1" x14ac:dyDescent="0.45">
      <c r="A44" s="40" t="s">
        <v>29</v>
      </c>
      <c r="B44" s="42">
        <v>27</v>
      </c>
      <c r="C44" s="42">
        <v>27</v>
      </c>
      <c r="D44" s="42">
        <v>27</v>
      </c>
      <c r="E44" s="42">
        <v>27</v>
      </c>
      <c r="F44" s="42">
        <v>27</v>
      </c>
      <c r="G44" s="42">
        <v>27</v>
      </c>
      <c r="H44" s="42">
        <v>27</v>
      </c>
      <c r="I44" s="42">
        <v>27</v>
      </c>
      <c r="J44" s="42">
        <v>27</v>
      </c>
      <c r="K44" s="42">
        <v>27</v>
      </c>
      <c r="L44" s="42">
        <v>27</v>
      </c>
      <c r="M44" s="42">
        <v>27</v>
      </c>
      <c r="N44" s="43">
        <f>SUM(B44:M44)</f>
        <v>324</v>
      </c>
    </row>
    <row r="45" spans="1:14" ht="25.15" customHeight="1" thickBot="1" x14ac:dyDescent="0.45">
      <c r="A45" s="40" t="s">
        <v>30</v>
      </c>
      <c r="B45" s="42">
        <v>857</v>
      </c>
      <c r="C45" s="42">
        <v>857</v>
      </c>
      <c r="D45" s="42">
        <v>857</v>
      </c>
      <c r="E45" s="42">
        <v>857</v>
      </c>
      <c r="F45" s="42">
        <v>857</v>
      </c>
      <c r="G45" s="42">
        <v>857</v>
      </c>
      <c r="H45" s="42">
        <v>857</v>
      </c>
      <c r="I45" s="42">
        <v>857</v>
      </c>
      <c r="J45" s="42">
        <v>857</v>
      </c>
      <c r="K45" s="42">
        <v>857</v>
      </c>
      <c r="L45" s="42">
        <v>857</v>
      </c>
      <c r="M45" s="42">
        <v>857</v>
      </c>
      <c r="N45" s="43">
        <f>SUM(B45:M45)</f>
        <v>10284</v>
      </c>
    </row>
    <row r="46" spans="1:14" ht="25.15" customHeight="1" thickBot="1" x14ac:dyDescent="0.45">
      <c r="A46" s="40" t="s">
        <v>31</v>
      </c>
      <c r="B46" s="42">
        <v>42</v>
      </c>
      <c r="C46" s="42">
        <v>42</v>
      </c>
      <c r="D46" s="42">
        <v>42</v>
      </c>
      <c r="E46" s="42">
        <v>42</v>
      </c>
      <c r="F46" s="42">
        <v>42</v>
      </c>
      <c r="G46" s="42">
        <v>42</v>
      </c>
      <c r="H46" s="42">
        <v>42</v>
      </c>
      <c r="I46" s="42">
        <v>42</v>
      </c>
      <c r="J46" s="42">
        <v>42</v>
      </c>
      <c r="K46" s="42">
        <v>42</v>
      </c>
      <c r="L46" s="42">
        <v>42</v>
      </c>
      <c r="M46" s="42">
        <v>42</v>
      </c>
      <c r="N46" s="43">
        <f>SUM(B46:M46)</f>
        <v>504</v>
      </c>
    </row>
    <row r="47" spans="1:14" ht="25.15" customHeight="1" x14ac:dyDescent="0.4">
      <c r="A47" s="25" t="s">
        <v>113</v>
      </c>
      <c r="B47" s="43">
        <f>SUBTOTAL(109,DPEletronicaInformatica[JANV])</f>
        <v>926</v>
      </c>
      <c r="C47" s="43">
        <f>SUBTOTAL(109,DPEletronicaInformatica[FÉVR])</f>
        <v>926</v>
      </c>
      <c r="D47" s="43">
        <f>SUBTOTAL(109,DPEletronicaInformatica[MARS])</f>
        <v>926</v>
      </c>
      <c r="E47" s="43">
        <f>SUBTOTAL(109,DPEletronicaInformatica[AVR])</f>
        <v>926</v>
      </c>
      <c r="F47" s="43">
        <f>SUBTOTAL(109,DPEletronicaInformatica[MAI])</f>
        <v>926</v>
      </c>
      <c r="G47" s="43">
        <f>SUBTOTAL(109,DPEletronicaInformatica[JUIN])</f>
        <v>926</v>
      </c>
      <c r="H47" s="43">
        <f>SUBTOTAL(109,DPEletronicaInformatica[JUIL])</f>
        <v>926</v>
      </c>
      <c r="I47" s="43">
        <f>SUBTOTAL(109,DPEletronicaInformatica[AOÛT])</f>
        <v>926</v>
      </c>
      <c r="J47" s="43">
        <f>SUBTOTAL(109,DPEletronicaInformatica[SEPT])</f>
        <v>926</v>
      </c>
      <c r="K47" s="43">
        <f>SUBTOTAL(109,DPEletronicaInformatica[OCT])</f>
        <v>926</v>
      </c>
      <c r="L47" s="43">
        <f>SUBTOTAL(109,DPEletronicaInformatica[NOV])</f>
        <v>926</v>
      </c>
      <c r="M47" s="43">
        <f>SUBTOTAL(109,DPEletronicaInformatica[DÉC])</f>
        <v>926</v>
      </c>
      <c r="N47" s="43">
        <f>SUBTOTAL(109,DPEletronicaInformatica[ANNÉE])</f>
        <v>11112</v>
      </c>
    </row>
    <row r="48" spans="1:14" ht="25.15" customHeight="1" x14ac:dyDescent="0.4">
      <c r="A48" s="31"/>
      <c r="B48" s="31"/>
      <c r="C48" s="31"/>
      <c r="D48" s="31"/>
      <c r="E48" s="31"/>
      <c r="F48" s="31"/>
      <c r="G48" s="31"/>
      <c r="H48" s="31"/>
      <c r="I48" s="31"/>
      <c r="J48" s="31"/>
      <c r="K48" s="31"/>
      <c r="L48" s="31"/>
      <c r="M48" s="31"/>
      <c r="N48" s="31"/>
    </row>
    <row r="49" spans="1:14" ht="25.15" customHeight="1" thickBot="1" x14ac:dyDescent="0.45">
      <c r="A49" s="17" t="s">
        <v>33</v>
      </c>
      <c r="B49" s="64" t="s">
        <v>99</v>
      </c>
      <c r="C49" s="65" t="s">
        <v>100</v>
      </c>
      <c r="D49" s="65" t="s">
        <v>101</v>
      </c>
      <c r="E49" s="65" t="s">
        <v>102</v>
      </c>
      <c r="F49" s="65" t="s">
        <v>103</v>
      </c>
      <c r="G49" s="65" t="s">
        <v>104</v>
      </c>
      <c r="H49" s="65" t="s">
        <v>105</v>
      </c>
      <c r="I49" s="65" t="s">
        <v>106</v>
      </c>
      <c r="J49" s="65" t="s">
        <v>107</v>
      </c>
      <c r="K49" s="65" t="s">
        <v>108</v>
      </c>
      <c r="L49" s="65" t="s">
        <v>109</v>
      </c>
      <c r="M49" s="65" t="s">
        <v>110</v>
      </c>
      <c r="N49" s="66" t="s">
        <v>111</v>
      </c>
    </row>
    <row r="50" spans="1:14" ht="25.15" customHeight="1" thickBot="1" x14ac:dyDescent="0.45">
      <c r="A50" s="40" t="s">
        <v>34</v>
      </c>
      <c r="B50" s="42">
        <v>225</v>
      </c>
      <c r="C50" s="42">
        <v>225</v>
      </c>
      <c r="D50" s="42">
        <v>225</v>
      </c>
      <c r="E50" s="42">
        <v>225</v>
      </c>
      <c r="F50" s="42">
        <v>225</v>
      </c>
      <c r="G50" s="42">
        <v>225</v>
      </c>
      <c r="H50" s="42">
        <v>225</v>
      </c>
      <c r="I50" s="42">
        <v>225</v>
      </c>
      <c r="J50" s="42">
        <v>225</v>
      </c>
      <c r="K50" s="42">
        <v>225</v>
      </c>
      <c r="L50" s="42">
        <v>225</v>
      </c>
      <c r="M50" s="42">
        <v>225</v>
      </c>
      <c r="N50" s="43">
        <f>SUM(B50:M50)</f>
        <v>2700</v>
      </c>
    </row>
    <row r="51" spans="1:14" ht="25.15" customHeight="1" thickBot="1" x14ac:dyDescent="0.45">
      <c r="A51" s="40" t="s">
        <v>35</v>
      </c>
      <c r="B51" s="42">
        <v>85</v>
      </c>
      <c r="C51" s="42">
        <v>85</v>
      </c>
      <c r="D51" s="42">
        <v>85</v>
      </c>
      <c r="E51" s="42">
        <v>85</v>
      </c>
      <c r="F51" s="42">
        <v>85</v>
      </c>
      <c r="G51" s="42">
        <v>85</v>
      </c>
      <c r="H51" s="42">
        <v>85</v>
      </c>
      <c r="I51" s="42">
        <v>85</v>
      </c>
      <c r="J51" s="42">
        <v>85</v>
      </c>
      <c r="K51" s="42">
        <v>85</v>
      </c>
      <c r="L51" s="42">
        <v>85</v>
      </c>
      <c r="M51" s="42">
        <v>85</v>
      </c>
      <c r="N51" s="43">
        <f>SUM(B51:M51)</f>
        <v>1020</v>
      </c>
    </row>
    <row r="52" spans="1:14" ht="25.15" customHeight="1" thickBot="1" x14ac:dyDescent="0.45">
      <c r="A52" s="40" t="s">
        <v>36</v>
      </c>
      <c r="B52" s="42">
        <v>0</v>
      </c>
      <c r="C52" s="42">
        <v>0</v>
      </c>
      <c r="D52" s="42">
        <v>0</v>
      </c>
      <c r="E52" s="42">
        <v>0</v>
      </c>
      <c r="F52" s="42">
        <v>0</v>
      </c>
      <c r="G52" s="42">
        <v>0</v>
      </c>
      <c r="H52" s="42">
        <v>0</v>
      </c>
      <c r="I52" s="42">
        <v>0</v>
      </c>
      <c r="J52" s="42">
        <v>0</v>
      </c>
      <c r="K52" s="42">
        <v>0</v>
      </c>
      <c r="L52" s="42">
        <v>0</v>
      </c>
      <c r="M52" s="42">
        <v>0</v>
      </c>
      <c r="N52" s="43">
        <f>SUM(B52:M52)</f>
        <v>0</v>
      </c>
    </row>
    <row r="53" spans="1:14" ht="25.15" customHeight="1" thickBot="1" x14ac:dyDescent="0.45">
      <c r="A53" s="40" t="s">
        <v>37</v>
      </c>
      <c r="B53" s="42">
        <v>0</v>
      </c>
      <c r="C53" s="42">
        <v>0</v>
      </c>
      <c r="D53" s="42">
        <v>0</v>
      </c>
      <c r="E53" s="42">
        <v>0</v>
      </c>
      <c r="F53" s="42">
        <v>0</v>
      </c>
      <c r="G53" s="42">
        <v>0</v>
      </c>
      <c r="H53" s="42">
        <v>0</v>
      </c>
      <c r="I53" s="42">
        <v>0</v>
      </c>
      <c r="J53" s="42">
        <v>0</v>
      </c>
      <c r="K53" s="42">
        <v>0</v>
      </c>
      <c r="L53" s="42">
        <v>0</v>
      </c>
      <c r="M53" s="42">
        <v>0</v>
      </c>
      <c r="N53" s="43">
        <f>SUM(B53:M53)</f>
        <v>0</v>
      </c>
    </row>
    <row r="54" spans="1:14" ht="25.15" customHeight="1" thickBot="1" x14ac:dyDescent="0.45">
      <c r="A54" s="40" t="s">
        <v>38</v>
      </c>
      <c r="B54" s="42">
        <v>3.5</v>
      </c>
      <c r="C54" s="42">
        <v>3.5</v>
      </c>
      <c r="D54" s="42">
        <v>3.5</v>
      </c>
      <c r="E54" s="42">
        <v>3.5</v>
      </c>
      <c r="F54" s="42">
        <v>3.5</v>
      </c>
      <c r="G54" s="42">
        <v>3.5</v>
      </c>
      <c r="H54" s="42">
        <v>3.5</v>
      </c>
      <c r="I54" s="42">
        <v>3.5</v>
      </c>
      <c r="J54" s="42">
        <v>3.5</v>
      </c>
      <c r="K54" s="42">
        <v>3.5</v>
      </c>
      <c r="L54" s="42">
        <v>3.5</v>
      </c>
      <c r="M54" s="42">
        <v>3.5</v>
      </c>
      <c r="N54" s="43">
        <f>SUM(B54:M54)</f>
        <v>42</v>
      </c>
    </row>
    <row r="55" spans="1:14" ht="25.15" customHeight="1" x14ac:dyDescent="0.4">
      <c r="A55" s="25" t="s">
        <v>113</v>
      </c>
      <c r="B55" s="43">
        <f>SUBTOTAL(109,DPImpostos[JANV])</f>
        <v>313.5</v>
      </c>
      <c r="C55" s="43">
        <f>SUBTOTAL(109,DPImpostos[FÉVR])</f>
        <v>313.5</v>
      </c>
      <c r="D55" s="43">
        <f>SUBTOTAL(109,DPImpostos[MARS])</f>
        <v>313.5</v>
      </c>
      <c r="E55" s="43">
        <f>SUBTOTAL(109,DPImpostos[AVR])</f>
        <v>313.5</v>
      </c>
      <c r="F55" s="43">
        <f>SUBTOTAL(109,DPImpostos[MAI])</f>
        <v>313.5</v>
      </c>
      <c r="G55" s="43">
        <f>SUBTOTAL(109,DPImpostos[JUIN])</f>
        <v>313.5</v>
      </c>
      <c r="H55" s="43">
        <f>SUBTOTAL(109,DPImpostos[JUIL])</f>
        <v>313.5</v>
      </c>
      <c r="I55" s="43">
        <f>SUBTOTAL(109,DPImpostos[AOÛT])</f>
        <v>313.5</v>
      </c>
      <c r="J55" s="43">
        <f>SUBTOTAL(109,DPImpostos[SEPT])</f>
        <v>313.5</v>
      </c>
      <c r="K55" s="43">
        <f>SUBTOTAL(109,DPImpostos[OCT])</f>
        <v>313.5</v>
      </c>
      <c r="L55" s="43">
        <f>SUBTOTAL(109,DPImpostos[NOV])</f>
        <v>313.5</v>
      </c>
      <c r="M55" s="43">
        <f>SUBTOTAL(109,DPImpostos[DÉC])</f>
        <v>313.5</v>
      </c>
      <c r="N55" s="43">
        <f>SUBTOTAL(109,DPImpostos[ANNÉE])</f>
        <v>3762</v>
      </c>
    </row>
    <row r="56" spans="1:14" ht="25.15" customHeight="1" x14ac:dyDescent="0.4">
      <c r="A56" s="31"/>
      <c r="B56" s="31"/>
      <c r="C56" s="31"/>
      <c r="D56" s="31"/>
      <c r="E56" s="31"/>
      <c r="F56" s="31"/>
      <c r="G56" s="31"/>
      <c r="H56" s="31"/>
      <c r="I56" s="31"/>
      <c r="J56" s="31"/>
      <c r="K56" s="31"/>
      <c r="L56" s="31"/>
      <c r="M56" s="31"/>
      <c r="N56" s="31"/>
    </row>
    <row r="57" spans="1:14" ht="25.15" customHeight="1" thickBot="1" x14ac:dyDescent="0.45">
      <c r="A57" s="17" t="s">
        <v>39</v>
      </c>
      <c r="B57" s="64" t="s">
        <v>99</v>
      </c>
      <c r="C57" s="65" t="s">
        <v>100</v>
      </c>
      <c r="D57" s="65" t="s">
        <v>101</v>
      </c>
      <c r="E57" s="65" t="s">
        <v>102</v>
      </c>
      <c r="F57" s="65" t="s">
        <v>103</v>
      </c>
      <c r="G57" s="65" t="s">
        <v>104</v>
      </c>
      <c r="H57" s="65" t="s">
        <v>105</v>
      </c>
      <c r="I57" s="65" t="s">
        <v>106</v>
      </c>
      <c r="J57" s="65" t="s">
        <v>107</v>
      </c>
      <c r="K57" s="65" t="s">
        <v>108</v>
      </c>
      <c r="L57" s="65" t="s">
        <v>109</v>
      </c>
      <c r="M57" s="65" t="s">
        <v>110</v>
      </c>
      <c r="N57" s="66" t="s">
        <v>111</v>
      </c>
    </row>
    <row r="58" spans="1:14" ht="25.15" customHeight="1" thickBot="1" x14ac:dyDescent="0.45">
      <c r="A58" s="40" t="s">
        <v>40</v>
      </c>
      <c r="B58" s="42">
        <v>20</v>
      </c>
      <c r="C58" s="42">
        <v>20</v>
      </c>
      <c r="D58" s="42">
        <v>20</v>
      </c>
      <c r="E58" s="42">
        <v>20</v>
      </c>
      <c r="F58" s="42">
        <v>20</v>
      </c>
      <c r="G58" s="42">
        <v>20</v>
      </c>
      <c r="H58" s="42">
        <v>20</v>
      </c>
      <c r="I58" s="42">
        <v>20</v>
      </c>
      <c r="J58" s="42">
        <v>20</v>
      </c>
      <c r="K58" s="42">
        <v>20</v>
      </c>
      <c r="L58" s="42">
        <v>20</v>
      </c>
      <c r="M58" s="42">
        <v>20</v>
      </c>
      <c r="N58" s="43">
        <f t="shared" ref="N58:N64" si="0">SUM(B58:M58)</f>
        <v>240</v>
      </c>
    </row>
    <row r="59" spans="1:14" ht="25.15" customHeight="1" thickBot="1" x14ac:dyDescent="0.45">
      <c r="A59" s="40" t="s">
        <v>41</v>
      </c>
      <c r="B59" s="42">
        <v>110</v>
      </c>
      <c r="C59" s="42">
        <v>110</v>
      </c>
      <c r="D59" s="42">
        <v>110</v>
      </c>
      <c r="E59" s="42">
        <v>110</v>
      </c>
      <c r="F59" s="42">
        <v>110</v>
      </c>
      <c r="G59" s="42">
        <v>110</v>
      </c>
      <c r="H59" s="42">
        <v>110</v>
      </c>
      <c r="I59" s="42">
        <v>110</v>
      </c>
      <c r="J59" s="42">
        <v>110</v>
      </c>
      <c r="K59" s="42">
        <v>110</v>
      </c>
      <c r="L59" s="42">
        <v>110</v>
      </c>
      <c r="M59" s="42">
        <v>110</v>
      </c>
      <c r="N59" s="43">
        <f t="shared" si="0"/>
        <v>1320</v>
      </c>
    </row>
    <row r="60" spans="1:14" ht="25.15" customHeight="1" thickBot="1" x14ac:dyDescent="0.45">
      <c r="A60" s="40" t="s">
        <v>42</v>
      </c>
      <c r="B60" s="42">
        <v>555</v>
      </c>
      <c r="C60" s="42">
        <v>555</v>
      </c>
      <c r="D60" s="42">
        <v>555</v>
      </c>
      <c r="E60" s="42">
        <v>555</v>
      </c>
      <c r="F60" s="42">
        <v>555</v>
      </c>
      <c r="G60" s="42">
        <v>555</v>
      </c>
      <c r="H60" s="42">
        <v>555</v>
      </c>
      <c r="I60" s="42">
        <v>555</v>
      </c>
      <c r="J60" s="42">
        <v>555</v>
      </c>
      <c r="K60" s="42">
        <v>555</v>
      </c>
      <c r="L60" s="42">
        <v>555</v>
      </c>
      <c r="M60" s="42">
        <v>555</v>
      </c>
      <c r="N60" s="43">
        <f t="shared" si="0"/>
        <v>6660</v>
      </c>
    </row>
    <row r="61" spans="1:14" ht="25.15" customHeight="1" thickBot="1" x14ac:dyDescent="0.45">
      <c r="A61" s="40" t="s">
        <v>43</v>
      </c>
      <c r="B61" s="42">
        <v>17</v>
      </c>
      <c r="C61" s="42">
        <v>17</v>
      </c>
      <c r="D61" s="42">
        <v>17</v>
      </c>
      <c r="E61" s="42">
        <v>17</v>
      </c>
      <c r="F61" s="42">
        <v>17</v>
      </c>
      <c r="G61" s="42">
        <v>17</v>
      </c>
      <c r="H61" s="42">
        <v>17</v>
      </c>
      <c r="I61" s="42">
        <v>17</v>
      </c>
      <c r="J61" s="42">
        <v>17</v>
      </c>
      <c r="K61" s="42">
        <v>17</v>
      </c>
      <c r="L61" s="42">
        <v>17</v>
      </c>
      <c r="M61" s="42">
        <v>17</v>
      </c>
      <c r="N61" s="43">
        <f t="shared" si="0"/>
        <v>204</v>
      </c>
    </row>
    <row r="62" spans="1:14" s="1" customFormat="1" ht="25.15" customHeight="1" thickBot="1" x14ac:dyDescent="0.45">
      <c r="A62" s="40" t="s">
        <v>44</v>
      </c>
      <c r="B62" s="42">
        <v>40</v>
      </c>
      <c r="C62" s="42">
        <v>40</v>
      </c>
      <c r="D62" s="42">
        <v>40</v>
      </c>
      <c r="E62" s="42">
        <v>40</v>
      </c>
      <c r="F62" s="42">
        <v>40</v>
      </c>
      <c r="G62" s="42">
        <v>40</v>
      </c>
      <c r="H62" s="42">
        <v>40</v>
      </c>
      <c r="I62" s="42">
        <v>40</v>
      </c>
      <c r="J62" s="42">
        <v>40</v>
      </c>
      <c r="K62" s="42">
        <v>40</v>
      </c>
      <c r="L62" s="42">
        <v>40</v>
      </c>
      <c r="M62" s="42">
        <v>40</v>
      </c>
      <c r="N62" s="43">
        <f t="shared" si="0"/>
        <v>480</v>
      </c>
    </row>
    <row r="63" spans="1:14" s="1" customFormat="1" ht="25.15" customHeight="1" thickBot="1" x14ac:dyDescent="0.45">
      <c r="A63" s="40" t="s">
        <v>45</v>
      </c>
      <c r="B63" s="42">
        <v>66</v>
      </c>
      <c r="C63" s="42">
        <v>66</v>
      </c>
      <c r="D63" s="42">
        <v>66</v>
      </c>
      <c r="E63" s="42">
        <v>66</v>
      </c>
      <c r="F63" s="42">
        <v>66</v>
      </c>
      <c r="G63" s="42">
        <v>66</v>
      </c>
      <c r="H63" s="42">
        <v>66</v>
      </c>
      <c r="I63" s="42">
        <v>66</v>
      </c>
      <c r="J63" s="42">
        <v>66</v>
      </c>
      <c r="K63" s="42">
        <v>66</v>
      </c>
      <c r="L63" s="42">
        <v>66</v>
      </c>
      <c r="M63" s="42">
        <v>66</v>
      </c>
      <c r="N63" s="43">
        <f t="shared" si="0"/>
        <v>792</v>
      </c>
    </row>
    <row r="64" spans="1:14" s="1" customFormat="1" ht="21" customHeight="1" thickBot="1" x14ac:dyDescent="0.45">
      <c r="A64" s="40" t="s">
        <v>46</v>
      </c>
      <c r="B64" s="42">
        <v>32</v>
      </c>
      <c r="C64" s="42">
        <v>32</v>
      </c>
      <c r="D64" s="42">
        <v>32</v>
      </c>
      <c r="E64" s="42">
        <v>32</v>
      </c>
      <c r="F64" s="42">
        <v>32</v>
      </c>
      <c r="G64" s="42">
        <v>32</v>
      </c>
      <c r="H64" s="42">
        <v>32</v>
      </c>
      <c r="I64" s="42">
        <v>32</v>
      </c>
      <c r="J64" s="42">
        <v>32</v>
      </c>
      <c r="K64" s="42">
        <v>32</v>
      </c>
      <c r="L64" s="42">
        <v>32</v>
      </c>
      <c r="M64" s="42">
        <v>32</v>
      </c>
      <c r="N64" s="43">
        <f t="shared" si="0"/>
        <v>384</v>
      </c>
    </row>
    <row r="65" spans="1:14" s="1" customFormat="1" ht="25.15" customHeight="1" x14ac:dyDescent="0.4">
      <c r="A65" s="26" t="s">
        <v>113</v>
      </c>
      <c r="B65" s="43">
        <f>SUBTOTAL(109,DPLazer[JANV])</f>
        <v>840</v>
      </c>
      <c r="C65" s="43">
        <f>SUBTOTAL(109,DPLazer[FÉVR])</f>
        <v>840</v>
      </c>
      <c r="D65" s="43">
        <f>SUBTOTAL(109,DPLazer[MARS])</f>
        <v>840</v>
      </c>
      <c r="E65" s="43">
        <f>SUBTOTAL(109,DPLazer[AVR])</f>
        <v>840</v>
      </c>
      <c r="F65" s="43">
        <f>SUBTOTAL(109,DPLazer[MAI])</f>
        <v>840</v>
      </c>
      <c r="G65" s="43">
        <f>SUBTOTAL(109,DPLazer[JUIN])</f>
        <v>840</v>
      </c>
      <c r="H65" s="43">
        <f>SUBTOTAL(109,DPLazer[JUIL])</f>
        <v>840</v>
      </c>
      <c r="I65" s="43">
        <f>SUBTOTAL(109,DPLazer[AOÛT])</f>
        <v>840</v>
      </c>
      <c r="J65" s="43">
        <f>SUBTOTAL(109,DPLazer[SEPT])</f>
        <v>840</v>
      </c>
      <c r="K65" s="43">
        <f>SUBTOTAL(109,DPLazer[OCT])</f>
        <v>840</v>
      </c>
      <c r="L65" s="43">
        <f>SUBTOTAL(109,DPLazer[NOV])</f>
        <v>840</v>
      </c>
      <c r="M65" s="43">
        <f>SUBTOTAL(109,DPLazer[DÉC])</f>
        <v>840</v>
      </c>
      <c r="N65" s="43">
        <f>SUBTOTAL(109,DPLazer[ANNÉE])</f>
        <v>10080</v>
      </c>
    </row>
    <row r="66" spans="1:14" s="1" customFormat="1" ht="25.15" customHeight="1" x14ac:dyDescent="0.4">
      <c r="A66" s="31"/>
      <c r="B66" s="31"/>
      <c r="C66" s="36"/>
      <c r="D66" s="36"/>
      <c r="E66" s="36"/>
      <c r="F66" s="36"/>
      <c r="G66" s="36"/>
      <c r="H66" s="36"/>
      <c r="I66" s="36"/>
      <c r="J66" s="36"/>
      <c r="K66" s="36"/>
      <c r="L66" s="36"/>
      <c r="M66" s="36"/>
      <c r="N66" s="37"/>
    </row>
    <row r="67" spans="1:14" s="1" customFormat="1" ht="25.15" customHeight="1" thickBot="1" x14ac:dyDescent="0.45">
      <c r="A67" s="17" t="s">
        <v>47</v>
      </c>
      <c r="B67" s="64" t="s">
        <v>99</v>
      </c>
      <c r="C67" s="65" t="s">
        <v>100</v>
      </c>
      <c r="D67" s="65" t="s">
        <v>101</v>
      </c>
      <c r="E67" s="65" t="s">
        <v>102</v>
      </c>
      <c r="F67" s="65" t="s">
        <v>103</v>
      </c>
      <c r="G67" s="65" t="s">
        <v>104</v>
      </c>
      <c r="H67" s="65" t="s">
        <v>105</v>
      </c>
      <c r="I67" s="65" t="s">
        <v>106</v>
      </c>
      <c r="J67" s="65" t="s">
        <v>107</v>
      </c>
      <c r="K67" s="65" t="s">
        <v>108</v>
      </c>
      <c r="L67" s="65" t="s">
        <v>109</v>
      </c>
      <c r="M67" s="65" t="s">
        <v>110</v>
      </c>
      <c r="N67" s="66" t="s">
        <v>111</v>
      </c>
    </row>
    <row r="68" spans="1:14" s="1" customFormat="1" ht="25.15" customHeight="1" thickBot="1" x14ac:dyDescent="0.45">
      <c r="A68" s="40" t="s">
        <v>48</v>
      </c>
      <c r="B68" s="42">
        <v>75</v>
      </c>
      <c r="C68" s="42">
        <v>75</v>
      </c>
      <c r="D68" s="42">
        <v>75</v>
      </c>
      <c r="E68" s="42">
        <v>75</v>
      </c>
      <c r="F68" s="42">
        <v>75</v>
      </c>
      <c r="G68" s="42">
        <v>75</v>
      </c>
      <c r="H68" s="42">
        <v>75</v>
      </c>
      <c r="I68" s="42">
        <v>75</v>
      </c>
      <c r="J68" s="42">
        <v>75</v>
      </c>
      <c r="K68" s="42">
        <v>75</v>
      </c>
      <c r="L68" s="42">
        <v>75</v>
      </c>
      <c r="M68" s="42">
        <v>75</v>
      </c>
      <c r="N68" s="43">
        <f t="shared" ref="N68:N78" si="1">SUM(B68:M68)</f>
        <v>900</v>
      </c>
    </row>
    <row r="69" spans="1:14" s="1" customFormat="1" ht="25.15" customHeight="1" thickBot="1" x14ac:dyDescent="0.45">
      <c r="A69" s="40" t="s">
        <v>49</v>
      </c>
      <c r="B69" s="42">
        <v>40</v>
      </c>
      <c r="C69" s="42">
        <v>40</v>
      </c>
      <c r="D69" s="42">
        <v>40</v>
      </c>
      <c r="E69" s="42">
        <v>40</v>
      </c>
      <c r="F69" s="42">
        <v>40</v>
      </c>
      <c r="G69" s="42">
        <v>40</v>
      </c>
      <c r="H69" s="42">
        <v>40</v>
      </c>
      <c r="I69" s="42">
        <v>40</v>
      </c>
      <c r="J69" s="42">
        <v>40</v>
      </c>
      <c r="K69" s="42">
        <v>40</v>
      </c>
      <c r="L69" s="42">
        <v>40</v>
      </c>
      <c r="M69" s="42">
        <v>40</v>
      </c>
      <c r="N69" s="43">
        <f t="shared" si="1"/>
        <v>480</v>
      </c>
    </row>
    <row r="70" spans="1:14" s="1" customFormat="1" ht="25.15" customHeight="1" thickBot="1" x14ac:dyDescent="0.45">
      <c r="A70" s="40" t="s">
        <v>50</v>
      </c>
      <c r="B70" s="42">
        <v>10</v>
      </c>
      <c r="C70" s="42">
        <v>10</v>
      </c>
      <c r="D70" s="42">
        <v>10</v>
      </c>
      <c r="E70" s="42">
        <v>10</v>
      </c>
      <c r="F70" s="42">
        <v>10</v>
      </c>
      <c r="G70" s="42">
        <v>10</v>
      </c>
      <c r="H70" s="42">
        <v>10</v>
      </c>
      <c r="I70" s="42">
        <v>10</v>
      </c>
      <c r="J70" s="42">
        <v>10</v>
      </c>
      <c r="K70" s="42">
        <v>10</v>
      </c>
      <c r="L70" s="42">
        <v>10</v>
      </c>
      <c r="M70" s="42">
        <v>10</v>
      </c>
      <c r="N70" s="43">
        <f t="shared" si="1"/>
        <v>120</v>
      </c>
    </row>
    <row r="71" spans="1:14" s="1" customFormat="1" ht="25.15" customHeight="1" thickBot="1" x14ac:dyDescent="0.45">
      <c r="A71" s="40" t="s">
        <v>51</v>
      </c>
      <c r="B71" s="42">
        <v>0</v>
      </c>
      <c r="C71" s="42">
        <v>0</v>
      </c>
      <c r="D71" s="42">
        <v>0</v>
      </c>
      <c r="E71" s="42">
        <v>0</v>
      </c>
      <c r="F71" s="42">
        <v>0</v>
      </c>
      <c r="G71" s="42">
        <v>0</v>
      </c>
      <c r="H71" s="42">
        <v>0</v>
      </c>
      <c r="I71" s="42">
        <v>0</v>
      </c>
      <c r="J71" s="42">
        <v>0</v>
      </c>
      <c r="K71" s="42">
        <v>0</v>
      </c>
      <c r="L71" s="42">
        <v>0</v>
      </c>
      <c r="M71" s="42">
        <v>0</v>
      </c>
      <c r="N71" s="43">
        <f t="shared" si="1"/>
        <v>0</v>
      </c>
    </row>
    <row r="72" spans="1:14" s="1" customFormat="1" ht="25.15" customHeight="1" thickBot="1" x14ac:dyDescent="0.45">
      <c r="A72" s="40" t="s">
        <v>52</v>
      </c>
      <c r="B72" s="42">
        <v>2500</v>
      </c>
      <c r="C72" s="42">
        <v>2500</v>
      </c>
      <c r="D72" s="42">
        <v>2500</v>
      </c>
      <c r="E72" s="42">
        <v>2500</v>
      </c>
      <c r="F72" s="42">
        <v>2500</v>
      </c>
      <c r="G72" s="42">
        <v>2500</v>
      </c>
      <c r="H72" s="42">
        <v>2500</v>
      </c>
      <c r="I72" s="42">
        <v>2500</v>
      </c>
      <c r="J72" s="42">
        <v>2500</v>
      </c>
      <c r="K72" s="42">
        <v>2500</v>
      </c>
      <c r="L72" s="42">
        <v>2500</v>
      </c>
      <c r="M72" s="42">
        <v>2500</v>
      </c>
      <c r="N72" s="43">
        <f t="shared" si="1"/>
        <v>30000</v>
      </c>
    </row>
    <row r="73" spans="1:14" s="1" customFormat="1" ht="25.15" customHeight="1" thickBot="1" x14ac:dyDescent="0.45">
      <c r="A73" s="40" t="s">
        <v>53</v>
      </c>
      <c r="B73" s="42">
        <v>600</v>
      </c>
      <c r="C73" s="42">
        <v>600</v>
      </c>
      <c r="D73" s="42">
        <v>600</v>
      </c>
      <c r="E73" s="42">
        <v>600</v>
      </c>
      <c r="F73" s="42">
        <v>600</v>
      </c>
      <c r="G73" s="42">
        <v>600</v>
      </c>
      <c r="H73" s="42">
        <v>600</v>
      </c>
      <c r="I73" s="42">
        <v>600</v>
      </c>
      <c r="J73" s="42">
        <v>600</v>
      </c>
      <c r="K73" s="42">
        <v>600</v>
      </c>
      <c r="L73" s="42">
        <v>600</v>
      </c>
      <c r="M73" s="42">
        <v>600</v>
      </c>
      <c r="N73" s="43">
        <f t="shared" si="1"/>
        <v>7200</v>
      </c>
    </row>
    <row r="74" spans="1:14" s="1" customFormat="1" ht="25.15" customHeight="1" thickBot="1" x14ac:dyDescent="0.45">
      <c r="A74" s="40" t="s">
        <v>54</v>
      </c>
      <c r="B74" s="42">
        <v>750</v>
      </c>
      <c r="C74" s="42">
        <v>750</v>
      </c>
      <c r="D74" s="42">
        <v>750</v>
      </c>
      <c r="E74" s="42">
        <v>750</v>
      </c>
      <c r="F74" s="42">
        <v>750</v>
      </c>
      <c r="G74" s="42">
        <v>750</v>
      </c>
      <c r="H74" s="42">
        <v>750</v>
      </c>
      <c r="I74" s="42">
        <v>750</v>
      </c>
      <c r="J74" s="42">
        <v>750</v>
      </c>
      <c r="K74" s="42">
        <v>750</v>
      </c>
      <c r="L74" s="42">
        <v>750</v>
      </c>
      <c r="M74" s="42">
        <v>750</v>
      </c>
      <c r="N74" s="43">
        <f t="shared" si="1"/>
        <v>9000</v>
      </c>
    </row>
    <row r="75" spans="1:14" s="1" customFormat="1" ht="25.15" customHeight="1" thickBot="1" x14ac:dyDescent="0.45">
      <c r="A75" s="40" t="s">
        <v>118</v>
      </c>
      <c r="B75" s="42">
        <v>1000</v>
      </c>
      <c r="C75" s="42">
        <v>1000</v>
      </c>
      <c r="D75" s="42">
        <v>1000</v>
      </c>
      <c r="E75" s="42">
        <v>1000</v>
      </c>
      <c r="F75" s="42">
        <v>1000</v>
      </c>
      <c r="G75" s="42">
        <v>1000</v>
      </c>
      <c r="H75" s="42">
        <v>1000</v>
      </c>
      <c r="I75" s="42">
        <v>1000</v>
      </c>
      <c r="J75" s="42">
        <v>1000</v>
      </c>
      <c r="K75" s="42">
        <v>1000</v>
      </c>
      <c r="L75" s="42">
        <v>1000</v>
      </c>
      <c r="M75" s="42">
        <v>1000</v>
      </c>
      <c r="N75" s="43">
        <f t="shared" si="1"/>
        <v>12000</v>
      </c>
    </row>
    <row r="76" spans="1:14" s="1" customFormat="1" ht="25.15" customHeight="1" thickBot="1" x14ac:dyDescent="0.45">
      <c r="A76" s="40" t="s">
        <v>119</v>
      </c>
      <c r="B76" s="42">
        <v>160</v>
      </c>
      <c r="C76" s="42">
        <v>160</v>
      </c>
      <c r="D76" s="42">
        <v>160</v>
      </c>
      <c r="E76" s="42">
        <v>160</v>
      </c>
      <c r="F76" s="42">
        <v>160</v>
      </c>
      <c r="G76" s="42">
        <v>160</v>
      </c>
      <c r="H76" s="42">
        <v>160</v>
      </c>
      <c r="I76" s="42">
        <v>160</v>
      </c>
      <c r="J76" s="42">
        <v>160</v>
      </c>
      <c r="K76" s="42">
        <v>160</v>
      </c>
      <c r="L76" s="42">
        <v>160</v>
      </c>
      <c r="M76" s="42">
        <v>160</v>
      </c>
      <c r="N76" s="43">
        <f t="shared" si="1"/>
        <v>1920</v>
      </c>
    </row>
    <row r="77" spans="1:14" s="1" customFormat="1" ht="21" customHeight="1" thickBot="1" x14ac:dyDescent="0.45">
      <c r="A77" s="40" t="s">
        <v>57</v>
      </c>
      <c r="B77" s="42">
        <v>600</v>
      </c>
      <c r="C77" s="42">
        <v>600</v>
      </c>
      <c r="D77" s="42">
        <v>600</v>
      </c>
      <c r="E77" s="42">
        <v>600</v>
      </c>
      <c r="F77" s="42">
        <v>600</v>
      </c>
      <c r="G77" s="42">
        <v>600</v>
      </c>
      <c r="H77" s="42">
        <v>600</v>
      </c>
      <c r="I77" s="42">
        <v>600</v>
      </c>
      <c r="J77" s="42">
        <v>600</v>
      </c>
      <c r="K77" s="42">
        <v>600</v>
      </c>
      <c r="L77" s="42">
        <v>600</v>
      </c>
      <c r="M77" s="42">
        <v>600</v>
      </c>
      <c r="N77" s="43">
        <f t="shared" si="1"/>
        <v>7200</v>
      </c>
    </row>
    <row r="78" spans="1:14" s="1" customFormat="1" ht="25.15" customHeight="1" thickBot="1" x14ac:dyDescent="0.45">
      <c r="A78" s="40" t="s">
        <v>58</v>
      </c>
      <c r="B78" s="42">
        <v>30</v>
      </c>
      <c r="C78" s="42">
        <v>30</v>
      </c>
      <c r="D78" s="42">
        <v>30</v>
      </c>
      <c r="E78" s="42">
        <v>30</v>
      </c>
      <c r="F78" s="42">
        <v>30</v>
      </c>
      <c r="G78" s="42">
        <v>30</v>
      </c>
      <c r="H78" s="42">
        <v>30</v>
      </c>
      <c r="I78" s="42">
        <v>30</v>
      </c>
      <c r="J78" s="42">
        <v>30</v>
      </c>
      <c r="K78" s="42">
        <v>30</v>
      </c>
      <c r="L78" s="42">
        <v>30</v>
      </c>
      <c r="M78" s="42">
        <v>30</v>
      </c>
      <c r="N78" s="43">
        <f t="shared" si="1"/>
        <v>360</v>
      </c>
    </row>
    <row r="79" spans="1:14" s="1" customFormat="1" ht="25.15" customHeight="1" x14ac:dyDescent="0.4">
      <c r="A79" s="26" t="s">
        <v>113</v>
      </c>
      <c r="B79" s="43">
        <f>SUBTOTAL(109,DPManutencaoCasa[JANV])</f>
        <v>5765</v>
      </c>
      <c r="C79" s="43">
        <f>SUBTOTAL(109,DPManutencaoCasa[FÉVR])</f>
        <v>5765</v>
      </c>
      <c r="D79" s="43">
        <f>SUBTOTAL(109,DPManutencaoCasa[MARS])</f>
        <v>5765</v>
      </c>
      <c r="E79" s="43">
        <f>SUBTOTAL(109,DPManutencaoCasa[AVR])</f>
        <v>5765</v>
      </c>
      <c r="F79" s="43">
        <f>SUBTOTAL(109,DPManutencaoCasa[MAI])</f>
        <v>5765</v>
      </c>
      <c r="G79" s="43">
        <f>SUBTOTAL(109,DPManutencaoCasa[JUIN])</f>
        <v>5765</v>
      </c>
      <c r="H79" s="43">
        <f>SUBTOTAL(109,DPManutencaoCasa[JUIL])</f>
        <v>5765</v>
      </c>
      <c r="I79" s="43">
        <f>SUBTOTAL(109,DPManutencaoCasa[AOÛT])</f>
        <v>5765</v>
      </c>
      <c r="J79" s="43">
        <f>SUBTOTAL(109,DPManutencaoCasa[SEPT])</f>
        <v>5765</v>
      </c>
      <c r="K79" s="43">
        <f>SUBTOTAL(109,DPManutencaoCasa[OCT])</f>
        <v>5765</v>
      </c>
      <c r="L79" s="43">
        <f>SUBTOTAL(109,DPManutencaoCasa[NOV])</f>
        <v>5765</v>
      </c>
      <c r="M79" s="43">
        <f>SUBTOTAL(109,DPManutencaoCasa[DÉC])</f>
        <v>5765</v>
      </c>
      <c r="N79" s="43">
        <f>SUBTOTAL(109,DPManutencaoCasa[ANNÉE])</f>
        <v>69180</v>
      </c>
    </row>
    <row r="80" spans="1:14" s="1" customFormat="1" ht="25.15" customHeight="1" x14ac:dyDescent="0.4">
      <c r="A80" s="32"/>
      <c r="B80" s="32"/>
      <c r="C80" s="36"/>
      <c r="D80" s="36"/>
      <c r="E80" s="38"/>
      <c r="F80" s="38"/>
      <c r="G80" s="38"/>
      <c r="H80" s="38"/>
      <c r="I80" s="38"/>
      <c r="J80" s="38"/>
      <c r="K80" s="38"/>
      <c r="L80" s="38"/>
      <c r="M80" s="38"/>
      <c r="N80" s="37"/>
    </row>
    <row r="81" spans="1:14" s="1" customFormat="1" ht="25.15" customHeight="1" thickBot="1" x14ac:dyDescent="0.45">
      <c r="A81" s="17" t="s">
        <v>59</v>
      </c>
      <c r="B81" s="64" t="s">
        <v>99</v>
      </c>
      <c r="C81" s="65" t="s">
        <v>100</v>
      </c>
      <c r="D81" s="65" t="s">
        <v>101</v>
      </c>
      <c r="E81" s="65" t="s">
        <v>102</v>
      </c>
      <c r="F81" s="65" t="s">
        <v>103</v>
      </c>
      <c r="G81" s="65" t="s">
        <v>104</v>
      </c>
      <c r="H81" s="65" t="s">
        <v>105</v>
      </c>
      <c r="I81" s="65" t="s">
        <v>106</v>
      </c>
      <c r="J81" s="65" t="s">
        <v>107</v>
      </c>
      <c r="K81" s="65" t="s">
        <v>108</v>
      </c>
      <c r="L81" s="65" t="s">
        <v>109</v>
      </c>
      <c r="M81" s="65" t="s">
        <v>110</v>
      </c>
      <c r="N81" s="20" t="s">
        <v>111</v>
      </c>
    </row>
    <row r="82" spans="1:14" s="1" customFormat="1" ht="25.15" customHeight="1" thickBot="1" x14ac:dyDescent="0.45">
      <c r="A82" s="40" t="s">
        <v>61</v>
      </c>
      <c r="B82" s="42">
        <v>2000</v>
      </c>
      <c r="C82" s="42">
        <v>2000</v>
      </c>
      <c r="D82" s="42">
        <v>2000</v>
      </c>
      <c r="E82" s="42">
        <v>2000</v>
      </c>
      <c r="F82" s="42">
        <v>2000</v>
      </c>
      <c r="G82" s="42">
        <v>2000</v>
      </c>
      <c r="H82" s="42">
        <v>2000</v>
      </c>
      <c r="I82" s="42">
        <v>2000</v>
      </c>
      <c r="J82" s="42">
        <v>2000</v>
      </c>
      <c r="K82" s="42">
        <v>2000</v>
      </c>
      <c r="L82" s="42">
        <v>2000</v>
      </c>
      <c r="M82" s="42">
        <v>2000</v>
      </c>
      <c r="N82" s="43">
        <f>SUM(B82:M82)</f>
        <v>24000</v>
      </c>
    </row>
    <row r="83" spans="1:14" s="1" customFormat="1" ht="25.15" customHeight="1" thickBot="1" x14ac:dyDescent="0.45">
      <c r="A83" s="40" t="s">
        <v>62</v>
      </c>
      <c r="B83" s="42">
        <v>300</v>
      </c>
      <c r="C83" s="42">
        <v>300</v>
      </c>
      <c r="D83" s="42">
        <v>300</v>
      </c>
      <c r="E83" s="42">
        <v>300</v>
      </c>
      <c r="F83" s="42">
        <v>300</v>
      </c>
      <c r="G83" s="42">
        <v>300</v>
      </c>
      <c r="H83" s="42">
        <v>300</v>
      </c>
      <c r="I83" s="42">
        <v>300</v>
      </c>
      <c r="J83" s="42">
        <v>300</v>
      </c>
      <c r="K83" s="42">
        <v>300</v>
      </c>
      <c r="L83" s="42">
        <v>300</v>
      </c>
      <c r="M83" s="42">
        <v>300</v>
      </c>
      <c r="N83" s="43">
        <f>SUM(B83:M83)</f>
        <v>3600</v>
      </c>
    </row>
    <row r="84" spans="1:14" s="1" customFormat="1" ht="25.15" customHeight="1" thickBot="1" x14ac:dyDescent="0.45">
      <c r="A84" s="40" t="s">
        <v>120</v>
      </c>
      <c r="B84" s="42">
        <v>141.85</v>
      </c>
      <c r="C84" s="42">
        <v>141.85</v>
      </c>
      <c r="D84" s="42">
        <v>141.85</v>
      </c>
      <c r="E84" s="42">
        <v>141.85</v>
      </c>
      <c r="F84" s="42">
        <v>141.85</v>
      </c>
      <c r="G84" s="42">
        <v>141.85</v>
      </c>
      <c r="H84" s="42">
        <v>141.85</v>
      </c>
      <c r="I84" s="42">
        <v>141.85</v>
      </c>
      <c r="J84" s="42">
        <v>141.85</v>
      </c>
      <c r="K84" s="42">
        <v>141.85</v>
      </c>
      <c r="L84" s="42">
        <v>141.85</v>
      </c>
      <c r="M84" s="42">
        <v>141.85</v>
      </c>
      <c r="N84" s="43">
        <f>SUM(B84:M84)</f>
        <v>1702.1999999999996</v>
      </c>
    </row>
    <row r="85" spans="1:14" s="1" customFormat="1" ht="21" customHeight="1" thickBot="1" x14ac:dyDescent="0.45">
      <c r="A85" s="40" t="s">
        <v>121</v>
      </c>
      <c r="B85" s="42">
        <v>20</v>
      </c>
      <c r="C85" s="42">
        <v>20</v>
      </c>
      <c r="D85" s="42">
        <v>20</v>
      </c>
      <c r="E85" s="42">
        <v>20</v>
      </c>
      <c r="F85" s="42">
        <v>20</v>
      </c>
      <c r="G85" s="42">
        <v>20</v>
      </c>
      <c r="H85" s="42">
        <v>20</v>
      </c>
      <c r="I85" s="42">
        <v>20</v>
      </c>
      <c r="J85" s="42">
        <v>20</v>
      </c>
      <c r="K85" s="42">
        <v>20</v>
      </c>
      <c r="L85" s="42">
        <v>20</v>
      </c>
      <c r="M85" s="42">
        <v>20</v>
      </c>
      <c r="N85" s="43">
        <f>SUM(B85:M85)</f>
        <v>240</v>
      </c>
    </row>
    <row r="86" spans="1:14" s="1" customFormat="1" ht="25.15" customHeight="1" x14ac:dyDescent="0.4">
      <c r="A86" s="24" t="s">
        <v>113</v>
      </c>
      <c r="B86" s="43">
        <f>SUBTOTAL(109,DPSeguros[JANV])</f>
        <v>2461.85</v>
      </c>
      <c r="C86" s="43">
        <f>SUBTOTAL(109,DPSeguros[FÉVR])</f>
        <v>2461.85</v>
      </c>
      <c r="D86" s="43">
        <f>SUBTOTAL(109,DPSeguros[MARS])</f>
        <v>2461.85</v>
      </c>
      <c r="E86" s="43">
        <f>SUBTOTAL(109,DPSeguros[AVR])</f>
        <v>2461.85</v>
      </c>
      <c r="F86" s="43">
        <f>SUBTOTAL(109,DPSeguros[MAI])</f>
        <v>2461.85</v>
      </c>
      <c r="G86" s="43">
        <f>SUBTOTAL(109,DPSeguros[JUIN])</f>
        <v>2461.85</v>
      </c>
      <c r="H86" s="43">
        <f>SUBTOTAL(109,DPSeguros[JUIL])</f>
        <v>2461.85</v>
      </c>
      <c r="I86" s="43">
        <f>SUBTOTAL(109,DPSeguros[AOÛT])</f>
        <v>2461.85</v>
      </c>
      <c r="J86" s="43">
        <f>SUBTOTAL(109,DPSeguros[SEPT])</f>
        <v>2461.85</v>
      </c>
      <c r="K86" s="43">
        <f>SUBTOTAL(109,DPSeguros[OCT])</f>
        <v>2461.85</v>
      </c>
      <c r="L86" s="43">
        <f>SUBTOTAL(109,DPSeguros[NOV])</f>
        <v>2461.85</v>
      </c>
      <c r="M86" s="43">
        <f>SUBTOTAL(109,DPSeguros[DÉC])</f>
        <v>2461.85</v>
      </c>
      <c r="N86" s="43">
        <f>SUBTOTAL(109,DPSeguros[ANNÉE])</f>
        <v>29542.2</v>
      </c>
    </row>
    <row r="87" spans="1:14" s="1" customFormat="1" ht="25.15" customHeight="1" x14ac:dyDescent="0.4">
      <c r="A87" s="31"/>
      <c r="B87" s="31"/>
      <c r="C87" s="38"/>
      <c r="D87" s="38"/>
      <c r="E87" s="38"/>
      <c r="F87" s="38"/>
      <c r="G87" s="38"/>
      <c r="H87" s="38"/>
      <c r="I87" s="38"/>
      <c r="J87" s="38"/>
      <c r="K87" s="38"/>
      <c r="L87" s="38"/>
      <c r="M87" s="38"/>
      <c r="N87" s="37"/>
    </row>
    <row r="88" spans="1:14" s="1" customFormat="1" ht="25.15" customHeight="1" thickBot="1" x14ac:dyDescent="0.45">
      <c r="A88" s="21" t="s">
        <v>65</v>
      </c>
      <c r="B88" s="64" t="s">
        <v>99</v>
      </c>
      <c r="C88" s="65" t="s">
        <v>100</v>
      </c>
      <c r="D88" s="65" t="s">
        <v>101</v>
      </c>
      <c r="E88" s="65" t="s">
        <v>102</v>
      </c>
      <c r="F88" s="65" t="s">
        <v>103</v>
      </c>
      <c r="G88" s="65" t="s">
        <v>104</v>
      </c>
      <c r="H88" s="65" t="s">
        <v>105</v>
      </c>
      <c r="I88" s="65" t="s">
        <v>106</v>
      </c>
      <c r="J88" s="65" t="s">
        <v>107</v>
      </c>
      <c r="K88" s="65" t="s">
        <v>108</v>
      </c>
      <c r="L88" s="65" t="s">
        <v>109</v>
      </c>
      <c r="M88" s="65" t="s">
        <v>110</v>
      </c>
      <c r="N88" s="66" t="s">
        <v>111</v>
      </c>
    </row>
    <row r="89" spans="1:14" s="1" customFormat="1" ht="25.15" customHeight="1" thickBot="1" x14ac:dyDescent="0.45">
      <c r="A89" s="213" t="s">
        <v>66</v>
      </c>
      <c r="B89" s="42">
        <v>100</v>
      </c>
      <c r="C89" s="42">
        <v>100</v>
      </c>
      <c r="D89" s="42">
        <v>100</v>
      </c>
      <c r="E89" s="42">
        <v>100</v>
      </c>
      <c r="F89" s="42">
        <v>100</v>
      </c>
      <c r="G89" s="42">
        <v>100</v>
      </c>
      <c r="H89" s="42">
        <v>100</v>
      </c>
      <c r="I89" s="42">
        <v>100</v>
      </c>
      <c r="J89" s="42">
        <v>100</v>
      </c>
      <c r="K89" s="42">
        <v>100</v>
      </c>
      <c r="L89" s="42">
        <v>100</v>
      </c>
      <c r="M89" s="42">
        <v>100</v>
      </c>
      <c r="N89" s="43">
        <f t="shared" ref="N89:N96" si="2">SUM(B89:M89)</f>
        <v>1200</v>
      </c>
    </row>
    <row r="90" spans="1:14" s="1" customFormat="1" ht="25.15" customHeight="1" thickBot="1" x14ac:dyDescent="0.45">
      <c r="A90" s="213" t="s">
        <v>67</v>
      </c>
      <c r="B90" s="42">
        <v>230</v>
      </c>
      <c r="C90" s="42">
        <v>230</v>
      </c>
      <c r="D90" s="42">
        <v>230</v>
      </c>
      <c r="E90" s="42">
        <v>230</v>
      </c>
      <c r="F90" s="42">
        <v>230</v>
      </c>
      <c r="G90" s="42">
        <v>230</v>
      </c>
      <c r="H90" s="42">
        <v>230</v>
      </c>
      <c r="I90" s="42">
        <v>230</v>
      </c>
      <c r="J90" s="42">
        <v>230</v>
      </c>
      <c r="K90" s="42">
        <v>230</v>
      </c>
      <c r="L90" s="42">
        <v>230</v>
      </c>
      <c r="M90" s="42">
        <v>230</v>
      </c>
      <c r="N90" s="43">
        <f t="shared" si="2"/>
        <v>2760</v>
      </c>
    </row>
    <row r="91" spans="1:14" s="1" customFormat="1" ht="25.15" customHeight="1" thickBot="1" x14ac:dyDescent="0.45">
      <c r="A91" s="213" t="s">
        <v>68</v>
      </c>
      <c r="B91" s="42">
        <v>1700</v>
      </c>
      <c r="C91" s="42">
        <v>1700</v>
      </c>
      <c r="D91" s="42">
        <v>1700</v>
      </c>
      <c r="E91" s="42">
        <v>1700</v>
      </c>
      <c r="F91" s="42">
        <v>1700</v>
      </c>
      <c r="G91" s="42">
        <v>1700</v>
      </c>
      <c r="H91" s="42">
        <v>1700</v>
      </c>
      <c r="I91" s="42">
        <v>1700</v>
      </c>
      <c r="J91" s="42">
        <v>1700</v>
      </c>
      <c r="K91" s="42">
        <v>1700</v>
      </c>
      <c r="L91" s="42">
        <v>1700</v>
      </c>
      <c r="M91" s="42">
        <v>1700</v>
      </c>
      <c r="N91" s="43">
        <f t="shared" si="2"/>
        <v>20400</v>
      </c>
    </row>
    <row r="92" spans="1:14" s="1" customFormat="1" ht="25.15" customHeight="1" thickBot="1" x14ac:dyDescent="0.45">
      <c r="A92" s="213" t="s">
        <v>69</v>
      </c>
      <c r="B92" s="42">
        <v>135</v>
      </c>
      <c r="C92" s="42">
        <v>135</v>
      </c>
      <c r="D92" s="42">
        <v>135</v>
      </c>
      <c r="E92" s="42">
        <v>135</v>
      </c>
      <c r="F92" s="42">
        <v>135</v>
      </c>
      <c r="G92" s="42">
        <v>135</v>
      </c>
      <c r="H92" s="42">
        <v>135</v>
      </c>
      <c r="I92" s="42">
        <v>135</v>
      </c>
      <c r="J92" s="42">
        <v>135</v>
      </c>
      <c r="K92" s="42">
        <v>135</v>
      </c>
      <c r="L92" s="42">
        <v>135</v>
      </c>
      <c r="M92" s="42">
        <v>135</v>
      </c>
      <c r="N92" s="43">
        <f t="shared" si="2"/>
        <v>1620</v>
      </c>
    </row>
    <row r="93" spans="1:14" ht="25.15" customHeight="1" thickBot="1" x14ac:dyDescent="0.45">
      <c r="A93" s="213" t="s">
        <v>70</v>
      </c>
      <c r="B93" s="42">
        <v>100</v>
      </c>
      <c r="C93" s="42">
        <v>100</v>
      </c>
      <c r="D93" s="42">
        <v>100</v>
      </c>
      <c r="E93" s="42">
        <v>100</v>
      </c>
      <c r="F93" s="42">
        <v>100</v>
      </c>
      <c r="G93" s="42">
        <v>100</v>
      </c>
      <c r="H93" s="42">
        <v>100</v>
      </c>
      <c r="I93" s="42">
        <v>100</v>
      </c>
      <c r="J93" s="42">
        <v>100</v>
      </c>
      <c r="K93" s="42">
        <v>100</v>
      </c>
      <c r="L93" s="42">
        <v>100</v>
      </c>
      <c r="M93" s="42">
        <v>100</v>
      </c>
      <c r="N93" s="43">
        <f t="shared" si="2"/>
        <v>1200</v>
      </c>
    </row>
    <row r="94" spans="1:14" ht="25.15" customHeight="1" thickBot="1" x14ac:dyDescent="0.45">
      <c r="A94" s="213" t="s">
        <v>71</v>
      </c>
      <c r="B94" s="42">
        <v>115</v>
      </c>
      <c r="C94" s="42">
        <v>115</v>
      </c>
      <c r="D94" s="42">
        <v>115</v>
      </c>
      <c r="E94" s="42">
        <v>115</v>
      </c>
      <c r="F94" s="42">
        <v>115</v>
      </c>
      <c r="G94" s="42">
        <v>115</v>
      </c>
      <c r="H94" s="42">
        <v>115</v>
      </c>
      <c r="I94" s="42">
        <v>115</v>
      </c>
      <c r="J94" s="42">
        <v>115</v>
      </c>
      <c r="K94" s="42">
        <v>115</v>
      </c>
      <c r="L94" s="42">
        <v>115</v>
      </c>
      <c r="M94" s="42">
        <v>115</v>
      </c>
      <c r="N94" s="43">
        <f t="shared" si="2"/>
        <v>1380</v>
      </c>
    </row>
    <row r="95" spans="1:14" ht="25.15" customHeight="1" thickBot="1" x14ac:dyDescent="0.45">
      <c r="A95" s="213" t="s">
        <v>72</v>
      </c>
      <c r="B95" s="42">
        <v>0</v>
      </c>
      <c r="C95" s="42">
        <v>0</v>
      </c>
      <c r="D95" s="42">
        <v>0</v>
      </c>
      <c r="E95" s="42">
        <v>0</v>
      </c>
      <c r="F95" s="42">
        <v>0</v>
      </c>
      <c r="G95" s="42">
        <v>0</v>
      </c>
      <c r="H95" s="42">
        <v>0</v>
      </c>
      <c r="I95" s="42">
        <v>0</v>
      </c>
      <c r="J95" s="42">
        <v>0</v>
      </c>
      <c r="K95" s="42">
        <v>0</v>
      </c>
      <c r="L95" s="42">
        <v>0</v>
      </c>
      <c r="M95" s="42">
        <v>0</v>
      </c>
      <c r="N95" s="43">
        <f t="shared" si="2"/>
        <v>0</v>
      </c>
    </row>
    <row r="96" spans="1:14" ht="25.15" customHeight="1" thickBot="1" x14ac:dyDescent="0.45">
      <c r="A96" s="213" t="s">
        <v>73</v>
      </c>
      <c r="B96" s="42">
        <v>105</v>
      </c>
      <c r="C96" s="42">
        <v>105</v>
      </c>
      <c r="D96" s="42">
        <v>105</v>
      </c>
      <c r="E96" s="42">
        <v>105</v>
      </c>
      <c r="F96" s="42">
        <v>120</v>
      </c>
      <c r="G96" s="42">
        <v>120</v>
      </c>
      <c r="H96" s="42">
        <v>120</v>
      </c>
      <c r="I96" s="42">
        <v>120</v>
      </c>
      <c r="J96" s="42">
        <v>120</v>
      </c>
      <c r="K96" s="42">
        <v>120</v>
      </c>
      <c r="L96" s="42">
        <v>120</v>
      </c>
      <c r="M96" s="42">
        <v>120</v>
      </c>
      <c r="N96" s="43">
        <f t="shared" si="2"/>
        <v>1380</v>
      </c>
    </row>
    <row r="97" spans="1:15" ht="25.15" customHeight="1" x14ac:dyDescent="0.4">
      <c r="A97" s="26" t="s">
        <v>113</v>
      </c>
      <c r="B97" s="43">
        <f>SUBTOTAL(109,DPServicos[JANV])</f>
        <v>2485</v>
      </c>
      <c r="C97" s="43">
        <f>SUBTOTAL(109,DPServicos[FÉVR])</f>
        <v>2485</v>
      </c>
      <c r="D97" s="43">
        <f>SUBTOTAL(109,DPServicos[MARS])</f>
        <v>2485</v>
      </c>
      <c r="E97" s="43">
        <f>SUBTOTAL(109,DPServicos[AVR])</f>
        <v>2485</v>
      </c>
      <c r="F97" s="43">
        <f>SUBTOTAL(109,DPServicos[MAI])</f>
        <v>2500</v>
      </c>
      <c r="G97" s="43">
        <f>SUBTOTAL(109,DPServicos[JUIN])</f>
        <v>2500</v>
      </c>
      <c r="H97" s="43">
        <f>SUBTOTAL(109,DPServicos[JUIL])</f>
        <v>2500</v>
      </c>
      <c r="I97" s="43">
        <f>SUBTOTAL(109,DPServicos[AOÛT])</f>
        <v>2500</v>
      </c>
      <c r="J97" s="43">
        <f>SUBTOTAL(109,DPServicos[SEPT])</f>
        <v>2500</v>
      </c>
      <c r="K97" s="43">
        <f>SUBTOTAL(109,DPServicos[OCT])</f>
        <v>2500</v>
      </c>
      <c r="L97" s="43">
        <f>SUBTOTAL(109,DPServicos[NOV])</f>
        <v>2500</v>
      </c>
      <c r="M97" s="43">
        <f>SUBTOTAL(109,DPServicos[DÉC])</f>
        <v>2500</v>
      </c>
      <c r="N97" s="43">
        <f>SUBTOTAL(109,DPServicos[ANNÉE])</f>
        <v>29940</v>
      </c>
    </row>
    <row r="98" spans="1:15" ht="25.15" customHeight="1" x14ac:dyDescent="0.4">
      <c r="A98" s="31"/>
      <c r="B98" s="31"/>
      <c r="C98" s="31"/>
      <c r="D98" s="31"/>
      <c r="E98" s="31"/>
      <c r="F98" s="31"/>
      <c r="G98" s="31"/>
      <c r="H98" s="31"/>
      <c r="I98" s="31"/>
      <c r="J98" s="31"/>
      <c r="K98" s="31"/>
      <c r="L98" s="31"/>
      <c r="M98" s="31"/>
      <c r="N98" s="31"/>
    </row>
    <row r="99" spans="1:15" ht="25.15" customHeight="1" thickBot="1" x14ac:dyDescent="0.45">
      <c r="A99" s="17" t="s">
        <v>74</v>
      </c>
      <c r="B99" s="64" t="s">
        <v>99</v>
      </c>
      <c r="C99" s="65" t="s">
        <v>100</v>
      </c>
      <c r="D99" s="65" t="s">
        <v>101</v>
      </c>
      <c r="E99" s="65" t="s">
        <v>102</v>
      </c>
      <c r="F99" s="65" t="s">
        <v>103</v>
      </c>
      <c r="G99" s="65" t="s">
        <v>104</v>
      </c>
      <c r="H99" s="65" t="s">
        <v>105</v>
      </c>
      <c r="I99" s="65" t="s">
        <v>106</v>
      </c>
      <c r="J99" s="65" t="s">
        <v>107</v>
      </c>
      <c r="K99" s="65" t="s">
        <v>108</v>
      </c>
      <c r="L99" s="65" t="s">
        <v>109</v>
      </c>
      <c r="M99" s="65" t="s">
        <v>110</v>
      </c>
      <c r="N99" s="66" t="s">
        <v>111</v>
      </c>
    </row>
    <row r="100" spans="1:15" ht="25.15" customHeight="1" thickBot="1" x14ac:dyDescent="0.45">
      <c r="A100" s="40" t="s">
        <v>75</v>
      </c>
      <c r="B100" s="42">
        <v>45</v>
      </c>
      <c r="C100" s="42">
        <v>45</v>
      </c>
      <c r="D100" s="42">
        <v>45</v>
      </c>
      <c r="E100" s="42">
        <v>45</v>
      </c>
      <c r="F100" s="42">
        <v>45</v>
      </c>
      <c r="G100" s="42">
        <v>45</v>
      </c>
      <c r="H100" s="42">
        <v>45</v>
      </c>
      <c r="I100" s="42">
        <v>45</v>
      </c>
      <c r="J100" s="42">
        <v>45</v>
      </c>
      <c r="K100" s="42">
        <v>45</v>
      </c>
      <c r="L100" s="42">
        <v>45</v>
      </c>
      <c r="M100" s="42">
        <v>45</v>
      </c>
      <c r="N100" s="43">
        <f t="shared" ref="N100:N108" si="3">SUM(B100:M100)</f>
        <v>540</v>
      </c>
    </row>
    <row r="101" spans="1:15" ht="25.15" customHeight="1" thickBot="1" x14ac:dyDescent="0.45">
      <c r="A101" s="40" t="s">
        <v>76</v>
      </c>
      <c r="B101" s="42">
        <v>2490</v>
      </c>
      <c r="C101" s="42">
        <v>2490</v>
      </c>
      <c r="D101" s="42">
        <v>2490</v>
      </c>
      <c r="E101" s="42">
        <v>2490</v>
      </c>
      <c r="F101" s="42">
        <v>2490</v>
      </c>
      <c r="G101" s="42">
        <v>2490</v>
      </c>
      <c r="H101" s="42">
        <v>2490</v>
      </c>
      <c r="I101" s="42">
        <v>2490</v>
      </c>
      <c r="J101" s="42">
        <v>2490</v>
      </c>
      <c r="K101" s="42">
        <v>2490</v>
      </c>
      <c r="L101" s="42">
        <v>2490</v>
      </c>
      <c r="M101" s="42">
        <v>2490</v>
      </c>
      <c r="N101" s="43">
        <f t="shared" si="3"/>
        <v>29880</v>
      </c>
    </row>
    <row r="102" spans="1:15" ht="25.15" customHeight="1" thickBot="1" x14ac:dyDescent="0.45">
      <c r="A102" s="40" t="s">
        <v>77</v>
      </c>
      <c r="B102" s="42">
        <v>705</v>
      </c>
      <c r="C102" s="42">
        <v>705</v>
      </c>
      <c r="D102" s="42">
        <v>705</v>
      </c>
      <c r="E102" s="42">
        <v>705</v>
      </c>
      <c r="F102" s="42">
        <v>705</v>
      </c>
      <c r="G102" s="42">
        <v>705</v>
      </c>
      <c r="H102" s="42">
        <v>705</v>
      </c>
      <c r="I102" s="42">
        <v>705</v>
      </c>
      <c r="J102" s="42">
        <v>705</v>
      </c>
      <c r="K102" s="42">
        <v>705</v>
      </c>
      <c r="L102" s="42">
        <v>705</v>
      </c>
      <c r="M102" s="42">
        <v>705</v>
      </c>
      <c r="N102" s="43">
        <f t="shared" si="3"/>
        <v>8460</v>
      </c>
    </row>
    <row r="103" spans="1:15" ht="25.15" customHeight="1" thickBot="1" x14ac:dyDescent="0.45">
      <c r="A103" s="40" t="s">
        <v>78</v>
      </c>
      <c r="B103" s="42">
        <v>360</v>
      </c>
      <c r="C103" s="42">
        <v>360</v>
      </c>
      <c r="D103" s="42">
        <v>360</v>
      </c>
      <c r="E103" s="42">
        <v>360</v>
      </c>
      <c r="F103" s="42">
        <v>360</v>
      </c>
      <c r="G103" s="42">
        <v>360</v>
      </c>
      <c r="H103" s="42">
        <v>360</v>
      </c>
      <c r="I103" s="42">
        <v>360</v>
      </c>
      <c r="J103" s="42">
        <v>360</v>
      </c>
      <c r="K103" s="42">
        <v>360</v>
      </c>
      <c r="L103" s="42">
        <v>360</v>
      </c>
      <c r="M103" s="42">
        <v>360</v>
      </c>
      <c r="N103" s="43">
        <f t="shared" si="3"/>
        <v>4320</v>
      </c>
    </row>
    <row r="104" spans="1:15" ht="25.15" customHeight="1" thickBot="1" x14ac:dyDescent="0.45">
      <c r="A104" s="40" t="s">
        <v>79</v>
      </c>
      <c r="B104" s="42">
        <v>720</v>
      </c>
      <c r="C104" s="42">
        <v>720</v>
      </c>
      <c r="D104" s="42">
        <v>720</v>
      </c>
      <c r="E104" s="42">
        <v>720</v>
      </c>
      <c r="F104" s="42">
        <v>720</v>
      </c>
      <c r="G104" s="42">
        <v>720</v>
      </c>
      <c r="H104" s="42">
        <v>720</v>
      </c>
      <c r="I104" s="42">
        <v>720</v>
      </c>
      <c r="J104" s="42">
        <v>720</v>
      </c>
      <c r="K104" s="42">
        <v>720</v>
      </c>
      <c r="L104" s="42">
        <v>720</v>
      </c>
      <c r="M104" s="42">
        <v>720</v>
      </c>
      <c r="N104" s="43">
        <f t="shared" si="3"/>
        <v>8640</v>
      </c>
    </row>
    <row r="105" spans="1:15" ht="25.15" customHeight="1" thickBot="1" x14ac:dyDescent="0.45">
      <c r="A105" s="40" t="s">
        <v>80</v>
      </c>
      <c r="B105" s="42">
        <v>50</v>
      </c>
      <c r="C105" s="42">
        <v>50</v>
      </c>
      <c r="D105" s="42">
        <v>50</v>
      </c>
      <c r="E105" s="42">
        <v>50</v>
      </c>
      <c r="F105" s="42">
        <v>50</v>
      </c>
      <c r="G105" s="42">
        <v>50</v>
      </c>
      <c r="H105" s="42">
        <v>50</v>
      </c>
      <c r="I105" s="42">
        <v>50</v>
      </c>
      <c r="J105" s="42">
        <v>50</v>
      </c>
      <c r="K105" s="42">
        <v>50</v>
      </c>
      <c r="L105" s="42">
        <v>50</v>
      </c>
      <c r="M105" s="42">
        <v>50</v>
      </c>
      <c r="N105" s="43">
        <f t="shared" si="3"/>
        <v>600</v>
      </c>
    </row>
    <row r="106" spans="1:15" ht="25.15" customHeight="1" thickBot="1" x14ac:dyDescent="0.45">
      <c r="A106" s="40" t="s">
        <v>81</v>
      </c>
      <c r="B106" s="42">
        <v>80</v>
      </c>
      <c r="C106" s="42">
        <v>80</v>
      </c>
      <c r="D106" s="42">
        <v>80</v>
      </c>
      <c r="E106" s="42">
        <v>80</v>
      </c>
      <c r="F106" s="42">
        <v>80</v>
      </c>
      <c r="G106" s="42">
        <v>80</v>
      </c>
      <c r="H106" s="42">
        <v>80</v>
      </c>
      <c r="I106" s="42">
        <v>80</v>
      </c>
      <c r="J106" s="42">
        <v>80</v>
      </c>
      <c r="K106" s="42">
        <v>80</v>
      </c>
      <c r="L106" s="42">
        <v>80</v>
      </c>
      <c r="M106" s="42">
        <v>80</v>
      </c>
      <c r="N106" s="43">
        <f t="shared" si="3"/>
        <v>960</v>
      </c>
    </row>
    <row r="107" spans="1:15" ht="25.15" customHeight="1" thickBot="1" x14ac:dyDescent="0.45">
      <c r="A107" s="40" t="s">
        <v>122</v>
      </c>
      <c r="B107" s="42">
        <v>0</v>
      </c>
      <c r="C107" s="42">
        <v>0</v>
      </c>
      <c r="D107" s="42">
        <v>0</v>
      </c>
      <c r="E107" s="42">
        <v>0</v>
      </c>
      <c r="F107" s="42">
        <v>0</v>
      </c>
      <c r="G107" s="42">
        <v>0</v>
      </c>
      <c r="H107" s="42">
        <v>0</v>
      </c>
      <c r="I107" s="42">
        <v>0</v>
      </c>
      <c r="J107" s="42">
        <v>0</v>
      </c>
      <c r="K107" s="42">
        <v>0</v>
      </c>
      <c r="L107" s="42">
        <v>0</v>
      </c>
      <c r="M107" s="42">
        <v>0</v>
      </c>
      <c r="N107" s="43">
        <f t="shared" si="3"/>
        <v>0</v>
      </c>
    </row>
    <row r="108" spans="1:15" ht="21" customHeight="1" thickBot="1" x14ac:dyDescent="0.45">
      <c r="A108" s="40" t="s">
        <v>4</v>
      </c>
      <c r="B108" s="42">
        <v>370</v>
      </c>
      <c r="C108" s="42">
        <v>370</v>
      </c>
      <c r="D108" s="42">
        <v>370</v>
      </c>
      <c r="E108" s="42">
        <v>370</v>
      </c>
      <c r="F108" s="42">
        <v>370</v>
      </c>
      <c r="G108" s="42">
        <v>370</v>
      </c>
      <c r="H108" s="42">
        <v>370</v>
      </c>
      <c r="I108" s="42">
        <v>370</v>
      </c>
      <c r="J108" s="42">
        <v>370</v>
      </c>
      <c r="K108" s="42">
        <v>370</v>
      </c>
      <c r="L108" s="42">
        <v>370</v>
      </c>
      <c r="M108" s="42">
        <v>370</v>
      </c>
      <c r="N108" s="43">
        <f t="shared" si="3"/>
        <v>4440</v>
      </c>
    </row>
    <row r="109" spans="1:15" ht="25.15" customHeight="1" x14ac:dyDescent="0.4">
      <c r="A109" s="25" t="s">
        <v>113</v>
      </c>
      <c r="B109" s="43">
        <f>SUBTOTAL(109,DPViagens[JANV])</f>
        <v>4820</v>
      </c>
      <c r="C109" s="43">
        <f>SUBTOTAL(109,DPViagens[FÉVR])</f>
        <v>4820</v>
      </c>
      <c r="D109" s="43">
        <f>SUBTOTAL(109,DPViagens[MARS])</f>
        <v>4820</v>
      </c>
      <c r="E109" s="43">
        <f>SUBTOTAL(109,DPViagens[AVR])</f>
        <v>4820</v>
      </c>
      <c r="F109" s="43">
        <f>SUBTOTAL(109,DPViagens[MAI])</f>
        <v>4820</v>
      </c>
      <c r="G109" s="43">
        <f>SUBTOTAL(109,DPViagens[JUIN])</f>
        <v>4820</v>
      </c>
      <c r="H109" s="43">
        <f>SUBTOTAL(109,DPViagens[JUIL])</f>
        <v>4820</v>
      </c>
      <c r="I109" s="43">
        <f>SUBTOTAL(109,DPViagens[AOÛT])</f>
        <v>4820</v>
      </c>
      <c r="J109" s="43">
        <f>SUBTOTAL(109,DPViagens[SEPT])</f>
        <v>4820</v>
      </c>
      <c r="K109" s="43">
        <f>SUBTOTAL(109,DPViagens[OCT])</f>
        <v>4820</v>
      </c>
      <c r="L109" s="43">
        <f>SUBTOTAL(109,DPViagens[NOV])</f>
        <v>4820</v>
      </c>
      <c r="M109" s="43">
        <f>SUBTOTAL(109,DPViagens[DÉC])</f>
        <v>4820</v>
      </c>
      <c r="N109" s="43">
        <f>SUBTOTAL(109,DPViagens[ANNÉE])</f>
        <v>57840</v>
      </c>
    </row>
    <row r="110" spans="1:15" ht="25.15" customHeight="1" x14ac:dyDescent="0.35">
      <c r="A110" s="31"/>
      <c r="B110" s="31"/>
      <c r="C110" s="37"/>
      <c r="D110" s="37"/>
      <c r="E110" s="37"/>
      <c r="F110" s="37"/>
      <c r="G110" s="37"/>
      <c r="H110" s="37"/>
      <c r="I110" s="37"/>
      <c r="J110" s="37"/>
      <c r="K110" s="37"/>
      <c r="L110" s="37"/>
      <c r="M110" s="37"/>
      <c r="N110" s="37"/>
      <c r="O110"/>
    </row>
    <row r="111" spans="1:15" ht="25.15" customHeight="1" thickBot="1" x14ac:dyDescent="0.4">
      <c r="A111" s="10" t="s">
        <v>123</v>
      </c>
      <c r="B111" s="11" t="s">
        <v>124</v>
      </c>
      <c r="C111" s="11" t="s">
        <v>125</v>
      </c>
      <c r="D111" s="11" t="s">
        <v>126</v>
      </c>
      <c r="E111" s="11" t="s">
        <v>127</v>
      </c>
      <c r="F111" s="11" t="s">
        <v>128</v>
      </c>
      <c r="G111" s="11" t="s">
        <v>129</v>
      </c>
      <c r="H111" s="11" t="s">
        <v>130</v>
      </c>
      <c r="I111" s="11" t="s">
        <v>131</v>
      </c>
      <c r="J111" s="11" t="s">
        <v>132</v>
      </c>
      <c r="K111" s="11" t="s">
        <v>133</v>
      </c>
      <c r="L111" s="11" t="s">
        <v>134</v>
      </c>
      <c r="M111" s="11" t="s">
        <v>135</v>
      </c>
      <c r="N111" s="28" t="s">
        <v>136</v>
      </c>
      <c r="O111"/>
    </row>
    <row r="112" spans="1:15" ht="21" customHeight="1" thickBot="1" x14ac:dyDescent="0.45">
      <c r="A112" s="27" t="s">
        <v>137</v>
      </c>
      <c r="B112" s="44">
        <f>DPAlimentacaoLimpeza[[#Totals],[JANV]] + DPCaridadeDoacoes[[#Totals],[JANV]] + DPCarro[[#Totals],[JANV]] + DPCriaturasEstimacao[[#Totals],[JANV]] + DPCuidadosPessoaisFormacao[[#Totals],[JANV]] + DPDespesasBancarias[[#Totals],[JANV]] + DPDespesasMedicas[[#Totals],[JANV]] + DPEletronicaInformatica[[#Totals],[JANV]] + DPImpostos[[#Totals],[JANV]] + DPLazer[[#Totals],[JANV]] + DPManutencaoCasa[[#Totals],[JANV]] + DPSeguros[[#Totals],[JANV]] + DPServicos[[#Totals],[JANV]] + DPViagens[[#Totals],[JANV]]</f>
        <v>22354.35</v>
      </c>
      <c r="C112" s="44">
        <f>DPAlimentacaoLimpeza[[#Totals],[FÉVR]] + DPCaridadeDoacoes[[#Totals],[FÉVR]] + DPCarro[[#Totals],[FÉVR]] + DPCriaturasEstimacao[[#Totals],[FÉVR]] + DPCuidadosPessoaisFormacao[[#Totals],[FÉVR]] + DPDespesasBancarias[[#Totals],[FÉVR]] + DPDespesasMedicas[[#Totals],[FÉVR]] + DPEletronicaInformatica[[#Totals],[FÉVR]] + DPImpostos[[#Totals],[FÉVR]] + DPLazer[[#Totals],[FÉVR]] + DPManutencaoCasa[[#Totals],[FÉVR]] + DPSeguros[[#Totals],[FÉVR]] + DPServicos[[#Totals],[FÉVR]] + DPViagens[[#Totals],[FÉVR]]</f>
        <v>22354.35</v>
      </c>
      <c r="D112" s="44">
        <f>DPAlimentacaoLimpeza[[#Totals],[MARS]] + DPCaridadeDoacoes[[#Totals],[MARS]] + DPCarro[[#Totals],[MARS]] + DPCriaturasEstimacao[[#Totals],[MARS]] + DPCuidadosPessoaisFormacao[[#Totals],[MARS]] + DPDespesasBancarias[[#Totals],[MARS]] + DPDespesasMedicas[[#Totals],[MARS]] + DPEletronicaInformatica[[#Totals],[MARS]] + DPImpostos[[#Totals],[MARS]] + DPLazer[[#Totals],[MARS]] + DPManutencaoCasa[[#Totals],[MARS]] + DPSeguros[[#Totals],[MARS]] + DPServicos[[#Totals],[MARS]] + DPViagens[[#Totals],[MARS]]</f>
        <v>22354.35</v>
      </c>
      <c r="E112" s="44">
        <f>DPAlimentacaoLimpeza[[#Totals],[AVR]] + DPCaridadeDoacoes[[#Totals],[AVR]] + DPCarro[[#Totals],[AVR]] + DPCriaturasEstimacao[[#Totals],[AVR]] + DPCuidadosPessoaisFormacao[[#Totals],[AVR]] + DPDespesasBancarias[[#Totals],[AVR]] + DPDespesasMedicas[[#Totals],[AVR]] + DPEletronicaInformatica[[#Totals],[AVR]] + DPImpostos[[#Totals],[AVR]] + DPLazer[[#Totals],[AVR]] + DPManutencaoCasa[[#Totals],[AVR]] + DPSeguros[[#Totals],[AVR]] + DPServicos[[#Totals],[AVR]] + DPViagens[[#Totals],[AVR]]</f>
        <v>22354.35</v>
      </c>
      <c r="F112" s="44">
        <f>DPAlimentacaoLimpeza[[#Totals],[MAI]] + DPCaridadeDoacoes[[#Totals],[MAI]] + DPCarro[[#Totals],[MAI]] + DPCriaturasEstimacao[[#Totals],[MAI]] + DPCuidadosPessoaisFormacao[[#Totals],[MAI]] + DPDespesasBancarias[[#Totals],[MAI]] + DPDespesasMedicas[[#Totals],[MAI]] + DPEletronicaInformatica[[#Totals],[MAI]] + DPImpostos[[#Totals],[MAI]] + DPLazer[[#Totals],[MAI]] + DPManutencaoCasa[[#Totals],[MAI]] + DPSeguros[[#Totals],[MAI]] + DPServicos[[#Totals],[MAI]] + DPViagens[[#Totals],[MAI]]</f>
        <v>22369.35</v>
      </c>
      <c r="G112" s="44">
        <f>DPAlimentacaoLimpeza[[#Totals],[JUIN]] + DPCaridadeDoacoes[[#Totals],[JUIN]] + DPCarro[[#Totals],[JUIN]] + DPCriaturasEstimacao[[#Totals],[JUIN]] + DPCuidadosPessoaisFormacao[[#Totals],[JUIN]] + DPDespesasBancarias[[#Totals],[JUIN]] + DPDespesasMedicas[[#Totals],[JUIN]] + DPEletronicaInformatica[[#Totals],[JUIN]] + DPImpostos[[#Totals],[JUIN]] + DPLazer[[#Totals],[JUIN]] + DPManutencaoCasa[[#Totals],[JUIN]] + DPSeguros[[#Totals],[JUIN]] + DPServicos[[#Totals],[JUIN]] + DPViagens[[#Totals],[JUIN]]</f>
        <v>22369.35</v>
      </c>
      <c r="H112" s="44">
        <f>DPAlimentacaoLimpeza[[#Totals],[JUIL]] + DPCaridadeDoacoes[[#Totals],[JUIL]] + DPCarro[[#Totals],[JUIL]] + DPCriaturasEstimacao[[#Totals],[JUIL]] + DPCuidadosPessoaisFormacao[[#Totals],[JUIL]] + DPDespesasBancarias[[#Totals],[JUIL]] + DPDespesasMedicas[[#Totals],[JUIL]] + DPEletronicaInformatica[[#Totals],[JUIL]] + DPImpostos[[#Totals],[JUIL]] + DPLazer[[#Totals],[JUIL]] + DPManutencaoCasa[[#Totals],[JUIL]] + DPSeguros[[#Totals],[JUIL]] + DPServicos[[#Totals],[JUIL]] + DPViagens[[#Totals],[JUIL]]</f>
        <v>22369.35</v>
      </c>
      <c r="I112" s="44">
        <f>DPAlimentacaoLimpeza[[#Totals],[AOÛT]] + DPCaridadeDoacoes[[#Totals],[AOÛT]] + DPCarro[[#Totals],[AOÛT]] + DPCriaturasEstimacao[[#Totals],[AOÛT]] + DPCuidadosPessoaisFormacao[[#Totals],[AOÛT]] + DPDespesasBancarias[[#Totals],[AOÛT]] + DPDespesasMedicas[[#Totals],[AOÛT]] + DPEletronicaInformatica[[#Totals],[AOÛT]] + DPImpostos[[#Totals],[AOÛT]] + DPLazer[[#Totals],[AOÛT]] + DPManutencaoCasa[[#Totals],[AOÛT]] + DPSeguros[[#Totals],[AOÛT]] + DPServicos[[#Totals],[AOÛT]] + DPViagens[[#Totals],[AOÛT]]</f>
        <v>22369.35</v>
      </c>
      <c r="J112" s="44">
        <f>DPAlimentacaoLimpeza[[#Totals],[SEPT]] + DPCaridadeDoacoes[[#Totals],[SEPT]] + DPCarro[[#Totals],[SEPT]] + DPCriaturasEstimacao[[#Totals],[SEPT]] + DPCuidadosPessoaisFormacao[[#Totals],[SEPT]] + DPDespesasBancarias[[#Totals],[SEPT]] + DPDespesasMedicas[[#Totals],[SEPT]] + DPEletronicaInformatica[[#Totals],[SEPT]] + DPImpostos[[#Totals],[SEPT]] + DPLazer[[#Totals],[SEPT]] + DPManutencaoCasa[[#Totals],[SEPT]] + DPSeguros[[#Totals],[SEPT]] + DPServicos[[#Totals],[SEPT]] + DPViagens[[#Totals],[SEPT]]</f>
        <v>22369.35</v>
      </c>
      <c r="K112" s="44">
        <f>DPAlimentacaoLimpeza[[#Totals],[OCT]] + DPCaridadeDoacoes[[#Totals],[OCT]] + DPCarro[[#Totals],[OCT]] + DPCriaturasEstimacao[[#Totals],[OCT]] + DPCuidadosPessoaisFormacao[[#Totals],[OCT]] + DPDespesasBancarias[[#Totals],[OCT]] + DPDespesasMedicas[[#Totals],[OCT]] + DPEletronicaInformatica[[#Totals],[OCT]] + DPImpostos[[#Totals],[OCT]] + DPLazer[[#Totals],[OCT]] + DPManutencaoCasa[[#Totals],[OCT]] + DPSeguros[[#Totals],[OCT]] + DPServicos[[#Totals],[OCT]] + DPViagens[[#Totals],[OCT]]</f>
        <v>22369.35</v>
      </c>
      <c r="L112" s="44">
        <f>DPAlimentacaoLimpeza[[#Totals],[NOV]] + DPCaridadeDoacoes[[#Totals],[NOV]] + DPCarro[[#Totals],[NOV]] + DPCriaturasEstimacao[[#Totals],[NOV]] + DPCuidadosPessoaisFormacao[[#Totals],[NOV]] + DPDespesasBancarias[[#Totals],[NOV]] + DPDespesasMedicas[[#Totals],[NOV]] + DPEletronicaInformatica[[#Totals],[NOV]] + DPImpostos[[#Totals],[NOV]] + DPLazer[[#Totals],[NOV]] + DPManutencaoCasa[[#Totals],[NOV]] + DPSeguros[[#Totals],[NOV]] + DPServicos[[#Totals],[NOV]] + DPViagens[[#Totals],[NOV]]</f>
        <v>22369.35</v>
      </c>
      <c r="M112" s="44">
        <f>DPAlimentacaoLimpeza[[#Totals],[DÉC]] + DPCaridadeDoacoes[[#Totals],[DÉC]] + DPCarro[[#Totals],[DÉC]] + DPCriaturasEstimacao[[#Totals],[DÉC]] + DPCuidadosPessoaisFormacao[[#Totals],[DÉC]] + DPDespesasBancarias[[#Totals],[DÉC]] + DPDespesasMedicas[[#Totals],[DÉC]] + DPEletronicaInformatica[[#Totals],[DÉC]] + DPImpostos[[#Totals],[DÉC]] + DPLazer[[#Totals],[DÉC]] + DPManutencaoCasa[[#Totals],[DÉC]] + DPSeguros[[#Totals],[DÉC]] + DPServicos[[#Totals],[DÉC]] + DPViagens[[#Totals],[DÉC]]</f>
        <v>22369.35</v>
      </c>
      <c r="N112" s="44">
        <f>DPAlimentacaoLimpeza[[#Totals],[ANNÉE]] + DPCaridadeDoacoes[[#Totals],[ANNÉE]] + DPCarro[[#Totals],[ANNÉE]] + DPCriaturasEstimacao[[#Totals],[ANNÉE]] + DPCuidadosPessoaisFormacao[[#Totals],[ANNÉE]] + DPDespesasBancarias[[#Totals],[ANNÉE]] + DPDespesasMedicas[[#Totals],[ANNÉE]] + DPEletronicaInformatica[[#Totals],[ANNÉE]] + DPImpostos[[#Totals],[ANNÉE]] + DPLazer[[#Totals],[ANNÉE]] + DPManutencaoCasa[[#Totals],[ANNÉE]] + DPSeguros[[#Totals],[ANNÉE]] + DPServicos[[#Totals],[ANNÉE]] + DPViagens[[#Totals],[ANNÉE]]</f>
        <v>268372.2</v>
      </c>
    </row>
    <row r="113" spans="1:14" ht="21" customHeight="1" thickBot="1" x14ac:dyDescent="0.45">
      <c r="A113" s="27" t="s">
        <v>138</v>
      </c>
      <c r="B113" s="44">
        <f>SUM($B$112:B112)</f>
        <v>22354.35</v>
      </c>
      <c r="C113" s="44">
        <f>SUM($B$112:C112)</f>
        <v>44708.7</v>
      </c>
      <c r="D113" s="44">
        <f>SUM($B$112:D112)</f>
        <v>67063.049999999988</v>
      </c>
      <c r="E113" s="44">
        <f>SUM($B$112:E112)</f>
        <v>89417.4</v>
      </c>
      <c r="F113" s="44">
        <f>SUM($B$112:F112)</f>
        <v>111786.75</v>
      </c>
      <c r="G113" s="44">
        <f>SUM($B$112:G112)</f>
        <v>134156.1</v>
      </c>
      <c r="H113" s="44">
        <f>SUM($B$112:H112)</f>
        <v>156525.45000000001</v>
      </c>
      <c r="I113" s="44">
        <f>SUM($B$112:I112)</f>
        <v>178894.80000000002</v>
      </c>
      <c r="J113" s="44">
        <f>SUM($B$112:J112)</f>
        <v>201264.15000000002</v>
      </c>
      <c r="K113" s="44">
        <f>SUM($B$112:K112)</f>
        <v>223633.50000000003</v>
      </c>
      <c r="L113" s="44">
        <f>SUM($B$112:L112)</f>
        <v>246002.85000000003</v>
      </c>
      <c r="M113" s="44">
        <f>SUM($B$112:M112)</f>
        <v>268372.2</v>
      </c>
      <c r="N113" s="44"/>
    </row>
    <row r="114" spans="1:14" ht="21" customHeight="1" x14ac:dyDescent="0.4">
      <c r="K114" s="7"/>
      <c r="L114" s="7"/>
      <c r="M114" s="7"/>
      <c r="N114" s="7"/>
    </row>
  </sheetData>
  <dataValidations count="1">
    <dataValidation type="list" allowBlank="1" showInputMessage="1" showErrorMessage="1" sqref="A2 A99 A49 A43 A35 A18 A29 A23 A8 A13 A67" xr:uid="{00000000-0002-0000-0200-000000000000}">
      <formula1>#REF!</formula1>
    </dataValidation>
  </dataValidations>
  <pageMargins left="0.7" right="0.7" top="0.75" bottom="0.75" header="0.3" footer="0.3"/>
  <pageSetup paperSize="9" scale="81" fitToHeight="0" orientation="portrait"/>
  <rowBreaks count="1" manualBreakCount="1">
    <brk id="94" max="16383" man="1"/>
  </rowBreaks>
  <colBreaks count="1" manualBreakCount="1">
    <brk id="5" max="1048575" man="1"/>
  </colBreaks>
  <tableParts count="1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7"/>
    <pageSetUpPr autoPageBreaks="0"/>
  </sheetPr>
  <dimension ref="A1:BZN114"/>
  <sheetViews>
    <sheetView showGridLines="0" zoomScale="150" zoomScaleNormal="150" workbookViewId="0">
      <pane xSplit="1" ySplit="1" topLeftCell="B105" activePane="bottomRight" state="frozen"/>
      <selection pane="topRight" activeCell="C1" sqref="C1"/>
      <selection pane="bottomLeft" activeCell="A5" sqref="A5"/>
      <selection pane="bottomRight" activeCell="B94" sqref="B94"/>
    </sheetView>
  </sheetViews>
  <sheetFormatPr baseColWidth="10" defaultColWidth="9.3046875" defaultRowHeight="21" customHeight="1" x14ac:dyDescent="0.4"/>
  <cols>
    <col min="1" max="1" width="63.3828125" style="2" customWidth="1"/>
    <col min="2" max="13" width="17.61328125" style="2" customWidth="1"/>
    <col min="14" max="14" width="16.69140625" style="2" customWidth="1"/>
    <col min="15" max="15" width="17.3046875" style="1" customWidth="1"/>
    <col min="16" max="25" width="9.3046875" style="2" customWidth="1"/>
    <col min="26" max="16384" width="9.3046875" style="2"/>
  </cols>
  <sheetData>
    <row r="1" spans="1:16" s="6" customFormat="1" ht="34.9" customHeight="1" x14ac:dyDescent="0.4">
      <c r="A1" s="79" t="s">
        <v>139</v>
      </c>
      <c r="B1" s="79" t="s">
        <v>85</v>
      </c>
      <c r="C1" s="79" t="s">
        <v>86</v>
      </c>
      <c r="D1" s="79" t="s">
        <v>87</v>
      </c>
      <c r="E1" s="79" t="s">
        <v>88</v>
      </c>
      <c r="F1" s="79" t="s">
        <v>89</v>
      </c>
      <c r="G1" s="79" t="s">
        <v>90</v>
      </c>
      <c r="H1" s="79" t="s">
        <v>91</v>
      </c>
      <c r="I1" s="79" t="s">
        <v>92</v>
      </c>
      <c r="J1" s="79" t="s">
        <v>93</v>
      </c>
      <c r="K1" s="79" t="s">
        <v>94</v>
      </c>
      <c r="L1" s="79" t="s">
        <v>95</v>
      </c>
      <c r="M1" s="79" t="s">
        <v>96</v>
      </c>
      <c r="N1" s="79" t="s">
        <v>97</v>
      </c>
      <c r="O1" s="78" t="s">
        <v>98</v>
      </c>
    </row>
    <row r="2" spans="1:16" ht="25.15" customHeight="1" thickBot="1" x14ac:dyDescent="0.45">
      <c r="A2" s="17" t="s">
        <v>1</v>
      </c>
      <c r="B2" s="64" t="s">
        <v>99</v>
      </c>
      <c r="C2" s="65" t="s">
        <v>100</v>
      </c>
      <c r="D2" s="65" t="s">
        <v>101</v>
      </c>
      <c r="E2" s="65" t="s">
        <v>102</v>
      </c>
      <c r="F2" s="65" t="s">
        <v>103</v>
      </c>
      <c r="G2" s="65" t="s">
        <v>104</v>
      </c>
      <c r="H2" s="65" t="s">
        <v>105</v>
      </c>
      <c r="I2" s="65" t="s">
        <v>106</v>
      </c>
      <c r="J2" s="65" t="s">
        <v>107</v>
      </c>
      <c r="K2" s="65" t="s">
        <v>108</v>
      </c>
      <c r="L2" s="65" t="s">
        <v>109</v>
      </c>
      <c r="M2" s="65" t="s">
        <v>110</v>
      </c>
      <c r="N2" s="66" t="s">
        <v>111</v>
      </c>
      <c r="O2" s="19" t="s">
        <v>140</v>
      </c>
      <c r="P2" s="1"/>
    </row>
    <row r="3" spans="1:16" ht="25.15" customHeight="1" thickBot="1" x14ac:dyDescent="0.45">
      <c r="A3" s="40" t="s">
        <v>2</v>
      </c>
      <c r="B3" s="42">
        <v>0</v>
      </c>
      <c r="C3" s="42"/>
      <c r="D3" s="42"/>
      <c r="E3" s="42"/>
      <c r="F3" s="42"/>
      <c r="G3" s="42"/>
      <c r="H3" s="42"/>
      <c r="I3" s="42"/>
      <c r="J3" s="42"/>
      <c r="K3" s="42"/>
      <c r="L3" s="42"/>
      <c r="M3" s="42">
        <v>0</v>
      </c>
      <c r="N3" s="43">
        <f>SUM(B3:M3)</f>
        <v>0</v>
      </c>
      <c r="O3" s="43">
        <f>AVERAGE(B3:M3)</f>
        <v>0</v>
      </c>
      <c r="P3" s="1"/>
    </row>
    <row r="4" spans="1:16" ht="25.15" customHeight="1" thickBot="1" x14ac:dyDescent="0.45">
      <c r="A4" s="40" t="s">
        <v>112</v>
      </c>
      <c r="B4" s="42">
        <v>0</v>
      </c>
      <c r="C4" s="63"/>
      <c r="D4" s="42"/>
      <c r="E4" s="41"/>
      <c r="F4" s="42"/>
      <c r="G4" s="41"/>
      <c r="H4" s="41"/>
      <c r="I4" s="41"/>
      <c r="J4" s="41"/>
      <c r="K4" s="41"/>
      <c r="L4" s="41"/>
      <c r="M4" s="42">
        <v>0</v>
      </c>
      <c r="N4" s="43"/>
      <c r="O4" s="43">
        <f>AVERAGE(B4:M4)</f>
        <v>0</v>
      </c>
      <c r="P4" s="1"/>
    </row>
    <row r="5" spans="1:16" ht="25.15" customHeight="1" thickBot="1" x14ac:dyDescent="0.45">
      <c r="A5" s="40" t="s">
        <v>4</v>
      </c>
      <c r="B5" s="42">
        <v>1750.29</v>
      </c>
      <c r="C5" s="42"/>
      <c r="D5" s="42"/>
      <c r="E5" s="42"/>
      <c r="F5" s="42"/>
      <c r="G5" s="42"/>
      <c r="H5" s="42"/>
      <c r="I5" s="42"/>
      <c r="J5" s="42"/>
      <c r="K5" s="42"/>
      <c r="L5" s="42"/>
      <c r="M5" s="42">
        <v>0</v>
      </c>
      <c r="N5" s="43">
        <f>SUM(B5:M5)</f>
        <v>1750.29</v>
      </c>
      <c r="O5" s="43">
        <f>AVERAGE(B5:M5)</f>
        <v>875.14499999999998</v>
      </c>
      <c r="P5" s="1"/>
    </row>
    <row r="6" spans="1:16" ht="25.15" customHeight="1" x14ac:dyDescent="0.4">
      <c r="A6" s="25" t="s">
        <v>113</v>
      </c>
      <c r="B6" s="43">
        <f>SUBTOTAL(109,DRAlimentacaoLimpeza[JANV])</f>
        <v>1750.29</v>
      </c>
      <c r="C6" s="43">
        <f>SUBTOTAL(109,DRAlimentacaoLimpeza[FÉVR])</f>
        <v>0</v>
      </c>
      <c r="D6" s="43">
        <f>SUBTOTAL(109,DRAlimentacaoLimpeza[MARS])</f>
        <v>0</v>
      </c>
      <c r="E6" s="43">
        <f>SUBTOTAL(109,DRAlimentacaoLimpeza[AVR])</f>
        <v>0</v>
      </c>
      <c r="F6" s="43">
        <f>SUBTOTAL(109,DRAlimentacaoLimpeza[MAI])</f>
        <v>0</v>
      </c>
      <c r="G6" s="43">
        <f>SUBTOTAL(109,DRAlimentacaoLimpeza[JUIN])</f>
        <v>0</v>
      </c>
      <c r="H6" s="43">
        <f>SUBTOTAL(109,DRAlimentacaoLimpeza[JUIL])</f>
        <v>0</v>
      </c>
      <c r="I6" s="43">
        <f>SUBTOTAL(109,DRAlimentacaoLimpeza[AOÛT])</f>
        <v>0</v>
      </c>
      <c r="J6" s="43">
        <f>SUBTOTAL(109,DRAlimentacaoLimpeza[SEPT])</f>
        <v>0</v>
      </c>
      <c r="K6" s="43">
        <f>SUBTOTAL(109,DRAlimentacaoLimpeza[OCT])</f>
        <v>0</v>
      </c>
      <c r="L6" s="43">
        <f>SUBTOTAL(109,DRAlimentacaoLimpeza[NOV])</f>
        <v>0</v>
      </c>
      <c r="M6" s="43">
        <f>SUBTOTAL(109,DRAlimentacaoLimpeza[DÉC])</f>
        <v>0</v>
      </c>
      <c r="N6" s="43">
        <f>SUBTOTAL(109,DRAlimentacaoLimpeza[ANNÉE])</f>
        <v>1750.29</v>
      </c>
      <c r="O6" s="43"/>
      <c r="P6" s="1"/>
    </row>
    <row r="7" spans="1:16" ht="25.15" customHeight="1" thickBot="1" x14ac:dyDescent="0.45">
      <c r="A7" s="12"/>
      <c r="B7" s="12"/>
      <c r="C7" s="12"/>
      <c r="D7" s="12"/>
      <c r="E7" s="12"/>
      <c r="F7" s="12"/>
      <c r="G7" s="12"/>
      <c r="H7" s="12"/>
      <c r="I7" s="12"/>
      <c r="J7" s="12"/>
      <c r="K7" s="12"/>
      <c r="L7" s="12"/>
      <c r="M7" s="12"/>
      <c r="N7" s="12"/>
    </row>
    <row r="8" spans="1:16" ht="25.15" customHeight="1" thickBot="1" x14ac:dyDescent="0.35">
      <c r="A8" s="17" t="s">
        <v>5</v>
      </c>
      <c r="B8" s="64" t="s">
        <v>99</v>
      </c>
      <c r="C8" s="65" t="s">
        <v>100</v>
      </c>
      <c r="D8" s="65" t="s">
        <v>101</v>
      </c>
      <c r="E8" s="65" t="s">
        <v>102</v>
      </c>
      <c r="F8" s="65" t="s">
        <v>103</v>
      </c>
      <c r="G8" s="65" t="s">
        <v>104</v>
      </c>
      <c r="H8" s="65" t="s">
        <v>105</v>
      </c>
      <c r="I8" s="65" t="s">
        <v>106</v>
      </c>
      <c r="J8" s="65" t="s">
        <v>107</v>
      </c>
      <c r="K8" s="65" t="s">
        <v>108</v>
      </c>
      <c r="L8" s="65" t="s">
        <v>109</v>
      </c>
      <c r="M8" s="65" t="s">
        <v>110</v>
      </c>
      <c r="N8" s="66" t="s">
        <v>111</v>
      </c>
      <c r="O8" s="93" t="s">
        <v>141</v>
      </c>
    </row>
    <row r="9" spans="1:16" ht="25.15" customHeight="1" thickBot="1" x14ac:dyDescent="0.35">
      <c r="A9" s="40" t="s">
        <v>6</v>
      </c>
      <c r="B9" s="42">
        <v>220</v>
      </c>
      <c r="C9" s="42"/>
      <c r="D9" s="42"/>
      <c r="E9" s="42"/>
      <c r="F9" s="42"/>
      <c r="G9" s="42"/>
      <c r="H9" s="42"/>
      <c r="I9" s="42"/>
      <c r="J9" s="42"/>
      <c r="K9" s="42"/>
      <c r="L9" s="42"/>
      <c r="M9" s="42">
        <v>0</v>
      </c>
      <c r="N9" s="43">
        <f>SUM(B9:M9)</f>
        <v>220</v>
      </c>
      <c r="O9" s="76">
        <f>AVERAGE(B9:M9)</f>
        <v>110</v>
      </c>
    </row>
    <row r="10" spans="1:16" ht="25.15" customHeight="1" thickBot="1" x14ac:dyDescent="0.35">
      <c r="A10" s="40" t="s">
        <v>7</v>
      </c>
      <c r="B10" s="42">
        <v>0</v>
      </c>
      <c r="C10" s="42"/>
      <c r="D10" s="42"/>
      <c r="E10" s="42"/>
      <c r="F10" s="42"/>
      <c r="G10" s="42"/>
      <c r="H10" s="42"/>
      <c r="I10" s="42"/>
      <c r="J10" s="42"/>
      <c r="K10" s="42"/>
      <c r="L10" s="42"/>
      <c r="M10" s="42">
        <v>0</v>
      </c>
      <c r="N10" s="43">
        <f>SUM(B10:M10)</f>
        <v>0</v>
      </c>
      <c r="O10" s="76">
        <f>AVERAGE(B10:M10)</f>
        <v>0</v>
      </c>
    </row>
    <row r="11" spans="1:16" ht="25.15" customHeight="1" x14ac:dyDescent="0.3">
      <c r="A11" s="25" t="s">
        <v>113</v>
      </c>
      <c r="B11" s="43">
        <f>SUBTOTAL(109,DRCaridadeDoacoes[JANV])</f>
        <v>220</v>
      </c>
      <c r="C11" s="43">
        <f>SUBTOTAL(109,DRCaridadeDoacoes[FÉVR])</f>
        <v>0</v>
      </c>
      <c r="D11" s="43">
        <f>SUBTOTAL(109,DRCaridadeDoacoes[MARS])</f>
        <v>0</v>
      </c>
      <c r="E11" s="43">
        <f>SUBTOTAL(109,DRCaridadeDoacoes[AVR])</f>
        <v>0</v>
      </c>
      <c r="F11" s="43">
        <f>SUBTOTAL(109,DRCaridadeDoacoes[MAI])</f>
        <v>0</v>
      </c>
      <c r="G11" s="43">
        <f>SUBTOTAL(109,DRCaridadeDoacoes[JUIN])</f>
        <v>0</v>
      </c>
      <c r="H11" s="43">
        <f>SUBTOTAL(109,DRCaridadeDoacoes[JUIL])</f>
        <v>0</v>
      </c>
      <c r="I11" s="43">
        <f>SUBTOTAL(109,DRCaridadeDoacoes[AOÛT])</f>
        <v>0</v>
      </c>
      <c r="J11" s="43">
        <f>SUBTOTAL(109,DRCaridadeDoacoes[SEPT])</f>
        <v>0</v>
      </c>
      <c r="K11" s="43">
        <f>SUBTOTAL(109,DRCaridadeDoacoes[OCT])</f>
        <v>0</v>
      </c>
      <c r="L11" s="43">
        <f>SUBTOTAL(109,DRCaridadeDoacoes[NOV])</f>
        <v>0</v>
      </c>
      <c r="M11" s="43">
        <f>SUBTOTAL(109,DRCaridadeDoacoes[DÉC])</f>
        <v>0</v>
      </c>
      <c r="N11" s="43">
        <f>SUBTOTAL(109,DRCaridadeDoacoes[ANNÉE])</f>
        <v>220</v>
      </c>
      <c r="O11" s="76">
        <f>AVERAGE(B11:M11)</f>
        <v>18.333333333333332</v>
      </c>
    </row>
    <row r="12" spans="1:16" ht="25.15" customHeight="1" thickBot="1" x14ac:dyDescent="0.45">
      <c r="A12" s="12"/>
      <c r="B12" s="12"/>
      <c r="C12" s="12"/>
      <c r="D12" s="12"/>
      <c r="E12" s="12"/>
      <c r="F12" s="12"/>
      <c r="G12" s="12"/>
      <c r="H12" s="12"/>
      <c r="I12" s="12"/>
      <c r="J12" s="12"/>
      <c r="K12" s="12"/>
      <c r="L12" s="12"/>
      <c r="M12" s="12"/>
      <c r="N12" s="12"/>
    </row>
    <row r="13" spans="1:16" ht="25.15" customHeight="1" thickBot="1" x14ac:dyDescent="0.35">
      <c r="A13" s="17" t="s">
        <v>8</v>
      </c>
      <c r="B13" s="64" t="s">
        <v>99</v>
      </c>
      <c r="C13" s="65" t="s">
        <v>100</v>
      </c>
      <c r="D13" s="65" t="s">
        <v>101</v>
      </c>
      <c r="E13" s="65" t="s">
        <v>102</v>
      </c>
      <c r="F13" s="65" t="s">
        <v>103</v>
      </c>
      <c r="G13" s="65" t="s">
        <v>104</v>
      </c>
      <c r="H13" s="65" t="s">
        <v>105</v>
      </c>
      <c r="I13" s="65" t="s">
        <v>106</v>
      </c>
      <c r="J13" s="65" t="s">
        <v>107</v>
      </c>
      <c r="K13" s="65" t="s">
        <v>108</v>
      </c>
      <c r="L13" s="65" t="s">
        <v>109</v>
      </c>
      <c r="M13" s="65" t="s">
        <v>110</v>
      </c>
      <c r="N13" s="66" t="s">
        <v>111</v>
      </c>
      <c r="O13" s="93" t="s">
        <v>141</v>
      </c>
    </row>
    <row r="14" spans="1:16" ht="25.15" customHeight="1" thickBot="1" x14ac:dyDescent="0.35">
      <c r="A14" s="40" t="s">
        <v>9</v>
      </c>
      <c r="B14" s="42">
        <v>100</v>
      </c>
      <c r="C14" s="42"/>
      <c r="D14" s="42"/>
      <c r="E14" s="42"/>
      <c r="F14" s="42"/>
      <c r="G14" s="42"/>
      <c r="H14" s="42"/>
      <c r="I14" s="42"/>
      <c r="J14" s="42"/>
      <c r="K14" s="42"/>
      <c r="L14" s="42"/>
      <c r="M14" s="42">
        <v>0</v>
      </c>
      <c r="N14" s="43">
        <f>SUM(B14:M14)</f>
        <v>100</v>
      </c>
      <c r="O14" s="76">
        <f>AVERAGE(B14:M14)</f>
        <v>50</v>
      </c>
    </row>
    <row r="15" spans="1:16" ht="25.15" customHeight="1" thickBot="1" x14ac:dyDescent="0.35">
      <c r="A15" s="40" t="s">
        <v>10</v>
      </c>
      <c r="B15" s="42">
        <v>0</v>
      </c>
      <c r="C15" s="42"/>
      <c r="D15" s="42"/>
      <c r="E15" s="42"/>
      <c r="F15" s="42"/>
      <c r="G15" s="42"/>
      <c r="H15" s="42"/>
      <c r="I15" s="42"/>
      <c r="J15" s="42"/>
      <c r="K15" s="42"/>
      <c r="L15" s="42"/>
      <c r="M15" s="42">
        <v>0</v>
      </c>
      <c r="N15" s="43">
        <f>SUM(B15:M15)</f>
        <v>0</v>
      </c>
      <c r="O15" s="76">
        <f>AVERAGE(B15:M15)</f>
        <v>0</v>
      </c>
    </row>
    <row r="16" spans="1:16" ht="25.15" customHeight="1" x14ac:dyDescent="0.3">
      <c r="A16" s="25" t="s">
        <v>113</v>
      </c>
      <c r="B16" s="43">
        <f>SUBTOTAL(109,DRCarro[JANV])</f>
        <v>100</v>
      </c>
      <c r="C16" s="43">
        <f>SUBTOTAL(109,DRCarro[FÉVR])</f>
        <v>0</v>
      </c>
      <c r="D16" s="43">
        <f>SUBTOTAL(109,DRCarro[MARS])</f>
        <v>0</v>
      </c>
      <c r="E16" s="43">
        <f>SUBTOTAL(109,DRCarro[AVR])</f>
        <v>0</v>
      </c>
      <c r="F16" s="43">
        <f>SUBTOTAL(109,DRCarro[MAI])</f>
        <v>0</v>
      </c>
      <c r="G16" s="43">
        <f>SUBTOTAL(109,DRCarro[JUIN])</f>
        <v>0</v>
      </c>
      <c r="H16" s="43">
        <f>SUBTOTAL(109,DRCarro[JUIL])</f>
        <v>0</v>
      </c>
      <c r="I16" s="43">
        <f>SUBTOTAL(109,DRCarro[AOÛT])</f>
        <v>0</v>
      </c>
      <c r="J16" s="43">
        <f>SUBTOTAL(109,DRCarro[SEPT])</f>
        <v>0</v>
      </c>
      <c r="K16" s="43">
        <f>SUBTOTAL(109,DRCarro[OCT])</f>
        <v>0</v>
      </c>
      <c r="L16" s="43">
        <f>SUBTOTAL(109,DRCarro[NOV])</f>
        <v>0</v>
      </c>
      <c r="M16" s="43">
        <f>SUBTOTAL(109,DRCarro[DÉC])</f>
        <v>0</v>
      </c>
      <c r="N16" s="43">
        <f>SUBTOTAL(109,DRCarro[ANNÉE])</f>
        <v>100</v>
      </c>
      <c r="O16" s="76">
        <f>AVERAGE(B16:M16)</f>
        <v>8.3333333333333339</v>
      </c>
    </row>
    <row r="17" spans="1:15" ht="25.15" customHeight="1" x14ac:dyDescent="0.4">
      <c r="A17" s="31"/>
      <c r="B17" s="31"/>
      <c r="C17" s="31"/>
      <c r="D17" s="31"/>
      <c r="E17" s="31"/>
      <c r="F17" s="31"/>
      <c r="G17" s="31"/>
      <c r="H17" s="31"/>
      <c r="I17" s="31"/>
      <c r="J17" s="31"/>
      <c r="K17" s="31"/>
      <c r="L17" s="31"/>
      <c r="M17" s="31"/>
      <c r="N17" s="31"/>
    </row>
    <row r="18" spans="1:15" ht="25.15" customHeight="1" thickBot="1" x14ac:dyDescent="0.45">
      <c r="A18" s="17" t="s">
        <v>11</v>
      </c>
      <c r="B18" s="64" t="s">
        <v>99</v>
      </c>
      <c r="C18" s="65" t="s">
        <v>100</v>
      </c>
      <c r="D18" s="65" t="s">
        <v>101</v>
      </c>
      <c r="E18" s="65" t="s">
        <v>102</v>
      </c>
      <c r="F18" s="65" t="s">
        <v>103</v>
      </c>
      <c r="G18" s="65" t="s">
        <v>104</v>
      </c>
      <c r="H18" s="65" t="s">
        <v>105</v>
      </c>
      <c r="I18" s="65" t="s">
        <v>106</v>
      </c>
      <c r="J18" s="65" t="s">
        <v>107</v>
      </c>
      <c r="K18" s="65" t="s">
        <v>108</v>
      </c>
      <c r="L18" s="65" t="s">
        <v>109</v>
      </c>
      <c r="M18" s="65" t="s">
        <v>110</v>
      </c>
      <c r="N18" s="66" t="s">
        <v>111</v>
      </c>
    </row>
    <row r="19" spans="1:15" ht="25.15" customHeight="1" thickBot="1" x14ac:dyDescent="0.35">
      <c r="A19" s="40" t="s">
        <v>12</v>
      </c>
      <c r="B19" s="42">
        <v>0</v>
      </c>
      <c r="C19" s="42"/>
      <c r="D19" s="42"/>
      <c r="E19" s="42"/>
      <c r="F19" s="42"/>
      <c r="G19" s="42"/>
      <c r="H19" s="42"/>
      <c r="I19" s="42"/>
      <c r="J19" s="42"/>
      <c r="K19" s="42"/>
      <c r="L19" s="42"/>
      <c r="M19" s="42">
        <v>0</v>
      </c>
      <c r="N19" s="43">
        <f>SUM(B19:M19)</f>
        <v>0</v>
      </c>
      <c r="O19" s="76">
        <f>AVERAGE(B19:M19)</f>
        <v>0</v>
      </c>
    </row>
    <row r="20" spans="1:15" ht="25.15" customHeight="1" thickBot="1" x14ac:dyDescent="0.35">
      <c r="A20" s="40" t="s">
        <v>13</v>
      </c>
      <c r="B20" s="42">
        <v>0</v>
      </c>
      <c r="C20" s="42"/>
      <c r="D20" s="42"/>
      <c r="E20" s="42"/>
      <c r="F20" s="42"/>
      <c r="G20" s="42"/>
      <c r="H20" s="42"/>
      <c r="I20" s="42"/>
      <c r="J20" s="42"/>
      <c r="K20" s="42"/>
      <c r="L20" s="42"/>
      <c r="M20" s="42">
        <v>0</v>
      </c>
      <c r="N20" s="43">
        <f>SUM(B20:M20)</f>
        <v>0</v>
      </c>
      <c r="O20" s="76">
        <f>AVERAGE(B20:M20)</f>
        <v>0</v>
      </c>
    </row>
    <row r="21" spans="1:15" ht="25.15" customHeight="1" x14ac:dyDescent="0.3">
      <c r="A21" s="25" t="s">
        <v>113</v>
      </c>
      <c r="B21" s="43">
        <f>SUBTOTAL(109,DRCriaturasEstimacao[JANV])</f>
        <v>0</v>
      </c>
      <c r="C21" s="43">
        <f>SUBTOTAL(109,DRCriaturasEstimacao[FÉVR])</f>
        <v>0</v>
      </c>
      <c r="D21" s="43">
        <f>SUBTOTAL(109,DRCriaturasEstimacao[MARS])</f>
        <v>0</v>
      </c>
      <c r="E21" s="43">
        <f>SUBTOTAL(109,DRCriaturasEstimacao[AVR])</f>
        <v>0</v>
      </c>
      <c r="F21" s="43">
        <f>SUBTOTAL(109,DRCriaturasEstimacao[MAI])</f>
        <v>0</v>
      </c>
      <c r="G21" s="43">
        <f>SUBTOTAL(109,DRCriaturasEstimacao[JUIN])</f>
        <v>0</v>
      </c>
      <c r="H21" s="43">
        <f>SUBTOTAL(109,DRCriaturasEstimacao[JUIL])</f>
        <v>0</v>
      </c>
      <c r="I21" s="43">
        <f>SUBTOTAL(109,DRCriaturasEstimacao[AOÛT])</f>
        <v>0</v>
      </c>
      <c r="J21" s="43">
        <f>SUBTOTAL(109,DRCriaturasEstimacao[SEPT])</f>
        <v>0</v>
      </c>
      <c r="K21" s="43">
        <f>SUBTOTAL(109,DRCriaturasEstimacao[OCT])</f>
        <v>0</v>
      </c>
      <c r="L21" s="43">
        <f>SUBTOTAL(109,DRCriaturasEstimacao[NOV])</f>
        <v>0</v>
      </c>
      <c r="M21" s="43">
        <f>SUBTOTAL(109,DRCriaturasEstimacao[DÉC])</f>
        <v>0</v>
      </c>
      <c r="N21" s="43">
        <f>SUBTOTAL(109,DRCriaturasEstimacao[ANNÉE])</f>
        <v>0</v>
      </c>
      <c r="O21" s="76">
        <f>AVERAGE(B21:M21)</f>
        <v>0</v>
      </c>
    </row>
    <row r="22" spans="1:15" ht="25.15" customHeight="1" x14ac:dyDescent="0.4">
      <c r="A22" s="31"/>
      <c r="B22" s="31"/>
      <c r="C22" s="31"/>
      <c r="D22" s="31"/>
      <c r="E22" s="31"/>
      <c r="F22" s="31"/>
      <c r="G22" s="31"/>
      <c r="H22" s="31"/>
      <c r="I22" s="31"/>
      <c r="J22" s="31"/>
      <c r="K22" s="31"/>
      <c r="L22" s="31"/>
      <c r="M22" s="31"/>
      <c r="N22" s="31"/>
    </row>
    <row r="23" spans="1:15" ht="25.15" customHeight="1" thickBot="1" x14ac:dyDescent="0.45">
      <c r="A23" s="17" t="s">
        <v>14</v>
      </c>
      <c r="B23" s="64" t="s">
        <v>99</v>
      </c>
      <c r="C23" s="65" t="s">
        <v>100</v>
      </c>
      <c r="D23" s="65" t="s">
        <v>101</v>
      </c>
      <c r="E23" s="65" t="s">
        <v>102</v>
      </c>
      <c r="F23" s="65" t="s">
        <v>103</v>
      </c>
      <c r="G23" s="65" t="s">
        <v>104</v>
      </c>
      <c r="H23" s="65" t="s">
        <v>105</v>
      </c>
      <c r="I23" s="65" t="s">
        <v>106</v>
      </c>
      <c r="J23" s="65" t="s">
        <v>107</v>
      </c>
      <c r="K23" s="65" t="s">
        <v>108</v>
      </c>
      <c r="L23" s="65" t="s">
        <v>109</v>
      </c>
      <c r="M23" s="65" t="s">
        <v>110</v>
      </c>
      <c r="N23" s="66" t="s">
        <v>111</v>
      </c>
    </row>
    <row r="24" spans="1:15" ht="25.15" customHeight="1" thickBot="1" x14ac:dyDescent="0.35">
      <c r="A24" s="40" t="s">
        <v>15</v>
      </c>
      <c r="B24" s="42">
        <v>93.1</v>
      </c>
      <c r="C24" s="42"/>
      <c r="D24" s="42"/>
      <c r="E24" s="42"/>
      <c r="F24" s="42"/>
      <c r="G24" s="42"/>
      <c r="H24" s="42"/>
      <c r="I24" s="42"/>
      <c r="J24" s="42"/>
      <c r="K24" s="42"/>
      <c r="L24" s="42"/>
      <c r="M24" s="42"/>
      <c r="N24" s="43">
        <f>SUM(B24:M24)</f>
        <v>93.1</v>
      </c>
      <c r="O24" s="76">
        <f>AVERAGE(B19:O19)</f>
        <v>0</v>
      </c>
    </row>
    <row r="25" spans="1:15" ht="25.15" customHeight="1" thickBot="1" x14ac:dyDescent="0.35">
      <c r="A25" s="40" t="s">
        <v>114</v>
      </c>
      <c r="B25" s="42">
        <v>182.45</v>
      </c>
      <c r="C25" s="42"/>
      <c r="D25" s="42"/>
      <c r="E25" s="42"/>
      <c r="F25" s="42"/>
      <c r="G25" s="42"/>
      <c r="H25" s="42"/>
      <c r="I25" s="42"/>
      <c r="J25" s="42"/>
      <c r="K25" s="42"/>
      <c r="L25" s="42"/>
      <c r="M25" s="42"/>
      <c r="N25" s="43">
        <f>SUM(B25:M25)</f>
        <v>182.45</v>
      </c>
      <c r="O25" s="76"/>
    </row>
    <row r="26" spans="1:15" ht="25.15" customHeight="1" thickBot="1" x14ac:dyDescent="0.35">
      <c r="A26" s="40" t="s">
        <v>17</v>
      </c>
      <c r="B26" s="42">
        <v>0</v>
      </c>
      <c r="C26" s="42"/>
      <c r="D26" s="42"/>
      <c r="E26" s="42"/>
      <c r="F26" s="42"/>
      <c r="G26" s="42"/>
      <c r="H26" s="42"/>
      <c r="I26" s="42"/>
      <c r="J26" s="42"/>
      <c r="K26" s="42"/>
      <c r="L26" s="42"/>
      <c r="M26" s="42"/>
      <c r="N26" s="43">
        <f>SUM(B26:M26)</f>
        <v>0</v>
      </c>
      <c r="O26" s="76"/>
    </row>
    <row r="27" spans="1:15" ht="25.15" customHeight="1" x14ac:dyDescent="0.3">
      <c r="A27" s="25" t="s">
        <v>113</v>
      </c>
      <c r="B27" s="43">
        <f>SUBTOTAL(109,DRCuidadosPessoaisFormacao[JANV])</f>
        <v>275.54999999999995</v>
      </c>
      <c r="C27" s="43">
        <f>SUBTOTAL(109,DRCuidadosPessoaisFormacao[FÉVR])</f>
        <v>0</v>
      </c>
      <c r="D27" s="43">
        <f>SUBTOTAL(109,DRCuidadosPessoaisFormacao[MARS])</f>
        <v>0</v>
      </c>
      <c r="E27" s="43">
        <f>SUBTOTAL(109,DRCuidadosPessoaisFormacao[AVR])</f>
        <v>0</v>
      </c>
      <c r="F27" s="43">
        <f>SUBTOTAL(109,DRCuidadosPessoaisFormacao[MAI])</f>
        <v>0</v>
      </c>
      <c r="G27" s="43">
        <f>SUBTOTAL(109,DRCuidadosPessoaisFormacao[JUIN])</f>
        <v>0</v>
      </c>
      <c r="H27" s="43">
        <f>SUBTOTAL(109,DRCuidadosPessoaisFormacao[JUIL])</f>
        <v>0</v>
      </c>
      <c r="I27" s="43">
        <f>SUBTOTAL(109,DRCuidadosPessoaisFormacao[AOÛT])</f>
        <v>0</v>
      </c>
      <c r="J27" s="43">
        <f>SUBTOTAL(109,DRCuidadosPessoaisFormacao[SEPT])</f>
        <v>0</v>
      </c>
      <c r="K27" s="43">
        <f>SUBTOTAL(109,DRCuidadosPessoaisFormacao[OCT])</f>
        <v>0</v>
      </c>
      <c r="L27" s="43">
        <f>SUBTOTAL(109,DRCuidadosPessoaisFormacao[NOV])</f>
        <v>0</v>
      </c>
      <c r="M27" s="43">
        <f>SUBTOTAL(109,DRCuidadosPessoaisFormacao[DÉC])</f>
        <v>0</v>
      </c>
      <c r="N27" s="43">
        <f>SUBTOTAL(109,DRCuidadosPessoaisFormacao[ANNÉE])</f>
        <v>275.54999999999995</v>
      </c>
      <c r="O27" s="76">
        <f>AVERAGE(B26:O26)</f>
        <v>0</v>
      </c>
    </row>
    <row r="28" spans="1:15" ht="25.15" customHeight="1" x14ac:dyDescent="0.4">
      <c r="A28" s="31"/>
      <c r="B28" s="31"/>
      <c r="C28" s="31"/>
      <c r="D28" s="31"/>
      <c r="E28" s="31"/>
      <c r="F28" s="31"/>
      <c r="G28" s="31"/>
      <c r="H28" s="31"/>
      <c r="I28" s="31"/>
      <c r="J28" s="31"/>
      <c r="K28" s="31"/>
      <c r="L28" s="31"/>
      <c r="M28" s="31"/>
      <c r="N28" s="31"/>
    </row>
    <row r="29" spans="1:15" ht="25.15" customHeight="1" thickBot="1" x14ac:dyDescent="0.45">
      <c r="A29" s="17" t="s">
        <v>18</v>
      </c>
      <c r="B29" s="64" t="s">
        <v>99</v>
      </c>
      <c r="C29" s="65" t="s">
        <v>100</v>
      </c>
      <c r="D29" s="65" t="s">
        <v>101</v>
      </c>
      <c r="E29" s="65" t="s">
        <v>102</v>
      </c>
      <c r="F29" s="65" t="s">
        <v>103</v>
      </c>
      <c r="G29" s="65" t="s">
        <v>104</v>
      </c>
      <c r="H29" s="65" t="s">
        <v>105</v>
      </c>
      <c r="I29" s="65" t="s">
        <v>106</v>
      </c>
      <c r="J29" s="65" t="s">
        <v>107</v>
      </c>
      <c r="K29" s="65" t="s">
        <v>108</v>
      </c>
      <c r="L29" s="65" t="s">
        <v>109</v>
      </c>
      <c r="M29" s="65" t="s">
        <v>110</v>
      </c>
      <c r="N29" s="66" t="s">
        <v>111</v>
      </c>
    </row>
    <row r="30" spans="1:15" ht="25.15" customHeight="1" thickBot="1" x14ac:dyDescent="0.35">
      <c r="A30" s="40" t="s">
        <v>19</v>
      </c>
      <c r="B30" s="42">
        <v>6.68</v>
      </c>
      <c r="C30" s="42"/>
      <c r="D30" s="42"/>
      <c r="E30" s="42"/>
      <c r="F30" s="42"/>
      <c r="G30" s="42"/>
      <c r="H30" s="42"/>
      <c r="I30" s="42"/>
      <c r="J30" s="42"/>
      <c r="K30" s="42"/>
      <c r="L30" s="42"/>
      <c r="M30" s="42">
        <v>0</v>
      </c>
      <c r="N30" s="43">
        <f>SUM(B30:M30)</f>
        <v>6.68</v>
      </c>
      <c r="O30" s="77">
        <f>AVERAGE(B30:M30)</f>
        <v>3.34</v>
      </c>
    </row>
    <row r="31" spans="1:15" ht="25.15" customHeight="1" thickBot="1" x14ac:dyDescent="0.35">
      <c r="A31" s="40" t="s">
        <v>115</v>
      </c>
      <c r="B31" s="42">
        <v>-5</v>
      </c>
      <c r="C31" s="42"/>
      <c r="D31" s="42"/>
      <c r="E31" s="42"/>
      <c r="F31" s="42"/>
      <c r="G31" s="42"/>
      <c r="H31" s="42"/>
      <c r="I31" s="42"/>
      <c r="J31" s="42"/>
      <c r="K31" s="42"/>
      <c r="L31" s="42"/>
      <c r="M31" s="42">
        <v>0</v>
      </c>
      <c r="N31" s="43">
        <f>SUM(B31:M31)</f>
        <v>-5</v>
      </c>
      <c r="O31" s="77">
        <f>AVERAGE(B31:M31)</f>
        <v>-2.5</v>
      </c>
    </row>
    <row r="32" spans="1:15" ht="25.15" customHeight="1" thickBot="1" x14ac:dyDescent="0.35">
      <c r="A32" s="40" t="s">
        <v>21</v>
      </c>
      <c r="B32" s="42">
        <f>19.85 + 0.89</f>
        <v>20.740000000000002</v>
      </c>
      <c r="C32" s="42"/>
      <c r="D32" s="42"/>
      <c r="E32" s="42"/>
      <c r="F32" s="42"/>
      <c r="G32" s="42"/>
      <c r="H32" s="42"/>
      <c r="I32" s="42"/>
      <c r="J32" s="42"/>
      <c r="K32" s="42"/>
      <c r="L32" s="42"/>
      <c r="M32" s="42">
        <v>0</v>
      </c>
      <c r="N32" s="43">
        <f>SUM(B32:M32)</f>
        <v>20.740000000000002</v>
      </c>
      <c r="O32" s="77">
        <f>AVERAGE(B32:M32)</f>
        <v>10.370000000000001</v>
      </c>
    </row>
    <row r="33" spans="1:15 2042:2042" ht="25.15" customHeight="1" x14ac:dyDescent="0.3">
      <c r="A33" s="25" t="s">
        <v>113</v>
      </c>
      <c r="B33" s="43">
        <f>SUBTOTAL(109,DRDespesasBancarias[JANV])</f>
        <v>22.42</v>
      </c>
      <c r="C33" s="43">
        <f>SUBTOTAL(109,DRDespesasBancarias[FÉVR])</f>
        <v>0</v>
      </c>
      <c r="D33" s="43">
        <f>SUBTOTAL(109,DRDespesasBancarias[MARS])</f>
        <v>0</v>
      </c>
      <c r="E33" s="43">
        <f>SUBTOTAL(109,DRDespesasBancarias[AVR])</f>
        <v>0</v>
      </c>
      <c r="F33" s="43">
        <f>SUBTOTAL(109,DRDespesasBancarias[MAI])</f>
        <v>0</v>
      </c>
      <c r="G33" s="43">
        <f>SUBTOTAL(109,DRDespesasBancarias[JUIN])</f>
        <v>0</v>
      </c>
      <c r="H33" s="43">
        <f>SUBTOTAL(109,DRDespesasBancarias[JUIL])</f>
        <v>0</v>
      </c>
      <c r="I33" s="43">
        <f>SUBTOTAL(109,DRDespesasBancarias[AOÛT])</f>
        <v>0</v>
      </c>
      <c r="J33" s="43">
        <f>SUBTOTAL(109,DRDespesasBancarias[SEPT])</f>
        <v>0</v>
      </c>
      <c r="K33" s="43">
        <f>SUBTOTAL(109,DRDespesasBancarias[OCT])</f>
        <v>0</v>
      </c>
      <c r="L33" s="43">
        <f>SUBTOTAL(109,DRDespesasBancarias[NOV])</f>
        <v>0</v>
      </c>
      <c r="M33" s="43">
        <f>SUBTOTAL(109,DRDespesasBancarias[DÉC])</f>
        <v>0</v>
      </c>
      <c r="N33" s="43">
        <f>SUBTOTAL(109,DRDespesasBancarias[ANNÉE])</f>
        <v>22.42</v>
      </c>
      <c r="O33" s="76">
        <f>AVERAGE(B33:M33)</f>
        <v>1.8683333333333334</v>
      </c>
    </row>
    <row r="34" spans="1:15 2042:2042" ht="25.15" customHeight="1" x14ac:dyDescent="0.4">
      <c r="A34" s="31"/>
      <c r="B34" s="31"/>
      <c r="C34" s="31"/>
      <c r="D34" s="31"/>
      <c r="E34" s="31"/>
      <c r="F34" s="31"/>
      <c r="G34" s="31"/>
      <c r="H34" s="31"/>
      <c r="I34" s="31"/>
      <c r="J34" s="31"/>
      <c r="K34" s="31"/>
      <c r="L34" s="31"/>
      <c r="M34" s="31"/>
      <c r="N34" s="31"/>
    </row>
    <row r="35" spans="1:15 2042:2042" ht="25.15" customHeight="1" thickBot="1" x14ac:dyDescent="0.45">
      <c r="A35" s="17" t="s">
        <v>22</v>
      </c>
      <c r="B35" s="64" t="s">
        <v>99</v>
      </c>
      <c r="C35" s="65" t="s">
        <v>100</v>
      </c>
      <c r="D35" s="65" t="s">
        <v>101</v>
      </c>
      <c r="E35" s="65" t="s">
        <v>102</v>
      </c>
      <c r="F35" s="65" t="s">
        <v>103</v>
      </c>
      <c r="G35" s="65" t="s">
        <v>104</v>
      </c>
      <c r="H35" s="65" t="s">
        <v>105</v>
      </c>
      <c r="I35" s="65" t="s">
        <v>106</v>
      </c>
      <c r="J35" s="65" t="s">
        <v>107</v>
      </c>
      <c r="K35" s="65" t="s">
        <v>108</v>
      </c>
      <c r="L35" s="65" t="s">
        <v>109</v>
      </c>
      <c r="M35" s="65" t="s">
        <v>110</v>
      </c>
      <c r="N35" s="66" t="s">
        <v>111</v>
      </c>
    </row>
    <row r="36" spans="1:15 2042:2042" ht="25.15" customHeight="1" thickBot="1" x14ac:dyDescent="0.35">
      <c r="A36" s="40" t="s">
        <v>23</v>
      </c>
      <c r="B36" s="42">
        <f>410 + 80 + 80</f>
        <v>570</v>
      </c>
      <c r="C36" s="42"/>
      <c r="D36" s="42"/>
      <c r="E36" s="42"/>
      <c r="F36" s="42"/>
      <c r="G36" s="42"/>
      <c r="H36" s="42"/>
      <c r="I36" s="42"/>
      <c r="J36" s="42"/>
      <c r="K36" s="42"/>
      <c r="L36" s="42"/>
      <c r="M36" s="42"/>
      <c r="N36" s="43">
        <f>SUM(B36:M36)</f>
        <v>570</v>
      </c>
      <c r="O36" s="76">
        <f>AVERAGE(B36:M36)</f>
        <v>570</v>
      </c>
    </row>
    <row r="37" spans="1:15 2042:2042" ht="25.15" customHeight="1" thickBot="1" x14ac:dyDescent="0.35">
      <c r="A37" s="40" t="s">
        <v>24</v>
      </c>
      <c r="B37" s="42">
        <v>250</v>
      </c>
      <c r="C37" s="42"/>
      <c r="D37" s="42"/>
      <c r="E37" s="42"/>
      <c r="F37" s="42"/>
      <c r="G37" s="42"/>
      <c r="H37" s="42"/>
      <c r="I37" s="42"/>
      <c r="J37" s="42"/>
      <c r="K37" s="42"/>
      <c r="L37" s="42"/>
      <c r="M37" s="42">
        <v>0</v>
      </c>
      <c r="N37" s="43">
        <f>SUM(B37:M37)</f>
        <v>250</v>
      </c>
      <c r="O37" s="76">
        <f>AVERAGE(B37:M37)</f>
        <v>125</v>
      </c>
    </row>
    <row r="38" spans="1:15 2042:2042" ht="25.15" customHeight="1" thickBot="1" x14ac:dyDescent="0.35">
      <c r="A38" s="40" t="s">
        <v>25</v>
      </c>
      <c r="B38" s="42"/>
      <c r="C38" s="42"/>
      <c r="D38" s="42"/>
      <c r="E38" s="42"/>
      <c r="F38" s="42"/>
      <c r="G38" s="42"/>
      <c r="H38" s="42"/>
      <c r="I38" s="42"/>
      <c r="J38" s="42"/>
      <c r="K38" s="42"/>
      <c r="L38" s="42"/>
      <c r="M38" s="42">
        <v>0</v>
      </c>
      <c r="N38" s="43">
        <f>SUM(B38:M38)</f>
        <v>0</v>
      </c>
      <c r="O38" s="76">
        <f>AVERAGE(B38:M38)</f>
        <v>0</v>
      </c>
    </row>
    <row r="39" spans="1:15 2042:2042" ht="25.15" customHeight="1" thickBot="1" x14ac:dyDescent="0.35">
      <c r="A39" s="40" t="s">
        <v>26</v>
      </c>
      <c r="B39" s="42">
        <v>1268.9100000000001</v>
      </c>
      <c r="C39" s="42"/>
      <c r="D39" s="42"/>
      <c r="E39" s="42"/>
      <c r="F39" s="42"/>
      <c r="G39" s="42"/>
      <c r="H39" s="42"/>
      <c r="I39" s="42"/>
      <c r="J39" s="42"/>
      <c r="K39" s="42"/>
      <c r="L39" s="42"/>
      <c r="M39" s="42">
        <v>0</v>
      </c>
      <c r="N39" s="43">
        <f>SUM(B39:M39)</f>
        <v>1268.9100000000001</v>
      </c>
      <c r="O39" s="76">
        <f>AVERAGE(B39:M39)</f>
        <v>634.45500000000004</v>
      </c>
      <c r="BZN39" s="2">
        <v>265.64999999999998</v>
      </c>
    </row>
    <row r="40" spans="1:15 2042:2042" ht="25.15" customHeight="1" thickBot="1" x14ac:dyDescent="0.35">
      <c r="A40" s="40" t="s">
        <v>142</v>
      </c>
      <c r="B40" s="42">
        <v>670</v>
      </c>
      <c r="C40" s="42"/>
      <c r="D40" s="42"/>
      <c r="E40" s="42"/>
      <c r="F40" s="42"/>
      <c r="G40" s="42"/>
      <c r="H40" s="42"/>
      <c r="I40" s="42"/>
      <c r="J40" s="42"/>
      <c r="K40" s="42"/>
      <c r="L40" s="42"/>
      <c r="M40" s="42">
        <v>0</v>
      </c>
      <c r="N40" s="43">
        <f>SUM(B40:M40)</f>
        <v>670</v>
      </c>
      <c r="O40" s="76">
        <f>AVERAGE(B40:M40)</f>
        <v>335</v>
      </c>
    </row>
    <row r="41" spans="1:15 2042:2042" ht="25.15" customHeight="1" x14ac:dyDescent="0.3">
      <c r="A41" s="25" t="s">
        <v>113</v>
      </c>
      <c r="B41" s="43">
        <f>SUBTOTAL(109,DRDespesasMedicas[JANV])</f>
        <v>2758.91</v>
      </c>
      <c r="C41" s="43">
        <f>SUBTOTAL(109,DRDespesasMedicas[FÉVR])</f>
        <v>0</v>
      </c>
      <c r="D41" s="43">
        <f>SUBTOTAL(109,DRDespesasMedicas[MARS])</f>
        <v>0</v>
      </c>
      <c r="E41" s="43">
        <f>SUBTOTAL(109,DRDespesasMedicas[AVR])</f>
        <v>0</v>
      </c>
      <c r="F41" s="43">
        <f>SUBTOTAL(109,DRDespesasMedicas[MAI])</f>
        <v>0</v>
      </c>
      <c r="G41" s="43">
        <f>SUBTOTAL(109,DRDespesasMedicas[JUIN])</f>
        <v>0</v>
      </c>
      <c r="H41" s="43">
        <f>SUBTOTAL(109,DRDespesasMedicas[JUIL])</f>
        <v>0</v>
      </c>
      <c r="I41" s="43">
        <f>SUBTOTAL(109,DRDespesasMedicas[AOÛT])</f>
        <v>0</v>
      </c>
      <c r="J41" s="43">
        <f>SUBTOTAL(109,DRDespesasMedicas[SEPT])</f>
        <v>0</v>
      </c>
      <c r="K41" s="43">
        <f>SUBTOTAL(109,DRDespesasMedicas[OCT])</f>
        <v>0</v>
      </c>
      <c r="L41" s="43">
        <f>SUBTOTAL(109,DRDespesasMedicas[NOV])</f>
        <v>0</v>
      </c>
      <c r="M41" s="43">
        <f>SUBTOTAL(109,DRDespesasMedicas[DÉC])</f>
        <v>0</v>
      </c>
      <c r="N41" s="43">
        <f>SUBTOTAL(109,DRDespesasMedicas[ANNÉE])</f>
        <v>2758.91</v>
      </c>
      <c r="O41" s="76">
        <f>AVERAGE(B41:M41)</f>
        <v>229.90916666666666</v>
      </c>
    </row>
    <row r="42" spans="1:15 2042:2042" ht="25.15" customHeight="1" thickBot="1" x14ac:dyDescent="0.45">
      <c r="A42" s="31"/>
      <c r="B42" s="31"/>
      <c r="C42" s="31"/>
      <c r="D42" s="31"/>
      <c r="E42" s="31"/>
      <c r="F42" s="31"/>
      <c r="G42" s="31"/>
      <c r="H42" s="31"/>
      <c r="I42" s="31"/>
      <c r="J42" s="31"/>
      <c r="K42" s="31"/>
      <c r="L42" s="31"/>
      <c r="M42" s="31"/>
      <c r="N42" s="31"/>
    </row>
    <row r="43" spans="1:15 2042:2042" ht="25.15" customHeight="1" thickBot="1" x14ac:dyDescent="0.35">
      <c r="A43" s="17" t="s">
        <v>28</v>
      </c>
      <c r="B43" s="64" t="s">
        <v>99</v>
      </c>
      <c r="C43" s="65" t="s">
        <v>100</v>
      </c>
      <c r="D43" s="65" t="s">
        <v>101</v>
      </c>
      <c r="E43" s="65" t="s">
        <v>102</v>
      </c>
      <c r="F43" s="65" t="s">
        <v>103</v>
      </c>
      <c r="G43" s="65" t="s">
        <v>104</v>
      </c>
      <c r="H43" s="65" t="s">
        <v>105</v>
      </c>
      <c r="I43" s="65" t="s">
        <v>106</v>
      </c>
      <c r="J43" s="65" t="s">
        <v>107</v>
      </c>
      <c r="K43" s="65" t="s">
        <v>108</v>
      </c>
      <c r="L43" s="65" t="s">
        <v>109</v>
      </c>
      <c r="M43" s="65" t="s">
        <v>110</v>
      </c>
      <c r="N43" s="66" t="s">
        <v>111</v>
      </c>
      <c r="O43" s="93" t="s">
        <v>141</v>
      </c>
    </row>
    <row r="44" spans="1:15 2042:2042" ht="25.15" customHeight="1" thickBot="1" x14ac:dyDescent="0.35">
      <c r="A44" s="40" t="s">
        <v>143</v>
      </c>
      <c r="B44" s="42">
        <v>155.5</v>
      </c>
      <c r="C44" s="42"/>
      <c r="D44" s="42"/>
      <c r="E44" s="42"/>
      <c r="F44" s="42"/>
      <c r="G44" s="42"/>
      <c r="H44" s="42"/>
      <c r="I44" s="42"/>
      <c r="J44" s="42"/>
      <c r="K44" s="42"/>
      <c r="L44" s="42"/>
      <c r="M44" s="42">
        <v>0</v>
      </c>
      <c r="N44" s="43">
        <f>SUM(B44:M44)</f>
        <v>155.5</v>
      </c>
      <c r="O44" s="76">
        <f>AVERAGE(B44:M44)</f>
        <v>77.75</v>
      </c>
    </row>
    <row r="45" spans="1:15 2042:2042" ht="25.15" customHeight="1" thickBot="1" x14ac:dyDescent="0.35">
      <c r="A45" s="40" t="s">
        <v>30</v>
      </c>
      <c r="B45" s="42">
        <f>1569.37 + 47.81 + 35.75 + 53</f>
        <v>1705.9299999999998</v>
      </c>
      <c r="C45" s="42"/>
      <c r="D45" s="42"/>
      <c r="E45" s="42"/>
      <c r="F45" s="42"/>
      <c r="G45" s="42"/>
      <c r="H45" s="42"/>
      <c r="I45" s="42"/>
      <c r="J45" s="42"/>
      <c r="K45" s="42"/>
      <c r="L45" s="42"/>
      <c r="M45" s="42">
        <v>0</v>
      </c>
      <c r="N45" s="43">
        <f>SUM(B45:M45)</f>
        <v>1705.9299999999998</v>
      </c>
      <c r="O45" s="76">
        <f>AVERAGE(B45:M45)</f>
        <v>852.96499999999992</v>
      </c>
    </row>
    <row r="46" spans="1:15 2042:2042" ht="25.15" customHeight="1" thickBot="1" x14ac:dyDescent="0.35">
      <c r="A46" s="40" t="s">
        <v>31</v>
      </c>
      <c r="B46" s="42">
        <v>0</v>
      </c>
      <c r="C46" s="42"/>
      <c r="D46" s="42"/>
      <c r="E46" s="42"/>
      <c r="F46" s="42"/>
      <c r="G46" s="42"/>
      <c r="H46" s="42"/>
      <c r="I46" s="42"/>
      <c r="J46" s="42"/>
      <c r="K46" s="42"/>
      <c r="L46" s="42"/>
      <c r="M46" s="42">
        <v>0</v>
      </c>
      <c r="N46" s="43">
        <f>SUM(B46:M46)</f>
        <v>0</v>
      </c>
      <c r="O46" s="76">
        <f>AVERAGE(B46:M46)</f>
        <v>0</v>
      </c>
    </row>
    <row r="47" spans="1:15 2042:2042" ht="25.15" customHeight="1" x14ac:dyDescent="0.3">
      <c r="A47" s="25" t="s">
        <v>113</v>
      </c>
      <c r="B47" s="43">
        <f>SUBTOTAL(109,DREletronicaInformatica[JANV])</f>
        <v>1861.4299999999998</v>
      </c>
      <c r="C47" s="43">
        <f>SUBTOTAL(109,DREletronicaInformatica[FÉVR])</f>
        <v>0</v>
      </c>
      <c r="D47" s="43">
        <f>SUBTOTAL(109,DREletronicaInformatica[MARS])</f>
        <v>0</v>
      </c>
      <c r="E47" s="43">
        <f>SUBTOTAL(109,DREletronicaInformatica[AVR])</f>
        <v>0</v>
      </c>
      <c r="F47" s="43">
        <f>SUBTOTAL(109,DREletronicaInformatica[MAI])</f>
        <v>0</v>
      </c>
      <c r="G47" s="43">
        <f>SUBTOTAL(109,DREletronicaInformatica[JUIN])</f>
        <v>0</v>
      </c>
      <c r="H47" s="43">
        <f>SUBTOTAL(109,DREletronicaInformatica[JUIL])</f>
        <v>0</v>
      </c>
      <c r="I47" s="43">
        <f>SUBTOTAL(109,DREletronicaInformatica[AOÛT])</f>
        <v>0</v>
      </c>
      <c r="J47" s="43">
        <f>SUBTOTAL(109,DREletronicaInformatica[SEPT])</f>
        <v>0</v>
      </c>
      <c r="K47" s="43">
        <f>SUBTOTAL(109,DREletronicaInformatica[OCT])</f>
        <v>0</v>
      </c>
      <c r="L47" s="43">
        <f>SUBTOTAL(109,DREletronicaInformatica[NOV])</f>
        <v>0</v>
      </c>
      <c r="M47" s="43">
        <f>SUBTOTAL(109,DREletronicaInformatica[DÉC])</f>
        <v>0</v>
      </c>
      <c r="N47" s="43">
        <f>SUBTOTAL(109,DREletronicaInformatica[ANNÉE])</f>
        <v>1861.4299999999998</v>
      </c>
      <c r="O47" s="76">
        <f>AVERAGE(B47:M47)</f>
        <v>155.11916666666664</v>
      </c>
    </row>
    <row r="48" spans="1:15 2042:2042" ht="25.15" customHeight="1" thickBot="1" x14ac:dyDescent="0.45">
      <c r="A48" s="31"/>
      <c r="B48" s="31"/>
      <c r="C48" s="31"/>
      <c r="D48" s="31"/>
      <c r="E48" s="31"/>
      <c r="F48" s="31"/>
      <c r="G48" s="31"/>
      <c r="H48" s="31"/>
      <c r="I48" s="31"/>
      <c r="J48" s="31"/>
      <c r="K48" s="31"/>
      <c r="L48" s="31"/>
      <c r="M48" s="31"/>
      <c r="N48" s="31"/>
    </row>
    <row r="49" spans="1:15" ht="25.15" customHeight="1" thickBot="1" x14ac:dyDescent="0.35">
      <c r="A49" s="17" t="s">
        <v>33</v>
      </c>
      <c r="B49" s="64" t="s">
        <v>99</v>
      </c>
      <c r="C49" s="65" t="s">
        <v>100</v>
      </c>
      <c r="D49" s="65" t="s">
        <v>101</v>
      </c>
      <c r="E49" s="65" t="s">
        <v>102</v>
      </c>
      <c r="F49" s="65" t="s">
        <v>103</v>
      </c>
      <c r="G49" s="65" t="s">
        <v>104</v>
      </c>
      <c r="H49" s="65" t="s">
        <v>105</v>
      </c>
      <c r="I49" s="65" t="s">
        <v>106</v>
      </c>
      <c r="J49" s="65" t="s">
        <v>107</v>
      </c>
      <c r="K49" s="65" t="s">
        <v>108</v>
      </c>
      <c r="L49" s="65" t="s">
        <v>109</v>
      </c>
      <c r="M49" s="65" t="s">
        <v>110</v>
      </c>
      <c r="N49" s="66" t="s">
        <v>111</v>
      </c>
      <c r="O49" s="93" t="s">
        <v>141</v>
      </c>
    </row>
    <row r="50" spans="1:15" ht="25.15" customHeight="1" thickBot="1" x14ac:dyDescent="0.35">
      <c r="A50" s="40" t="s">
        <v>34</v>
      </c>
      <c r="B50" s="42">
        <v>0</v>
      </c>
      <c r="C50" s="42"/>
      <c r="D50" s="42"/>
      <c r="E50" s="42"/>
      <c r="F50" s="42"/>
      <c r="G50" s="42"/>
      <c r="H50" s="42"/>
      <c r="I50" s="42"/>
      <c r="J50" s="42"/>
      <c r="K50" s="42"/>
      <c r="L50" s="42"/>
      <c r="M50" s="42"/>
      <c r="N50" s="43">
        <f>SUM(B50:M50)</f>
        <v>0</v>
      </c>
      <c r="O50" s="77">
        <f>AVERAGE(B50:N50)</f>
        <v>0</v>
      </c>
    </row>
    <row r="51" spans="1:15" ht="25.15" customHeight="1" thickBot="1" x14ac:dyDescent="0.35">
      <c r="A51" s="40" t="s">
        <v>35</v>
      </c>
      <c r="B51" s="42">
        <v>295.89999999999998</v>
      </c>
      <c r="C51" s="42"/>
      <c r="D51" s="42"/>
      <c r="E51" s="42"/>
      <c r="F51" s="42"/>
      <c r="G51" s="42"/>
      <c r="H51" s="42"/>
      <c r="I51" s="42"/>
      <c r="J51" s="42"/>
      <c r="K51" s="42"/>
      <c r="L51" s="42"/>
      <c r="M51" s="42"/>
      <c r="N51" s="43">
        <f>SUM(B51:M51)</f>
        <v>295.89999999999998</v>
      </c>
      <c r="O51" s="77">
        <f>AVERAGE(B51:N51)</f>
        <v>295.89999999999998</v>
      </c>
    </row>
    <row r="52" spans="1:15" ht="25.15" customHeight="1" thickBot="1" x14ac:dyDescent="0.35">
      <c r="A52" s="40" t="s">
        <v>36</v>
      </c>
      <c r="B52" s="42">
        <v>0</v>
      </c>
      <c r="C52" s="42"/>
      <c r="D52" s="42"/>
      <c r="E52" s="42"/>
      <c r="F52" s="42"/>
      <c r="G52" s="42"/>
      <c r="H52" s="42"/>
      <c r="I52" s="42"/>
      <c r="J52" s="42"/>
      <c r="K52" s="42"/>
      <c r="L52" s="42"/>
      <c r="M52" s="42"/>
      <c r="N52" s="43">
        <f>SUM(B52:M52)</f>
        <v>0</v>
      </c>
      <c r="O52" s="77">
        <f>AVERAGE(B52:N52)</f>
        <v>0</v>
      </c>
    </row>
    <row r="53" spans="1:15" ht="25.15" customHeight="1" thickBot="1" x14ac:dyDescent="0.35">
      <c r="A53" s="40" t="s">
        <v>37</v>
      </c>
      <c r="B53" s="42">
        <v>0</v>
      </c>
      <c r="C53" s="42"/>
      <c r="D53" s="42"/>
      <c r="E53" s="42"/>
      <c r="F53" s="42"/>
      <c r="G53" s="42"/>
      <c r="H53" s="42"/>
      <c r="I53" s="42"/>
      <c r="J53" s="42"/>
      <c r="K53" s="42"/>
      <c r="L53" s="42"/>
      <c r="M53" s="42"/>
      <c r="N53" s="43">
        <f>SUM(B53:M53)</f>
        <v>0</v>
      </c>
      <c r="O53" s="77">
        <f>AVERAGE(B53:N53)</f>
        <v>0</v>
      </c>
    </row>
    <row r="54" spans="1:15" ht="25.15" customHeight="1" thickBot="1" x14ac:dyDescent="0.35">
      <c r="A54" s="40" t="s">
        <v>38</v>
      </c>
      <c r="B54" s="42">
        <v>0</v>
      </c>
      <c r="C54" s="42"/>
      <c r="D54" s="42"/>
      <c r="E54" s="42"/>
      <c r="F54" s="42"/>
      <c r="G54" s="42"/>
      <c r="H54" s="42"/>
      <c r="I54" s="42"/>
      <c r="J54" s="42"/>
      <c r="K54" s="42"/>
      <c r="L54" s="42"/>
      <c r="M54" s="42"/>
      <c r="N54" s="43">
        <f>SUM(B54:M54)</f>
        <v>0</v>
      </c>
      <c r="O54" s="77">
        <f>AVERAGE(B54:N54)</f>
        <v>0</v>
      </c>
    </row>
    <row r="55" spans="1:15" ht="25.15" customHeight="1" x14ac:dyDescent="0.3">
      <c r="A55" s="25" t="s">
        <v>113</v>
      </c>
      <c r="B55" s="43">
        <f>SUBTOTAL(109,DRImpostos[JANV])</f>
        <v>295.89999999999998</v>
      </c>
      <c r="C55" s="43">
        <f>SUBTOTAL(109,DRImpostos[FÉVR])</f>
        <v>0</v>
      </c>
      <c r="D55" s="43">
        <f>SUBTOTAL(109,DRImpostos[MARS])</f>
        <v>0</v>
      </c>
      <c r="E55" s="43">
        <f>SUBTOTAL(109,DRImpostos[AVR])</f>
        <v>0</v>
      </c>
      <c r="F55" s="43">
        <f>SUBTOTAL(109,DRImpostos[MAI])</f>
        <v>0</v>
      </c>
      <c r="G55" s="43">
        <f>SUBTOTAL(109,DRImpostos[JUIN])</f>
        <v>0</v>
      </c>
      <c r="H55" s="43">
        <f>SUBTOTAL(109,DRImpostos[JUIL])</f>
        <v>0</v>
      </c>
      <c r="I55" s="43">
        <f>SUBTOTAL(109,DRImpostos[AOÛT])</f>
        <v>0</v>
      </c>
      <c r="J55" s="43">
        <f>SUBTOTAL(109,DRImpostos[SEPT])</f>
        <v>0</v>
      </c>
      <c r="K55" s="43">
        <f>SUBTOTAL(109,DRImpostos[OCT])</f>
        <v>0</v>
      </c>
      <c r="L55" s="43">
        <f>SUBTOTAL(109,DRImpostos[NOV])</f>
        <v>0</v>
      </c>
      <c r="M55" s="43">
        <f>SUBTOTAL(109,DRImpostos[DÉC])</f>
        <v>0</v>
      </c>
      <c r="N55" s="43">
        <f>SUBTOTAL(109,DRImpostos[ANNÉE])</f>
        <v>295.89999999999998</v>
      </c>
      <c r="O55" s="77">
        <f>AVERAGE(C55:N55)</f>
        <v>24.658333333333331</v>
      </c>
    </row>
    <row r="56" spans="1:15" ht="25.15" customHeight="1" thickBot="1" x14ac:dyDescent="0.45">
      <c r="A56" s="31"/>
      <c r="B56" s="31"/>
      <c r="C56" s="31"/>
      <c r="D56" s="31"/>
      <c r="E56" s="31"/>
      <c r="F56" s="31"/>
      <c r="G56" s="31"/>
      <c r="H56" s="31"/>
      <c r="I56" s="31"/>
      <c r="J56" s="31"/>
      <c r="K56" s="31"/>
      <c r="L56" s="31"/>
      <c r="M56" s="31"/>
      <c r="N56" s="31"/>
    </row>
    <row r="57" spans="1:15" ht="25.15" customHeight="1" thickBot="1" x14ac:dyDescent="0.35">
      <c r="A57" s="17" t="s">
        <v>144</v>
      </c>
      <c r="B57" s="64" t="s">
        <v>99</v>
      </c>
      <c r="C57" s="65" t="s">
        <v>100</v>
      </c>
      <c r="D57" s="65" t="s">
        <v>101</v>
      </c>
      <c r="E57" s="65" t="s">
        <v>102</v>
      </c>
      <c r="F57" s="65" t="s">
        <v>103</v>
      </c>
      <c r="G57" s="65" t="s">
        <v>104</v>
      </c>
      <c r="H57" s="65" t="s">
        <v>105</v>
      </c>
      <c r="I57" s="65" t="s">
        <v>106</v>
      </c>
      <c r="J57" s="65" t="s">
        <v>107</v>
      </c>
      <c r="K57" s="65" t="s">
        <v>108</v>
      </c>
      <c r="L57" s="65" t="s">
        <v>109</v>
      </c>
      <c r="M57" s="65" t="s">
        <v>110</v>
      </c>
      <c r="N57" s="66" t="s">
        <v>111</v>
      </c>
      <c r="O57" s="93" t="s">
        <v>141</v>
      </c>
    </row>
    <row r="58" spans="1:15" ht="25.15" customHeight="1" thickBot="1" x14ac:dyDescent="0.35">
      <c r="A58" s="40" t="s">
        <v>40</v>
      </c>
      <c r="B58" s="42">
        <v>0</v>
      </c>
      <c r="C58" s="42"/>
      <c r="D58" s="42"/>
      <c r="E58" s="42"/>
      <c r="F58" s="42"/>
      <c r="G58" s="42"/>
      <c r="H58" s="42"/>
      <c r="I58" s="42"/>
      <c r="J58" s="42"/>
      <c r="K58" s="42"/>
      <c r="L58" s="42"/>
      <c r="M58" s="42"/>
      <c r="N58" s="43">
        <f t="shared" ref="N58:N64" si="0">SUM(B58:M58)</f>
        <v>0</v>
      </c>
      <c r="O58" s="77">
        <f t="shared" ref="O58:O65" si="1">AVERAGE(C58:N58)</f>
        <v>0</v>
      </c>
    </row>
    <row r="59" spans="1:15" ht="25.15" customHeight="1" thickBot="1" x14ac:dyDescent="0.35">
      <c r="A59" s="40" t="s">
        <v>41</v>
      </c>
      <c r="B59" s="42">
        <f>302.51 + 53.77</f>
        <v>356.28</v>
      </c>
      <c r="C59" s="42"/>
      <c r="D59" s="42"/>
      <c r="E59" s="42"/>
      <c r="F59" s="42"/>
      <c r="G59" s="42"/>
      <c r="H59" s="42"/>
      <c r="I59" s="42"/>
      <c r="J59" s="42"/>
      <c r="K59" s="42"/>
      <c r="L59" s="42"/>
      <c r="M59" s="42"/>
      <c r="N59" s="43">
        <f t="shared" si="0"/>
        <v>356.28</v>
      </c>
      <c r="O59" s="77">
        <f t="shared" si="1"/>
        <v>356.28</v>
      </c>
    </row>
    <row r="60" spans="1:15" ht="25.15" customHeight="1" thickBot="1" x14ac:dyDescent="0.35">
      <c r="A60" s="40" t="s">
        <v>42</v>
      </c>
      <c r="B60" s="42">
        <v>35</v>
      </c>
      <c r="C60" s="42"/>
      <c r="D60" s="42"/>
      <c r="E60" s="42"/>
      <c r="F60" s="42"/>
      <c r="G60" s="42"/>
      <c r="H60" s="42"/>
      <c r="I60" s="42"/>
      <c r="J60" s="42"/>
      <c r="K60" s="42"/>
      <c r="L60" s="42"/>
      <c r="M60" s="42"/>
      <c r="N60" s="43">
        <f t="shared" si="0"/>
        <v>35</v>
      </c>
      <c r="O60" s="77">
        <f t="shared" si="1"/>
        <v>35</v>
      </c>
    </row>
    <row r="61" spans="1:15" ht="25.15" customHeight="1" thickBot="1" x14ac:dyDescent="0.35">
      <c r="A61" s="40" t="s">
        <v>43</v>
      </c>
      <c r="B61" s="42">
        <v>0</v>
      </c>
      <c r="C61" s="42"/>
      <c r="D61" s="42"/>
      <c r="E61" s="42"/>
      <c r="F61" s="42"/>
      <c r="G61" s="42"/>
      <c r="H61" s="42"/>
      <c r="I61" s="42"/>
      <c r="J61" s="42"/>
      <c r="K61" s="42"/>
      <c r="L61" s="42"/>
      <c r="M61" s="42"/>
      <c r="N61" s="43">
        <f t="shared" si="0"/>
        <v>0</v>
      </c>
      <c r="O61" s="77">
        <f t="shared" si="1"/>
        <v>0</v>
      </c>
    </row>
    <row r="62" spans="1:15" ht="25.15" customHeight="1" thickBot="1" x14ac:dyDescent="0.35">
      <c r="A62" s="40" t="s">
        <v>44</v>
      </c>
      <c r="B62" s="42">
        <v>39.9</v>
      </c>
      <c r="C62" s="42"/>
      <c r="D62" s="42"/>
      <c r="E62" s="42"/>
      <c r="F62" s="42"/>
      <c r="G62" s="42"/>
      <c r="H62" s="42"/>
      <c r="I62" s="42"/>
      <c r="J62" s="42"/>
      <c r="K62" s="42"/>
      <c r="L62" s="42"/>
      <c r="M62" s="42"/>
      <c r="N62" s="43">
        <f t="shared" si="0"/>
        <v>39.9</v>
      </c>
      <c r="O62" s="77">
        <f t="shared" si="1"/>
        <v>39.9</v>
      </c>
    </row>
    <row r="63" spans="1:15" ht="25.15" customHeight="1" thickBot="1" x14ac:dyDescent="0.35">
      <c r="A63" s="40" t="s">
        <v>45</v>
      </c>
      <c r="B63" s="42">
        <v>0</v>
      </c>
      <c r="C63" s="42"/>
      <c r="D63" s="42"/>
      <c r="E63" s="42"/>
      <c r="F63" s="42"/>
      <c r="G63" s="42"/>
      <c r="H63" s="42"/>
      <c r="I63" s="42"/>
      <c r="J63" s="42"/>
      <c r="K63" s="42"/>
      <c r="L63" s="42"/>
      <c r="M63" s="42"/>
      <c r="N63" s="43">
        <f t="shared" si="0"/>
        <v>0</v>
      </c>
      <c r="O63" s="77">
        <f t="shared" si="1"/>
        <v>0</v>
      </c>
    </row>
    <row r="64" spans="1:15" s="1" customFormat="1" ht="21" customHeight="1" thickBot="1" x14ac:dyDescent="0.45">
      <c r="A64" s="40" t="s">
        <v>46</v>
      </c>
      <c r="B64" s="42">
        <v>32.89</v>
      </c>
      <c r="C64" s="42"/>
      <c r="D64" s="42"/>
      <c r="E64" s="42"/>
      <c r="F64" s="42"/>
      <c r="G64" s="42"/>
      <c r="H64" s="42"/>
      <c r="I64" s="42"/>
      <c r="J64" s="42"/>
      <c r="K64" s="42"/>
      <c r="L64" s="42"/>
      <c r="M64" s="42"/>
      <c r="N64" s="43">
        <f t="shared" si="0"/>
        <v>32.89</v>
      </c>
      <c r="O64" s="77">
        <f t="shared" si="1"/>
        <v>32.89</v>
      </c>
    </row>
    <row r="65" spans="1:15" ht="25.15" customHeight="1" x14ac:dyDescent="0.3">
      <c r="A65" s="26" t="s">
        <v>113</v>
      </c>
      <c r="B65" s="43">
        <f>SUBTOTAL(109,DRLazer[JANV])</f>
        <v>464.06999999999994</v>
      </c>
      <c r="C65" s="43">
        <f>SUBTOTAL(109,DRLazer[FÉVR])</f>
        <v>0</v>
      </c>
      <c r="D65" s="43">
        <f>SUBTOTAL(109,DRLazer[MARS])</f>
        <v>0</v>
      </c>
      <c r="E65" s="43">
        <f>SUBTOTAL(109,DRLazer[AVR])</f>
        <v>0</v>
      </c>
      <c r="F65" s="43">
        <f>SUBTOTAL(109,DRLazer[MAI])</f>
        <v>0</v>
      </c>
      <c r="G65" s="43">
        <f>SUBTOTAL(109,DRLazer[JUIN])</f>
        <v>0</v>
      </c>
      <c r="H65" s="43">
        <f>SUBTOTAL(109,DRLazer[JUIL])</f>
        <v>0</v>
      </c>
      <c r="I65" s="43">
        <f>SUBTOTAL(109,DRLazer[AOÛT])</f>
        <v>0</v>
      </c>
      <c r="J65" s="43">
        <f>SUBTOTAL(109,DRLazer[SEPT])</f>
        <v>0</v>
      </c>
      <c r="K65" s="43">
        <f>SUBTOTAL(109,DRLazer[OCT])</f>
        <v>0</v>
      </c>
      <c r="L65" s="43">
        <f>SUBTOTAL(109,DRLazer[NOV])</f>
        <v>0</v>
      </c>
      <c r="M65" s="43">
        <f>SUBTOTAL(109,DRLazer[DÉC])</f>
        <v>0</v>
      </c>
      <c r="N65" s="43">
        <f>SUBTOTAL(109,DRLazer[ANNÉE])</f>
        <v>464.06999999999994</v>
      </c>
      <c r="O65" s="77">
        <f t="shared" si="1"/>
        <v>38.672499999999992</v>
      </c>
    </row>
    <row r="66" spans="1:15" ht="25.15" customHeight="1" x14ac:dyDescent="0.4">
      <c r="A66" s="31"/>
      <c r="B66" s="31"/>
      <c r="C66" s="36"/>
      <c r="D66" s="36"/>
      <c r="E66" s="36"/>
      <c r="F66" s="36"/>
      <c r="G66" s="36"/>
      <c r="H66" s="36"/>
      <c r="I66" s="36"/>
      <c r="J66" s="36"/>
      <c r="K66" s="36"/>
      <c r="L66" s="36"/>
      <c r="M66" s="36"/>
      <c r="N66" s="37"/>
    </row>
    <row r="67" spans="1:15" ht="25.15" customHeight="1" thickBot="1" x14ac:dyDescent="0.35">
      <c r="A67" s="17" t="s">
        <v>47</v>
      </c>
      <c r="B67" s="64" t="s">
        <v>99</v>
      </c>
      <c r="C67" s="65" t="s">
        <v>100</v>
      </c>
      <c r="D67" s="65" t="s">
        <v>101</v>
      </c>
      <c r="E67" s="65" t="s">
        <v>102</v>
      </c>
      <c r="F67" s="65" t="s">
        <v>103</v>
      </c>
      <c r="G67" s="65" t="s">
        <v>104</v>
      </c>
      <c r="H67" s="65" t="s">
        <v>105</v>
      </c>
      <c r="I67" s="65" t="s">
        <v>106</v>
      </c>
      <c r="J67" s="65" t="s">
        <v>107</v>
      </c>
      <c r="K67" s="65" t="s">
        <v>108</v>
      </c>
      <c r="L67" s="65" t="s">
        <v>109</v>
      </c>
      <c r="M67" s="65" t="s">
        <v>110</v>
      </c>
      <c r="N67" s="66" t="s">
        <v>111</v>
      </c>
      <c r="O67" s="107" t="s">
        <v>141</v>
      </c>
    </row>
    <row r="68" spans="1:15" ht="25.15" customHeight="1" thickBot="1" x14ac:dyDescent="0.35">
      <c r="A68" s="40" t="s">
        <v>48</v>
      </c>
      <c r="B68" s="42">
        <v>0</v>
      </c>
      <c r="C68" s="42"/>
      <c r="D68" s="42"/>
      <c r="E68" s="42"/>
      <c r="F68" s="42"/>
      <c r="G68" s="42"/>
      <c r="H68" s="42"/>
      <c r="I68" s="42"/>
      <c r="J68" s="42"/>
      <c r="K68" s="42"/>
      <c r="L68" s="42"/>
      <c r="M68" s="42"/>
      <c r="N68" s="43">
        <f t="shared" ref="N68:N78" si="2">SUM(B68:M68)</f>
        <v>0</v>
      </c>
      <c r="O68" s="94">
        <f t="shared" ref="O68:O78" si="3">AVERAGE(B68:M68)</f>
        <v>0</v>
      </c>
    </row>
    <row r="69" spans="1:15" ht="25.15" customHeight="1" thickBot="1" x14ac:dyDescent="0.35">
      <c r="A69" s="40" t="s">
        <v>49</v>
      </c>
      <c r="B69" s="42">
        <v>0</v>
      </c>
      <c r="C69" s="42"/>
      <c r="D69" s="42"/>
      <c r="E69" s="42"/>
      <c r="F69" s="42"/>
      <c r="G69" s="42"/>
      <c r="H69" s="42"/>
      <c r="I69" s="42"/>
      <c r="J69" s="42"/>
      <c r="K69" s="42"/>
      <c r="L69" s="42"/>
      <c r="M69" s="42"/>
      <c r="N69" s="43">
        <f t="shared" si="2"/>
        <v>0</v>
      </c>
      <c r="O69" s="94">
        <f t="shared" si="3"/>
        <v>0</v>
      </c>
    </row>
    <row r="70" spans="1:15" ht="25.15" customHeight="1" thickBot="1" x14ac:dyDescent="0.35">
      <c r="A70" s="40" t="s">
        <v>50</v>
      </c>
      <c r="B70" s="42">
        <v>0</v>
      </c>
      <c r="C70" s="42"/>
      <c r="D70" s="42"/>
      <c r="E70" s="42"/>
      <c r="F70" s="42"/>
      <c r="G70" s="42"/>
      <c r="H70" s="42"/>
      <c r="I70" s="42"/>
      <c r="J70" s="42"/>
      <c r="K70" s="42"/>
      <c r="L70" s="42"/>
      <c r="M70" s="42"/>
      <c r="N70" s="43">
        <f t="shared" si="2"/>
        <v>0</v>
      </c>
      <c r="O70" s="94">
        <f t="shared" si="3"/>
        <v>0</v>
      </c>
    </row>
    <row r="71" spans="1:15" ht="25.15" customHeight="1" thickBot="1" x14ac:dyDescent="0.35">
      <c r="A71" s="40" t="s">
        <v>51</v>
      </c>
      <c r="B71" s="42">
        <v>0</v>
      </c>
      <c r="C71" s="42"/>
      <c r="D71" s="42"/>
      <c r="E71" s="42"/>
      <c r="F71" s="42"/>
      <c r="G71" s="42"/>
      <c r="H71" s="42"/>
      <c r="I71" s="42"/>
      <c r="J71" s="42"/>
      <c r="K71" s="42"/>
      <c r="L71" s="42"/>
      <c r="M71" s="42"/>
      <c r="N71" s="43">
        <f t="shared" si="2"/>
        <v>0</v>
      </c>
      <c r="O71" s="94">
        <f t="shared" si="3"/>
        <v>0</v>
      </c>
    </row>
    <row r="72" spans="1:15" ht="25.15" customHeight="1" thickBot="1" x14ac:dyDescent="0.35">
      <c r="A72" s="40" t="s">
        <v>52</v>
      </c>
      <c r="B72" s="42">
        <v>0</v>
      </c>
      <c r="C72" s="42"/>
      <c r="D72" s="42"/>
      <c r="E72" s="42"/>
      <c r="F72" s="42"/>
      <c r="G72" s="42"/>
      <c r="H72" s="42"/>
      <c r="I72" s="42"/>
      <c r="J72" s="42"/>
      <c r="K72" s="42"/>
      <c r="L72" s="42"/>
      <c r="M72" s="42"/>
      <c r="N72" s="214">
        <f t="shared" si="2"/>
        <v>0</v>
      </c>
      <c r="O72" s="94">
        <f t="shared" si="3"/>
        <v>0</v>
      </c>
    </row>
    <row r="73" spans="1:15" ht="25.15" customHeight="1" thickBot="1" x14ac:dyDescent="0.35">
      <c r="A73" s="40" t="s">
        <v>53</v>
      </c>
      <c r="B73" s="42">
        <v>510</v>
      </c>
      <c r="C73" s="42"/>
      <c r="D73" s="42"/>
      <c r="E73" s="42"/>
      <c r="F73" s="42"/>
      <c r="G73" s="42"/>
      <c r="H73" s="42"/>
      <c r="I73" s="42"/>
      <c r="J73" s="42"/>
      <c r="K73" s="42"/>
      <c r="L73" s="42"/>
      <c r="M73" s="42"/>
      <c r="N73" s="43">
        <f t="shared" si="2"/>
        <v>510</v>
      </c>
      <c r="O73" s="94">
        <f t="shared" si="3"/>
        <v>510</v>
      </c>
    </row>
    <row r="74" spans="1:15" ht="25.15" customHeight="1" thickBot="1" x14ac:dyDescent="0.35">
      <c r="A74" s="40" t="s">
        <v>54</v>
      </c>
      <c r="B74" s="42">
        <v>0</v>
      </c>
      <c r="C74" s="42"/>
      <c r="D74" s="42"/>
      <c r="E74" s="42"/>
      <c r="F74" s="42"/>
      <c r="G74" s="42"/>
      <c r="H74" s="42"/>
      <c r="I74" s="42"/>
      <c r="J74" s="42"/>
      <c r="K74" s="42"/>
      <c r="L74" s="42"/>
      <c r="M74" s="42"/>
      <c r="N74" s="43">
        <f t="shared" si="2"/>
        <v>0</v>
      </c>
      <c r="O74" s="95">
        <f t="shared" si="3"/>
        <v>0</v>
      </c>
    </row>
    <row r="75" spans="1:15" ht="25.15" customHeight="1" thickBot="1" x14ac:dyDescent="0.35">
      <c r="A75" s="40" t="s">
        <v>55</v>
      </c>
      <c r="B75" s="42">
        <f>186.8 + 104.14 + 40 + 128</f>
        <v>458.94</v>
      </c>
      <c r="C75" s="42"/>
      <c r="D75" s="42"/>
      <c r="E75" s="42"/>
      <c r="F75" s="42"/>
      <c r="G75" s="42"/>
      <c r="H75" s="42"/>
      <c r="I75" s="42"/>
      <c r="J75" s="42"/>
      <c r="K75" s="42"/>
      <c r="L75" s="42"/>
      <c r="M75" s="42"/>
      <c r="N75" s="43">
        <f t="shared" si="2"/>
        <v>458.94</v>
      </c>
      <c r="O75" s="94">
        <f t="shared" si="3"/>
        <v>458.94</v>
      </c>
    </row>
    <row r="76" spans="1:15" ht="25.15" customHeight="1" thickBot="1" x14ac:dyDescent="0.35">
      <c r="A76" s="40" t="s">
        <v>119</v>
      </c>
      <c r="B76" s="42">
        <v>320</v>
      </c>
      <c r="C76" s="42"/>
      <c r="D76" s="42"/>
      <c r="E76" s="42"/>
      <c r="F76" s="42"/>
      <c r="G76" s="42"/>
      <c r="H76" s="42"/>
      <c r="I76" s="42"/>
      <c r="J76" s="42"/>
      <c r="K76" s="42"/>
      <c r="L76" s="42"/>
      <c r="M76" s="42"/>
      <c r="N76" s="43">
        <f t="shared" si="2"/>
        <v>320</v>
      </c>
      <c r="O76" s="94">
        <f t="shared" si="3"/>
        <v>320</v>
      </c>
    </row>
    <row r="77" spans="1:15" ht="21" customHeight="1" thickBot="1" x14ac:dyDescent="0.35">
      <c r="A77" s="40" t="s">
        <v>57</v>
      </c>
      <c r="B77" s="42">
        <v>0</v>
      </c>
      <c r="C77" s="42"/>
      <c r="D77" s="42"/>
      <c r="E77" s="42"/>
      <c r="F77" s="42"/>
      <c r="G77" s="42"/>
      <c r="H77" s="42"/>
      <c r="I77" s="42"/>
      <c r="J77" s="42"/>
      <c r="K77" s="42"/>
      <c r="L77" s="42"/>
      <c r="M77" s="42"/>
      <c r="N77" s="43">
        <f t="shared" si="2"/>
        <v>0</v>
      </c>
      <c r="O77" s="94">
        <f t="shared" si="3"/>
        <v>0</v>
      </c>
    </row>
    <row r="78" spans="1:15" ht="25.15" customHeight="1" thickBot="1" x14ac:dyDescent="0.35">
      <c r="A78" s="40" t="s">
        <v>58</v>
      </c>
      <c r="B78" s="42">
        <v>0</v>
      </c>
      <c r="C78" s="42"/>
      <c r="D78" s="42"/>
      <c r="E78" s="42"/>
      <c r="F78" s="42"/>
      <c r="G78" s="42"/>
      <c r="H78" s="42"/>
      <c r="I78" s="42"/>
      <c r="J78" s="42"/>
      <c r="K78" s="42"/>
      <c r="L78" s="42"/>
      <c r="M78" s="42"/>
      <c r="N78" s="43">
        <f t="shared" si="2"/>
        <v>0</v>
      </c>
      <c r="O78" s="94">
        <f t="shared" si="3"/>
        <v>0</v>
      </c>
    </row>
    <row r="79" spans="1:15" ht="25.15" customHeight="1" x14ac:dyDescent="0.3">
      <c r="A79" s="26" t="s">
        <v>113</v>
      </c>
      <c r="B79" s="43">
        <f>SUBTOTAL(109,ManutencaoCasa[JANV])</f>
        <v>1288.94</v>
      </c>
      <c r="C79" s="43">
        <f>SUBTOTAL(109,ManutencaoCasa[FÉVR])</f>
        <v>0</v>
      </c>
      <c r="D79" s="43">
        <f>SUBTOTAL(109,ManutencaoCasa[MARS])</f>
        <v>0</v>
      </c>
      <c r="E79" s="43">
        <f>SUBTOTAL(109,ManutencaoCasa[AVR])</f>
        <v>0</v>
      </c>
      <c r="F79" s="43">
        <f>SUBTOTAL(109,ManutencaoCasa[MAI])</f>
        <v>0</v>
      </c>
      <c r="G79" s="43">
        <f>SUBTOTAL(109,ManutencaoCasa[JUIN])</f>
        <v>0</v>
      </c>
      <c r="H79" s="43">
        <f>SUBTOTAL(109,ManutencaoCasa[JUIL])</f>
        <v>0</v>
      </c>
      <c r="I79" s="43">
        <f>SUBTOTAL(109,ManutencaoCasa[AOÛT])</f>
        <v>0</v>
      </c>
      <c r="J79" s="43">
        <f>SUBTOTAL(109,ManutencaoCasa[SEPT])</f>
        <v>0</v>
      </c>
      <c r="K79" s="43">
        <f>SUBTOTAL(109,ManutencaoCasa[OCT])</f>
        <v>0</v>
      </c>
      <c r="L79" s="43">
        <f>SUBTOTAL(109,ManutencaoCasa[NOV])</f>
        <v>0</v>
      </c>
      <c r="M79" s="43">
        <f>SUBTOTAL(109,ManutencaoCasa[DÉC])</f>
        <v>0</v>
      </c>
      <c r="N79" s="43">
        <f>SUBTOTAL(109,ManutencaoCasa[ANNÉE])</f>
        <v>1288.94</v>
      </c>
      <c r="O79" s="94"/>
    </row>
    <row r="80" spans="1:15" ht="25.15" customHeight="1" thickBot="1" x14ac:dyDescent="0.45">
      <c r="A80" s="32"/>
      <c r="B80" s="32"/>
      <c r="C80" s="36"/>
      <c r="D80" s="36"/>
      <c r="E80" s="38"/>
      <c r="F80" s="38"/>
      <c r="G80" s="38"/>
      <c r="H80" s="38"/>
      <c r="I80" s="38"/>
      <c r="J80" s="38"/>
      <c r="K80" s="38"/>
      <c r="L80" s="38"/>
      <c r="M80" s="38"/>
      <c r="N80" s="37"/>
    </row>
    <row r="81" spans="1:15" ht="25.15" customHeight="1" thickBot="1" x14ac:dyDescent="0.35">
      <c r="A81" s="17" t="s">
        <v>59</v>
      </c>
      <c r="B81" s="64" t="s">
        <v>99</v>
      </c>
      <c r="C81" s="65" t="s">
        <v>100</v>
      </c>
      <c r="D81" s="65" t="s">
        <v>101</v>
      </c>
      <c r="E81" s="65" t="s">
        <v>102</v>
      </c>
      <c r="F81" s="65" t="s">
        <v>103</v>
      </c>
      <c r="G81" s="65" t="s">
        <v>104</v>
      </c>
      <c r="H81" s="65" t="s">
        <v>105</v>
      </c>
      <c r="I81" s="65" t="s">
        <v>106</v>
      </c>
      <c r="J81" s="65" t="s">
        <v>107</v>
      </c>
      <c r="K81" s="65" t="s">
        <v>108</v>
      </c>
      <c r="L81" s="65" t="s">
        <v>109</v>
      </c>
      <c r="M81" s="65" t="s">
        <v>110</v>
      </c>
      <c r="N81" s="66" t="s">
        <v>111</v>
      </c>
      <c r="O81" s="93" t="s">
        <v>141</v>
      </c>
    </row>
    <row r="82" spans="1:15" ht="25.15" customHeight="1" thickBot="1" x14ac:dyDescent="0.35">
      <c r="A82" s="40" t="s">
        <v>61</v>
      </c>
      <c r="B82" s="42">
        <v>2134.34</v>
      </c>
      <c r="C82" s="42"/>
      <c r="D82" s="42"/>
      <c r="E82" s="42"/>
      <c r="F82" s="42"/>
      <c r="G82" s="42"/>
      <c r="H82" s="42"/>
      <c r="I82" s="42"/>
      <c r="J82" s="42"/>
      <c r="K82" s="42"/>
      <c r="L82" s="42"/>
      <c r="M82" s="42">
        <v>0</v>
      </c>
      <c r="N82" s="43">
        <f>SUM(B82:M82)</f>
        <v>2134.34</v>
      </c>
      <c r="O82" s="94" t="e">
        <f>AVERAGE(#REF!)</f>
        <v>#REF!</v>
      </c>
    </row>
    <row r="83" spans="1:15" ht="25.15" customHeight="1" thickBot="1" x14ac:dyDescent="0.35">
      <c r="A83" s="40" t="s">
        <v>62</v>
      </c>
      <c r="B83" s="42">
        <v>361.09</v>
      </c>
      <c r="C83" s="42"/>
      <c r="D83" s="42"/>
      <c r="E83" s="42"/>
      <c r="F83" s="42"/>
      <c r="G83" s="42"/>
      <c r="H83" s="42"/>
      <c r="I83" s="42"/>
      <c r="J83" s="42"/>
      <c r="K83" s="42"/>
      <c r="L83" s="42"/>
      <c r="M83" s="42">
        <v>0</v>
      </c>
      <c r="N83" s="43">
        <f>SUM(B83:M83)</f>
        <v>361.09</v>
      </c>
      <c r="O83" s="94">
        <f>AVERAGE(B82:M82)</f>
        <v>1067.17</v>
      </c>
    </row>
    <row r="84" spans="1:15" ht="25.15" customHeight="1" thickBot="1" x14ac:dyDescent="0.35">
      <c r="A84" s="40" t="s">
        <v>120</v>
      </c>
      <c r="B84" s="42">
        <v>141.85</v>
      </c>
      <c r="C84" s="42"/>
      <c r="D84" s="42"/>
      <c r="E84" s="42"/>
      <c r="F84" s="42"/>
      <c r="G84" s="42"/>
      <c r="H84" s="42"/>
      <c r="I84" s="42"/>
      <c r="J84" s="42"/>
      <c r="K84" s="42"/>
      <c r="L84" s="42"/>
      <c r="M84" s="42">
        <v>0</v>
      </c>
      <c r="N84" s="43">
        <f>SUM(B84:M84)</f>
        <v>141.85</v>
      </c>
      <c r="O84" s="94">
        <f>AVERAGE(B83:M83)</f>
        <v>180.54499999999999</v>
      </c>
    </row>
    <row r="85" spans="1:15" ht="21" customHeight="1" thickBot="1" x14ac:dyDescent="0.35">
      <c r="A85" s="40" t="s">
        <v>121</v>
      </c>
      <c r="B85" s="42">
        <v>79.2</v>
      </c>
      <c r="C85" s="42"/>
      <c r="D85" s="42"/>
      <c r="E85" s="42"/>
      <c r="F85" s="42"/>
      <c r="G85" s="42"/>
      <c r="H85" s="42"/>
      <c r="I85" s="42"/>
      <c r="J85" s="42"/>
      <c r="K85" s="42"/>
      <c r="L85" s="42"/>
      <c r="M85" s="42">
        <v>0</v>
      </c>
      <c r="N85" s="43">
        <f>SUM(B85:M85)</f>
        <v>79.2</v>
      </c>
      <c r="O85" s="94">
        <f>AVERAGE(B84:M84)</f>
        <v>70.924999999999997</v>
      </c>
    </row>
    <row r="86" spans="1:15" ht="25.15" customHeight="1" thickBot="1" x14ac:dyDescent="0.35">
      <c r="A86" s="24" t="s">
        <v>113</v>
      </c>
      <c r="B86" s="43">
        <f>SUBTOTAL(109,DRSeguros[JANV])</f>
        <v>2716.48</v>
      </c>
      <c r="C86" s="43">
        <f>SUBTOTAL(109,DRSeguros[FÉVR])</f>
        <v>0</v>
      </c>
      <c r="D86" s="43">
        <f>SUBTOTAL(109,DRSeguros[MARS])</f>
        <v>0</v>
      </c>
      <c r="E86" s="43">
        <f>SUBTOTAL(109,DRSeguros[AVR])</f>
        <v>0</v>
      </c>
      <c r="F86" s="43">
        <f>SUBTOTAL(109,DRSeguros[MAI])</f>
        <v>0</v>
      </c>
      <c r="G86" s="43">
        <f>SUBTOTAL(109,DRSeguros[JUIN])</f>
        <v>0</v>
      </c>
      <c r="H86" s="43">
        <f>SUBTOTAL(109,DRSeguros[JUIL])</f>
        <v>0</v>
      </c>
      <c r="I86" s="43">
        <f>SUBTOTAL(109,DRSeguros[AOÛT])</f>
        <v>0</v>
      </c>
      <c r="J86" s="43">
        <f>SUBTOTAL(109,DRSeguros[SEPT])</f>
        <v>0</v>
      </c>
      <c r="K86" s="43">
        <f>SUBTOTAL(109,DRSeguros[OCT])</f>
        <v>0</v>
      </c>
      <c r="L86" s="43">
        <f>SUBTOTAL(109,DRSeguros[NOV])</f>
        <v>0</v>
      </c>
      <c r="M86" s="43">
        <f>SUBTOTAL(109,DRSeguros[DÉC])</f>
        <v>0</v>
      </c>
      <c r="N86" s="43">
        <f>SUBTOTAL(109,DRSeguros[ANNÉE])</f>
        <v>2716.48</v>
      </c>
      <c r="O86" s="94">
        <f>AVERAGE(B85:M85)</f>
        <v>39.6</v>
      </c>
    </row>
    <row r="87" spans="1:15" ht="25.15" customHeight="1" thickBot="1" x14ac:dyDescent="0.35">
      <c r="A87" s="31"/>
      <c r="B87" s="31"/>
      <c r="C87" s="38"/>
      <c r="D87" s="38"/>
      <c r="E87" s="38"/>
      <c r="F87" s="38"/>
      <c r="G87" s="38"/>
      <c r="H87" s="38"/>
      <c r="I87" s="38"/>
      <c r="J87" s="38"/>
      <c r="K87" s="38"/>
      <c r="L87" s="38"/>
      <c r="M87" s="38"/>
      <c r="N87" s="37"/>
      <c r="O87" s="95">
        <f>AVERAGE(B86:M86)</f>
        <v>226.37333333333333</v>
      </c>
    </row>
    <row r="88" spans="1:15" ht="25.15" customHeight="1" thickBot="1" x14ac:dyDescent="0.45">
      <c r="A88" s="21" t="s">
        <v>65</v>
      </c>
      <c r="B88" s="64" t="s">
        <v>99</v>
      </c>
      <c r="C88" s="65" t="s">
        <v>100</v>
      </c>
      <c r="D88" s="65" t="s">
        <v>101</v>
      </c>
      <c r="E88" s="65" t="s">
        <v>102</v>
      </c>
      <c r="F88" s="65" t="s">
        <v>103</v>
      </c>
      <c r="G88" s="65" t="s">
        <v>104</v>
      </c>
      <c r="H88" s="65" t="s">
        <v>105</v>
      </c>
      <c r="I88" s="65" t="s">
        <v>106</v>
      </c>
      <c r="J88" s="65" t="s">
        <v>107</v>
      </c>
      <c r="K88" s="65" t="s">
        <v>108</v>
      </c>
      <c r="L88" s="65" t="s">
        <v>109</v>
      </c>
      <c r="M88" s="65" t="s">
        <v>110</v>
      </c>
      <c r="N88" s="66" t="s">
        <v>111</v>
      </c>
    </row>
    <row r="89" spans="1:15" ht="25.15" customHeight="1" thickBot="1" x14ac:dyDescent="0.35">
      <c r="A89" s="213" t="s">
        <v>66</v>
      </c>
      <c r="B89" s="42">
        <v>129.28</v>
      </c>
      <c r="C89" s="42"/>
      <c r="D89" s="42"/>
      <c r="E89" s="42"/>
      <c r="F89" s="42"/>
      <c r="G89" s="42"/>
      <c r="H89" s="42"/>
      <c r="I89" s="42"/>
      <c r="J89" s="42"/>
      <c r="K89" s="42"/>
      <c r="L89" s="42"/>
      <c r="M89" s="42"/>
      <c r="N89" s="43">
        <f t="shared" ref="N89:N96" si="4">SUM(B89:M89)</f>
        <v>129.28</v>
      </c>
      <c r="O89" s="93" t="s">
        <v>141</v>
      </c>
    </row>
    <row r="90" spans="1:15" ht="25.15" customHeight="1" thickBot="1" x14ac:dyDescent="0.35">
      <c r="A90" s="213" t="s">
        <v>67</v>
      </c>
      <c r="B90" s="42">
        <v>0</v>
      </c>
      <c r="C90" s="42"/>
      <c r="D90" s="42"/>
      <c r="E90" s="42"/>
      <c r="F90" s="42"/>
      <c r="G90" s="42"/>
      <c r="H90" s="42"/>
      <c r="I90" s="42"/>
      <c r="J90" s="42"/>
      <c r="K90" s="42"/>
      <c r="L90" s="42"/>
      <c r="M90" s="42"/>
      <c r="N90" s="43">
        <f t="shared" si="4"/>
        <v>0</v>
      </c>
      <c r="O90" s="77">
        <f t="shared" ref="O90:O98" si="5">AVERAGE(B89:M89)</f>
        <v>129.28</v>
      </c>
    </row>
    <row r="91" spans="1:15" ht="25.15" customHeight="1" thickBot="1" x14ac:dyDescent="0.35">
      <c r="A91" s="213" t="s">
        <v>68</v>
      </c>
      <c r="B91" s="42">
        <v>1600</v>
      </c>
      <c r="C91" s="42"/>
      <c r="D91" s="42"/>
      <c r="E91" s="42"/>
      <c r="F91" s="42"/>
      <c r="G91" s="42"/>
      <c r="H91" s="42"/>
      <c r="I91" s="42"/>
      <c r="J91" s="42"/>
      <c r="K91" s="42"/>
      <c r="L91" s="42"/>
      <c r="M91" s="42"/>
      <c r="N91" s="43">
        <f t="shared" si="4"/>
        <v>1600</v>
      </c>
      <c r="O91" s="77">
        <f t="shared" si="5"/>
        <v>0</v>
      </c>
    </row>
    <row r="92" spans="1:15" ht="25.15" customHeight="1" thickBot="1" x14ac:dyDescent="0.35">
      <c r="A92" s="213" t="s">
        <v>69</v>
      </c>
      <c r="B92" s="42">
        <v>135</v>
      </c>
      <c r="C92" s="42"/>
      <c r="D92" s="42"/>
      <c r="E92" s="42"/>
      <c r="F92" s="42"/>
      <c r="G92" s="42"/>
      <c r="H92" s="42"/>
      <c r="I92" s="42"/>
      <c r="J92" s="42"/>
      <c r="K92" s="42"/>
      <c r="L92" s="42"/>
      <c r="M92" s="42"/>
      <c r="N92" s="43">
        <f t="shared" si="4"/>
        <v>135</v>
      </c>
      <c r="O92" s="77">
        <f t="shared" si="5"/>
        <v>1600</v>
      </c>
    </row>
    <row r="93" spans="1:15" ht="25.15" customHeight="1" thickBot="1" x14ac:dyDescent="0.35">
      <c r="A93" s="213" t="s">
        <v>70</v>
      </c>
      <c r="B93" s="42">
        <v>102.13</v>
      </c>
      <c r="C93" s="42"/>
      <c r="D93" s="42"/>
      <c r="E93" s="42"/>
      <c r="F93" s="42"/>
      <c r="G93" s="42"/>
      <c r="H93" s="42"/>
      <c r="I93" s="42"/>
      <c r="J93" s="42"/>
      <c r="K93" s="42"/>
      <c r="L93" s="42"/>
      <c r="M93" s="42"/>
      <c r="N93" s="43">
        <f t="shared" si="4"/>
        <v>102.13</v>
      </c>
      <c r="O93" s="77">
        <f t="shared" si="5"/>
        <v>135</v>
      </c>
    </row>
    <row r="94" spans="1:15" ht="25.15" customHeight="1" thickBot="1" x14ac:dyDescent="0.35">
      <c r="A94" s="213" t="s">
        <v>71</v>
      </c>
      <c r="B94" s="42">
        <v>123.07</v>
      </c>
      <c r="C94" s="42"/>
      <c r="D94" s="42"/>
      <c r="E94" s="42"/>
      <c r="F94" s="42"/>
      <c r="G94" s="42"/>
      <c r="H94" s="42"/>
      <c r="I94" s="42"/>
      <c r="J94" s="42"/>
      <c r="K94" s="42"/>
      <c r="L94" s="42"/>
      <c r="M94" s="42"/>
      <c r="N94" s="43">
        <f t="shared" si="4"/>
        <v>123.07</v>
      </c>
      <c r="O94" s="77">
        <f t="shared" si="5"/>
        <v>102.13</v>
      </c>
    </row>
    <row r="95" spans="1:15" ht="25.15" customHeight="1" thickBot="1" x14ac:dyDescent="0.35">
      <c r="A95" s="213" t="s">
        <v>72</v>
      </c>
      <c r="B95" s="42">
        <v>0</v>
      </c>
      <c r="C95" s="42"/>
      <c r="D95" s="42"/>
      <c r="E95" s="42"/>
      <c r="F95" s="42"/>
      <c r="G95" s="42"/>
      <c r="H95" s="42"/>
      <c r="I95" s="42"/>
      <c r="J95" s="42"/>
      <c r="K95" s="42"/>
      <c r="L95" s="42"/>
      <c r="M95" s="42"/>
      <c r="N95" s="43">
        <f t="shared" si="4"/>
        <v>0</v>
      </c>
      <c r="O95" s="77">
        <f t="shared" si="5"/>
        <v>123.07</v>
      </c>
    </row>
    <row r="96" spans="1:15" ht="25.15" customHeight="1" thickBot="1" x14ac:dyDescent="0.35">
      <c r="A96" s="213" t="s">
        <v>73</v>
      </c>
      <c r="B96" s="42">
        <v>104.99</v>
      </c>
      <c r="C96" s="42"/>
      <c r="D96" s="42"/>
      <c r="E96" s="42"/>
      <c r="F96" s="42"/>
      <c r="G96" s="42"/>
      <c r="H96" s="42"/>
      <c r="I96" s="42"/>
      <c r="J96" s="42"/>
      <c r="K96" s="42"/>
      <c r="L96" s="42"/>
      <c r="M96" s="42"/>
      <c r="N96" s="43">
        <f t="shared" si="4"/>
        <v>104.99</v>
      </c>
      <c r="O96" s="77">
        <f t="shared" si="5"/>
        <v>0</v>
      </c>
    </row>
    <row r="97" spans="1:15" ht="25.15" customHeight="1" thickBot="1" x14ac:dyDescent="0.35">
      <c r="A97" s="26" t="s">
        <v>113</v>
      </c>
      <c r="B97" s="43">
        <f>SUBTOTAL(109,DRServicos[JANV])</f>
        <v>2194.4699999999998</v>
      </c>
      <c r="C97" s="43">
        <f>SUBTOTAL(109,DRServicos[FÉVR])</f>
        <v>0</v>
      </c>
      <c r="D97" s="43">
        <f>SUBTOTAL(109,DRServicos[MARS])</f>
        <v>0</v>
      </c>
      <c r="E97" s="43">
        <f>SUBTOTAL(109,DRServicos[AVR])</f>
        <v>0</v>
      </c>
      <c r="F97" s="43">
        <f>SUBTOTAL(109,DRServicos[MAI])</f>
        <v>0</v>
      </c>
      <c r="G97" s="43">
        <f>SUBTOTAL(109,DRServicos[JUIN])</f>
        <v>0</v>
      </c>
      <c r="H97" s="43">
        <f>SUBTOTAL(109,DRServicos[JUIL])</f>
        <v>0</v>
      </c>
      <c r="I97" s="43">
        <f>SUBTOTAL(109,DRServicos[AOÛT])</f>
        <v>0</v>
      </c>
      <c r="J97" s="43">
        <f>SUBTOTAL(109,DRServicos[SEPT])</f>
        <v>0</v>
      </c>
      <c r="K97" s="43">
        <f>SUBTOTAL(109,DRServicos[OCT])</f>
        <v>0</v>
      </c>
      <c r="L97" s="43">
        <f>SUBTOTAL(109,DRServicos[NOV])</f>
        <v>0</v>
      </c>
      <c r="M97" s="43">
        <f>SUBTOTAL(109,DRServicos[DÉC])</f>
        <v>0</v>
      </c>
      <c r="N97" s="43">
        <f>SUBTOTAL(109,DRServicos[ANNÉE])</f>
        <v>2194.4699999999998</v>
      </c>
      <c r="O97" s="77">
        <f t="shared" si="5"/>
        <v>104.99</v>
      </c>
    </row>
    <row r="98" spans="1:15" ht="25.15" customHeight="1" x14ac:dyDescent="0.3">
      <c r="O98" s="77">
        <f t="shared" si="5"/>
        <v>182.87249999999997</v>
      </c>
    </row>
    <row r="99" spans="1:15" ht="25.15" customHeight="1" thickBot="1" x14ac:dyDescent="0.45">
      <c r="A99" s="17" t="s">
        <v>74</v>
      </c>
      <c r="B99" s="64" t="s">
        <v>99</v>
      </c>
      <c r="C99" s="65" t="s">
        <v>100</v>
      </c>
      <c r="D99" s="65" t="s">
        <v>101</v>
      </c>
      <c r="E99" s="65" t="s">
        <v>102</v>
      </c>
      <c r="F99" s="65" t="s">
        <v>103</v>
      </c>
      <c r="G99" s="65" t="s">
        <v>104</v>
      </c>
      <c r="H99" s="65" t="s">
        <v>105</v>
      </c>
      <c r="I99" s="65" t="s">
        <v>106</v>
      </c>
      <c r="J99" s="65" t="s">
        <v>107</v>
      </c>
      <c r="K99" s="65" t="s">
        <v>108</v>
      </c>
      <c r="L99" s="65" t="s">
        <v>109</v>
      </c>
      <c r="M99" s="65" t="s">
        <v>110</v>
      </c>
      <c r="N99" s="66" t="s">
        <v>111</v>
      </c>
    </row>
    <row r="100" spans="1:15" ht="25.15" customHeight="1" thickBot="1" x14ac:dyDescent="0.35">
      <c r="A100" s="40" t="s">
        <v>75</v>
      </c>
      <c r="B100" s="42">
        <v>0</v>
      </c>
      <c r="C100" s="42"/>
      <c r="D100" s="42"/>
      <c r="E100" s="42"/>
      <c r="F100" s="42"/>
      <c r="G100" s="42"/>
      <c r="H100" s="42"/>
      <c r="I100" s="42"/>
      <c r="J100" s="42"/>
      <c r="K100" s="42"/>
      <c r="L100" s="42"/>
      <c r="M100" s="42"/>
      <c r="N100" s="43">
        <f t="shared" ref="N100:N108" si="6">SUM(B100:M100)</f>
        <v>0</v>
      </c>
      <c r="O100" s="93" t="s">
        <v>141</v>
      </c>
    </row>
    <row r="101" spans="1:15" ht="25.15" customHeight="1" thickBot="1" x14ac:dyDescent="0.35">
      <c r="A101" s="40" t="s">
        <v>76</v>
      </c>
      <c r="B101" s="42">
        <v>0</v>
      </c>
      <c r="C101" s="42"/>
      <c r="D101" s="42"/>
      <c r="E101" s="42"/>
      <c r="F101" s="42"/>
      <c r="G101" s="42"/>
      <c r="H101" s="42"/>
      <c r="I101" s="42"/>
      <c r="J101" s="42"/>
      <c r="K101" s="42"/>
      <c r="L101" s="42"/>
      <c r="M101" s="42"/>
      <c r="N101" s="43">
        <f t="shared" si="6"/>
        <v>0</v>
      </c>
      <c r="O101" s="77">
        <f t="shared" ref="O101:O110" si="7">AVERAGE(B100:M100)</f>
        <v>0</v>
      </c>
    </row>
    <row r="102" spans="1:15" ht="25.15" customHeight="1" thickBot="1" x14ac:dyDescent="0.35">
      <c r="A102" s="40" t="s">
        <v>77</v>
      </c>
      <c r="B102" s="42">
        <v>556.4</v>
      </c>
      <c r="C102" s="42"/>
      <c r="D102" s="42"/>
      <c r="E102" s="42"/>
      <c r="F102" s="42"/>
      <c r="G102" s="42"/>
      <c r="H102" s="42"/>
      <c r="I102" s="42"/>
      <c r="J102" s="42"/>
      <c r="K102" s="42"/>
      <c r="L102" s="42"/>
      <c r="M102" s="42"/>
      <c r="N102" s="43">
        <f t="shared" si="6"/>
        <v>556.4</v>
      </c>
      <c r="O102" s="77">
        <f t="shared" si="7"/>
        <v>0</v>
      </c>
    </row>
    <row r="103" spans="1:15" ht="25.15" customHeight="1" thickBot="1" x14ac:dyDescent="0.35">
      <c r="A103" s="40" t="s">
        <v>78</v>
      </c>
      <c r="B103" s="42">
        <v>0</v>
      </c>
      <c r="C103" s="42"/>
      <c r="D103" s="42"/>
      <c r="E103" s="42"/>
      <c r="F103" s="42"/>
      <c r="G103" s="42"/>
      <c r="H103" s="42"/>
      <c r="I103" s="42"/>
      <c r="J103" s="42"/>
      <c r="K103" s="42"/>
      <c r="L103" s="42"/>
      <c r="M103" s="42"/>
      <c r="N103" s="43">
        <f t="shared" si="6"/>
        <v>0</v>
      </c>
      <c r="O103" s="77">
        <f t="shared" si="7"/>
        <v>556.4</v>
      </c>
    </row>
    <row r="104" spans="1:15" ht="25.15" customHeight="1" thickBot="1" x14ac:dyDescent="0.35">
      <c r="A104" s="40" t="s">
        <v>79</v>
      </c>
      <c r="B104" s="42">
        <v>0</v>
      </c>
      <c r="C104" s="42"/>
      <c r="D104" s="42"/>
      <c r="E104" s="42"/>
      <c r="F104" s="42"/>
      <c r="G104" s="42"/>
      <c r="H104" s="42"/>
      <c r="I104" s="42"/>
      <c r="J104" s="42"/>
      <c r="K104" s="42"/>
      <c r="L104" s="42"/>
      <c r="M104" s="42"/>
      <c r="N104" s="43">
        <f t="shared" si="6"/>
        <v>0</v>
      </c>
      <c r="O104" s="77">
        <f t="shared" si="7"/>
        <v>0</v>
      </c>
    </row>
    <row r="105" spans="1:15" ht="25.15" customHeight="1" thickBot="1" x14ac:dyDescent="0.35">
      <c r="A105" s="40" t="s">
        <v>80</v>
      </c>
      <c r="B105" s="42">
        <v>0</v>
      </c>
      <c r="C105" s="42"/>
      <c r="D105" s="42"/>
      <c r="E105" s="42"/>
      <c r="F105" s="42"/>
      <c r="G105" s="42"/>
      <c r="H105" s="42"/>
      <c r="I105" s="42"/>
      <c r="J105" s="42"/>
      <c r="K105" s="42"/>
      <c r="L105" s="42"/>
      <c r="M105" s="42"/>
      <c r="N105" s="43">
        <f t="shared" si="6"/>
        <v>0</v>
      </c>
      <c r="O105" s="77">
        <f t="shared" si="7"/>
        <v>0</v>
      </c>
    </row>
    <row r="106" spans="1:15" ht="25.15" customHeight="1" thickBot="1" x14ac:dyDescent="0.35">
      <c r="A106" s="40" t="s">
        <v>81</v>
      </c>
      <c r="B106" s="42">
        <v>0</v>
      </c>
      <c r="C106" s="42"/>
      <c r="D106" s="42"/>
      <c r="E106" s="42"/>
      <c r="F106" s="42"/>
      <c r="G106" s="42"/>
      <c r="H106" s="42"/>
      <c r="I106" s="42"/>
      <c r="J106" s="42"/>
      <c r="K106" s="42"/>
      <c r="L106" s="42"/>
      <c r="M106" s="42"/>
      <c r="N106" s="43">
        <f t="shared" si="6"/>
        <v>0</v>
      </c>
      <c r="O106" s="77">
        <f t="shared" si="7"/>
        <v>0</v>
      </c>
    </row>
    <row r="107" spans="1:15" ht="25.15" customHeight="1" thickBot="1" x14ac:dyDescent="0.35">
      <c r="A107" s="40" t="s">
        <v>122</v>
      </c>
      <c r="B107" s="42">
        <v>0</v>
      </c>
      <c r="C107" s="42"/>
      <c r="D107" s="42"/>
      <c r="E107" s="42"/>
      <c r="F107" s="42"/>
      <c r="G107" s="42"/>
      <c r="H107" s="42"/>
      <c r="I107" s="42"/>
      <c r="J107" s="42"/>
      <c r="K107" s="42"/>
      <c r="L107" s="42"/>
      <c r="M107" s="42"/>
      <c r="N107" s="43">
        <f t="shared" si="6"/>
        <v>0</v>
      </c>
      <c r="O107" s="77">
        <f t="shared" si="7"/>
        <v>0</v>
      </c>
    </row>
    <row r="108" spans="1:15" ht="21" customHeight="1" thickBot="1" x14ac:dyDescent="0.35">
      <c r="A108" s="40" t="s">
        <v>83</v>
      </c>
      <c r="B108" s="42">
        <v>0</v>
      </c>
      <c r="C108" s="42"/>
      <c r="D108" s="42"/>
      <c r="E108" s="42"/>
      <c r="F108" s="42"/>
      <c r="G108" s="42"/>
      <c r="H108" s="42"/>
      <c r="I108" s="42"/>
      <c r="J108" s="42"/>
      <c r="K108" s="42"/>
      <c r="L108" s="42"/>
      <c r="M108" s="42"/>
      <c r="N108" s="43">
        <f t="shared" si="6"/>
        <v>0</v>
      </c>
      <c r="O108" s="77">
        <f t="shared" si="7"/>
        <v>0</v>
      </c>
    </row>
    <row r="109" spans="1:15" ht="25.15" customHeight="1" thickBot="1" x14ac:dyDescent="0.35">
      <c r="A109" s="25" t="s">
        <v>113</v>
      </c>
      <c r="B109" s="43">
        <f>SUBTOTAL(109,DRViagens[JANV])</f>
        <v>556.4</v>
      </c>
      <c r="C109" s="43">
        <f>SUBTOTAL(109,DRViagens[FÉVR])</f>
        <v>0</v>
      </c>
      <c r="D109" s="43">
        <f>SUBTOTAL(109,DRViagens[MARS])</f>
        <v>0</v>
      </c>
      <c r="E109" s="43">
        <f>SUBTOTAL(109,DRViagens[AVR])</f>
        <v>0</v>
      </c>
      <c r="F109" s="43">
        <f>SUBTOTAL(109,DRViagens[MAI])</f>
        <v>0</v>
      </c>
      <c r="G109" s="43">
        <f>SUBTOTAL(109,DRViagens[JUIN])</f>
        <v>0</v>
      </c>
      <c r="H109" s="43">
        <f>SUBTOTAL(109,DRViagens[JUIL])</f>
        <v>0</v>
      </c>
      <c r="I109" s="43">
        <f>SUBTOTAL(109,DRViagens[AOÛT])</f>
        <v>0</v>
      </c>
      <c r="J109" s="43">
        <f>SUBTOTAL(109,DRViagens[SEPT])</f>
        <v>0</v>
      </c>
      <c r="K109" s="43">
        <f>SUBTOTAL(109,DRViagens[OCT])</f>
        <v>0</v>
      </c>
      <c r="L109" s="43">
        <f>SUBTOTAL(109,DRViagens[NOV])</f>
        <v>0</v>
      </c>
      <c r="M109" s="43">
        <f>SUBTOTAL(109,DRViagens[DÉC])</f>
        <v>0</v>
      </c>
      <c r="N109" s="43">
        <f>SUBTOTAL(109,DRViagens[ANNÉE])</f>
        <v>556.4</v>
      </c>
      <c r="O109" s="77">
        <f t="shared" si="7"/>
        <v>0</v>
      </c>
    </row>
    <row r="110" spans="1:15" ht="25.15" customHeight="1" x14ac:dyDescent="0.3">
      <c r="A110" s="31"/>
      <c r="B110" s="31"/>
      <c r="C110" s="37"/>
      <c r="D110" s="37"/>
      <c r="E110" s="37"/>
      <c r="F110" s="37"/>
      <c r="G110" s="37"/>
      <c r="H110" s="37"/>
      <c r="I110" s="37"/>
      <c r="J110" s="37"/>
      <c r="K110" s="37"/>
      <c r="L110" s="37"/>
      <c r="M110" s="37"/>
      <c r="N110" s="37"/>
      <c r="O110" s="77">
        <f t="shared" si="7"/>
        <v>46.366666666666667</v>
      </c>
    </row>
    <row r="111" spans="1:15" ht="25.15" customHeight="1" thickBot="1" x14ac:dyDescent="0.4">
      <c r="A111" s="82" t="s">
        <v>123</v>
      </c>
      <c r="B111" s="83" t="s">
        <v>124</v>
      </c>
      <c r="C111" s="83" t="s">
        <v>125</v>
      </c>
      <c r="D111" s="83" t="s">
        <v>126</v>
      </c>
      <c r="E111" s="83" t="s">
        <v>127</v>
      </c>
      <c r="F111" s="83" t="s">
        <v>128</v>
      </c>
      <c r="G111" s="83" t="s">
        <v>129</v>
      </c>
      <c r="H111" s="83" t="s">
        <v>130</v>
      </c>
      <c r="I111" s="83" t="s">
        <v>131</v>
      </c>
      <c r="J111" s="83" t="s">
        <v>132</v>
      </c>
      <c r="K111" s="83" t="s">
        <v>133</v>
      </c>
      <c r="L111" s="83" t="s">
        <v>134</v>
      </c>
      <c r="M111" s="83" t="s">
        <v>135</v>
      </c>
      <c r="N111" s="84" t="s">
        <v>136</v>
      </c>
      <c r="O111"/>
    </row>
    <row r="112" spans="1:15" ht="21" customHeight="1" thickBot="1" x14ac:dyDescent="0.35">
      <c r="A112" s="85" t="s">
        <v>145</v>
      </c>
      <c r="B112" s="86">
        <f>DRAlimentacaoLimpeza[[#Totals],[JANV]] + DRCaridadeDoacoes[[#Totals],[JANV]] + DRCarro[[#Totals],[JANV]] + DRCriaturasEstimacao[[#Totals],[JANV]] + DRCuidadosPessoaisFormacao[[#Totals],[JANV]] + DRDespesasBancarias[[#Totals],[JANV]] + DRDespesasMedicas[[#Totals],[JANV]] + DREletronicaInformatica[[#Totals],[JANV]] + DRImpostos[[#Totals],[JANV]] + DRLazer[[#Totals],[JANV]] + ManutencaoCasa[[#Totals],[JANV]] + DRSeguros[[#Totals],[JANV]] + DRServicos[[#Totals],[JANV]] + DRViagens[[#Totals],[JANV]]</f>
        <v>14504.859999999999</v>
      </c>
      <c r="C112" s="87">
        <f>DRAlimentacaoLimpeza[[#Totals],[FÉVR]] + DRCaridadeDoacoes[[#Totals],[FÉVR]] + DRCarro[[#Totals],[FÉVR]] + DRCriaturasEstimacao[[#Totals],[FÉVR]] + DRCuidadosPessoaisFormacao[[#Totals],[FÉVR]] + DRDespesasBancarias[[#Totals],[FÉVR]] + DRDespesasMedicas[[#Totals],[FÉVR]] + DREletronicaInformatica[[#Totals],[FÉVR]] + DRImpostos[[#Totals],[FÉVR]] + DRLazer[[#Totals],[FÉVR]] + ManutencaoCasa[[#Totals],[FÉVR]] + DRSeguros[[#Totals],[FÉVR]] + DRServicos[[#Totals],[FÉVR]] + DRViagens[[#Totals],[FÉVR]]</f>
        <v>0</v>
      </c>
      <c r="D112" s="87">
        <f>DRAlimentacaoLimpeza[[#Totals],[MARS]] + DRCaridadeDoacoes[[#Totals],[MARS]] + DRCarro[[#Totals],[MARS]] + DRCriaturasEstimacao[[#Totals],[MARS]] + DRCuidadosPessoaisFormacao[[#Totals],[MARS]] + DRDespesasBancarias[[#Totals],[MARS]] + DRDespesasMedicas[[#Totals],[MARS]] + DREletronicaInformatica[[#Totals],[MARS]] + DRImpostos[[#Totals],[MARS]] + DRLazer[[#Totals],[MARS]] + ManutencaoCasa[[#Totals],[MARS]] + DRSeguros[[#Totals],[MARS]] + DRServicos[[#Totals],[MARS]] + DRViagens[[#Totals],[MARS]]</f>
        <v>0</v>
      </c>
      <c r="E112" s="87">
        <f>DRAlimentacaoLimpeza[[#Totals],[AVR]] + DRCaridadeDoacoes[[#Totals],[AVR]] + DRCarro[[#Totals],[AVR]] + DRCriaturasEstimacao[[#Totals],[AVR]] + DRCuidadosPessoaisFormacao[[#Totals],[AVR]] + DRDespesasBancarias[[#Totals],[AVR]] + DRDespesasMedicas[[#Totals],[AVR]] + DREletronicaInformatica[[#Totals],[AVR]] + DRImpostos[[#Totals],[AVR]] + DRLazer[[#Totals],[AVR]] + ManutencaoCasa[[#Totals],[AVR]] + DRSeguros[[#Totals],[AVR]] + DRServicos[[#Totals],[AVR]] + DRViagens[[#Totals],[AVR]]</f>
        <v>0</v>
      </c>
      <c r="F112" s="87">
        <f>DRAlimentacaoLimpeza[[#Totals],[MAI]] + DRCaridadeDoacoes[[#Totals],[MAI]] + DRCarro[[#Totals],[MAI]] + DRCriaturasEstimacao[[#Totals],[MAI]] + DRCuidadosPessoaisFormacao[[#Totals],[MAI]] + DRDespesasBancarias[[#Totals],[MAI]] + DRDespesasMedicas[[#Totals],[MAI]] + DREletronicaInformatica[[#Totals],[MAI]] + DRImpostos[[#Totals],[MAI]] + DRLazer[[#Totals],[MAI]] + ManutencaoCasa[[#Totals],[MAI]] + DRSeguros[[#Totals],[MAI]] + DRServicos[[#Totals],[MAI]] + DRViagens[[#Totals],[MAI]]</f>
        <v>0</v>
      </c>
      <c r="G112" s="87">
        <f>DRAlimentacaoLimpeza[[#Totals],[JUIN]] + DRCaridadeDoacoes[[#Totals],[JUIN]] + DRCarro[[#Totals],[JUIN]] + DRCriaturasEstimacao[[#Totals],[JUIN]] + DRCuidadosPessoaisFormacao[[#Totals],[JUIN]] + DRDespesasBancarias[[#Totals],[JUIN]] + DRDespesasMedicas[[#Totals],[JUIN]] + DREletronicaInformatica[[#Totals],[JUIN]] + DRImpostos[[#Totals],[JUIN]] + DRLazer[[#Totals],[JUIN]] + ManutencaoCasa[[#Totals],[JUIN]] + DRSeguros[[#Totals],[JUIN]] + DRServicos[[#Totals],[JUIN]] + DRViagens[[#Totals],[JUIN]]</f>
        <v>0</v>
      </c>
      <c r="H112" s="87">
        <f>DRAlimentacaoLimpeza[[#Totals],[JUIL]] + DRCaridadeDoacoes[[#Totals],[JUIL]] + DRCarro[[#Totals],[JUIL]] + DRCriaturasEstimacao[[#Totals],[JUIL]] + DRCuidadosPessoaisFormacao[[#Totals],[JUIL]] + DRDespesasBancarias[[#Totals],[JUIL]] + DRDespesasMedicas[[#Totals],[JUIL]] + DREletronicaInformatica[[#Totals],[JUIL]] + DRImpostos[[#Totals],[JUIL]] + DRLazer[[#Totals],[JUIL]] + ManutencaoCasa[[#Totals],[JUIL]] + DRSeguros[[#Totals],[JUIL]] + DRServicos[[#Totals],[JUIL]] + DRViagens[[#Totals],[JUIL]]</f>
        <v>0</v>
      </c>
      <c r="I112" s="87">
        <f>DRAlimentacaoLimpeza[[#Totals],[AOÛT]] + DRCaridadeDoacoes[[#Totals],[AOÛT]] + DRCarro[[#Totals],[AOÛT]] + DRCriaturasEstimacao[[#Totals],[AOÛT]] + DRCuidadosPessoaisFormacao[[#Totals],[AOÛT]] + DRDespesasBancarias[[#Totals],[AOÛT]] + DRDespesasMedicas[[#Totals],[AOÛT]] + DREletronicaInformatica[[#Totals],[AOÛT]] + DRImpostos[[#Totals],[AOÛT]] + DRLazer[[#Totals],[AOÛT]] + ManutencaoCasa[[#Totals],[AOÛT]] + DRSeguros[[#Totals],[AOÛT]] + DRServicos[[#Totals],[AOÛT]] + DRViagens[[#Totals],[AOÛT]]</f>
        <v>0</v>
      </c>
      <c r="J112" s="87">
        <f>DRAlimentacaoLimpeza[[#Totals],[SEPT]] + DRCaridadeDoacoes[[#Totals],[SEPT]] + DRCarro[[#Totals],[SEPT]] + DRCriaturasEstimacao[[#Totals],[SEPT]] + DRCuidadosPessoaisFormacao[[#Totals],[SEPT]] + DRDespesasBancarias[[#Totals],[SEPT]] + DRDespesasMedicas[[#Totals],[SEPT]] + DREletronicaInformatica[[#Totals],[SEPT]] + DRImpostos[[#Totals],[SEPT]] + DRLazer[[#Totals],[SEPT]] + ManutencaoCasa[[#Totals],[SEPT]] + DRSeguros[[#Totals],[SEPT]] + DRServicos[[#Totals],[SEPT]] + DRViagens[[#Totals],[SEPT]]</f>
        <v>0</v>
      </c>
      <c r="K112" s="87">
        <f>DRAlimentacaoLimpeza[[#Totals],[OCT]] + DRCaridadeDoacoes[[#Totals],[OCT]] + DRCarro[[#Totals],[OCT]] + DRCriaturasEstimacao[[#Totals],[OCT]] + DRCuidadosPessoaisFormacao[[#Totals],[OCT]] + DRDespesasBancarias[[#Totals],[OCT]] + DRDespesasMedicas[[#Totals],[OCT]] + DREletronicaInformatica[[#Totals],[OCT]] + DRImpostos[[#Totals],[OCT]] + DRLazer[[#Totals],[OCT]] + ManutencaoCasa[[#Totals],[OCT]] + DRSeguros[[#Totals],[OCT]] + DRServicos[[#Totals],[OCT]] + DRViagens[[#Totals],[OCT]]</f>
        <v>0</v>
      </c>
      <c r="L112" s="87">
        <f>DRAlimentacaoLimpeza[[#Totals],[NOV]] + DRCaridadeDoacoes[[#Totals],[NOV]] + DRCarro[[#Totals],[NOV]] + DRCriaturasEstimacao[[#Totals],[NOV]] + DRCuidadosPessoaisFormacao[[#Totals],[NOV]] + DRDespesasBancarias[[#Totals],[NOV]] + DRDespesasMedicas[[#Totals],[NOV]] + DREletronicaInformatica[[#Totals],[NOV]] + DRImpostos[[#Totals],[NOV]] + DRLazer[[#Totals],[NOV]] + ManutencaoCasa[[#Totals],[NOV]] + DRSeguros[[#Totals],[NOV]] + DRServicos[[#Totals],[NOV]] + DRViagens[[#Totals],[NOV]]</f>
        <v>0</v>
      </c>
      <c r="M112" s="87">
        <f>DRAlimentacaoLimpeza[[#Totals],[DÉC]] + DRCaridadeDoacoes[[#Totals],[DÉC]] + DRCarro[[#Totals],[DÉC]] + DRCriaturasEstimacao[[#Totals],[DÉC]] + DRCuidadosPessoaisFormacao[[#Totals],[DÉC]] + DRDespesasBancarias[[#Totals],[DÉC]] + DRDespesasMedicas[[#Totals],[DÉC]] + DREletronicaInformatica[[#Totals],[DÉC]] + DRImpostos[[#Totals],[DÉC]] + DRLazer[[#Totals],[DÉC]] + ManutencaoCasa[[#Totals],[DÉC]] + DRSeguros[[#Totals],[DÉC]] + DRServicos[[#Totals],[DÉC]] + DRViagens[[#Totals],[DÉC]]</f>
        <v>0</v>
      </c>
      <c r="N112" s="88">
        <f>DRAlimentacaoLimpeza[[#Totals],[ANNÉE]] + DRCaridadeDoacoes[[#Totals],[ANNÉE]] + DRCarro[[#Totals],[ANNÉE]] + DRCriaturasEstimacao[[#Totals],[ANNÉE]] + DRCuidadosPessoaisFormacao[[#Totals],[ANNÉE]] + DRDespesasBancarias[[#Totals],[ANNÉE]] + DRDespesasMedicas[[#Totals],[ANNÉE]] + DREletronicaInformatica[[#Totals],[ANNÉE]] + DRImpostos[[#Totals],[ANNÉE]] + DRLazer[[#Totals],[ANNÉE]] + ManutencaoCasa[[#Totals],[ANNÉE]] + DRSeguros[[#Totals],[ANNÉE]] + DRServicos[[#Totals],[ANNÉE]] + DRViagens[[#Totals],[ANNÉE]]</f>
        <v>14504.859999999999</v>
      </c>
      <c r="O112" s="84"/>
    </row>
    <row r="113" spans="1:15 2042:2042" ht="21" customHeight="1" thickBot="1" x14ac:dyDescent="0.35">
      <c r="A113" s="89" t="s">
        <v>123</v>
      </c>
      <c r="B113" s="90">
        <f>SUM($B$112:B112)</f>
        <v>14504.859999999999</v>
      </c>
      <c r="C113" s="91">
        <f>SUM($B$112:C112)</f>
        <v>14504.859999999999</v>
      </c>
      <c r="D113" s="91">
        <f>SUM($B$112:D112)</f>
        <v>14504.859999999999</v>
      </c>
      <c r="E113" s="91">
        <f>SUM($B$112:E112)</f>
        <v>14504.859999999999</v>
      </c>
      <c r="F113" s="91">
        <f>SUM($B$112:F112)</f>
        <v>14504.859999999999</v>
      </c>
      <c r="G113" s="91">
        <f>SUM($B$112:G112)</f>
        <v>14504.859999999999</v>
      </c>
      <c r="H113" s="91">
        <f>SUM($B$112:H112)</f>
        <v>14504.859999999999</v>
      </c>
      <c r="I113" s="91">
        <f>SUM($B$112:I112)</f>
        <v>14504.859999999999</v>
      </c>
      <c r="J113" s="91">
        <f>SUM($B$112:J112)</f>
        <v>14504.859999999999</v>
      </c>
      <c r="K113" s="91">
        <f>SUM($B$112:K112)</f>
        <v>14504.859999999999</v>
      </c>
      <c r="L113" s="91">
        <f>SUM($B$112:L112)</f>
        <v>14504.859999999999</v>
      </c>
      <c r="M113" s="91">
        <f>SUM($B$112:M112)</f>
        <v>14504.859999999999</v>
      </c>
      <c r="N113" s="92"/>
      <c r="O113" s="88">
        <f>AVERAGE(B112:M112)</f>
        <v>1208.7383333333332</v>
      </c>
    </row>
    <row r="114" spans="1:15 2042:2042" ht="21" customHeight="1" thickBot="1" x14ac:dyDescent="0.35">
      <c r="O114" s="92"/>
      <c r="BZN114" s="2">
        <v>265.64999999999998</v>
      </c>
    </row>
  </sheetData>
  <dataValidations count="1">
    <dataValidation type="list" allowBlank="1" showInputMessage="1" showErrorMessage="1" sqref="A2 A57 A49 A43 A35 A18 A29 A23 A8 A13 A67 A99" xr:uid="{00000000-0002-0000-0300-000000000000}">
      <formula1>#REF!</formula1>
    </dataValidation>
  </dataValidations>
  <pageMargins left="0.7" right="0.7" top="0.75" bottom="0.75" header="0.3" footer="0.3"/>
  <pageSetup paperSize="9" scale="81" fitToHeight="0" orientation="portrait"/>
  <rowBreaks count="1" manualBreakCount="1">
    <brk id="94" max="16383" man="1"/>
  </rowBreaks>
  <colBreaks count="1" manualBreakCount="1">
    <brk id="5" max="1048575" man="1"/>
  </colBreaks>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tabColor theme="7"/>
    <pageSetUpPr autoPageBreaks="0"/>
  </sheetPr>
  <dimension ref="A1:O140"/>
  <sheetViews>
    <sheetView showGridLines="0" topLeftCell="A124" zoomScale="140" zoomScaleNormal="140" workbookViewId="0">
      <selection activeCell="E133" sqref="E133"/>
    </sheetView>
  </sheetViews>
  <sheetFormatPr baseColWidth="10" defaultColWidth="9.3046875" defaultRowHeight="21" customHeight="1" x14ac:dyDescent="0.4"/>
  <cols>
    <col min="1" max="1" width="65" style="2" bestFit="1" customWidth="1"/>
    <col min="2" max="2" width="18.3828125" style="2" bestFit="1" customWidth="1"/>
    <col min="3" max="13" width="17.61328125" style="2" customWidth="1"/>
    <col min="14" max="14" width="16.3046875" style="2" customWidth="1"/>
    <col min="15" max="15" width="14.921875" style="1" customWidth="1"/>
    <col min="16" max="25" width="9.3046875" style="2" customWidth="1"/>
    <col min="26" max="16384" width="9.3046875" style="2"/>
  </cols>
  <sheetData>
    <row r="1" spans="1:15" s="6" customFormat="1" ht="49.5" customHeight="1" x14ac:dyDescent="0.4">
      <c r="A1" s="79" t="s">
        <v>146</v>
      </c>
      <c r="B1" s="79" t="s">
        <v>85</v>
      </c>
      <c r="C1" s="79" t="s">
        <v>86</v>
      </c>
      <c r="D1" s="79" t="s">
        <v>87</v>
      </c>
      <c r="E1" s="79" t="s">
        <v>88</v>
      </c>
      <c r="F1" s="79" t="s">
        <v>89</v>
      </c>
      <c r="G1" s="79" t="s">
        <v>90</v>
      </c>
      <c r="H1" s="79" t="s">
        <v>91</v>
      </c>
      <c r="I1" s="79" t="s">
        <v>92</v>
      </c>
      <c r="J1" s="79" t="s">
        <v>93</v>
      </c>
      <c r="K1" s="79" t="s">
        <v>94</v>
      </c>
      <c r="L1" s="79" t="s">
        <v>95</v>
      </c>
      <c r="M1" s="79" t="s">
        <v>96</v>
      </c>
      <c r="N1" s="79" t="s">
        <v>97</v>
      </c>
      <c r="O1" s="78" t="s">
        <v>98</v>
      </c>
    </row>
    <row r="2" spans="1:15" ht="25.15" customHeight="1" thickBot="1" x14ac:dyDescent="0.45">
      <c r="A2" s="17" t="s">
        <v>1</v>
      </c>
      <c r="B2" s="215" t="s">
        <v>99</v>
      </c>
      <c r="C2" s="216" t="s">
        <v>100</v>
      </c>
      <c r="D2" s="216" t="s">
        <v>101</v>
      </c>
      <c r="E2" s="216" t="s">
        <v>102</v>
      </c>
      <c r="F2" s="216" t="s">
        <v>103</v>
      </c>
      <c r="G2" s="216" t="s">
        <v>104</v>
      </c>
      <c r="H2" s="216" t="s">
        <v>105</v>
      </c>
      <c r="I2" s="216" t="s">
        <v>106</v>
      </c>
      <c r="J2" s="216" t="s">
        <v>107</v>
      </c>
      <c r="K2" s="216" t="s">
        <v>108</v>
      </c>
      <c r="L2" s="216" t="s">
        <v>109</v>
      </c>
      <c r="M2" s="216" t="s">
        <v>110</v>
      </c>
      <c r="N2" s="217" t="s">
        <v>111</v>
      </c>
    </row>
    <row r="3" spans="1:15" ht="25.15" customHeight="1" thickBot="1" x14ac:dyDescent="0.45">
      <c r="A3" s="40" t="s">
        <v>2</v>
      </c>
      <c r="B3" s="42">
        <f>DPAlimentacaoLimpeza[[#This Row],[JANV]] - DRAlimentacaoLimpeza[[#This Row],[JANV]]</f>
        <v>70</v>
      </c>
      <c r="C3" s="42">
        <f>DPAlimentacaoLimpeza[[#This Row],[FÉVR]] - DRAlimentacaoLimpeza[[#This Row],[FÉVR]]</f>
        <v>70</v>
      </c>
      <c r="D3" s="42">
        <f>DPAlimentacaoLimpeza[[#This Row],[MARS]] - DRAlimentacaoLimpeza[[#This Row],[MARS]]</f>
        <v>70</v>
      </c>
      <c r="E3" s="42">
        <f>DPAlimentacaoLimpeza[[#This Row],[AVR]] - DRAlimentacaoLimpeza[[#This Row],[AVR]]</f>
        <v>70</v>
      </c>
      <c r="F3" s="42">
        <f>DPAlimentacaoLimpeza[[#This Row],[MAI]] - DRAlimentacaoLimpeza[[#This Row],[MAI]]</f>
        <v>70</v>
      </c>
      <c r="G3" s="42">
        <f>DPAlimentacaoLimpeza[[#This Row],[JUIN]] - DRAlimentacaoLimpeza[[#This Row],[JUIN]]</f>
        <v>70</v>
      </c>
      <c r="H3" s="42">
        <f>DPAlimentacaoLimpeza[[#This Row],[JUIL]] - DRAlimentacaoLimpeza[[#This Row],[JUIL]]</f>
        <v>70</v>
      </c>
      <c r="I3" s="42">
        <f>DPAlimentacaoLimpeza[[#This Row],[AOÛT]] - DRAlimentacaoLimpeza[[#This Row],[AOÛT]]</f>
        <v>70</v>
      </c>
      <c r="J3" s="42">
        <f>DPAlimentacaoLimpeza[[#This Row],[SEPT]] - DRAlimentacaoLimpeza[[#This Row],[SEPT]]</f>
        <v>70</v>
      </c>
      <c r="K3" s="42">
        <f>DPAlimentacaoLimpeza[[#This Row],[OCT]] - DRAlimentacaoLimpeza[[#This Row],[OCT]]</f>
        <v>70</v>
      </c>
      <c r="L3" s="42">
        <f>DPAlimentacaoLimpeza[[#This Row],[NOV]] - DRAlimentacaoLimpeza[[#This Row],[NOV]]</f>
        <v>70</v>
      </c>
      <c r="M3" s="42">
        <f>DPAlimentacaoLimpeza[[#This Row],[DÉC]] - DRAlimentacaoLimpeza[[#This Row],[DÉC]]</f>
        <v>70</v>
      </c>
      <c r="N3" s="43">
        <f>SUM(B3:M3)</f>
        <v>840</v>
      </c>
    </row>
    <row r="4" spans="1:15" ht="25.15" customHeight="1" thickBot="1" x14ac:dyDescent="0.45">
      <c r="A4" s="40" t="s">
        <v>3</v>
      </c>
      <c r="B4" s="42">
        <f>DPAlimentacaoLimpeza[[#This Row],[JANV]] - DRAlimentacaoLimpeza[[#This Row],[JANV]]</f>
        <v>20</v>
      </c>
      <c r="C4" s="42">
        <f>DPAlimentacaoLimpeza[[#This Row],[FÉVR]] - DRAlimentacaoLimpeza[[#This Row],[FÉVR]]</f>
        <v>20</v>
      </c>
      <c r="D4" s="41"/>
      <c r="E4" s="41"/>
      <c r="F4" s="41"/>
      <c r="G4" s="41"/>
      <c r="H4" s="41"/>
      <c r="I4" s="41"/>
      <c r="J4" s="41"/>
      <c r="K4" s="41"/>
      <c r="L4" s="41"/>
      <c r="M4" s="41"/>
      <c r="N4" s="43">
        <f>SUM(B4:M4)</f>
        <v>40</v>
      </c>
    </row>
    <row r="5" spans="1:15" ht="25.15" customHeight="1" thickBot="1" x14ac:dyDescent="0.45">
      <c r="A5" s="40" t="s">
        <v>4</v>
      </c>
      <c r="B5" s="42">
        <f>DPAlimentacaoLimpeza[[#This Row],[JANV]] - DRAlimentacaoLimpeza[[#This Row],[JANV]]</f>
        <v>-250.28999999999996</v>
      </c>
      <c r="C5" s="42">
        <f>DPAlimentacaoLimpeza[[#This Row],[FÉVR]] - DRAlimentacaoLimpeza[[#This Row],[FÉVR]]</f>
        <v>1500</v>
      </c>
      <c r="D5" s="42">
        <f>DPAlimentacaoLimpeza[[#This Row],[MARS]] - DRAlimentacaoLimpeza[[#This Row],[MARS]]</f>
        <v>1500</v>
      </c>
      <c r="E5" s="42">
        <f>DPAlimentacaoLimpeza[[#This Row],[AVR]] - DRAlimentacaoLimpeza[[#This Row],[AVR]]</f>
        <v>1500</v>
      </c>
      <c r="F5" s="42">
        <f>DPAlimentacaoLimpeza[[#This Row],[MAI]] - DRAlimentacaoLimpeza[[#This Row],[MAI]]</f>
        <v>1500</v>
      </c>
      <c r="G5" s="42">
        <f>DPAlimentacaoLimpeza[[#This Row],[JUIN]] - DRAlimentacaoLimpeza[[#This Row],[JUIN]]</f>
        <v>1500</v>
      </c>
      <c r="H5" s="42">
        <f>DPAlimentacaoLimpeza[[#This Row],[JUIL]] - DRAlimentacaoLimpeza[[#This Row],[JUIL]]</f>
        <v>1500</v>
      </c>
      <c r="I5" s="42">
        <f>DPAlimentacaoLimpeza[[#This Row],[AOÛT]] - DRAlimentacaoLimpeza[[#This Row],[AOÛT]]</f>
        <v>1500</v>
      </c>
      <c r="J5" s="42">
        <f>DPAlimentacaoLimpeza[[#This Row],[SEPT]] - DRAlimentacaoLimpeza[[#This Row],[SEPT]]</f>
        <v>1500</v>
      </c>
      <c r="K5" s="42">
        <f>DPAlimentacaoLimpeza[[#This Row],[OCT]] - DRAlimentacaoLimpeza[[#This Row],[OCT]]</f>
        <v>1500</v>
      </c>
      <c r="L5" s="42">
        <f>DPAlimentacaoLimpeza[[#This Row],[NOV]] - DRAlimentacaoLimpeza[[#This Row],[NOV]]</f>
        <v>1500</v>
      </c>
      <c r="M5" s="42">
        <f>DPAlimentacaoLimpeza[[#This Row],[DÉC]] - DRAlimentacaoLimpeza[[#This Row],[DÉC]]</f>
        <v>1500</v>
      </c>
      <c r="N5" s="43">
        <f>SUM(B5:M5)</f>
        <v>16249.71</v>
      </c>
    </row>
    <row r="6" spans="1:15" ht="25.15" customHeight="1" x14ac:dyDescent="0.4">
      <c r="A6" s="25" t="s">
        <v>113</v>
      </c>
      <c r="B6" s="43">
        <f>SUBTOTAL(109,VDAlimentacaoLimpeza[JANV])</f>
        <v>-160.28999999999996</v>
      </c>
      <c r="C6" s="43">
        <f>SUBTOTAL(109,VDAlimentacaoLimpeza[FÉVR])</f>
        <v>1590</v>
      </c>
      <c r="D6" s="43">
        <f>SUBTOTAL(109,VDAlimentacaoLimpeza[MARS])</f>
        <v>1570</v>
      </c>
      <c r="E6" s="43">
        <f>SUBTOTAL(109,VDAlimentacaoLimpeza[AVR])</f>
        <v>1570</v>
      </c>
      <c r="F6" s="43">
        <f>SUBTOTAL(109,VDAlimentacaoLimpeza[MAI])</f>
        <v>1570</v>
      </c>
      <c r="G6" s="43">
        <f>SUBTOTAL(109,VDAlimentacaoLimpeza[JUIN])</f>
        <v>1570</v>
      </c>
      <c r="H6" s="43">
        <f>SUBTOTAL(109,VDAlimentacaoLimpeza[JUIL])</f>
        <v>1570</v>
      </c>
      <c r="I6" s="43">
        <f>SUBTOTAL(109,VDAlimentacaoLimpeza[AOÛT])</f>
        <v>1570</v>
      </c>
      <c r="J6" s="43">
        <f>SUBTOTAL(109,VDAlimentacaoLimpeza[SEPT])</f>
        <v>1570</v>
      </c>
      <c r="K6" s="43">
        <f>SUBTOTAL(109,VDAlimentacaoLimpeza[OCT])</f>
        <v>1570</v>
      </c>
      <c r="L6" s="43">
        <f>SUBTOTAL(109,VDAlimentacaoLimpeza[NOV])</f>
        <v>1570</v>
      </c>
      <c r="M6" s="43">
        <f>SUBTOTAL(109,VDAlimentacaoLimpeza[DÉC])</f>
        <v>1570</v>
      </c>
      <c r="N6" s="43">
        <f>SUBTOTAL(109,VDAlimentacaoLimpeza[ANNÉE])</f>
        <v>17129.71</v>
      </c>
    </row>
    <row r="7" spans="1:15" ht="25.15" customHeight="1" x14ac:dyDescent="0.4">
      <c r="A7" s="12"/>
      <c r="B7" s="12"/>
      <c r="C7" s="12"/>
      <c r="D7" s="12"/>
      <c r="E7" s="12"/>
      <c r="F7" s="12"/>
      <c r="G7" s="12"/>
      <c r="H7" s="12"/>
      <c r="I7" s="12"/>
      <c r="J7" s="12"/>
      <c r="K7" s="12"/>
      <c r="L7" s="12"/>
      <c r="M7" s="12"/>
      <c r="N7" s="12"/>
    </row>
    <row r="8" spans="1:15" ht="25.15" customHeight="1" thickBot="1" x14ac:dyDescent="0.45">
      <c r="A8" s="17" t="s">
        <v>5</v>
      </c>
      <c r="B8" s="215" t="s">
        <v>99</v>
      </c>
      <c r="C8" s="216" t="s">
        <v>100</v>
      </c>
      <c r="D8" s="216" t="s">
        <v>101</v>
      </c>
      <c r="E8" s="216" t="s">
        <v>102</v>
      </c>
      <c r="F8" s="216" t="s">
        <v>103</v>
      </c>
      <c r="G8" s="216" t="s">
        <v>104</v>
      </c>
      <c r="H8" s="216" t="s">
        <v>105</v>
      </c>
      <c r="I8" s="216" t="s">
        <v>106</v>
      </c>
      <c r="J8" s="216" t="s">
        <v>107</v>
      </c>
      <c r="K8" s="216" t="s">
        <v>108</v>
      </c>
      <c r="L8" s="216" t="s">
        <v>109</v>
      </c>
      <c r="M8" s="216" t="s">
        <v>110</v>
      </c>
      <c r="N8" s="217" t="s">
        <v>111</v>
      </c>
    </row>
    <row r="9" spans="1:15" ht="25.15" customHeight="1" thickBot="1" x14ac:dyDescent="0.45">
      <c r="A9" s="40" t="s">
        <v>6</v>
      </c>
      <c r="B9" s="42">
        <f>DPCaridadeDoacoes[[#This Row],[JANV]] - DRCaridadeDoacoes[[#This Row],[JANV]]</f>
        <v>0</v>
      </c>
      <c r="C9" s="42">
        <f>DPCaridadeDoacoes[[#This Row],[FÉVR]] - DRCaridadeDoacoes[[#This Row],[FÉVR]]</f>
        <v>220</v>
      </c>
      <c r="D9" s="42">
        <f>DPCaridadeDoacoes[[#This Row],[MARS]] - DRCaridadeDoacoes[[#This Row],[MARS]]</f>
        <v>220</v>
      </c>
      <c r="E9" s="42">
        <f>DPCaridadeDoacoes[[#This Row],[AVR]] - DRCaridadeDoacoes[[#This Row],[AVR]]</f>
        <v>220</v>
      </c>
      <c r="F9" s="42">
        <f>DPCaridadeDoacoes[[#This Row],[MAI]] - DRCaridadeDoacoes[[#This Row],[MAI]]</f>
        <v>220</v>
      </c>
      <c r="G9" s="42">
        <f>DPCaridadeDoacoes[[#This Row],[JUIN]] - DRCaridadeDoacoes[[#This Row],[JUIN]]</f>
        <v>220</v>
      </c>
      <c r="H9" s="42">
        <f>DPCaridadeDoacoes[[#This Row],[JUIL]] - DRCaridadeDoacoes[[#This Row],[JUIL]]</f>
        <v>220</v>
      </c>
      <c r="I9" s="42">
        <f>DPCaridadeDoacoes[[#This Row],[AOÛT]] - DRCaridadeDoacoes[[#This Row],[AOÛT]]</f>
        <v>220</v>
      </c>
      <c r="J9" s="42">
        <f>DPCaridadeDoacoes[[#This Row],[SEPT]] - DRCaridadeDoacoes[[#This Row],[SEPT]]</f>
        <v>220</v>
      </c>
      <c r="K9" s="42">
        <f>DPCaridadeDoacoes[[#This Row],[OCT]] - DRCaridadeDoacoes[[#This Row],[OCT]]</f>
        <v>220</v>
      </c>
      <c r="L9" s="42">
        <f>DPCaridadeDoacoes[[#This Row],[NOV]] - DRCaridadeDoacoes[[#This Row],[NOV]]</f>
        <v>220</v>
      </c>
      <c r="M9" s="42">
        <f>DPCaridadeDoacoes[[#This Row],[DÉC]] - DRCaridadeDoacoes[[#This Row],[DÉC]]</f>
        <v>220</v>
      </c>
      <c r="N9" s="43">
        <f>SUM(B9:M9)</f>
        <v>2420</v>
      </c>
    </row>
    <row r="10" spans="1:15" ht="25.15" customHeight="1" thickBot="1" x14ac:dyDescent="0.45">
      <c r="A10" s="40" t="s">
        <v>7</v>
      </c>
      <c r="B10" s="42">
        <f>DPCaridadeDoacoes[[#This Row],[JANV]] - DRCaridadeDoacoes[[#This Row],[JANV]]</f>
        <v>26</v>
      </c>
      <c r="C10" s="42">
        <f>DPCaridadeDoacoes[[#This Row],[FÉVR]] - DRCaridadeDoacoes[[#This Row],[FÉVR]]</f>
        <v>26</v>
      </c>
      <c r="D10" s="42">
        <f>DPCaridadeDoacoes[[#This Row],[MARS]] - DRCaridadeDoacoes[[#This Row],[MARS]]</f>
        <v>26</v>
      </c>
      <c r="E10" s="42">
        <f>DPCaridadeDoacoes[[#This Row],[AVR]] - DRCaridadeDoacoes[[#This Row],[AVR]]</f>
        <v>26</v>
      </c>
      <c r="F10" s="42">
        <f>DPCaridadeDoacoes[[#This Row],[MAI]] - DRCaridadeDoacoes[[#This Row],[MAI]]</f>
        <v>26</v>
      </c>
      <c r="G10" s="42">
        <f>DPCaridadeDoacoes[[#This Row],[JUIN]] - DRCaridadeDoacoes[[#This Row],[JUIN]]</f>
        <v>26</v>
      </c>
      <c r="H10" s="42">
        <f>DPCaridadeDoacoes[[#This Row],[JUIL]] - DRCaridadeDoacoes[[#This Row],[JUIL]]</f>
        <v>26</v>
      </c>
      <c r="I10" s="42">
        <f>DPCaridadeDoacoes[[#This Row],[AOÛT]] - DRCaridadeDoacoes[[#This Row],[AOÛT]]</f>
        <v>26</v>
      </c>
      <c r="J10" s="42">
        <f>DPCaridadeDoacoes[[#This Row],[SEPT]] - DRCaridadeDoacoes[[#This Row],[SEPT]]</f>
        <v>26</v>
      </c>
      <c r="K10" s="42">
        <f>DPCaridadeDoacoes[[#This Row],[OCT]] - DRCaridadeDoacoes[[#This Row],[OCT]]</f>
        <v>26</v>
      </c>
      <c r="L10" s="42">
        <f>DPCaridadeDoacoes[[#This Row],[NOV]] - DRCaridadeDoacoes[[#This Row],[NOV]]</f>
        <v>26</v>
      </c>
      <c r="M10" s="42">
        <f>DPCaridadeDoacoes[[#This Row],[DÉC]] - DRCaridadeDoacoes[[#This Row],[DÉC]]</f>
        <v>26</v>
      </c>
      <c r="N10" s="43">
        <f>SUM(B10:M10)</f>
        <v>312</v>
      </c>
    </row>
    <row r="11" spans="1:15" ht="25.15" customHeight="1" x14ac:dyDescent="0.4">
      <c r="A11" s="25" t="s">
        <v>113</v>
      </c>
      <c r="B11" s="43">
        <f>SUBTOTAL(109,VDCaridadeDoacoes[JANV])</f>
        <v>26</v>
      </c>
      <c r="C11" s="43">
        <f>SUBTOTAL(109,VDCaridadeDoacoes[FÉVR])</f>
        <v>246</v>
      </c>
      <c r="D11" s="43">
        <f>SUBTOTAL(109,VDCaridadeDoacoes[MARS])</f>
        <v>246</v>
      </c>
      <c r="E11" s="43">
        <f>SUBTOTAL(109,VDCaridadeDoacoes[AVR])</f>
        <v>246</v>
      </c>
      <c r="F11" s="43">
        <f>SUBTOTAL(109,VDCaridadeDoacoes[MAI])</f>
        <v>246</v>
      </c>
      <c r="G11" s="43">
        <f>SUBTOTAL(109,VDCaridadeDoacoes[JUIN])</f>
        <v>246</v>
      </c>
      <c r="H11" s="43">
        <f>SUBTOTAL(109,VDCaridadeDoacoes[JUIL])</f>
        <v>246</v>
      </c>
      <c r="I11" s="43">
        <f>SUBTOTAL(109,VDCaridadeDoacoes[AOÛT])</f>
        <v>246</v>
      </c>
      <c r="J11" s="43">
        <f>SUBTOTAL(109,VDCaridadeDoacoes[SEPT])</f>
        <v>246</v>
      </c>
      <c r="K11" s="43">
        <f>SUBTOTAL(109,VDCaridadeDoacoes[OCT])</f>
        <v>246</v>
      </c>
      <c r="L11" s="43">
        <f>SUBTOTAL(109,VDCaridadeDoacoes[NOV])</f>
        <v>246</v>
      </c>
      <c r="M11" s="43">
        <f>SUBTOTAL(109,VDCaridadeDoacoes[DÉC])</f>
        <v>246</v>
      </c>
      <c r="N11" s="43">
        <f>SUBTOTAL(109,VDCaridadeDoacoes[ANNÉE])</f>
        <v>2732</v>
      </c>
    </row>
    <row r="12" spans="1:15" ht="25.15" customHeight="1" x14ac:dyDescent="0.4">
      <c r="A12" s="12"/>
      <c r="B12" s="12"/>
      <c r="C12" s="12"/>
      <c r="D12" s="12"/>
      <c r="E12" s="12"/>
      <c r="F12" s="12"/>
      <c r="G12" s="12"/>
      <c r="H12" s="12"/>
      <c r="I12" s="12"/>
      <c r="J12" s="12"/>
      <c r="K12" s="12"/>
      <c r="L12" s="12"/>
      <c r="M12" s="12"/>
      <c r="N12" s="12"/>
    </row>
    <row r="13" spans="1:15" ht="25.15" customHeight="1" thickBot="1" x14ac:dyDescent="0.45">
      <c r="A13" s="17" t="s">
        <v>8</v>
      </c>
      <c r="B13" s="215" t="s">
        <v>99</v>
      </c>
      <c r="C13" s="216" t="s">
        <v>100</v>
      </c>
      <c r="D13" s="216" t="s">
        <v>101</v>
      </c>
      <c r="E13" s="216" t="s">
        <v>102</v>
      </c>
      <c r="F13" s="216" t="s">
        <v>103</v>
      </c>
      <c r="G13" s="216" t="s">
        <v>104</v>
      </c>
      <c r="H13" s="216" t="s">
        <v>105</v>
      </c>
      <c r="I13" s="216" t="s">
        <v>106</v>
      </c>
      <c r="J13" s="216" t="s">
        <v>107</v>
      </c>
      <c r="K13" s="216" t="s">
        <v>108</v>
      </c>
      <c r="L13" s="216" t="s">
        <v>109</v>
      </c>
      <c r="M13" s="216" t="s">
        <v>110</v>
      </c>
      <c r="N13" s="217" t="s">
        <v>111</v>
      </c>
    </row>
    <row r="14" spans="1:15" ht="25.15" customHeight="1" thickBot="1" x14ac:dyDescent="0.45">
      <c r="A14" s="40" t="s">
        <v>9</v>
      </c>
      <c r="B14" s="42">
        <f>DPCarro[[#This Row],[JANV]] - DRCarro[[#This Row],[JANV]]</f>
        <v>45</v>
      </c>
      <c r="C14" s="42">
        <f>DPCarro[[#This Row],[FÉVR]] - DRCarro[[#This Row],[FÉVR]]</f>
        <v>145</v>
      </c>
      <c r="D14" s="42">
        <f>DPCarro[[#This Row],[MARS]] - DRCarro[[#This Row],[MARS]]</f>
        <v>145</v>
      </c>
      <c r="E14" s="42">
        <f>DPCarro[[#This Row],[AVR]] - DRCarro[[#This Row],[AVR]]</f>
        <v>145</v>
      </c>
      <c r="F14" s="42">
        <f>DPCarro[[#This Row],[MAI]] - DRCarro[[#This Row],[MAI]]</f>
        <v>145</v>
      </c>
      <c r="G14" s="42">
        <f>DPCarro[[#This Row],[JUIN]] - DRCarro[[#This Row],[JUIN]]</f>
        <v>145</v>
      </c>
      <c r="H14" s="42">
        <f>DPCarro[[#This Row],[JUIL]] - DRCarro[[#This Row],[JUIL]]</f>
        <v>145</v>
      </c>
      <c r="I14" s="42">
        <f>DPCarro[[#This Row],[AOÛT]] - DRCarro[[#This Row],[AOÛT]]</f>
        <v>145</v>
      </c>
      <c r="J14" s="42">
        <f>DPCarro[[#This Row],[SEPT]] - DRCarro[[#This Row],[SEPT]]</f>
        <v>145</v>
      </c>
      <c r="K14" s="42">
        <f>DPCarro[[#This Row],[OCT]] - DRCarro[[#This Row],[OCT]]</f>
        <v>145</v>
      </c>
      <c r="L14" s="42">
        <f>DPCarro[[#This Row],[NOV]] - DRCarro[[#This Row],[NOV]]</f>
        <v>145</v>
      </c>
      <c r="M14" s="42">
        <f>DPCarro[[#This Row],[DÉC]] - DRCarro[[#This Row],[DÉC]]</f>
        <v>145</v>
      </c>
      <c r="N14" s="43">
        <f>SUM(B14:M14)</f>
        <v>1640</v>
      </c>
    </row>
    <row r="15" spans="1:15" ht="25.15" customHeight="1" thickBot="1" x14ac:dyDescent="0.45">
      <c r="A15" s="40" t="s">
        <v>10</v>
      </c>
      <c r="B15" s="42">
        <f>DPCarro[[#This Row],[JANV]] - DRCarro[[#This Row],[JANV]]</f>
        <v>150</v>
      </c>
      <c r="C15" s="42">
        <f>DPCarro[[#This Row],[FÉVR]] - DRCarro[[#This Row],[FÉVR]]</f>
        <v>150</v>
      </c>
      <c r="D15" s="42">
        <f>DPCarro[[#This Row],[MARS]] - DRCarro[[#This Row],[MARS]]</f>
        <v>150</v>
      </c>
      <c r="E15" s="42">
        <f>DPCarro[[#This Row],[AVR]] - DRCarro[[#This Row],[AVR]]</f>
        <v>150</v>
      </c>
      <c r="F15" s="42">
        <f>DPCarro[[#This Row],[MAI]] - DRCarro[[#This Row],[MAI]]</f>
        <v>150</v>
      </c>
      <c r="G15" s="42">
        <f>DPCarro[[#This Row],[JUIN]] - DRCarro[[#This Row],[JUIN]]</f>
        <v>150</v>
      </c>
      <c r="H15" s="42">
        <f>DPCarro[[#This Row],[JUIL]] - DRCarro[[#This Row],[JUIL]]</f>
        <v>150</v>
      </c>
      <c r="I15" s="42">
        <f>DPCarro[[#This Row],[AOÛT]] - DRCarro[[#This Row],[AOÛT]]</f>
        <v>150</v>
      </c>
      <c r="J15" s="42">
        <f>DPCarro[[#This Row],[SEPT]] - DRCarro[[#This Row],[SEPT]]</f>
        <v>150</v>
      </c>
      <c r="K15" s="42">
        <f>DPCarro[[#This Row],[OCT]] - DRCarro[[#This Row],[OCT]]</f>
        <v>150</v>
      </c>
      <c r="L15" s="42">
        <f>DPCarro[[#This Row],[NOV]] - DRCarro[[#This Row],[NOV]]</f>
        <v>150</v>
      </c>
      <c r="M15" s="42">
        <f>DPCarro[[#This Row],[DÉC]] - DRCarro[[#This Row],[DÉC]]</f>
        <v>150</v>
      </c>
      <c r="N15" s="43">
        <f>SUM(B15:M15)</f>
        <v>1800</v>
      </c>
    </row>
    <row r="16" spans="1:15" ht="25.15" customHeight="1" x14ac:dyDescent="0.4">
      <c r="A16" s="25" t="s">
        <v>113</v>
      </c>
      <c r="B16" s="43">
        <f>SUBTOTAL(109,VDCarro[JANV])</f>
        <v>195</v>
      </c>
      <c r="C16" s="43">
        <f>SUBTOTAL(109,VDCarro[FÉVR])</f>
        <v>295</v>
      </c>
      <c r="D16" s="43">
        <f>SUBTOTAL(109,VDCarro[MARS])</f>
        <v>295</v>
      </c>
      <c r="E16" s="43">
        <f>SUBTOTAL(109,VDCarro[AVR])</f>
        <v>295</v>
      </c>
      <c r="F16" s="43">
        <f>SUBTOTAL(109,VDCarro[MAI])</f>
        <v>295</v>
      </c>
      <c r="G16" s="43">
        <f>SUBTOTAL(109,VDCarro[JUIN])</f>
        <v>295</v>
      </c>
      <c r="H16" s="43">
        <f>SUBTOTAL(109,VDCarro[JUIL])</f>
        <v>295</v>
      </c>
      <c r="I16" s="43">
        <f>SUBTOTAL(109,VDCarro[AOÛT])</f>
        <v>295</v>
      </c>
      <c r="J16" s="43">
        <f>SUBTOTAL(109,VDCarro[SEPT])</f>
        <v>295</v>
      </c>
      <c r="K16" s="43">
        <f>SUBTOTAL(109,VDCarro[OCT])</f>
        <v>295</v>
      </c>
      <c r="L16" s="43">
        <f>SUBTOTAL(109,VDCarro[NOV])</f>
        <v>295</v>
      </c>
      <c r="M16" s="43">
        <f>SUBTOTAL(109,VDCarro[DÉC])</f>
        <v>295</v>
      </c>
      <c r="N16" s="43">
        <f>SUBTOTAL(109,VDCarro[ANNÉE])</f>
        <v>3440</v>
      </c>
    </row>
    <row r="17" spans="1:14" ht="25.15" customHeight="1" x14ac:dyDescent="0.4">
      <c r="A17" s="31"/>
      <c r="B17" s="31"/>
      <c r="C17" s="31"/>
      <c r="D17" s="31"/>
      <c r="E17" s="31"/>
      <c r="F17" s="31"/>
      <c r="G17" s="31"/>
      <c r="H17" s="31"/>
      <c r="I17" s="31"/>
      <c r="J17" s="31"/>
      <c r="K17" s="31"/>
      <c r="L17" s="31"/>
      <c r="M17" s="31"/>
      <c r="N17" s="31"/>
    </row>
    <row r="18" spans="1:14" ht="25.15" customHeight="1" thickBot="1" x14ac:dyDescent="0.45">
      <c r="A18" s="17" t="s">
        <v>11</v>
      </c>
      <c r="B18" s="215" t="s">
        <v>99</v>
      </c>
      <c r="C18" s="216" t="s">
        <v>100</v>
      </c>
      <c r="D18" s="216" t="s">
        <v>101</v>
      </c>
      <c r="E18" s="216" t="s">
        <v>102</v>
      </c>
      <c r="F18" s="216" t="s">
        <v>103</v>
      </c>
      <c r="G18" s="216" t="s">
        <v>104</v>
      </c>
      <c r="H18" s="216" t="s">
        <v>105</v>
      </c>
      <c r="I18" s="216" t="s">
        <v>106</v>
      </c>
      <c r="J18" s="216" t="s">
        <v>107</v>
      </c>
      <c r="K18" s="216" t="s">
        <v>108</v>
      </c>
      <c r="L18" s="216" t="s">
        <v>109</v>
      </c>
      <c r="M18" s="216" t="s">
        <v>110</v>
      </c>
      <c r="N18" s="217" t="s">
        <v>111</v>
      </c>
    </row>
    <row r="19" spans="1:14" ht="25.15" customHeight="1" thickBot="1" x14ac:dyDescent="0.45">
      <c r="A19" s="40" t="s">
        <v>12</v>
      </c>
      <c r="B19" s="42">
        <f>DPCriaturasEstimacao[[#This Row],[JANV]] - DRCriaturasEstimacao[[#This Row],[JANV]]</f>
        <v>0</v>
      </c>
      <c r="C19" s="41"/>
      <c r="D19" s="41"/>
      <c r="E19" s="41"/>
      <c r="F19" s="41"/>
      <c r="G19" s="41"/>
      <c r="H19" s="41"/>
      <c r="I19" s="41"/>
      <c r="J19" s="41"/>
      <c r="K19" s="41"/>
      <c r="L19" s="41"/>
      <c r="M19" s="41"/>
      <c r="N19" s="43">
        <f>SUM(B19:M19)</f>
        <v>0</v>
      </c>
    </row>
    <row r="20" spans="1:14" ht="25.15" customHeight="1" thickBot="1" x14ac:dyDescent="0.45">
      <c r="A20" s="40" t="s">
        <v>13</v>
      </c>
      <c r="B20" s="42">
        <f>DPCriaturasEstimacao[[#This Row],[JANV]] - DRCriaturasEstimacao[[#This Row],[JANV]]</f>
        <v>0</v>
      </c>
      <c r="C20" s="41"/>
      <c r="D20" s="41"/>
      <c r="E20" s="41"/>
      <c r="F20" s="41"/>
      <c r="G20" s="41"/>
      <c r="H20" s="41"/>
      <c r="I20" s="41"/>
      <c r="J20" s="41"/>
      <c r="K20" s="41"/>
      <c r="L20" s="41"/>
      <c r="M20" s="41"/>
      <c r="N20" s="43">
        <f>SUM(B20:M20)</f>
        <v>0</v>
      </c>
    </row>
    <row r="21" spans="1:14" ht="25.15" customHeight="1" x14ac:dyDescent="0.4">
      <c r="A21" s="25" t="s">
        <v>113</v>
      </c>
      <c r="B21" s="43">
        <f>SUBTOTAL(109,VDCriaturasEstimacao[JANV])</f>
        <v>0</v>
      </c>
      <c r="C21" s="43">
        <f>SUBTOTAL(109,VDCriaturasEstimacao[FÉVR])</f>
        <v>0</v>
      </c>
      <c r="D21" s="43">
        <f>SUBTOTAL(109,VDCriaturasEstimacao[MARS])</f>
        <v>0</v>
      </c>
      <c r="E21" s="43">
        <f>SUBTOTAL(109,VDCriaturasEstimacao[AVR])</f>
        <v>0</v>
      </c>
      <c r="F21" s="43">
        <f>SUBTOTAL(109,VDCriaturasEstimacao[MAI])</f>
        <v>0</v>
      </c>
      <c r="G21" s="43">
        <f>SUBTOTAL(109,VDCriaturasEstimacao[JUIN])</f>
        <v>0</v>
      </c>
      <c r="H21" s="43">
        <f>SUBTOTAL(109,VDCriaturasEstimacao[JUIL])</f>
        <v>0</v>
      </c>
      <c r="I21" s="43">
        <f>SUBTOTAL(109,VDCriaturasEstimacao[AOÛT])</f>
        <v>0</v>
      </c>
      <c r="J21" s="43">
        <f>SUBTOTAL(109,VDCriaturasEstimacao[SEPT])</f>
        <v>0</v>
      </c>
      <c r="K21" s="43">
        <f>SUBTOTAL(109,VDCriaturasEstimacao[OCT])</f>
        <v>0</v>
      </c>
      <c r="L21" s="43">
        <f>SUBTOTAL(109,VDCriaturasEstimacao[NOV])</f>
        <v>0</v>
      </c>
      <c r="M21" s="43">
        <f>SUBTOTAL(109,VDCriaturasEstimacao[DÉC])</f>
        <v>0</v>
      </c>
      <c r="N21" s="43">
        <f>SUBTOTAL(109,VDCriaturasEstimacao[ANNÉE])</f>
        <v>0</v>
      </c>
    </row>
    <row r="22" spans="1:14" ht="25.15" customHeight="1" x14ac:dyDescent="0.4">
      <c r="A22" s="31"/>
      <c r="B22" s="31"/>
      <c r="C22" s="31"/>
      <c r="D22" s="31"/>
      <c r="E22" s="31"/>
      <c r="F22" s="31"/>
      <c r="G22" s="31"/>
      <c r="H22" s="31"/>
      <c r="I22" s="31"/>
      <c r="J22" s="31"/>
      <c r="K22" s="31"/>
      <c r="L22" s="31"/>
      <c r="M22" s="31"/>
      <c r="N22" s="31"/>
    </row>
    <row r="23" spans="1:14" ht="25.15" customHeight="1" thickBot="1" x14ac:dyDescent="0.45">
      <c r="A23" s="17" t="s">
        <v>14</v>
      </c>
      <c r="B23" s="215" t="s">
        <v>99</v>
      </c>
      <c r="C23" s="216" t="s">
        <v>100</v>
      </c>
      <c r="D23" s="216" t="s">
        <v>101</v>
      </c>
      <c r="E23" s="216" t="s">
        <v>102</v>
      </c>
      <c r="F23" s="216" t="s">
        <v>103</v>
      </c>
      <c r="G23" s="216" t="s">
        <v>104</v>
      </c>
      <c r="H23" s="216" t="s">
        <v>105</v>
      </c>
      <c r="I23" s="216" t="s">
        <v>106</v>
      </c>
      <c r="J23" s="216" t="s">
        <v>107</v>
      </c>
      <c r="K23" s="216" t="s">
        <v>108</v>
      </c>
      <c r="L23" s="216" t="s">
        <v>109</v>
      </c>
      <c r="M23" s="216" t="s">
        <v>110</v>
      </c>
      <c r="N23" s="217" t="s">
        <v>111</v>
      </c>
    </row>
    <row r="24" spans="1:14" ht="25.15" customHeight="1" thickBot="1" x14ac:dyDescent="0.45">
      <c r="A24" s="40" t="s">
        <v>15</v>
      </c>
      <c r="B24" s="42">
        <f>DPCuidadosPessoaisFormacao[[#This Row],[JANV]] - DRCuidadosPessoaisFormacao[[#This Row],[JANV]]</f>
        <v>16.900000000000006</v>
      </c>
      <c r="C24" s="41"/>
      <c r="D24" s="41"/>
      <c r="E24" s="41"/>
      <c r="F24" s="41"/>
      <c r="G24" s="41"/>
      <c r="H24" s="41"/>
      <c r="I24" s="41"/>
      <c r="J24" s="41"/>
      <c r="K24" s="41"/>
      <c r="L24" s="41"/>
      <c r="M24" s="41"/>
      <c r="N24" s="43">
        <f>SUM(B24:M24)</f>
        <v>16.900000000000006</v>
      </c>
    </row>
    <row r="25" spans="1:14" ht="25.15" customHeight="1" thickBot="1" x14ac:dyDescent="0.45">
      <c r="A25" s="40" t="s">
        <v>114</v>
      </c>
      <c r="B25" s="42">
        <f>DPCuidadosPessoaisFormacao[[#This Row],[JANV]] - DRCuidadosPessoaisFormacao[[#This Row],[JANV]]</f>
        <v>-97.449999999999989</v>
      </c>
      <c r="C25" s="41"/>
      <c r="D25" s="41"/>
      <c r="E25" s="41"/>
      <c r="F25" s="41"/>
      <c r="G25" s="41"/>
      <c r="H25" s="41"/>
      <c r="I25" s="41"/>
      <c r="J25" s="41"/>
      <c r="K25" s="41"/>
      <c r="L25" s="41"/>
      <c r="M25" s="41"/>
      <c r="N25" s="43">
        <f>SUM(B25:M25)</f>
        <v>-97.449999999999989</v>
      </c>
    </row>
    <row r="26" spans="1:14" ht="25.15" customHeight="1" thickBot="1" x14ac:dyDescent="0.45">
      <c r="A26" s="40" t="s">
        <v>17</v>
      </c>
      <c r="B26" s="42">
        <f>DPCuidadosPessoaisFormacao[[#This Row],[JANV]] - DRCuidadosPessoaisFormacao[[#This Row],[JANV]]</f>
        <v>110</v>
      </c>
      <c r="C26" s="41"/>
      <c r="D26" s="41"/>
      <c r="E26" s="41"/>
      <c r="F26" s="41"/>
      <c r="G26" s="41"/>
      <c r="H26" s="41"/>
      <c r="I26" s="41"/>
      <c r="J26" s="41"/>
      <c r="K26" s="41"/>
      <c r="L26" s="41"/>
      <c r="M26" s="41"/>
      <c r="N26" s="43">
        <f>SUM(B26:M26)</f>
        <v>110</v>
      </c>
    </row>
    <row r="27" spans="1:14" ht="25.15" customHeight="1" x14ac:dyDescent="0.4">
      <c r="A27" s="25" t="s">
        <v>113</v>
      </c>
      <c r="B27" s="43">
        <f>SUBTOTAL(109,VDCuidadosPessoaisFormacao[JANV])</f>
        <v>29.450000000000017</v>
      </c>
      <c r="C27" s="43">
        <f>SUBTOTAL(109,VDCuidadosPessoaisFormacao[FÉVR])</f>
        <v>0</v>
      </c>
      <c r="D27" s="43">
        <f>SUBTOTAL(109,VDCuidadosPessoaisFormacao[MARS])</f>
        <v>0</v>
      </c>
      <c r="E27" s="43">
        <f>SUBTOTAL(109,VDCuidadosPessoaisFormacao[AVR])</f>
        <v>0</v>
      </c>
      <c r="F27" s="43">
        <f>SUBTOTAL(109,VDCuidadosPessoaisFormacao[MAI])</f>
        <v>0</v>
      </c>
      <c r="G27" s="43">
        <f>SUBTOTAL(109,VDCuidadosPessoaisFormacao[JUIN])</f>
        <v>0</v>
      </c>
      <c r="H27" s="43">
        <f>SUBTOTAL(109,VDCuidadosPessoaisFormacao[JUIL])</f>
        <v>0</v>
      </c>
      <c r="I27" s="43">
        <f>SUBTOTAL(109,VDCuidadosPessoaisFormacao[AOÛT])</f>
        <v>0</v>
      </c>
      <c r="J27" s="43">
        <f>SUBTOTAL(109,VDCuidadosPessoaisFormacao[SEPT])</f>
        <v>0</v>
      </c>
      <c r="K27" s="43">
        <f>SUBTOTAL(109,VDCuidadosPessoaisFormacao[OCT])</f>
        <v>0</v>
      </c>
      <c r="L27" s="43">
        <f>SUBTOTAL(109,VDCuidadosPessoaisFormacao[NOV])</f>
        <v>0</v>
      </c>
      <c r="M27" s="43">
        <f>SUBTOTAL(109,VDCuidadosPessoaisFormacao[DÉC])</f>
        <v>0</v>
      </c>
      <c r="N27" s="43">
        <f>SUBTOTAL(109,VDCuidadosPessoaisFormacao[ANNÉE])</f>
        <v>29.450000000000017</v>
      </c>
    </row>
    <row r="28" spans="1:14" ht="25.15" customHeight="1" x14ac:dyDescent="0.4">
      <c r="A28" s="31"/>
      <c r="B28" s="31"/>
      <c r="C28" s="31"/>
      <c r="D28" s="31"/>
      <c r="E28" s="31"/>
      <c r="F28" s="31"/>
      <c r="G28" s="31"/>
      <c r="H28" s="31"/>
      <c r="I28" s="31"/>
      <c r="J28" s="31"/>
      <c r="K28" s="31"/>
      <c r="L28" s="31"/>
      <c r="M28" s="31"/>
      <c r="N28" s="31"/>
    </row>
    <row r="29" spans="1:14" ht="25.15" customHeight="1" thickBot="1" x14ac:dyDescent="0.45">
      <c r="A29" s="17" t="s">
        <v>18</v>
      </c>
      <c r="B29" s="215" t="s">
        <v>99</v>
      </c>
      <c r="C29" s="216" t="s">
        <v>100</v>
      </c>
      <c r="D29" s="216" t="s">
        <v>101</v>
      </c>
      <c r="E29" s="216" t="s">
        <v>102</v>
      </c>
      <c r="F29" s="216" t="s">
        <v>103</v>
      </c>
      <c r="G29" s="216" t="s">
        <v>104</v>
      </c>
      <c r="H29" s="216" t="s">
        <v>105</v>
      </c>
      <c r="I29" s="216" t="s">
        <v>106</v>
      </c>
      <c r="J29" s="216" t="s">
        <v>107</v>
      </c>
      <c r="K29" s="216" t="s">
        <v>108</v>
      </c>
      <c r="L29" s="216" t="s">
        <v>109</v>
      </c>
      <c r="M29" s="216" t="s">
        <v>110</v>
      </c>
      <c r="N29" s="217" t="s">
        <v>111</v>
      </c>
    </row>
    <row r="30" spans="1:14" ht="25.15" customHeight="1" thickBot="1" x14ac:dyDescent="0.45">
      <c r="A30" s="40" t="s">
        <v>19</v>
      </c>
      <c r="B30" s="42">
        <f>DPDespesasBancarias[[#This Row],[JANV]] - DRDespesasBancarias[[#This Row],[JANV]]</f>
        <v>143.32</v>
      </c>
      <c r="C30" s="42">
        <f>DPDespesasBancarias[[#This Row],[FÉVR]] - DRDespesasBancarias[[#This Row],[FÉVR]]</f>
        <v>150</v>
      </c>
      <c r="D30" s="42">
        <f>DPDespesasBancarias[[#This Row],[MARS]] - DRDespesasBancarias[[#This Row],[MARS]]</f>
        <v>150</v>
      </c>
      <c r="E30" s="42">
        <f>DPDespesasBancarias[[#This Row],[AVR]] - DRDespesasBancarias[[#This Row],[AVR]]</f>
        <v>150</v>
      </c>
      <c r="F30" s="42">
        <f>DPDespesasBancarias[[#This Row],[MAI]] - DRDespesasBancarias[[#This Row],[MAI]]</f>
        <v>150</v>
      </c>
      <c r="G30" s="42">
        <f>DPDespesasBancarias[[#This Row],[JUIN]] - DRDespesasBancarias[[#This Row],[JUIN]]</f>
        <v>150</v>
      </c>
      <c r="H30" s="42">
        <f>DPDespesasBancarias[[#This Row],[JUIL]] - DRDespesasBancarias[[#This Row],[JUIL]]</f>
        <v>150</v>
      </c>
      <c r="I30" s="42">
        <f>DPDespesasBancarias[[#This Row],[AOÛT]] - DRDespesasBancarias[[#This Row],[AOÛT]]</f>
        <v>150</v>
      </c>
      <c r="J30" s="42">
        <f>DPDespesasBancarias[[#This Row],[SEPT]] - DRDespesasBancarias[[#This Row],[SEPT]]</f>
        <v>150</v>
      </c>
      <c r="K30" s="42">
        <f>DPDespesasBancarias[[#This Row],[OCT]] - DRDespesasBancarias[[#This Row],[OCT]]</f>
        <v>150</v>
      </c>
      <c r="L30" s="42">
        <f>DPDespesasBancarias[[#This Row],[NOV]] - DRDespesasBancarias[[#This Row],[NOV]]</f>
        <v>150</v>
      </c>
      <c r="M30" s="42">
        <f>DPDespesasBancarias[[#This Row],[DÉC]] - DRDespesasBancarias[[#This Row],[DÉC]]</f>
        <v>150</v>
      </c>
      <c r="N30" s="43">
        <f>SUM(B30:M30)</f>
        <v>1793.32</v>
      </c>
    </row>
    <row r="31" spans="1:14" ht="25.15" customHeight="1" thickBot="1" x14ac:dyDescent="0.45">
      <c r="A31" s="40" t="s">
        <v>115</v>
      </c>
      <c r="B31" s="42">
        <f>DPDespesasBancarias[[#This Row],[JANV]] - DRDespesasBancarias[[#This Row],[JANV]]</f>
        <v>-163</v>
      </c>
      <c r="C31" s="42">
        <f>DPDespesasBancarias[[#This Row],[FÉVR]] - DRDespesasBancarias[[#This Row],[FÉVR]]</f>
        <v>-168</v>
      </c>
      <c r="D31" s="42">
        <f>DPDespesasBancarias[[#This Row],[MARS]] - DRDespesasBancarias[[#This Row],[MARS]]</f>
        <v>-168</v>
      </c>
      <c r="E31" s="42">
        <f>DPDespesasBancarias[[#This Row],[AVR]] - DRDespesasBancarias[[#This Row],[AVR]]</f>
        <v>-168</v>
      </c>
      <c r="F31" s="42">
        <f>DPDespesasBancarias[[#This Row],[MAI]] - DRDespesasBancarias[[#This Row],[MAI]]</f>
        <v>-168</v>
      </c>
      <c r="G31" s="42">
        <f>DPDespesasBancarias[[#This Row],[JUIN]] - DRDespesasBancarias[[#This Row],[JUIN]]</f>
        <v>-168</v>
      </c>
      <c r="H31" s="42">
        <f>DPDespesasBancarias[[#This Row],[JUIL]] - DRDespesasBancarias[[#This Row],[JUIL]]</f>
        <v>-168</v>
      </c>
      <c r="I31" s="42">
        <f>DPDespesasBancarias[[#This Row],[AOÛT]] - DRDespesasBancarias[[#This Row],[AOÛT]]</f>
        <v>-168</v>
      </c>
      <c r="J31" s="42">
        <f>DPDespesasBancarias[[#This Row],[SEPT]] - DRDespesasBancarias[[#This Row],[SEPT]]</f>
        <v>-168</v>
      </c>
      <c r="K31" s="42">
        <f>DPDespesasBancarias[[#This Row],[OCT]] - DRDespesasBancarias[[#This Row],[OCT]]</f>
        <v>-168</v>
      </c>
      <c r="L31" s="42">
        <f>DPDespesasBancarias[[#This Row],[NOV]] - DRDespesasBancarias[[#This Row],[NOV]]</f>
        <v>-168</v>
      </c>
      <c r="M31" s="42">
        <f>DPDespesasBancarias[[#This Row],[DÉC]] - DRDespesasBancarias[[#This Row],[DÉC]]</f>
        <v>-168</v>
      </c>
      <c r="N31" s="43">
        <f>SUM(B31:M31)</f>
        <v>-2011</v>
      </c>
    </row>
    <row r="32" spans="1:14" ht="25.15" customHeight="1" thickBot="1" x14ac:dyDescent="0.45">
      <c r="A32" s="40" t="s">
        <v>21</v>
      </c>
      <c r="B32" s="42">
        <f>DPDespesasBancarias[[#This Row],[JANV]] - DRDespesasBancarias[[#This Row],[JANV]]</f>
        <v>4.259999999999998</v>
      </c>
      <c r="C32" s="42">
        <f>DPDespesasBancarias[[#This Row],[FÉVR]] - DRDespesasBancarias[[#This Row],[FÉVR]]</f>
        <v>25</v>
      </c>
      <c r="D32" s="42">
        <f>DPDespesasBancarias[[#This Row],[MARS]] - DRDespesasBancarias[[#This Row],[MARS]]</f>
        <v>25</v>
      </c>
      <c r="E32" s="42">
        <f>DPDespesasBancarias[[#This Row],[AVR]] - DRDespesasBancarias[[#This Row],[AVR]]</f>
        <v>25</v>
      </c>
      <c r="F32" s="42">
        <f>DPDespesasBancarias[[#This Row],[MAI]] - DRDespesasBancarias[[#This Row],[MAI]]</f>
        <v>25</v>
      </c>
      <c r="G32" s="42">
        <f>DPDespesasBancarias[[#This Row],[JUIN]] - DRDespesasBancarias[[#This Row],[JUIN]]</f>
        <v>25</v>
      </c>
      <c r="H32" s="42">
        <f>DPDespesasBancarias[[#This Row],[JUIL]] - DRDespesasBancarias[[#This Row],[JUIL]]</f>
        <v>25</v>
      </c>
      <c r="I32" s="42">
        <f>DPDespesasBancarias[[#This Row],[AOÛT]] - DRDespesasBancarias[[#This Row],[AOÛT]]</f>
        <v>25</v>
      </c>
      <c r="J32" s="42">
        <f>DPDespesasBancarias[[#This Row],[SEPT]] - DRDespesasBancarias[[#This Row],[SEPT]]</f>
        <v>25</v>
      </c>
      <c r="K32" s="42">
        <f>DPDespesasBancarias[[#This Row],[OCT]] - DRDespesasBancarias[[#This Row],[OCT]]</f>
        <v>25</v>
      </c>
      <c r="L32" s="42">
        <f>DPDespesasBancarias[[#This Row],[NOV]] - DRDespesasBancarias[[#This Row],[NOV]]</f>
        <v>25</v>
      </c>
      <c r="M32" s="42">
        <f>DPDespesasBancarias[[#This Row],[DÉC]] - DRDespesasBancarias[[#This Row],[DÉC]]</f>
        <v>25</v>
      </c>
      <c r="N32" s="43">
        <f>SUM(B32:M32)</f>
        <v>279.26</v>
      </c>
    </row>
    <row r="33" spans="1:14" ht="25.15" customHeight="1" x14ac:dyDescent="0.4">
      <c r="A33" s="25" t="s">
        <v>113</v>
      </c>
      <c r="B33" s="43">
        <f>SUBTOTAL(109,VDDespesasBancarias[JANV])</f>
        <v>-15.420000000000009</v>
      </c>
      <c r="C33" s="43">
        <f>SUBTOTAL(109,VDDespesasBancarias[FÉVR])</f>
        <v>7</v>
      </c>
      <c r="D33" s="43">
        <f>SUBTOTAL(109,VDDespesasBancarias[MARS])</f>
        <v>7</v>
      </c>
      <c r="E33" s="43">
        <f>SUBTOTAL(109,VDDespesasBancarias[AVR])</f>
        <v>7</v>
      </c>
      <c r="F33" s="43">
        <f>SUBTOTAL(109,VDDespesasBancarias[MAI])</f>
        <v>7</v>
      </c>
      <c r="G33" s="43">
        <f>SUBTOTAL(109,VDDespesasBancarias[JUIN])</f>
        <v>7</v>
      </c>
      <c r="H33" s="43">
        <f>SUBTOTAL(109,VDDespesasBancarias[JUIL])</f>
        <v>7</v>
      </c>
      <c r="I33" s="43">
        <f>SUBTOTAL(109,VDDespesasBancarias[AOÛT])</f>
        <v>7</v>
      </c>
      <c r="J33" s="43">
        <f>SUBTOTAL(109,VDDespesasBancarias[SEPT])</f>
        <v>7</v>
      </c>
      <c r="K33" s="43">
        <f>SUBTOTAL(109,VDDespesasBancarias[OCT])</f>
        <v>7</v>
      </c>
      <c r="L33" s="43">
        <f>SUBTOTAL(109,VDDespesasBancarias[NOV])</f>
        <v>7</v>
      </c>
      <c r="M33" s="43">
        <f>SUBTOTAL(109,VDDespesasBancarias[DÉC])</f>
        <v>7</v>
      </c>
      <c r="N33" s="43">
        <f>SUBTOTAL(109,VDDespesasBancarias[ANNÉE])</f>
        <v>61.579999999999927</v>
      </c>
    </row>
    <row r="34" spans="1:14" ht="25.15" customHeight="1" x14ac:dyDescent="0.4">
      <c r="A34" s="31"/>
      <c r="B34" s="31"/>
      <c r="C34" s="31"/>
      <c r="D34" s="31"/>
      <c r="E34" s="31"/>
      <c r="F34" s="31"/>
      <c r="G34" s="31"/>
      <c r="H34" s="31"/>
      <c r="I34" s="31"/>
      <c r="J34" s="31"/>
      <c r="K34" s="31"/>
      <c r="L34" s="31"/>
      <c r="M34" s="31"/>
      <c r="N34" s="31"/>
    </row>
    <row r="35" spans="1:14" ht="25.15" customHeight="1" thickBot="1" x14ac:dyDescent="0.45">
      <c r="A35" s="17" t="s">
        <v>22</v>
      </c>
      <c r="B35" s="215" t="s">
        <v>99</v>
      </c>
      <c r="C35" s="216" t="s">
        <v>100</v>
      </c>
      <c r="D35" s="216" t="s">
        <v>101</v>
      </c>
      <c r="E35" s="216" t="s">
        <v>102</v>
      </c>
      <c r="F35" s="216" t="s">
        <v>103</v>
      </c>
      <c r="G35" s="216" t="s">
        <v>104</v>
      </c>
      <c r="H35" s="216" t="s">
        <v>105</v>
      </c>
      <c r="I35" s="216" t="s">
        <v>106</v>
      </c>
      <c r="J35" s="216" t="s">
        <v>107</v>
      </c>
      <c r="K35" s="216" t="s">
        <v>108</v>
      </c>
      <c r="L35" s="216" t="s">
        <v>109</v>
      </c>
      <c r="M35" s="216" t="s">
        <v>110</v>
      </c>
      <c r="N35" s="217" t="s">
        <v>111</v>
      </c>
    </row>
    <row r="36" spans="1:14" ht="25.15" customHeight="1" thickBot="1" x14ac:dyDescent="0.45">
      <c r="A36" s="40" t="s">
        <v>23</v>
      </c>
      <c r="B36" s="42">
        <f>DPDespesasMedicas[[#This Row],[JANV]] - DRDespesasMedicas[[#This Row],[JANV]]</f>
        <v>380</v>
      </c>
      <c r="C36" s="42">
        <f>DPDespesasMedicas[[#This Row],[FÉVR]] - DRDespesasMedicas[[#This Row],[FÉVR]]</f>
        <v>950</v>
      </c>
      <c r="D36" s="42">
        <f>DPDespesasMedicas[[#This Row],[MARS]] - DRDespesasMedicas[[#This Row],[MARS]]</f>
        <v>950</v>
      </c>
      <c r="E36" s="42">
        <f>DPDespesasMedicas[[#This Row],[AVR]] - DRDespesasMedicas[[#This Row],[AVR]]</f>
        <v>950</v>
      </c>
      <c r="F36" s="42">
        <f>DPDespesasMedicas[[#This Row],[MAI]] - DRDespesasMedicas[[#This Row],[MAI]]</f>
        <v>950</v>
      </c>
      <c r="G36" s="42">
        <f>DPDespesasMedicas[[#This Row],[JUIN]] - DRDespesasMedicas[[#This Row],[JUIN]]</f>
        <v>950</v>
      </c>
      <c r="H36" s="42">
        <f>DPDespesasMedicas[[#This Row],[JUIL]] - DRDespesasMedicas[[#This Row],[JUIL]]</f>
        <v>950</v>
      </c>
      <c r="I36" s="42">
        <f>DPDespesasMedicas[[#This Row],[AOÛT]] - DRDespesasMedicas[[#This Row],[AOÛT]]</f>
        <v>950</v>
      </c>
      <c r="J36" s="42">
        <f>DPDespesasMedicas[[#This Row],[SEPT]] - DRDespesasMedicas[[#This Row],[SEPT]]</f>
        <v>950</v>
      </c>
      <c r="K36" s="42">
        <f>DPDespesasMedicas[[#This Row],[OCT]] - DRDespesasMedicas[[#This Row],[OCT]]</f>
        <v>950</v>
      </c>
      <c r="L36" s="42">
        <f>DPDespesasMedicas[[#This Row],[NOV]] - DRDespesasMedicas[[#This Row],[NOV]]</f>
        <v>950</v>
      </c>
      <c r="M36" s="42">
        <f>DPDespesasMedicas[[#This Row],[DÉC]] - DRDespesasMedicas[[#This Row],[DÉC]]</f>
        <v>950</v>
      </c>
      <c r="N36" s="43">
        <f>SUM(B36:M36)</f>
        <v>10830</v>
      </c>
    </row>
    <row r="37" spans="1:14" ht="25.15" customHeight="1" thickBot="1" x14ac:dyDescent="0.45">
      <c r="A37" s="40" t="s">
        <v>24</v>
      </c>
      <c r="B37" s="42">
        <f>DPDespesasMedicas[[#This Row],[JANV]] - DRDespesasMedicas[[#This Row],[JANV]]</f>
        <v>-120</v>
      </c>
      <c r="C37" s="42">
        <f>DPDespesasMedicas[[#This Row],[FÉVR]] - DRDespesasMedicas[[#This Row],[FÉVR]]</f>
        <v>130</v>
      </c>
      <c r="D37" s="42">
        <f>DPDespesasMedicas[[#This Row],[MARS]] - DRDespesasMedicas[[#This Row],[MARS]]</f>
        <v>130</v>
      </c>
      <c r="E37" s="42">
        <f>DPDespesasMedicas[[#This Row],[AVR]] - DRDespesasMedicas[[#This Row],[AVR]]</f>
        <v>130</v>
      </c>
      <c r="F37" s="42">
        <f>DPDespesasMedicas[[#This Row],[MAI]] - DRDespesasMedicas[[#This Row],[MAI]]</f>
        <v>130</v>
      </c>
      <c r="G37" s="42">
        <f>DPDespesasMedicas[[#This Row],[JUIN]] - DRDespesasMedicas[[#This Row],[JUIN]]</f>
        <v>130</v>
      </c>
      <c r="H37" s="42">
        <f>DPDespesasMedicas[[#This Row],[JUIL]] - DRDespesasMedicas[[#This Row],[JUIL]]</f>
        <v>130</v>
      </c>
      <c r="I37" s="42">
        <f>DPDespesasMedicas[[#This Row],[AOÛT]] - DRDespesasMedicas[[#This Row],[AOÛT]]</f>
        <v>130</v>
      </c>
      <c r="J37" s="42">
        <f>DPDespesasMedicas[[#This Row],[SEPT]] - DRDespesasMedicas[[#This Row],[SEPT]]</f>
        <v>130</v>
      </c>
      <c r="K37" s="42">
        <f>DPDespesasMedicas[[#This Row],[OCT]] - DRDespesasMedicas[[#This Row],[OCT]]</f>
        <v>130</v>
      </c>
      <c r="L37" s="42">
        <f>DPDespesasMedicas[[#This Row],[NOV]] - DRDespesasMedicas[[#This Row],[NOV]]</f>
        <v>130</v>
      </c>
      <c r="M37" s="42">
        <f>DPDespesasMedicas[[#This Row],[DÉC]] - DRDespesasMedicas[[#This Row],[DÉC]]</f>
        <v>130</v>
      </c>
      <c r="N37" s="43">
        <f>SUM(B37:M37)</f>
        <v>1310</v>
      </c>
    </row>
    <row r="38" spans="1:14" ht="25.15" customHeight="1" thickBot="1" x14ac:dyDescent="0.45">
      <c r="A38" s="40" t="s">
        <v>25</v>
      </c>
      <c r="B38" s="42">
        <f>DPDespesasMedicas[[#This Row],[JANV]] - DRDespesasMedicas[[#This Row],[JANV]]</f>
        <v>200</v>
      </c>
      <c r="C38" s="42">
        <f>DPDespesasMedicas[[#This Row],[FÉVR]] - DRDespesasMedicas[[#This Row],[FÉVR]]</f>
        <v>200</v>
      </c>
      <c r="D38" s="42">
        <f>DPDespesasMedicas[[#This Row],[MARS]] - DRDespesasMedicas[[#This Row],[MARS]]</f>
        <v>200</v>
      </c>
      <c r="E38" s="42">
        <f>DPDespesasMedicas[[#This Row],[AVR]] - DRDespesasMedicas[[#This Row],[AVR]]</f>
        <v>200</v>
      </c>
      <c r="F38" s="42">
        <f>DPDespesasMedicas[[#This Row],[MAI]] - DRDespesasMedicas[[#This Row],[MAI]]</f>
        <v>200</v>
      </c>
      <c r="G38" s="42">
        <f>DPDespesasMedicas[[#This Row],[JUIN]] - DRDespesasMedicas[[#This Row],[JUIN]]</f>
        <v>200</v>
      </c>
      <c r="H38" s="42">
        <f>DPDespesasMedicas[[#This Row],[JUIL]] - DRDespesasMedicas[[#This Row],[JUIL]]</f>
        <v>200</v>
      </c>
      <c r="I38" s="42">
        <f>DPDespesasMedicas[[#This Row],[AOÛT]] - DRDespesasMedicas[[#This Row],[AOÛT]]</f>
        <v>200</v>
      </c>
      <c r="J38" s="42">
        <f>DPDespesasMedicas[[#This Row],[SEPT]] - DRDespesasMedicas[[#This Row],[SEPT]]</f>
        <v>200</v>
      </c>
      <c r="K38" s="42">
        <f>DPDespesasMedicas[[#This Row],[OCT]] - DRDespesasMedicas[[#This Row],[OCT]]</f>
        <v>200</v>
      </c>
      <c r="L38" s="42">
        <f>DPDespesasMedicas[[#This Row],[NOV]] - DRDespesasMedicas[[#This Row],[NOV]]</f>
        <v>200</v>
      </c>
      <c r="M38" s="42">
        <f>DPDespesasMedicas[[#This Row],[DÉC]] - DRDespesasMedicas[[#This Row],[DÉC]]</f>
        <v>200</v>
      </c>
      <c r="N38" s="43">
        <f>SUM(B38:M38)</f>
        <v>2400</v>
      </c>
    </row>
    <row r="39" spans="1:14" ht="25.15" customHeight="1" thickBot="1" x14ac:dyDescent="0.45">
      <c r="A39" s="40" t="s">
        <v>26</v>
      </c>
      <c r="B39" s="42">
        <f>DPDespesasMedicas[[#This Row],[JANV]] - DRDespesasMedicas[[#This Row],[JANV]]</f>
        <v>-498.91000000000008</v>
      </c>
      <c r="C39" s="42">
        <f>DPDespesasMedicas[[#This Row],[FÉVR]] - DRDespesasMedicas[[#This Row],[FÉVR]]</f>
        <v>770</v>
      </c>
      <c r="D39" s="42">
        <f>DPDespesasMedicas[[#This Row],[MARS]] - DRDespesasMedicas[[#This Row],[MARS]]</f>
        <v>770</v>
      </c>
      <c r="E39" s="42">
        <f>DPDespesasMedicas[[#This Row],[AVR]] - DRDespesasMedicas[[#This Row],[AVR]]</f>
        <v>770</v>
      </c>
      <c r="F39" s="42">
        <f>DPDespesasMedicas[[#This Row],[MAI]] - DRDespesasMedicas[[#This Row],[MAI]]</f>
        <v>770</v>
      </c>
      <c r="G39" s="42">
        <f>DPDespesasMedicas[[#This Row],[JUIN]] - DRDespesasMedicas[[#This Row],[JUIN]]</f>
        <v>770</v>
      </c>
      <c r="H39" s="42">
        <f>DPDespesasMedicas[[#This Row],[JUIL]] - DRDespesasMedicas[[#This Row],[JUIL]]</f>
        <v>770</v>
      </c>
      <c r="I39" s="42">
        <f>DPDespesasMedicas[[#This Row],[AOÛT]] - DRDespesasMedicas[[#This Row],[AOÛT]]</f>
        <v>770</v>
      </c>
      <c r="J39" s="42">
        <f>DPDespesasMedicas[[#This Row],[SEPT]] - DRDespesasMedicas[[#This Row],[SEPT]]</f>
        <v>770</v>
      </c>
      <c r="K39" s="42">
        <f>DPDespesasMedicas[[#This Row],[OCT]] - DRDespesasMedicas[[#This Row],[OCT]]</f>
        <v>770</v>
      </c>
      <c r="L39" s="42">
        <f>DPDespesasMedicas[[#This Row],[NOV]] - DRDespesasMedicas[[#This Row],[NOV]]</f>
        <v>770</v>
      </c>
      <c r="M39" s="42">
        <f>DPDespesasMedicas[[#This Row],[DÉC]] - DRDespesasMedicas[[#This Row],[DÉC]]</f>
        <v>770</v>
      </c>
      <c r="N39" s="43">
        <f>SUM(B39:M39)</f>
        <v>7971.09</v>
      </c>
    </row>
    <row r="40" spans="1:14" ht="25.15" customHeight="1" thickBot="1" x14ac:dyDescent="0.45">
      <c r="A40" s="40" t="s">
        <v>142</v>
      </c>
      <c r="B40" s="42">
        <f>DPDespesasMedicas[[#This Row],[JANV]] - DRDespesasMedicas[[#This Row],[JANV]]</f>
        <v>-420</v>
      </c>
      <c r="C40" s="42">
        <f>DPDespesasMedicas[[#This Row],[FÉVR]] - DRDespesasMedicas[[#This Row],[FÉVR]]</f>
        <v>250</v>
      </c>
      <c r="D40" s="42">
        <f>DPDespesasMedicas[[#This Row],[MARS]] - DRDespesasMedicas[[#This Row],[MARS]]</f>
        <v>250</v>
      </c>
      <c r="E40" s="42">
        <f>DPDespesasMedicas[[#This Row],[AVR]] - DRDespesasMedicas[[#This Row],[AVR]]</f>
        <v>250</v>
      </c>
      <c r="F40" s="42">
        <f>DPDespesasMedicas[[#This Row],[MAI]] - DRDespesasMedicas[[#This Row],[MAI]]</f>
        <v>250</v>
      </c>
      <c r="G40" s="42">
        <f>DPDespesasMedicas[[#This Row],[JUIN]] - DRDespesasMedicas[[#This Row],[JUIN]]</f>
        <v>250</v>
      </c>
      <c r="H40" s="42">
        <f>DPDespesasMedicas[[#This Row],[JUIL]] - DRDespesasMedicas[[#This Row],[JUIL]]</f>
        <v>250</v>
      </c>
      <c r="I40" s="42">
        <f>DPDespesasMedicas[[#This Row],[AOÛT]] - DRDespesasMedicas[[#This Row],[AOÛT]]</f>
        <v>250</v>
      </c>
      <c r="J40" s="42">
        <f>DPDespesasMedicas[[#This Row],[SEPT]] - DRDespesasMedicas[[#This Row],[SEPT]]</f>
        <v>250</v>
      </c>
      <c r="K40" s="42">
        <f>DPDespesasMedicas[[#This Row],[OCT]] - DRDespesasMedicas[[#This Row],[OCT]]</f>
        <v>250</v>
      </c>
      <c r="L40" s="42">
        <f>DPDespesasMedicas[[#This Row],[NOV]] - DRDespesasMedicas[[#This Row],[NOV]]</f>
        <v>250</v>
      </c>
      <c r="M40" s="42">
        <f>DPDespesasMedicas[[#This Row],[DÉC]] - DRDespesasMedicas[[#This Row],[DÉC]]</f>
        <v>250</v>
      </c>
      <c r="N40" s="43">
        <f>SUM(B40:M40)</f>
        <v>2330</v>
      </c>
    </row>
    <row r="41" spans="1:14" ht="25.15" customHeight="1" x14ac:dyDescent="0.4">
      <c r="A41" s="25" t="s">
        <v>113</v>
      </c>
      <c r="B41" s="43">
        <f>SUBTOTAL(109,VDDespesasMedicas[JANV])</f>
        <v>-458.91000000000008</v>
      </c>
      <c r="C41" s="43">
        <f>SUBTOTAL(109,VDDespesasMedicas[FÉVR])</f>
        <v>2300</v>
      </c>
      <c r="D41" s="43">
        <f>SUBTOTAL(109,VDDespesasMedicas[MARS])</f>
        <v>2300</v>
      </c>
      <c r="E41" s="43">
        <f>SUBTOTAL(109,VDDespesasMedicas[AVR])</f>
        <v>2300</v>
      </c>
      <c r="F41" s="43">
        <f>SUBTOTAL(109,VDDespesasMedicas[MAI])</f>
        <v>2300</v>
      </c>
      <c r="G41" s="43">
        <f>SUBTOTAL(109,VDDespesasMedicas[JUIN])</f>
        <v>2300</v>
      </c>
      <c r="H41" s="43">
        <f>SUBTOTAL(109,VDDespesasMedicas[JUIL])</f>
        <v>2300</v>
      </c>
      <c r="I41" s="43">
        <f>SUBTOTAL(109,VDDespesasMedicas[AOÛT])</f>
        <v>2300</v>
      </c>
      <c r="J41" s="43">
        <f>SUBTOTAL(109,VDDespesasMedicas[SEPT])</f>
        <v>2300</v>
      </c>
      <c r="K41" s="43">
        <f>SUBTOTAL(109,VDDespesasMedicas[OCT])</f>
        <v>2300</v>
      </c>
      <c r="L41" s="43">
        <f>SUBTOTAL(109,VDDespesasMedicas[NOV])</f>
        <v>2300</v>
      </c>
      <c r="M41" s="43">
        <f>SUBTOTAL(109,VDDespesasMedicas[DÉC])</f>
        <v>2300</v>
      </c>
      <c r="N41" s="43">
        <f>SUBTOTAL(109,VDDespesasMedicas[ANNÉE])</f>
        <v>24841.09</v>
      </c>
    </row>
    <row r="42" spans="1:14" ht="25.15" customHeight="1" x14ac:dyDescent="0.4">
      <c r="A42" s="31"/>
      <c r="B42" s="31"/>
      <c r="C42" s="31"/>
      <c r="D42" s="31"/>
      <c r="E42" s="31"/>
      <c r="F42" s="31"/>
      <c r="G42" s="31"/>
      <c r="H42" s="31"/>
      <c r="I42" s="31"/>
      <c r="J42" s="31"/>
      <c r="K42" s="31"/>
      <c r="L42" s="31"/>
      <c r="M42" s="31"/>
      <c r="N42" s="31"/>
    </row>
    <row r="43" spans="1:14" ht="25.15" customHeight="1" thickBot="1" x14ac:dyDescent="0.45">
      <c r="A43" s="17" t="s">
        <v>28</v>
      </c>
      <c r="B43" s="215" t="s">
        <v>99</v>
      </c>
      <c r="C43" s="216" t="s">
        <v>100</v>
      </c>
      <c r="D43" s="216" t="s">
        <v>101</v>
      </c>
      <c r="E43" s="216" t="s">
        <v>102</v>
      </c>
      <c r="F43" s="216" t="s">
        <v>103</v>
      </c>
      <c r="G43" s="216" t="s">
        <v>104</v>
      </c>
      <c r="H43" s="216" t="s">
        <v>105</v>
      </c>
      <c r="I43" s="216" t="s">
        <v>106</v>
      </c>
      <c r="J43" s="216" t="s">
        <v>107</v>
      </c>
      <c r="K43" s="216" t="s">
        <v>108</v>
      </c>
      <c r="L43" s="216" t="s">
        <v>109</v>
      </c>
      <c r="M43" s="216" t="s">
        <v>110</v>
      </c>
      <c r="N43" s="217" t="s">
        <v>111</v>
      </c>
    </row>
    <row r="44" spans="1:14" ht="25.15" customHeight="1" thickBot="1" x14ac:dyDescent="0.45">
      <c r="A44" s="40" t="s">
        <v>29</v>
      </c>
      <c r="B44" s="42">
        <f>DPEletronicaInformatica[[#This Row],[JANV]] - DREletronicaInformatica[[#This Row],[JANV]]</f>
        <v>-128.5</v>
      </c>
      <c r="C44" s="42">
        <f>DPEletronicaInformatica[[#This Row],[FÉVR]] - DREletronicaInformatica[[#This Row],[FÉVR]]</f>
        <v>27</v>
      </c>
      <c r="D44" s="42">
        <f>DPEletronicaInformatica[[#This Row],[MARS]] - DREletronicaInformatica[[#This Row],[MARS]]</f>
        <v>27</v>
      </c>
      <c r="E44" s="42">
        <f>DPEletronicaInformatica[[#This Row],[AVR]] - DREletronicaInformatica[[#This Row],[AVR]]</f>
        <v>27</v>
      </c>
      <c r="F44" s="42">
        <f>DPEletronicaInformatica[[#This Row],[MAI]] - DREletronicaInformatica[[#This Row],[MAI]]</f>
        <v>27</v>
      </c>
      <c r="G44" s="42">
        <f>DPEletronicaInformatica[[#This Row],[JUIN]] - DREletronicaInformatica[[#This Row],[JUIN]]</f>
        <v>27</v>
      </c>
      <c r="H44" s="42">
        <f>DPEletronicaInformatica[[#This Row],[JUIL]] - DREletronicaInformatica[[#This Row],[JUIL]]</f>
        <v>27</v>
      </c>
      <c r="I44" s="42">
        <f>DPEletronicaInformatica[[#This Row],[AOÛT]] - DREletronicaInformatica[[#This Row],[AOÛT]]</f>
        <v>27</v>
      </c>
      <c r="J44" s="42">
        <f>DPEletronicaInformatica[[#This Row],[SEPT]] - DREletronicaInformatica[[#This Row],[SEPT]]</f>
        <v>27</v>
      </c>
      <c r="K44" s="42">
        <f>DPEletronicaInformatica[[#This Row],[OCT]] - DREletronicaInformatica[[#This Row],[OCT]]</f>
        <v>27</v>
      </c>
      <c r="L44" s="42">
        <f>DPEletronicaInformatica[[#This Row],[NOV]] - DREletronicaInformatica[[#This Row],[NOV]]</f>
        <v>27</v>
      </c>
      <c r="M44" s="42">
        <f>DPEletronicaInformatica[[#This Row],[DÉC]] - DREletronicaInformatica[[#This Row],[DÉC]]</f>
        <v>27</v>
      </c>
      <c r="N44" s="43">
        <f>SUM(B44:M44)</f>
        <v>168.5</v>
      </c>
    </row>
    <row r="45" spans="1:14" ht="25.15" customHeight="1" thickBot="1" x14ac:dyDescent="0.45">
      <c r="A45" s="40" t="s">
        <v>30</v>
      </c>
      <c r="B45" s="42">
        <f>DPEletronicaInformatica[[#This Row],[JANV]] - DREletronicaInformatica[[#This Row],[JANV]]</f>
        <v>-848.92999999999984</v>
      </c>
      <c r="C45" s="42">
        <f>DPEletronicaInformatica[[#This Row],[FÉVR]] - DREletronicaInformatica[[#This Row],[FÉVR]]</f>
        <v>857</v>
      </c>
      <c r="D45" s="42">
        <f>DPEletronicaInformatica[[#This Row],[MARS]] - DREletronicaInformatica[[#This Row],[MARS]]</f>
        <v>857</v>
      </c>
      <c r="E45" s="42">
        <f>DPEletronicaInformatica[[#This Row],[AVR]] - DREletronicaInformatica[[#This Row],[AVR]]</f>
        <v>857</v>
      </c>
      <c r="F45" s="42">
        <f>DPEletronicaInformatica[[#This Row],[MAI]] - DREletronicaInformatica[[#This Row],[MAI]]</f>
        <v>857</v>
      </c>
      <c r="G45" s="42">
        <f>DPEletronicaInformatica[[#This Row],[JUIN]] - DREletronicaInformatica[[#This Row],[JUIN]]</f>
        <v>857</v>
      </c>
      <c r="H45" s="42">
        <f>DPEletronicaInformatica[[#This Row],[JUIL]] - DREletronicaInformatica[[#This Row],[JUIL]]</f>
        <v>857</v>
      </c>
      <c r="I45" s="42">
        <f>DPEletronicaInformatica[[#This Row],[AOÛT]] - DREletronicaInformatica[[#This Row],[AOÛT]]</f>
        <v>857</v>
      </c>
      <c r="J45" s="42">
        <f>DPEletronicaInformatica[[#This Row],[SEPT]] - DREletronicaInformatica[[#This Row],[SEPT]]</f>
        <v>857</v>
      </c>
      <c r="K45" s="42">
        <f>DPEletronicaInformatica[[#This Row],[OCT]] - DREletronicaInformatica[[#This Row],[OCT]]</f>
        <v>857</v>
      </c>
      <c r="L45" s="42">
        <f>DPEletronicaInformatica[[#This Row],[NOV]] - DREletronicaInformatica[[#This Row],[NOV]]</f>
        <v>857</v>
      </c>
      <c r="M45" s="42">
        <f>DPEletronicaInformatica[[#This Row],[DÉC]] - DREletronicaInformatica[[#This Row],[DÉC]]</f>
        <v>857</v>
      </c>
      <c r="N45" s="43">
        <f>SUM(B45:M45)</f>
        <v>8578.07</v>
      </c>
    </row>
    <row r="46" spans="1:14" ht="25.15" customHeight="1" thickBot="1" x14ac:dyDescent="0.45">
      <c r="A46" s="40" t="s">
        <v>31</v>
      </c>
      <c r="B46" s="42">
        <f>DPEletronicaInformatica[[#This Row],[JANV]] - DREletronicaInformatica[[#This Row],[JANV]]</f>
        <v>42</v>
      </c>
      <c r="C46" s="42">
        <f>DPEletronicaInformatica[[#This Row],[FÉVR]] - DREletronicaInformatica[[#This Row],[FÉVR]]</f>
        <v>42</v>
      </c>
      <c r="D46" s="42">
        <f>DPEletronicaInformatica[[#This Row],[MARS]] - DREletronicaInformatica[[#This Row],[MARS]]</f>
        <v>42</v>
      </c>
      <c r="E46" s="42">
        <f>DPEletronicaInformatica[[#This Row],[AVR]] - DREletronicaInformatica[[#This Row],[AVR]]</f>
        <v>42</v>
      </c>
      <c r="F46" s="42">
        <f>DPEletronicaInformatica[[#This Row],[MAI]] - DREletronicaInformatica[[#This Row],[MAI]]</f>
        <v>42</v>
      </c>
      <c r="G46" s="42">
        <f>DPEletronicaInformatica[[#This Row],[JUIN]] - DREletronicaInformatica[[#This Row],[JUIN]]</f>
        <v>42</v>
      </c>
      <c r="H46" s="42">
        <f>DPEletronicaInformatica[[#This Row],[JUIL]] - DREletronicaInformatica[[#This Row],[JUIL]]</f>
        <v>42</v>
      </c>
      <c r="I46" s="42">
        <f>DPEletronicaInformatica[[#This Row],[AOÛT]] - DREletronicaInformatica[[#This Row],[AOÛT]]</f>
        <v>42</v>
      </c>
      <c r="J46" s="42">
        <f>DPEletronicaInformatica[[#This Row],[SEPT]] - DREletronicaInformatica[[#This Row],[SEPT]]</f>
        <v>42</v>
      </c>
      <c r="K46" s="42">
        <f>DPEletronicaInformatica[[#This Row],[OCT]] - DREletronicaInformatica[[#This Row],[OCT]]</f>
        <v>42</v>
      </c>
      <c r="L46" s="42">
        <f>DPEletronicaInformatica[[#This Row],[NOV]] - DREletronicaInformatica[[#This Row],[NOV]]</f>
        <v>42</v>
      </c>
      <c r="M46" s="42">
        <f>DPEletronicaInformatica[[#This Row],[DÉC]] - DREletronicaInformatica[[#This Row],[DÉC]]</f>
        <v>42</v>
      </c>
      <c r="N46" s="43">
        <f>SUM(B46:M46)</f>
        <v>504</v>
      </c>
    </row>
    <row r="47" spans="1:14" ht="25.15" customHeight="1" x14ac:dyDescent="0.4">
      <c r="A47" s="25" t="s">
        <v>113</v>
      </c>
      <c r="B47" s="43">
        <f>SUBTOTAL(109,VDEletronicaInformatica[JANV])</f>
        <v>-935.42999999999984</v>
      </c>
      <c r="C47" s="43">
        <f>SUBTOTAL(109,VDEletronicaInformatica[FÉVR])</f>
        <v>926</v>
      </c>
      <c r="D47" s="43">
        <f>SUBTOTAL(109,VDEletronicaInformatica[MARS])</f>
        <v>926</v>
      </c>
      <c r="E47" s="43">
        <f>SUBTOTAL(109,VDEletronicaInformatica[AVR])</f>
        <v>926</v>
      </c>
      <c r="F47" s="43">
        <f>SUBTOTAL(109,VDEletronicaInformatica[MAI])</f>
        <v>926</v>
      </c>
      <c r="G47" s="43">
        <f>SUBTOTAL(109,VDEletronicaInformatica[JUIN])</f>
        <v>926</v>
      </c>
      <c r="H47" s="43">
        <f>SUBTOTAL(109,VDEletronicaInformatica[JUIL])</f>
        <v>926</v>
      </c>
      <c r="I47" s="43">
        <f>SUBTOTAL(109,VDEletronicaInformatica[AOÛT])</f>
        <v>926</v>
      </c>
      <c r="J47" s="43">
        <f>SUBTOTAL(109,VDEletronicaInformatica[SEPT])</f>
        <v>926</v>
      </c>
      <c r="K47" s="43">
        <f>SUBTOTAL(109,VDEletronicaInformatica[OCT])</f>
        <v>926</v>
      </c>
      <c r="L47" s="43">
        <f>SUBTOTAL(109,VDEletronicaInformatica[NOV])</f>
        <v>926</v>
      </c>
      <c r="M47" s="43">
        <f>SUBTOTAL(109,VDEletronicaInformatica[DÉC])</f>
        <v>926</v>
      </c>
      <c r="N47" s="43">
        <f>SUBTOTAL(109,VDEletronicaInformatica[ANNÉE])</f>
        <v>9250.57</v>
      </c>
    </row>
    <row r="48" spans="1:14" ht="25.15" customHeight="1" x14ac:dyDescent="0.4">
      <c r="A48" s="31"/>
      <c r="B48" s="31"/>
      <c r="C48" s="31"/>
      <c r="D48" s="31"/>
      <c r="E48" s="31"/>
      <c r="F48" s="31"/>
      <c r="G48" s="31"/>
      <c r="H48" s="31"/>
      <c r="I48" s="31"/>
      <c r="J48" s="31"/>
      <c r="K48" s="31"/>
      <c r="L48" s="31"/>
      <c r="M48" s="31"/>
      <c r="N48" s="31"/>
    </row>
    <row r="49" spans="1:14" ht="25.15" customHeight="1" thickBot="1" x14ac:dyDescent="0.45">
      <c r="A49" s="17" t="s">
        <v>33</v>
      </c>
      <c r="B49" s="215" t="s">
        <v>99</v>
      </c>
      <c r="C49" s="216" t="s">
        <v>100</v>
      </c>
      <c r="D49" s="216" t="s">
        <v>101</v>
      </c>
      <c r="E49" s="216" t="s">
        <v>102</v>
      </c>
      <c r="F49" s="216" t="s">
        <v>103</v>
      </c>
      <c r="G49" s="216" t="s">
        <v>104</v>
      </c>
      <c r="H49" s="216" t="s">
        <v>105</v>
      </c>
      <c r="I49" s="216" t="s">
        <v>106</v>
      </c>
      <c r="J49" s="216" t="s">
        <v>107</v>
      </c>
      <c r="K49" s="216" t="s">
        <v>108</v>
      </c>
      <c r="L49" s="216" t="s">
        <v>109</v>
      </c>
      <c r="M49" s="216" t="s">
        <v>110</v>
      </c>
      <c r="N49" s="217" t="s">
        <v>111</v>
      </c>
    </row>
    <row r="50" spans="1:14" ht="25.15" customHeight="1" thickBot="1" x14ac:dyDescent="0.45">
      <c r="A50" s="40" t="s">
        <v>34</v>
      </c>
      <c r="B50" s="42">
        <f>DPImpostos[[#This Row],[JANV]] - DRImpostos[[#This Row],[JANV]]</f>
        <v>225</v>
      </c>
      <c r="C50" s="42">
        <f>DPImpostos[[#This Row],[FÉVR]] - DRImpostos[[#This Row],[FÉVR]]</f>
        <v>225</v>
      </c>
      <c r="D50" s="42">
        <f>DPImpostos[[#This Row],[MARS]] - DRImpostos[[#This Row],[MARS]]</f>
        <v>225</v>
      </c>
      <c r="E50" s="42">
        <f>DPImpostos[[#This Row],[AVR]] - DRImpostos[[#This Row],[AVR]]</f>
        <v>225</v>
      </c>
      <c r="F50" s="42">
        <f>DPImpostos[[#This Row],[MAI]] - DRImpostos[[#This Row],[MAI]]</f>
        <v>225</v>
      </c>
      <c r="G50" s="42">
        <f>DPImpostos[[#This Row],[JUIN]] - DRImpostos[[#This Row],[JUIN]]</f>
        <v>225</v>
      </c>
      <c r="H50" s="42">
        <f>DPImpostos[[#This Row],[JUIL]] - DRImpostos[[#This Row],[JUIL]]</f>
        <v>225</v>
      </c>
      <c r="I50" s="42">
        <f>DPImpostos[[#This Row],[AOÛT]] - DRImpostos[[#This Row],[AOÛT]]</f>
        <v>225</v>
      </c>
      <c r="J50" s="42">
        <f>DPImpostos[[#This Row],[SEPT]] - DRImpostos[[#This Row],[SEPT]]</f>
        <v>225</v>
      </c>
      <c r="K50" s="42">
        <f>DPImpostos[[#This Row],[OCT]] - DRImpostos[[#This Row],[OCT]]</f>
        <v>225</v>
      </c>
      <c r="L50" s="42">
        <f>DPImpostos[[#This Row],[NOV]] - DRImpostos[[#This Row],[NOV]]</f>
        <v>225</v>
      </c>
      <c r="M50" s="42">
        <f>DPImpostos[[#This Row],[DÉC]] - DRImpostos[[#This Row],[DÉC]]</f>
        <v>225</v>
      </c>
      <c r="N50" s="43">
        <f>SUM(B50:M50)</f>
        <v>2700</v>
      </c>
    </row>
    <row r="51" spans="1:14" ht="25.15" customHeight="1" thickBot="1" x14ac:dyDescent="0.45">
      <c r="A51" s="40" t="s">
        <v>35</v>
      </c>
      <c r="B51" s="42">
        <f>DPImpostos[[#This Row],[JANV]] - DRImpostos[[#This Row],[JANV]]</f>
        <v>-210.89999999999998</v>
      </c>
      <c r="C51" s="42">
        <f>DPImpostos[[#This Row],[FÉVR]] - DRImpostos[[#This Row],[FÉVR]]</f>
        <v>85</v>
      </c>
      <c r="D51" s="42">
        <f>DPImpostos[[#This Row],[MARS]] - DRImpostos[[#This Row],[MARS]]</f>
        <v>85</v>
      </c>
      <c r="E51" s="42">
        <f>DPImpostos[[#This Row],[AVR]] - DRImpostos[[#This Row],[AVR]]</f>
        <v>85</v>
      </c>
      <c r="F51" s="42">
        <f>DPImpostos[[#This Row],[MAI]] - DRImpostos[[#This Row],[MAI]]</f>
        <v>85</v>
      </c>
      <c r="G51" s="42">
        <f>DPImpostos[[#This Row],[JUIN]] - DRImpostos[[#This Row],[JUIN]]</f>
        <v>85</v>
      </c>
      <c r="H51" s="42">
        <f>DPImpostos[[#This Row],[JUIL]] - DRImpostos[[#This Row],[JUIL]]</f>
        <v>85</v>
      </c>
      <c r="I51" s="42">
        <f>DPImpostos[[#This Row],[AOÛT]] - DRImpostos[[#This Row],[AOÛT]]</f>
        <v>85</v>
      </c>
      <c r="J51" s="42">
        <f>DPImpostos[[#This Row],[SEPT]] - DRImpostos[[#This Row],[SEPT]]</f>
        <v>85</v>
      </c>
      <c r="K51" s="42">
        <f>DPImpostos[[#This Row],[OCT]] - DRImpostos[[#This Row],[OCT]]</f>
        <v>85</v>
      </c>
      <c r="L51" s="42">
        <f>DPImpostos[[#This Row],[NOV]] - DRImpostos[[#This Row],[NOV]]</f>
        <v>85</v>
      </c>
      <c r="M51" s="42">
        <f>DPImpostos[[#This Row],[DÉC]] - DRImpostos[[#This Row],[DÉC]]</f>
        <v>85</v>
      </c>
      <c r="N51" s="43">
        <f>SUM(B51:M51)</f>
        <v>724.1</v>
      </c>
    </row>
    <row r="52" spans="1:14" ht="25.15" customHeight="1" thickBot="1" x14ac:dyDescent="0.45">
      <c r="A52" s="40" t="s">
        <v>36</v>
      </c>
      <c r="B52" s="42">
        <f>DPImpostos[[#This Row],[JANV]] - DRImpostos[[#This Row],[JANV]]</f>
        <v>0</v>
      </c>
      <c r="C52" s="42">
        <f>DPImpostos[[#This Row],[FÉVR]] - DRImpostos[[#This Row],[FÉVR]]</f>
        <v>0</v>
      </c>
      <c r="D52" s="42">
        <f>DPImpostos[[#This Row],[MARS]] - DRImpostos[[#This Row],[MARS]]</f>
        <v>0</v>
      </c>
      <c r="E52" s="42">
        <f>DPImpostos[[#This Row],[AVR]] - DRImpostos[[#This Row],[AVR]]</f>
        <v>0</v>
      </c>
      <c r="F52" s="42">
        <f>DPImpostos[[#This Row],[MAI]] - DRImpostos[[#This Row],[MAI]]</f>
        <v>0</v>
      </c>
      <c r="G52" s="42">
        <f>DPImpostos[[#This Row],[JUIN]] - DRImpostos[[#This Row],[JUIN]]</f>
        <v>0</v>
      </c>
      <c r="H52" s="42">
        <f>DPImpostos[[#This Row],[JUIL]] - DRImpostos[[#This Row],[JUIL]]</f>
        <v>0</v>
      </c>
      <c r="I52" s="42">
        <f>DPImpostos[[#This Row],[AOÛT]] - DRImpostos[[#This Row],[AOÛT]]</f>
        <v>0</v>
      </c>
      <c r="J52" s="42">
        <f>DPImpostos[[#This Row],[SEPT]] - DRImpostos[[#This Row],[SEPT]]</f>
        <v>0</v>
      </c>
      <c r="K52" s="42">
        <f>DPImpostos[[#This Row],[OCT]] - DRImpostos[[#This Row],[OCT]]</f>
        <v>0</v>
      </c>
      <c r="L52" s="42">
        <f>DPImpostos[[#This Row],[NOV]] - DRImpostos[[#This Row],[NOV]]</f>
        <v>0</v>
      </c>
      <c r="M52" s="42">
        <f>DPImpostos[[#This Row],[DÉC]] - DRImpostos[[#This Row],[DÉC]]</f>
        <v>0</v>
      </c>
      <c r="N52" s="43">
        <f>SUM(B52:M52)</f>
        <v>0</v>
      </c>
    </row>
    <row r="53" spans="1:14" ht="25.15" customHeight="1" thickBot="1" x14ac:dyDescent="0.45">
      <c r="A53" s="40" t="s">
        <v>37</v>
      </c>
      <c r="B53" s="42">
        <f>DPImpostos[[#This Row],[JANV]] - DRImpostos[[#This Row],[JANV]]</f>
        <v>0</v>
      </c>
      <c r="C53" s="42">
        <f>DPImpostos[[#This Row],[FÉVR]] - DRImpostos[[#This Row],[FÉVR]]</f>
        <v>0</v>
      </c>
      <c r="D53" s="42">
        <f>DPImpostos[[#This Row],[MARS]] - DRImpostos[[#This Row],[MARS]]</f>
        <v>0</v>
      </c>
      <c r="E53" s="42">
        <f>DPImpostos[[#This Row],[AVR]] - DRImpostos[[#This Row],[AVR]]</f>
        <v>0</v>
      </c>
      <c r="F53" s="42">
        <f>DPImpostos[[#This Row],[MAI]] - DRImpostos[[#This Row],[MAI]]</f>
        <v>0</v>
      </c>
      <c r="G53" s="42">
        <f>DPImpostos[[#This Row],[JUIN]] - DRImpostos[[#This Row],[JUIN]]</f>
        <v>0</v>
      </c>
      <c r="H53" s="42">
        <f>DPImpostos[[#This Row],[JUIL]] - DRImpostos[[#This Row],[JUIL]]</f>
        <v>0</v>
      </c>
      <c r="I53" s="42">
        <f>DPImpostos[[#This Row],[AOÛT]] - DRImpostos[[#This Row],[AOÛT]]</f>
        <v>0</v>
      </c>
      <c r="J53" s="42">
        <f>DPImpostos[[#This Row],[SEPT]] - DRImpostos[[#This Row],[SEPT]]</f>
        <v>0</v>
      </c>
      <c r="K53" s="42">
        <f>DPImpostos[[#This Row],[OCT]] - DRImpostos[[#This Row],[OCT]]</f>
        <v>0</v>
      </c>
      <c r="L53" s="42">
        <f>DPImpostos[[#This Row],[NOV]] - DRImpostos[[#This Row],[NOV]]</f>
        <v>0</v>
      </c>
      <c r="M53" s="42">
        <f>DPImpostos[[#This Row],[DÉC]] - DRImpostos[[#This Row],[DÉC]]</f>
        <v>0</v>
      </c>
      <c r="N53" s="43">
        <f>SUM(B53:M53)</f>
        <v>0</v>
      </c>
    </row>
    <row r="54" spans="1:14" ht="25.15" customHeight="1" thickBot="1" x14ac:dyDescent="0.45">
      <c r="A54" s="40" t="s">
        <v>38</v>
      </c>
      <c r="B54" s="42">
        <f>DPImpostos[[#This Row],[JANV]] - DRImpostos[[#This Row],[JANV]]</f>
        <v>3.5</v>
      </c>
      <c r="C54" s="42">
        <f>DPImpostos[[#This Row],[FÉVR]] - DRImpostos[[#This Row],[FÉVR]]</f>
        <v>3.5</v>
      </c>
      <c r="D54" s="42">
        <f>DPImpostos[[#This Row],[MARS]] - DRImpostos[[#This Row],[MARS]]</f>
        <v>3.5</v>
      </c>
      <c r="E54" s="42">
        <f>DPImpostos[[#This Row],[AVR]] - DRImpostos[[#This Row],[AVR]]</f>
        <v>3.5</v>
      </c>
      <c r="F54" s="42">
        <f>DPImpostos[[#This Row],[MAI]] - DRImpostos[[#This Row],[MAI]]</f>
        <v>3.5</v>
      </c>
      <c r="G54" s="42">
        <f>DPImpostos[[#This Row],[JUIN]] - DRImpostos[[#This Row],[JUIN]]</f>
        <v>3.5</v>
      </c>
      <c r="H54" s="42">
        <f>DPImpostos[[#This Row],[JUIL]] - DRImpostos[[#This Row],[JUIL]]</f>
        <v>3.5</v>
      </c>
      <c r="I54" s="42">
        <f>DPImpostos[[#This Row],[AOÛT]] - DRImpostos[[#This Row],[AOÛT]]</f>
        <v>3.5</v>
      </c>
      <c r="J54" s="42">
        <f>DPImpostos[[#This Row],[SEPT]] - DRImpostos[[#This Row],[SEPT]]</f>
        <v>3.5</v>
      </c>
      <c r="K54" s="42">
        <f>DPImpostos[[#This Row],[OCT]] - DRImpostos[[#This Row],[OCT]]</f>
        <v>3.5</v>
      </c>
      <c r="L54" s="42">
        <f>DPImpostos[[#This Row],[NOV]] - DRImpostos[[#This Row],[NOV]]</f>
        <v>3.5</v>
      </c>
      <c r="M54" s="42">
        <f>DPImpostos[[#This Row],[DÉC]] - DRImpostos[[#This Row],[DÉC]]</f>
        <v>3.5</v>
      </c>
      <c r="N54" s="43">
        <f>SUM(B54:M54)</f>
        <v>42</v>
      </c>
    </row>
    <row r="55" spans="1:14" ht="25.15" customHeight="1" x14ac:dyDescent="0.4">
      <c r="A55" s="25" t="s">
        <v>113</v>
      </c>
      <c r="B55" s="43">
        <f>SUBTOTAL(109,Impostos52[JANV])</f>
        <v>17.600000000000023</v>
      </c>
      <c r="C55" s="43">
        <f>SUBTOTAL(109,Impostos52[FÉVR])</f>
        <v>313.5</v>
      </c>
      <c r="D55" s="43">
        <f>SUBTOTAL(109,Impostos52[MARS])</f>
        <v>313.5</v>
      </c>
      <c r="E55" s="43">
        <f>SUBTOTAL(109,Impostos52[AVR])</f>
        <v>313.5</v>
      </c>
      <c r="F55" s="43">
        <f>SUBTOTAL(109,Impostos52[MAI])</f>
        <v>313.5</v>
      </c>
      <c r="G55" s="43">
        <f>SUBTOTAL(109,Impostos52[JUIN])</f>
        <v>313.5</v>
      </c>
      <c r="H55" s="43">
        <f>SUBTOTAL(109,Impostos52[JUIL])</f>
        <v>313.5</v>
      </c>
      <c r="I55" s="43">
        <f>SUBTOTAL(109,Impostos52[AOÛT])</f>
        <v>313.5</v>
      </c>
      <c r="J55" s="43">
        <f>SUBTOTAL(109,Impostos52[SEPT])</f>
        <v>313.5</v>
      </c>
      <c r="K55" s="43">
        <f>SUBTOTAL(109,Impostos52[OCT])</f>
        <v>313.5</v>
      </c>
      <c r="L55" s="43">
        <f>SUBTOTAL(109,Impostos52[NOV])</f>
        <v>313.5</v>
      </c>
      <c r="M55" s="43">
        <f>SUBTOTAL(109,Impostos52[DÉC])</f>
        <v>313.5</v>
      </c>
      <c r="N55" s="43">
        <f>SUBTOTAL(109,Impostos52[ANNÉE])</f>
        <v>3466.1</v>
      </c>
    </row>
    <row r="56" spans="1:14" ht="25.15" customHeight="1" x14ac:dyDescent="0.4">
      <c r="A56" s="31"/>
      <c r="B56" s="31"/>
      <c r="C56" s="31"/>
      <c r="D56" s="31"/>
      <c r="E56" s="31"/>
      <c r="F56" s="31"/>
      <c r="G56" s="31"/>
      <c r="H56" s="31"/>
      <c r="I56" s="31"/>
      <c r="J56" s="31"/>
      <c r="K56" s="31"/>
      <c r="L56" s="31"/>
      <c r="M56" s="31"/>
      <c r="N56" s="31"/>
    </row>
    <row r="57" spans="1:14" ht="25.15" customHeight="1" thickBot="1" x14ac:dyDescent="0.45">
      <c r="A57" s="17" t="s">
        <v>147</v>
      </c>
      <c r="B57" s="215" t="s">
        <v>99</v>
      </c>
      <c r="C57" s="216" t="s">
        <v>100</v>
      </c>
      <c r="D57" s="216" t="s">
        <v>101</v>
      </c>
      <c r="E57" s="216" t="s">
        <v>102</v>
      </c>
      <c r="F57" s="216" t="s">
        <v>103</v>
      </c>
      <c r="G57" s="216" t="s">
        <v>104</v>
      </c>
      <c r="H57" s="216" t="s">
        <v>105</v>
      </c>
      <c r="I57" s="216" t="s">
        <v>106</v>
      </c>
      <c r="J57" s="216" t="s">
        <v>107</v>
      </c>
      <c r="K57" s="216" t="s">
        <v>108</v>
      </c>
      <c r="L57" s="216" t="s">
        <v>109</v>
      </c>
      <c r="M57" s="216" t="s">
        <v>110</v>
      </c>
      <c r="N57" s="217" t="s">
        <v>111</v>
      </c>
    </row>
    <row r="58" spans="1:14" ht="25.15" customHeight="1" thickBot="1" x14ac:dyDescent="0.45">
      <c r="A58" s="40" t="s">
        <v>40</v>
      </c>
      <c r="B58" s="42">
        <f>DPLazer[[#This Row],[JANV]] - DRLazer[[#This Row],[JANV]]</f>
        <v>20</v>
      </c>
      <c r="C58" s="42">
        <f>DPLazer[[#This Row],[FÉVR]] - DRLazer[[#This Row],[FÉVR]]</f>
        <v>20</v>
      </c>
      <c r="D58" s="42">
        <f>DPLazer[[#This Row],[MARS]] - DRLazer[[#This Row],[MARS]]</f>
        <v>20</v>
      </c>
      <c r="E58" s="42">
        <f>DPLazer[[#This Row],[AVR]] - DRLazer[[#This Row],[AVR]]</f>
        <v>20</v>
      </c>
      <c r="F58" s="42">
        <f>DPLazer[[#This Row],[MAI]] - DRLazer[[#This Row],[MAI]]</f>
        <v>20</v>
      </c>
      <c r="G58" s="42">
        <f>DPLazer[[#This Row],[JUIN]] - DRLazer[[#This Row],[JUIN]]</f>
        <v>20</v>
      </c>
      <c r="H58" s="42">
        <f>DPLazer[[#This Row],[JUIL]] - DRLazer[[#This Row],[JUIL]]</f>
        <v>20</v>
      </c>
      <c r="I58" s="42">
        <f>DPLazer[[#This Row],[AOÛT]] - DRLazer[[#This Row],[AOÛT]]</f>
        <v>20</v>
      </c>
      <c r="J58" s="42">
        <f>DPLazer[[#This Row],[SEPT]] - DRLazer[[#This Row],[SEPT]]</f>
        <v>20</v>
      </c>
      <c r="K58" s="42">
        <f>DPLazer[[#This Row],[OCT]] - DRLazer[[#This Row],[OCT]]</f>
        <v>20</v>
      </c>
      <c r="L58" s="42">
        <f>DPLazer[[#This Row],[NOV]] - DRLazer[[#This Row],[NOV]]</f>
        <v>20</v>
      </c>
      <c r="M58" s="42">
        <f>DPLazer[[#This Row],[DÉC]] - DRLazer[[#This Row],[DÉC]]</f>
        <v>20</v>
      </c>
      <c r="N58" s="43">
        <f t="shared" ref="N58:N64" si="0">SUM(B58:M58)</f>
        <v>240</v>
      </c>
    </row>
    <row r="59" spans="1:14" ht="25.15" customHeight="1" thickBot="1" x14ac:dyDescent="0.45">
      <c r="A59" s="40" t="s">
        <v>41</v>
      </c>
      <c r="B59" s="42">
        <f>DPLazer[[#This Row],[JANV]] - DRLazer[[#This Row],[JANV]]</f>
        <v>-246.27999999999997</v>
      </c>
      <c r="C59" s="42">
        <f>DPLazer[[#This Row],[FÉVR]] - DRLazer[[#This Row],[FÉVR]]</f>
        <v>110</v>
      </c>
      <c r="D59" s="42">
        <f>DPLazer[[#This Row],[MARS]] - DRLazer[[#This Row],[MARS]]</f>
        <v>110</v>
      </c>
      <c r="E59" s="42">
        <f>DPLazer[[#This Row],[AVR]] - DRLazer[[#This Row],[AVR]]</f>
        <v>110</v>
      </c>
      <c r="F59" s="42">
        <f>DPLazer[[#This Row],[MAI]] - DRLazer[[#This Row],[MAI]]</f>
        <v>110</v>
      </c>
      <c r="G59" s="42">
        <f>DPLazer[[#This Row],[JUIN]] - DRLazer[[#This Row],[JUIN]]</f>
        <v>110</v>
      </c>
      <c r="H59" s="42">
        <f>DPLazer[[#This Row],[JUIL]] - DRLazer[[#This Row],[JUIL]]</f>
        <v>110</v>
      </c>
      <c r="I59" s="42">
        <f>DPLazer[[#This Row],[AOÛT]] - DRLazer[[#This Row],[AOÛT]]</f>
        <v>110</v>
      </c>
      <c r="J59" s="42">
        <f>DPLazer[[#This Row],[SEPT]] - DRLazer[[#This Row],[SEPT]]</f>
        <v>110</v>
      </c>
      <c r="K59" s="42">
        <f>DPLazer[[#This Row],[OCT]] - DRLazer[[#This Row],[OCT]]</f>
        <v>110</v>
      </c>
      <c r="L59" s="42">
        <f>DPLazer[[#This Row],[NOV]] - DRLazer[[#This Row],[NOV]]</f>
        <v>110</v>
      </c>
      <c r="M59" s="42">
        <f>DPLazer[[#This Row],[DÉC]] - DRLazer[[#This Row],[DÉC]]</f>
        <v>110</v>
      </c>
      <c r="N59" s="43">
        <f t="shared" si="0"/>
        <v>963.72</v>
      </c>
    </row>
    <row r="60" spans="1:14" ht="25.15" customHeight="1" thickBot="1" x14ac:dyDescent="0.45">
      <c r="A60" s="40" t="s">
        <v>42</v>
      </c>
      <c r="B60" s="42">
        <f>DPLazer[[#This Row],[JANV]] - DRLazer[[#This Row],[JANV]]</f>
        <v>520</v>
      </c>
      <c r="C60" s="42">
        <f>DPLazer[[#This Row],[FÉVR]] - DRLazer[[#This Row],[FÉVR]]</f>
        <v>555</v>
      </c>
      <c r="D60" s="42">
        <f>DPLazer[[#This Row],[MARS]] - DRLazer[[#This Row],[MARS]]</f>
        <v>555</v>
      </c>
      <c r="E60" s="42">
        <f>DPLazer[[#This Row],[AVR]] - DRLazer[[#This Row],[AVR]]</f>
        <v>555</v>
      </c>
      <c r="F60" s="42">
        <f>DPLazer[[#This Row],[MAI]] - DRLazer[[#This Row],[MAI]]</f>
        <v>555</v>
      </c>
      <c r="G60" s="42">
        <f>DPLazer[[#This Row],[JUIN]] - DRLazer[[#This Row],[JUIN]]</f>
        <v>555</v>
      </c>
      <c r="H60" s="42">
        <f>DPLazer[[#This Row],[JUIL]] - DRLazer[[#This Row],[JUIL]]</f>
        <v>555</v>
      </c>
      <c r="I60" s="42">
        <f>DPLazer[[#This Row],[AOÛT]] - DRLazer[[#This Row],[AOÛT]]</f>
        <v>555</v>
      </c>
      <c r="J60" s="42">
        <f>DPLazer[[#This Row],[SEPT]] - DRLazer[[#This Row],[SEPT]]</f>
        <v>555</v>
      </c>
      <c r="K60" s="42">
        <f>DPLazer[[#This Row],[OCT]] - DRLazer[[#This Row],[OCT]]</f>
        <v>555</v>
      </c>
      <c r="L60" s="42">
        <f>DPLazer[[#This Row],[NOV]] - DRLazer[[#This Row],[NOV]]</f>
        <v>555</v>
      </c>
      <c r="M60" s="42">
        <f>DPLazer[[#This Row],[DÉC]] - DRLazer[[#This Row],[DÉC]]</f>
        <v>555</v>
      </c>
      <c r="N60" s="43">
        <f t="shared" si="0"/>
        <v>6625</v>
      </c>
    </row>
    <row r="61" spans="1:14" ht="25.15" customHeight="1" thickBot="1" x14ac:dyDescent="0.45">
      <c r="A61" s="40" t="s">
        <v>43</v>
      </c>
      <c r="B61" s="42">
        <f>DPLazer[[#This Row],[JANV]] - DRLazer[[#This Row],[JANV]]</f>
        <v>17</v>
      </c>
      <c r="C61" s="42">
        <f>DPLazer[[#This Row],[FÉVR]] - DRLazer[[#This Row],[FÉVR]]</f>
        <v>17</v>
      </c>
      <c r="D61" s="42">
        <f>DPLazer[[#This Row],[MARS]] - DRLazer[[#This Row],[MARS]]</f>
        <v>17</v>
      </c>
      <c r="E61" s="42">
        <f>DPLazer[[#This Row],[AVR]] - DRLazer[[#This Row],[AVR]]</f>
        <v>17</v>
      </c>
      <c r="F61" s="42">
        <f>DPLazer[[#This Row],[MAI]] - DRLazer[[#This Row],[MAI]]</f>
        <v>17</v>
      </c>
      <c r="G61" s="42">
        <f>DPLazer[[#This Row],[JUIN]] - DRLazer[[#This Row],[JUIN]]</f>
        <v>17</v>
      </c>
      <c r="H61" s="42">
        <f>DPLazer[[#This Row],[JUIL]] - DRLazer[[#This Row],[JUIL]]</f>
        <v>17</v>
      </c>
      <c r="I61" s="42">
        <f>DPLazer[[#This Row],[AOÛT]] - DRLazer[[#This Row],[AOÛT]]</f>
        <v>17</v>
      </c>
      <c r="J61" s="42">
        <f>DPLazer[[#This Row],[SEPT]] - DRLazer[[#This Row],[SEPT]]</f>
        <v>17</v>
      </c>
      <c r="K61" s="42">
        <f>DPLazer[[#This Row],[OCT]] - DRLazer[[#This Row],[OCT]]</f>
        <v>17</v>
      </c>
      <c r="L61" s="42">
        <f>DPLazer[[#This Row],[NOV]] - DRLazer[[#This Row],[NOV]]</f>
        <v>17</v>
      </c>
      <c r="M61" s="42">
        <f>DPLazer[[#This Row],[DÉC]] - DRLazer[[#This Row],[DÉC]]</f>
        <v>17</v>
      </c>
      <c r="N61" s="43">
        <f t="shared" si="0"/>
        <v>204</v>
      </c>
    </row>
    <row r="62" spans="1:14" ht="25.15" customHeight="1" thickBot="1" x14ac:dyDescent="0.45">
      <c r="A62" s="40" t="s">
        <v>44</v>
      </c>
      <c r="B62" s="42">
        <f>DPLazer[[#This Row],[JANV]] - DRLazer[[#This Row],[JANV]]</f>
        <v>0.10000000000000142</v>
      </c>
      <c r="C62" s="42">
        <f>DPLazer[[#This Row],[FÉVR]] - DRLazer[[#This Row],[FÉVR]]</f>
        <v>40</v>
      </c>
      <c r="D62" s="42">
        <f>DPLazer[[#This Row],[MARS]] - DRLazer[[#This Row],[MARS]]</f>
        <v>40</v>
      </c>
      <c r="E62" s="42">
        <f>DPLazer[[#This Row],[AVR]] - DRLazer[[#This Row],[AVR]]</f>
        <v>40</v>
      </c>
      <c r="F62" s="42">
        <f>DPLazer[[#This Row],[MAI]] - DRLazer[[#This Row],[MAI]]</f>
        <v>40</v>
      </c>
      <c r="G62" s="42">
        <f>DPLazer[[#This Row],[JUIN]] - DRLazer[[#This Row],[JUIN]]</f>
        <v>40</v>
      </c>
      <c r="H62" s="42">
        <f>DPLazer[[#This Row],[JUIL]] - DRLazer[[#This Row],[JUIL]]</f>
        <v>40</v>
      </c>
      <c r="I62" s="42">
        <f>DPLazer[[#This Row],[AOÛT]] - DRLazer[[#This Row],[AOÛT]]</f>
        <v>40</v>
      </c>
      <c r="J62" s="42">
        <f>DPLazer[[#This Row],[SEPT]] - DRLazer[[#This Row],[SEPT]]</f>
        <v>40</v>
      </c>
      <c r="K62" s="42">
        <f>DPLazer[[#This Row],[OCT]] - DRLazer[[#This Row],[OCT]]</f>
        <v>40</v>
      </c>
      <c r="L62" s="42">
        <f>DPLazer[[#This Row],[NOV]] - DRLazer[[#This Row],[NOV]]</f>
        <v>40</v>
      </c>
      <c r="M62" s="42">
        <f>DPLazer[[#This Row],[DÉC]] - DRLazer[[#This Row],[DÉC]]</f>
        <v>40</v>
      </c>
      <c r="N62" s="43">
        <f t="shared" si="0"/>
        <v>440.1</v>
      </c>
    </row>
    <row r="63" spans="1:14" ht="25.15" customHeight="1" thickBot="1" x14ac:dyDescent="0.45">
      <c r="A63" s="40" t="s">
        <v>45</v>
      </c>
      <c r="B63" s="42">
        <f>DPLazer[[#This Row],[JANV]] - DRLazer[[#This Row],[JANV]]</f>
        <v>66</v>
      </c>
      <c r="C63" s="42">
        <f>DPLazer[[#This Row],[FÉVR]] - DRLazer[[#This Row],[FÉVR]]</f>
        <v>66</v>
      </c>
      <c r="D63" s="42">
        <f>DPLazer[[#This Row],[MARS]] - DRLazer[[#This Row],[MARS]]</f>
        <v>66</v>
      </c>
      <c r="E63" s="42">
        <f>DPLazer[[#This Row],[AVR]] - DRLazer[[#This Row],[AVR]]</f>
        <v>66</v>
      </c>
      <c r="F63" s="42">
        <f>DPLazer[[#This Row],[MAI]] - DRLazer[[#This Row],[MAI]]</f>
        <v>66</v>
      </c>
      <c r="G63" s="42">
        <f>DPLazer[[#This Row],[JUIN]] - DRLazer[[#This Row],[JUIN]]</f>
        <v>66</v>
      </c>
      <c r="H63" s="42">
        <f>DPLazer[[#This Row],[JUIL]] - DRLazer[[#This Row],[JUIL]]</f>
        <v>66</v>
      </c>
      <c r="I63" s="42">
        <f>DPLazer[[#This Row],[AOÛT]] - DRLazer[[#This Row],[AOÛT]]</f>
        <v>66</v>
      </c>
      <c r="J63" s="42">
        <f>DPLazer[[#This Row],[SEPT]] - DRLazer[[#This Row],[SEPT]]</f>
        <v>66</v>
      </c>
      <c r="K63" s="42">
        <f>DPLazer[[#This Row],[OCT]] - DRLazer[[#This Row],[OCT]]</f>
        <v>66</v>
      </c>
      <c r="L63" s="42">
        <f>DPLazer[[#This Row],[NOV]] - DRLazer[[#This Row],[NOV]]</f>
        <v>66</v>
      </c>
      <c r="M63" s="42">
        <f>DPLazer[[#This Row],[DÉC]] - DRLazer[[#This Row],[DÉC]]</f>
        <v>66</v>
      </c>
      <c r="N63" s="43">
        <f t="shared" si="0"/>
        <v>792</v>
      </c>
    </row>
    <row r="64" spans="1:14" s="1" customFormat="1" ht="21" customHeight="1" thickBot="1" x14ac:dyDescent="0.45">
      <c r="A64" s="40" t="s">
        <v>46</v>
      </c>
      <c r="B64" s="42">
        <f>DPLazer[[#This Row],[JANV]] - DRLazer[[#This Row],[JANV]]</f>
        <v>-0.89000000000000057</v>
      </c>
      <c r="C64" s="42">
        <f>DPLazer[[#This Row],[FÉVR]] - DRLazer[[#This Row],[FÉVR]]</f>
        <v>32</v>
      </c>
      <c r="D64" s="42">
        <f>DPLazer[[#This Row],[MARS]] - DRLazer[[#This Row],[MARS]]</f>
        <v>32</v>
      </c>
      <c r="E64" s="42">
        <f>DPLazer[[#This Row],[AVR]] - DRLazer[[#This Row],[AVR]]</f>
        <v>32</v>
      </c>
      <c r="F64" s="42">
        <f>DPLazer[[#This Row],[MAI]] - DRLazer[[#This Row],[MAI]]</f>
        <v>32</v>
      </c>
      <c r="G64" s="42">
        <f>DPLazer[[#This Row],[JUIN]] - DRLazer[[#This Row],[JUIN]]</f>
        <v>32</v>
      </c>
      <c r="H64" s="42">
        <f>DPLazer[[#This Row],[JUIL]] - DRLazer[[#This Row],[JUIL]]</f>
        <v>32</v>
      </c>
      <c r="I64" s="42">
        <f>DPLazer[[#This Row],[AOÛT]] - DRLazer[[#This Row],[AOÛT]]</f>
        <v>32</v>
      </c>
      <c r="J64" s="42">
        <f>DPLazer[[#This Row],[SEPT]] - DRLazer[[#This Row],[SEPT]]</f>
        <v>32</v>
      </c>
      <c r="K64" s="42">
        <f>DPLazer[[#This Row],[OCT]] - DRLazer[[#This Row],[OCT]]</f>
        <v>32</v>
      </c>
      <c r="L64" s="42">
        <f>DPLazer[[#This Row],[NOV]] - DRLazer[[#This Row],[NOV]]</f>
        <v>32</v>
      </c>
      <c r="M64" s="42">
        <f>DPLazer[[#This Row],[DÉC]] - DRLazer[[#This Row],[DÉC]]</f>
        <v>32</v>
      </c>
      <c r="N64" s="43">
        <f t="shared" si="0"/>
        <v>351.11</v>
      </c>
    </row>
    <row r="65" spans="1:14" ht="25.15" customHeight="1" x14ac:dyDescent="0.4">
      <c r="A65" s="26" t="s">
        <v>113</v>
      </c>
      <c r="B65" s="43">
        <f>SUBTOTAL(109,Lazer53[JANV])</f>
        <v>375.93000000000006</v>
      </c>
      <c r="C65" s="43">
        <f>SUBTOTAL(109,Lazer53[FÉVR])</f>
        <v>840</v>
      </c>
      <c r="D65" s="43">
        <f>SUBTOTAL(109,Lazer53[MARS])</f>
        <v>840</v>
      </c>
      <c r="E65" s="43">
        <f>SUBTOTAL(109,Lazer53[AVR])</f>
        <v>840</v>
      </c>
      <c r="F65" s="43">
        <f>SUBTOTAL(109,Lazer53[MAI])</f>
        <v>840</v>
      </c>
      <c r="G65" s="43">
        <f>SUBTOTAL(109,Lazer53[JUIN])</f>
        <v>840</v>
      </c>
      <c r="H65" s="43">
        <f>SUBTOTAL(109,Lazer53[JUIL])</f>
        <v>840</v>
      </c>
      <c r="I65" s="43">
        <f>SUBTOTAL(109,Lazer53[AOÛT])</f>
        <v>840</v>
      </c>
      <c r="J65" s="43">
        <f>SUBTOTAL(109,Lazer53[SEPT])</f>
        <v>840</v>
      </c>
      <c r="K65" s="43">
        <f>SUBTOTAL(109,Lazer53[OCT])</f>
        <v>840</v>
      </c>
      <c r="L65" s="43">
        <f>SUBTOTAL(109,Lazer53[NOV])</f>
        <v>840</v>
      </c>
      <c r="M65" s="43">
        <f>SUBTOTAL(109,Lazer53[DÉC])</f>
        <v>840</v>
      </c>
      <c r="N65" s="43">
        <f>SUBTOTAL(109,Lazer53[ANNÉE])</f>
        <v>9615.93</v>
      </c>
    </row>
    <row r="66" spans="1:14" ht="25.15" customHeight="1" x14ac:dyDescent="0.4">
      <c r="A66" s="31"/>
      <c r="B66" s="31"/>
      <c r="C66" s="36"/>
      <c r="D66" s="36"/>
      <c r="E66" s="36"/>
      <c r="F66" s="36"/>
      <c r="G66" s="36"/>
      <c r="H66" s="36"/>
      <c r="I66" s="36"/>
      <c r="J66" s="36"/>
      <c r="K66" s="36"/>
      <c r="L66" s="36"/>
      <c r="M66" s="36"/>
      <c r="N66" s="37"/>
    </row>
    <row r="67" spans="1:14" ht="25.15" customHeight="1" thickBot="1" x14ac:dyDescent="0.45">
      <c r="A67" s="17" t="s">
        <v>47</v>
      </c>
      <c r="B67" s="215" t="s">
        <v>99</v>
      </c>
      <c r="C67" s="216" t="s">
        <v>100</v>
      </c>
      <c r="D67" s="216" t="s">
        <v>101</v>
      </c>
      <c r="E67" s="216" t="s">
        <v>102</v>
      </c>
      <c r="F67" s="216" t="s">
        <v>103</v>
      </c>
      <c r="G67" s="216" t="s">
        <v>104</v>
      </c>
      <c r="H67" s="216" t="s">
        <v>105</v>
      </c>
      <c r="I67" s="216" t="s">
        <v>106</v>
      </c>
      <c r="J67" s="216" t="s">
        <v>107</v>
      </c>
      <c r="K67" s="216" t="s">
        <v>108</v>
      </c>
      <c r="L67" s="216" t="s">
        <v>109</v>
      </c>
      <c r="M67" s="216" t="s">
        <v>110</v>
      </c>
      <c r="N67" s="217" t="s">
        <v>111</v>
      </c>
    </row>
    <row r="68" spans="1:14" ht="25.15" customHeight="1" thickBot="1" x14ac:dyDescent="0.45">
      <c r="A68" s="40" t="s">
        <v>48</v>
      </c>
      <c r="B68" s="42">
        <f>DPManutencaoCasa[[#This Row],[JANV]] - ManutencaoCasa[[#This Row],[JANV]]</f>
        <v>75</v>
      </c>
      <c r="C68" s="42">
        <f>DPManutencaoCasa[[#This Row],[FÉVR]] - ManutencaoCasa[[#This Row],[FÉVR]]</f>
        <v>75</v>
      </c>
      <c r="D68" s="42">
        <f>DPManutencaoCasa[[#This Row],[MARS]] - ManutencaoCasa[[#This Row],[MARS]]</f>
        <v>75</v>
      </c>
      <c r="E68" s="42">
        <f>DPManutencaoCasa[[#This Row],[AVR]] - ManutencaoCasa[[#This Row],[AVR]]</f>
        <v>75</v>
      </c>
      <c r="F68" s="42">
        <f>DPManutencaoCasa[[#This Row],[MAI]] - ManutencaoCasa[[#This Row],[MAI]]</f>
        <v>75</v>
      </c>
      <c r="G68" s="42">
        <f>DPManutencaoCasa[[#This Row],[JUIN]] - ManutencaoCasa[[#This Row],[JUIN]]</f>
        <v>75</v>
      </c>
      <c r="H68" s="42">
        <f>DPManutencaoCasa[[#This Row],[JUIL]] - ManutencaoCasa[[#This Row],[JUIL]]</f>
        <v>75</v>
      </c>
      <c r="I68" s="42">
        <f>DPManutencaoCasa[[#This Row],[AOÛT]] - ManutencaoCasa[[#This Row],[AOÛT]]</f>
        <v>75</v>
      </c>
      <c r="J68" s="42">
        <f>DPManutencaoCasa[[#This Row],[SEPT]] - ManutencaoCasa[[#This Row],[SEPT]]</f>
        <v>75</v>
      </c>
      <c r="K68" s="42">
        <f>DPManutencaoCasa[[#This Row],[OCT]] - ManutencaoCasa[[#This Row],[OCT]]</f>
        <v>75</v>
      </c>
      <c r="L68" s="42">
        <f>DPManutencaoCasa[[#This Row],[NOV]] - ManutencaoCasa[[#This Row],[NOV]]</f>
        <v>75</v>
      </c>
      <c r="M68" s="42">
        <f>DPManutencaoCasa[[#This Row],[DÉC]] - ManutencaoCasa[[#This Row],[DÉC]]</f>
        <v>75</v>
      </c>
      <c r="N68" s="43">
        <f t="shared" ref="N68:N78" si="1">SUM(B68:M68)</f>
        <v>900</v>
      </c>
    </row>
    <row r="69" spans="1:14" ht="25.15" customHeight="1" thickBot="1" x14ac:dyDescent="0.45">
      <c r="A69" s="40" t="s">
        <v>49</v>
      </c>
      <c r="B69" s="42">
        <f>DPManutencaoCasa[[#This Row],[JANV]] - ManutencaoCasa[[#This Row],[JANV]]</f>
        <v>40</v>
      </c>
      <c r="C69" s="42">
        <f>DPManutencaoCasa[[#This Row],[FÉVR]] - ManutencaoCasa[[#This Row],[FÉVR]]</f>
        <v>40</v>
      </c>
      <c r="D69" s="42">
        <f>DPManutencaoCasa[[#This Row],[MARS]] - ManutencaoCasa[[#This Row],[MARS]]</f>
        <v>40</v>
      </c>
      <c r="E69" s="42">
        <f>DPManutencaoCasa[[#This Row],[AVR]] - ManutencaoCasa[[#This Row],[AVR]]</f>
        <v>40</v>
      </c>
      <c r="F69" s="42">
        <f>DPManutencaoCasa[[#This Row],[MAI]] - ManutencaoCasa[[#This Row],[MAI]]</f>
        <v>40</v>
      </c>
      <c r="G69" s="42">
        <f>DPManutencaoCasa[[#This Row],[JUIN]] - ManutencaoCasa[[#This Row],[JUIN]]</f>
        <v>40</v>
      </c>
      <c r="H69" s="42">
        <f>DPManutencaoCasa[[#This Row],[JUIL]] - ManutencaoCasa[[#This Row],[JUIL]]</f>
        <v>40</v>
      </c>
      <c r="I69" s="42">
        <f>DPManutencaoCasa[[#This Row],[AOÛT]] - ManutencaoCasa[[#This Row],[AOÛT]]</f>
        <v>40</v>
      </c>
      <c r="J69" s="42">
        <f>DPManutencaoCasa[[#This Row],[SEPT]] - ManutencaoCasa[[#This Row],[SEPT]]</f>
        <v>40</v>
      </c>
      <c r="K69" s="42">
        <f>DPManutencaoCasa[[#This Row],[OCT]] - ManutencaoCasa[[#This Row],[OCT]]</f>
        <v>40</v>
      </c>
      <c r="L69" s="42">
        <f>DPManutencaoCasa[[#This Row],[NOV]] - ManutencaoCasa[[#This Row],[NOV]]</f>
        <v>40</v>
      </c>
      <c r="M69" s="42">
        <f>DPManutencaoCasa[[#This Row],[DÉC]] - ManutencaoCasa[[#This Row],[DÉC]]</f>
        <v>40</v>
      </c>
      <c r="N69" s="43">
        <f t="shared" si="1"/>
        <v>480</v>
      </c>
    </row>
    <row r="70" spans="1:14" ht="25.15" customHeight="1" thickBot="1" x14ac:dyDescent="0.45">
      <c r="A70" s="40" t="s">
        <v>50</v>
      </c>
      <c r="B70" s="42">
        <f>DPManutencaoCasa[[#This Row],[JANV]] - ManutencaoCasa[[#This Row],[JANV]]</f>
        <v>10</v>
      </c>
      <c r="C70" s="42">
        <f>DPManutencaoCasa[[#This Row],[FÉVR]] - ManutencaoCasa[[#This Row],[FÉVR]]</f>
        <v>10</v>
      </c>
      <c r="D70" s="42">
        <f>DPManutencaoCasa[[#This Row],[MARS]] - ManutencaoCasa[[#This Row],[MARS]]</f>
        <v>10</v>
      </c>
      <c r="E70" s="42">
        <f>DPManutencaoCasa[[#This Row],[AVR]] - ManutencaoCasa[[#This Row],[AVR]]</f>
        <v>10</v>
      </c>
      <c r="F70" s="42">
        <f>DPManutencaoCasa[[#This Row],[MAI]] - ManutencaoCasa[[#This Row],[MAI]]</f>
        <v>10</v>
      </c>
      <c r="G70" s="42">
        <f>DPManutencaoCasa[[#This Row],[JUIN]] - ManutencaoCasa[[#This Row],[JUIN]]</f>
        <v>10</v>
      </c>
      <c r="H70" s="42">
        <f>DPManutencaoCasa[[#This Row],[JUIL]] - ManutencaoCasa[[#This Row],[JUIL]]</f>
        <v>10</v>
      </c>
      <c r="I70" s="42">
        <f>DPManutencaoCasa[[#This Row],[AOÛT]] - ManutencaoCasa[[#This Row],[AOÛT]]</f>
        <v>10</v>
      </c>
      <c r="J70" s="42">
        <f>DPManutencaoCasa[[#This Row],[SEPT]] - ManutencaoCasa[[#This Row],[SEPT]]</f>
        <v>10</v>
      </c>
      <c r="K70" s="42">
        <f>DPManutencaoCasa[[#This Row],[OCT]] - ManutencaoCasa[[#This Row],[OCT]]</f>
        <v>10</v>
      </c>
      <c r="L70" s="42">
        <f>DPManutencaoCasa[[#This Row],[NOV]] - ManutencaoCasa[[#This Row],[NOV]]</f>
        <v>10</v>
      </c>
      <c r="M70" s="42">
        <f>DPManutencaoCasa[[#This Row],[DÉC]] - ManutencaoCasa[[#This Row],[DÉC]]</f>
        <v>10</v>
      </c>
      <c r="N70" s="43">
        <f t="shared" si="1"/>
        <v>120</v>
      </c>
    </row>
    <row r="71" spans="1:14" ht="25.15" customHeight="1" thickBot="1" x14ac:dyDescent="0.45">
      <c r="A71" s="40" t="s">
        <v>51</v>
      </c>
      <c r="B71" s="42">
        <f>DPManutencaoCasa[[#This Row],[JANV]] - ManutencaoCasa[[#This Row],[JANV]]</f>
        <v>0</v>
      </c>
      <c r="C71" s="42">
        <f>DPManutencaoCasa[[#This Row],[FÉVR]] - ManutencaoCasa[[#This Row],[FÉVR]]</f>
        <v>0</v>
      </c>
      <c r="D71" s="42">
        <f>DPManutencaoCasa[[#This Row],[MARS]] - ManutencaoCasa[[#This Row],[MARS]]</f>
        <v>0</v>
      </c>
      <c r="E71" s="42">
        <f>DPManutencaoCasa[[#This Row],[AVR]] - ManutencaoCasa[[#This Row],[AVR]]</f>
        <v>0</v>
      </c>
      <c r="F71" s="42">
        <f>DPManutencaoCasa[[#This Row],[MAI]] - ManutencaoCasa[[#This Row],[MAI]]</f>
        <v>0</v>
      </c>
      <c r="G71" s="42">
        <f>DPManutencaoCasa[[#This Row],[JUIN]] - ManutencaoCasa[[#This Row],[JUIN]]</f>
        <v>0</v>
      </c>
      <c r="H71" s="42">
        <f>DPManutencaoCasa[[#This Row],[JUIL]] - ManutencaoCasa[[#This Row],[JUIL]]</f>
        <v>0</v>
      </c>
      <c r="I71" s="42">
        <f>DPManutencaoCasa[[#This Row],[AOÛT]] - ManutencaoCasa[[#This Row],[AOÛT]]</f>
        <v>0</v>
      </c>
      <c r="J71" s="42">
        <f>DPManutencaoCasa[[#This Row],[SEPT]] - ManutencaoCasa[[#This Row],[SEPT]]</f>
        <v>0</v>
      </c>
      <c r="K71" s="42">
        <f>DPManutencaoCasa[[#This Row],[OCT]] - ManutencaoCasa[[#This Row],[OCT]]</f>
        <v>0</v>
      </c>
      <c r="L71" s="42">
        <f>DPManutencaoCasa[[#This Row],[NOV]] - ManutencaoCasa[[#This Row],[NOV]]</f>
        <v>0</v>
      </c>
      <c r="M71" s="42">
        <f>DPManutencaoCasa[[#This Row],[DÉC]] - ManutencaoCasa[[#This Row],[DÉC]]</f>
        <v>0</v>
      </c>
      <c r="N71" s="43">
        <f t="shared" si="1"/>
        <v>0</v>
      </c>
    </row>
    <row r="72" spans="1:14" ht="25.15" customHeight="1" thickBot="1" x14ac:dyDescent="0.45">
      <c r="A72" s="40" t="s">
        <v>52</v>
      </c>
      <c r="B72" s="42">
        <f>DPManutencaoCasa[[#This Row],[JANV]] - ManutencaoCasa[[#This Row],[JANV]]</f>
        <v>2500</v>
      </c>
      <c r="C72" s="42">
        <f>DPManutencaoCasa[[#This Row],[FÉVR]] - ManutencaoCasa[[#This Row],[FÉVR]]</f>
        <v>2500</v>
      </c>
      <c r="D72" s="42">
        <f>DPManutencaoCasa[[#This Row],[MARS]] - ManutencaoCasa[[#This Row],[MARS]]</f>
        <v>2500</v>
      </c>
      <c r="E72" s="42">
        <f>DPManutencaoCasa[[#This Row],[AVR]] - ManutencaoCasa[[#This Row],[AVR]]</f>
        <v>2500</v>
      </c>
      <c r="F72" s="42">
        <f>DPManutencaoCasa[[#This Row],[MAI]] - ManutencaoCasa[[#This Row],[MAI]]</f>
        <v>2500</v>
      </c>
      <c r="G72" s="42">
        <f>DPManutencaoCasa[[#This Row],[JUIN]] - ManutencaoCasa[[#This Row],[JUIN]]</f>
        <v>2500</v>
      </c>
      <c r="H72" s="42">
        <f>DPManutencaoCasa[[#This Row],[JUIL]] - ManutencaoCasa[[#This Row],[JUIL]]</f>
        <v>2500</v>
      </c>
      <c r="I72" s="42">
        <f>DPManutencaoCasa[[#This Row],[AOÛT]] - ManutencaoCasa[[#This Row],[AOÛT]]</f>
        <v>2500</v>
      </c>
      <c r="J72" s="42">
        <f>DPManutencaoCasa[[#This Row],[SEPT]] - ManutencaoCasa[[#This Row],[SEPT]]</f>
        <v>2500</v>
      </c>
      <c r="K72" s="42">
        <f>DPManutencaoCasa[[#This Row],[OCT]] - ManutencaoCasa[[#This Row],[OCT]]</f>
        <v>2500</v>
      </c>
      <c r="L72" s="42">
        <f>DPManutencaoCasa[[#This Row],[NOV]] - ManutencaoCasa[[#This Row],[NOV]]</f>
        <v>2500</v>
      </c>
      <c r="M72" s="42">
        <f>DPManutencaoCasa[[#This Row],[DÉC]] - ManutencaoCasa[[#This Row],[DÉC]]</f>
        <v>2500</v>
      </c>
      <c r="N72" s="43">
        <f t="shared" si="1"/>
        <v>30000</v>
      </c>
    </row>
    <row r="73" spans="1:14" ht="25.15" customHeight="1" thickBot="1" x14ac:dyDescent="0.45">
      <c r="A73" s="40" t="s">
        <v>53</v>
      </c>
      <c r="B73" s="42">
        <f>DPManutencaoCasa[[#This Row],[JANV]] - ManutencaoCasa[[#This Row],[JANV]]</f>
        <v>90</v>
      </c>
      <c r="C73" s="42">
        <f>DPManutencaoCasa[[#This Row],[FÉVR]] - ManutencaoCasa[[#This Row],[FÉVR]]</f>
        <v>600</v>
      </c>
      <c r="D73" s="42">
        <f>DPManutencaoCasa[[#This Row],[MARS]] - ManutencaoCasa[[#This Row],[MARS]]</f>
        <v>600</v>
      </c>
      <c r="E73" s="42">
        <f>DPManutencaoCasa[[#This Row],[AVR]] - ManutencaoCasa[[#This Row],[AVR]]</f>
        <v>600</v>
      </c>
      <c r="F73" s="42">
        <f>DPManutencaoCasa[[#This Row],[MAI]] - ManutencaoCasa[[#This Row],[MAI]]</f>
        <v>600</v>
      </c>
      <c r="G73" s="42">
        <f>DPManutencaoCasa[[#This Row],[JUIN]] - ManutencaoCasa[[#This Row],[JUIN]]</f>
        <v>600</v>
      </c>
      <c r="H73" s="42">
        <f>DPManutencaoCasa[[#This Row],[JUIL]] - ManutencaoCasa[[#This Row],[JUIL]]</f>
        <v>600</v>
      </c>
      <c r="I73" s="42">
        <f>DPManutencaoCasa[[#This Row],[AOÛT]] - ManutencaoCasa[[#This Row],[AOÛT]]</f>
        <v>600</v>
      </c>
      <c r="J73" s="42">
        <f>DPManutencaoCasa[[#This Row],[SEPT]] - ManutencaoCasa[[#This Row],[SEPT]]</f>
        <v>600</v>
      </c>
      <c r="K73" s="42">
        <f>DPManutencaoCasa[[#This Row],[OCT]] - ManutencaoCasa[[#This Row],[OCT]]</f>
        <v>600</v>
      </c>
      <c r="L73" s="42">
        <f>DPManutencaoCasa[[#This Row],[NOV]] - ManutencaoCasa[[#This Row],[NOV]]</f>
        <v>600</v>
      </c>
      <c r="M73" s="42">
        <f>DPManutencaoCasa[[#This Row],[DÉC]] - ManutencaoCasa[[#This Row],[DÉC]]</f>
        <v>600</v>
      </c>
      <c r="N73" s="43">
        <f t="shared" si="1"/>
        <v>6690</v>
      </c>
    </row>
    <row r="74" spans="1:14" ht="25.15" customHeight="1" thickBot="1" x14ac:dyDescent="0.45">
      <c r="A74" s="40" t="s">
        <v>54</v>
      </c>
      <c r="B74" s="42">
        <f>DPManutencaoCasa[[#This Row],[JANV]] - ManutencaoCasa[[#This Row],[JANV]]</f>
        <v>750</v>
      </c>
      <c r="C74" s="42">
        <f>DPManutencaoCasa[[#This Row],[FÉVR]] - ManutencaoCasa[[#This Row],[FÉVR]]</f>
        <v>750</v>
      </c>
      <c r="D74" s="42">
        <f>DPManutencaoCasa[[#This Row],[MARS]] - ManutencaoCasa[[#This Row],[MARS]]</f>
        <v>750</v>
      </c>
      <c r="E74" s="42">
        <f>DPManutencaoCasa[[#This Row],[AVR]] - ManutencaoCasa[[#This Row],[AVR]]</f>
        <v>750</v>
      </c>
      <c r="F74" s="42">
        <f>DPManutencaoCasa[[#This Row],[MAI]] - ManutencaoCasa[[#This Row],[MAI]]</f>
        <v>750</v>
      </c>
      <c r="G74" s="42">
        <f>DPManutencaoCasa[[#This Row],[JUIN]] - ManutencaoCasa[[#This Row],[JUIN]]</f>
        <v>750</v>
      </c>
      <c r="H74" s="42">
        <f>DPManutencaoCasa[[#This Row],[JUIL]] - ManutencaoCasa[[#This Row],[JUIL]]</f>
        <v>750</v>
      </c>
      <c r="I74" s="42">
        <f>DPManutencaoCasa[[#This Row],[AOÛT]] - ManutencaoCasa[[#This Row],[AOÛT]]</f>
        <v>750</v>
      </c>
      <c r="J74" s="42">
        <f>DPManutencaoCasa[[#This Row],[SEPT]] - ManutencaoCasa[[#This Row],[SEPT]]</f>
        <v>750</v>
      </c>
      <c r="K74" s="42">
        <f>DPManutencaoCasa[[#This Row],[OCT]] - ManutencaoCasa[[#This Row],[OCT]]</f>
        <v>750</v>
      </c>
      <c r="L74" s="42">
        <f>DPManutencaoCasa[[#This Row],[NOV]] - ManutencaoCasa[[#This Row],[NOV]]</f>
        <v>750</v>
      </c>
      <c r="M74" s="42">
        <f>DPManutencaoCasa[[#This Row],[DÉC]] - ManutencaoCasa[[#This Row],[DÉC]]</f>
        <v>750</v>
      </c>
      <c r="N74" s="57">
        <f t="shared" si="1"/>
        <v>9000</v>
      </c>
    </row>
    <row r="75" spans="1:14" ht="25.15" customHeight="1" thickBot="1" x14ac:dyDescent="0.45">
      <c r="A75" s="40" t="s">
        <v>55</v>
      </c>
      <c r="B75" s="42">
        <f>DPManutencaoCasa[[#This Row],[JANV]] - ManutencaoCasa[[#This Row],[JANV]]</f>
        <v>541.05999999999995</v>
      </c>
      <c r="C75" s="42">
        <f>DPManutencaoCasa[[#This Row],[FÉVR]] - ManutencaoCasa[[#This Row],[FÉVR]]</f>
        <v>1000</v>
      </c>
      <c r="D75" s="42">
        <f>DPManutencaoCasa[[#This Row],[MARS]] - ManutencaoCasa[[#This Row],[MARS]]</f>
        <v>1000</v>
      </c>
      <c r="E75" s="42">
        <f>DPManutencaoCasa[[#This Row],[AVR]] - ManutencaoCasa[[#This Row],[AVR]]</f>
        <v>1000</v>
      </c>
      <c r="F75" s="42">
        <f>DPManutencaoCasa[[#This Row],[MAI]] - ManutencaoCasa[[#This Row],[MAI]]</f>
        <v>1000</v>
      </c>
      <c r="G75" s="42">
        <f>DPManutencaoCasa[[#This Row],[JUIN]] - ManutencaoCasa[[#This Row],[JUIN]]</f>
        <v>1000</v>
      </c>
      <c r="H75" s="42">
        <f>DPManutencaoCasa[[#This Row],[JUIL]] - ManutencaoCasa[[#This Row],[JUIL]]</f>
        <v>1000</v>
      </c>
      <c r="I75" s="42">
        <f>DPManutencaoCasa[[#This Row],[AOÛT]] - ManutencaoCasa[[#This Row],[AOÛT]]</f>
        <v>1000</v>
      </c>
      <c r="J75" s="42">
        <f>DPManutencaoCasa[[#This Row],[SEPT]] - ManutencaoCasa[[#This Row],[SEPT]]</f>
        <v>1000</v>
      </c>
      <c r="K75" s="42">
        <f>DPManutencaoCasa[[#This Row],[OCT]] - ManutencaoCasa[[#This Row],[OCT]]</f>
        <v>1000</v>
      </c>
      <c r="L75" s="42">
        <f>DPManutencaoCasa[[#This Row],[NOV]] - ManutencaoCasa[[#This Row],[NOV]]</f>
        <v>1000</v>
      </c>
      <c r="M75" s="42">
        <f>DPManutencaoCasa[[#This Row],[DÉC]] - ManutencaoCasa[[#This Row],[DÉC]]</f>
        <v>1000</v>
      </c>
      <c r="N75" s="43">
        <f t="shared" si="1"/>
        <v>11541.06</v>
      </c>
    </row>
    <row r="76" spans="1:14" ht="25.15" customHeight="1" thickBot="1" x14ac:dyDescent="0.45">
      <c r="A76" s="40" t="s">
        <v>119</v>
      </c>
      <c r="B76" s="42">
        <f>DPManutencaoCasa[[#This Row],[JANV]] - ManutencaoCasa[[#This Row],[JANV]]</f>
        <v>-160</v>
      </c>
      <c r="C76" s="42">
        <f>DPManutencaoCasa[[#This Row],[FÉVR]] - ManutencaoCasa[[#This Row],[FÉVR]]</f>
        <v>160</v>
      </c>
      <c r="D76" s="42">
        <f>DPManutencaoCasa[[#This Row],[MARS]] - ManutencaoCasa[[#This Row],[MARS]]</f>
        <v>160</v>
      </c>
      <c r="E76" s="42">
        <f>DPManutencaoCasa[[#This Row],[AVR]] - ManutencaoCasa[[#This Row],[AVR]]</f>
        <v>160</v>
      </c>
      <c r="F76" s="42">
        <f>DPManutencaoCasa[[#This Row],[MAI]] - ManutencaoCasa[[#This Row],[MAI]]</f>
        <v>160</v>
      </c>
      <c r="G76" s="42">
        <f>DPManutencaoCasa[[#This Row],[JUIN]] - ManutencaoCasa[[#This Row],[JUIN]]</f>
        <v>160</v>
      </c>
      <c r="H76" s="42">
        <f>DPManutencaoCasa[[#This Row],[JUIL]] - ManutencaoCasa[[#This Row],[JUIL]]</f>
        <v>160</v>
      </c>
      <c r="I76" s="42">
        <f>DPManutencaoCasa[[#This Row],[AOÛT]] - ManutencaoCasa[[#This Row],[AOÛT]]</f>
        <v>160</v>
      </c>
      <c r="J76" s="42">
        <f>DPManutencaoCasa[[#This Row],[SEPT]] - ManutencaoCasa[[#This Row],[SEPT]]</f>
        <v>160</v>
      </c>
      <c r="K76" s="42">
        <f>DPManutencaoCasa[[#This Row],[OCT]] - ManutencaoCasa[[#This Row],[OCT]]</f>
        <v>160</v>
      </c>
      <c r="L76" s="42">
        <f>DPManutencaoCasa[[#This Row],[NOV]] - ManutencaoCasa[[#This Row],[NOV]]</f>
        <v>160</v>
      </c>
      <c r="M76" s="42">
        <f>DPManutencaoCasa[[#This Row],[DÉC]] - ManutencaoCasa[[#This Row],[DÉC]]</f>
        <v>160</v>
      </c>
      <c r="N76" s="43">
        <f t="shared" si="1"/>
        <v>1600</v>
      </c>
    </row>
    <row r="77" spans="1:14" ht="21" customHeight="1" thickBot="1" x14ac:dyDescent="0.45">
      <c r="A77" s="40" t="s">
        <v>57</v>
      </c>
      <c r="B77" s="42">
        <f>DPManutencaoCasa[[#This Row],[JANV]] - ManutencaoCasa[[#This Row],[JANV]]</f>
        <v>600</v>
      </c>
      <c r="C77" s="42">
        <f>DPManutencaoCasa[[#This Row],[FÉVR]] - ManutencaoCasa[[#This Row],[FÉVR]]</f>
        <v>600</v>
      </c>
      <c r="D77" s="42">
        <f>DPManutencaoCasa[[#This Row],[MARS]] - ManutencaoCasa[[#This Row],[MARS]]</f>
        <v>600</v>
      </c>
      <c r="E77" s="42">
        <f>DPManutencaoCasa[[#This Row],[AVR]] - ManutencaoCasa[[#This Row],[AVR]]</f>
        <v>600</v>
      </c>
      <c r="F77" s="42">
        <f>DPManutencaoCasa[[#This Row],[MAI]] - ManutencaoCasa[[#This Row],[MAI]]</f>
        <v>600</v>
      </c>
      <c r="G77" s="42">
        <f>DPManutencaoCasa[[#This Row],[JUIN]] - ManutencaoCasa[[#This Row],[JUIN]]</f>
        <v>600</v>
      </c>
      <c r="H77" s="42">
        <f>DPManutencaoCasa[[#This Row],[JUIL]] - ManutencaoCasa[[#This Row],[JUIL]]</f>
        <v>600</v>
      </c>
      <c r="I77" s="42">
        <f>DPManutencaoCasa[[#This Row],[AOÛT]] - ManutencaoCasa[[#This Row],[AOÛT]]</f>
        <v>600</v>
      </c>
      <c r="J77" s="42">
        <f>DPManutencaoCasa[[#This Row],[SEPT]] - ManutencaoCasa[[#This Row],[SEPT]]</f>
        <v>600</v>
      </c>
      <c r="K77" s="42">
        <f>DPManutencaoCasa[[#This Row],[OCT]] - ManutencaoCasa[[#This Row],[OCT]]</f>
        <v>600</v>
      </c>
      <c r="L77" s="42">
        <f>DPManutencaoCasa[[#This Row],[NOV]] - ManutencaoCasa[[#This Row],[NOV]]</f>
        <v>600</v>
      </c>
      <c r="M77" s="42">
        <f>DPManutencaoCasa[[#This Row],[DÉC]] - ManutencaoCasa[[#This Row],[DÉC]]</f>
        <v>600</v>
      </c>
      <c r="N77" s="214">
        <f t="shared" si="1"/>
        <v>7200</v>
      </c>
    </row>
    <row r="78" spans="1:14" ht="25.15" customHeight="1" thickBot="1" x14ac:dyDescent="0.45">
      <c r="A78" s="40" t="s">
        <v>58</v>
      </c>
      <c r="B78" s="42">
        <f>DPManutencaoCasa[[#This Row],[JANV]] - ManutencaoCasa[[#This Row],[JANV]]</f>
        <v>30</v>
      </c>
      <c r="C78" s="42">
        <f>DPManutencaoCasa[[#This Row],[FÉVR]] - ManutencaoCasa[[#This Row],[FÉVR]]</f>
        <v>30</v>
      </c>
      <c r="D78" s="42">
        <f>DPManutencaoCasa[[#This Row],[MARS]] - ManutencaoCasa[[#This Row],[MARS]]</f>
        <v>30</v>
      </c>
      <c r="E78" s="42">
        <f>DPManutencaoCasa[[#This Row],[AVR]] - ManutencaoCasa[[#This Row],[AVR]]</f>
        <v>30</v>
      </c>
      <c r="F78" s="42">
        <f>DPManutencaoCasa[[#This Row],[MAI]] - ManutencaoCasa[[#This Row],[MAI]]</f>
        <v>30</v>
      </c>
      <c r="G78" s="42">
        <f>DPManutencaoCasa[[#This Row],[JUIN]] - ManutencaoCasa[[#This Row],[JUIN]]</f>
        <v>30</v>
      </c>
      <c r="H78" s="42">
        <f>DPManutencaoCasa[[#This Row],[JUIL]] - ManutencaoCasa[[#This Row],[JUIL]]</f>
        <v>30</v>
      </c>
      <c r="I78" s="42">
        <f>DPManutencaoCasa[[#This Row],[AOÛT]] - ManutencaoCasa[[#This Row],[AOÛT]]</f>
        <v>30</v>
      </c>
      <c r="J78" s="42">
        <f>DPManutencaoCasa[[#This Row],[SEPT]] - ManutencaoCasa[[#This Row],[SEPT]]</f>
        <v>30</v>
      </c>
      <c r="K78" s="42">
        <f>DPManutencaoCasa[[#This Row],[OCT]] - ManutencaoCasa[[#This Row],[OCT]]</f>
        <v>30</v>
      </c>
      <c r="L78" s="42">
        <f>DPManutencaoCasa[[#This Row],[NOV]] - ManutencaoCasa[[#This Row],[NOV]]</f>
        <v>30</v>
      </c>
      <c r="M78" s="42">
        <f>DPManutencaoCasa[[#This Row],[DÉC]] - ManutencaoCasa[[#This Row],[DÉC]]</f>
        <v>30</v>
      </c>
      <c r="N78" s="43">
        <f t="shared" si="1"/>
        <v>360</v>
      </c>
    </row>
    <row r="79" spans="1:14" ht="25.15" customHeight="1" x14ac:dyDescent="0.4">
      <c r="A79" s="26" t="s">
        <v>113</v>
      </c>
      <c r="B79" s="43">
        <f>SUBTOTAL(109,ManutencaoCasa2[JANV])</f>
        <v>4476.0599999999995</v>
      </c>
      <c r="C79" s="43">
        <f>SUBTOTAL(109,ManutencaoCasa2[FÉVR])</f>
        <v>5765</v>
      </c>
      <c r="D79" s="43">
        <f>SUBTOTAL(109,ManutencaoCasa2[MARS])</f>
        <v>5765</v>
      </c>
      <c r="E79" s="43">
        <f>SUBTOTAL(109,ManutencaoCasa2[AVR])</f>
        <v>5765</v>
      </c>
      <c r="F79" s="43">
        <f>SUBTOTAL(109,ManutencaoCasa2[MAI])</f>
        <v>5765</v>
      </c>
      <c r="G79" s="43">
        <f>SUBTOTAL(109,ManutencaoCasa2[JUIN])</f>
        <v>5765</v>
      </c>
      <c r="H79" s="43">
        <f>SUBTOTAL(109,ManutencaoCasa2[JUIL])</f>
        <v>5765</v>
      </c>
      <c r="I79" s="43">
        <f>SUBTOTAL(109,ManutencaoCasa2[AOÛT])</f>
        <v>5765</v>
      </c>
      <c r="J79" s="43">
        <f>SUBTOTAL(109,ManutencaoCasa2[SEPT])</f>
        <v>5765</v>
      </c>
      <c r="K79" s="43">
        <f>SUBTOTAL(109,ManutencaoCasa2[OCT])</f>
        <v>5765</v>
      </c>
      <c r="L79" s="43">
        <f>SUBTOTAL(109,ManutencaoCasa2[NOV])</f>
        <v>5765</v>
      </c>
      <c r="M79" s="43">
        <f>SUBTOTAL(109,ManutencaoCasa2[DÉC])</f>
        <v>5765</v>
      </c>
      <c r="N79" s="43">
        <f>SUBTOTAL(109,ManutencaoCasa2[ANNÉE])</f>
        <v>67891.06</v>
      </c>
    </row>
    <row r="80" spans="1:14" ht="25.15" customHeight="1" x14ac:dyDescent="0.4">
      <c r="A80" s="32"/>
      <c r="B80" s="32"/>
      <c r="C80" s="36"/>
      <c r="D80" s="36"/>
      <c r="E80" s="38"/>
      <c r="F80" s="38"/>
      <c r="G80" s="38"/>
      <c r="H80" s="38"/>
      <c r="I80" s="38"/>
      <c r="J80" s="38"/>
      <c r="K80" s="38"/>
      <c r="L80" s="38"/>
      <c r="M80" s="38"/>
      <c r="N80" s="37"/>
    </row>
    <row r="81" spans="1:14" ht="25.15" customHeight="1" thickBot="1" x14ac:dyDescent="0.45">
      <c r="A81" s="17" t="s">
        <v>59</v>
      </c>
      <c r="B81" s="215" t="s">
        <v>99</v>
      </c>
      <c r="C81" s="216" t="s">
        <v>100</v>
      </c>
      <c r="D81" s="216" t="s">
        <v>101</v>
      </c>
      <c r="E81" s="216" t="s">
        <v>102</v>
      </c>
      <c r="F81" s="216" t="s">
        <v>103</v>
      </c>
      <c r="G81" s="216" t="s">
        <v>104</v>
      </c>
      <c r="H81" s="216" t="s">
        <v>105</v>
      </c>
      <c r="I81" s="216" t="s">
        <v>106</v>
      </c>
      <c r="J81" s="216" t="s">
        <v>107</v>
      </c>
      <c r="K81" s="216" t="s">
        <v>108</v>
      </c>
      <c r="L81" s="216" t="s">
        <v>109</v>
      </c>
      <c r="M81" s="216" t="s">
        <v>110</v>
      </c>
      <c r="N81" s="217" t="s">
        <v>111</v>
      </c>
    </row>
    <row r="82" spans="1:14" ht="25.15" customHeight="1" thickBot="1" x14ac:dyDescent="0.45">
      <c r="A82" s="18" t="s">
        <v>61</v>
      </c>
      <c r="B82" s="42">
        <f>DPSeguros[[#This Row],[JANV]] - DRSeguros[[#This Row],[JANV]]</f>
        <v>-134.34000000000015</v>
      </c>
      <c r="C82" s="42">
        <f>DPSeguros[[#This Row],[FÉVR]] - DRSeguros[[#This Row],[FÉVR]]</f>
        <v>2000</v>
      </c>
      <c r="D82" s="42">
        <f>DPSeguros[[#This Row],[MARS]] - DRSeguros[[#This Row],[MARS]]</f>
        <v>2000</v>
      </c>
      <c r="E82" s="42">
        <f>DPSeguros[[#This Row],[AVR]] - DRSeguros[[#This Row],[AVR]]</f>
        <v>2000</v>
      </c>
      <c r="F82" s="42">
        <f>DPSeguros[[#This Row],[MAI]] - DRSeguros[[#This Row],[MAI]]</f>
        <v>2000</v>
      </c>
      <c r="G82" s="42">
        <f>DPSeguros[[#This Row],[JUIN]] - DRSeguros[[#This Row],[JUIN]]</f>
        <v>2000</v>
      </c>
      <c r="H82" s="42">
        <f>DPSeguros[[#This Row],[JUIL]] - DRSeguros[[#This Row],[JUIL]]</f>
        <v>2000</v>
      </c>
      <c r="I82" s="42">
        <f>DPSeguros[[#This Row],[AOÛT]] - DRSeguros[[#This Row],[AOÛT]]</f>
        <v>2000</v>
      </c>
      <c r="J82" s="42">
        <f>DPSeguros[[#This Row],[SEPT]] - DRSeguros[[#This Row],[SEPT]]</f>
        <v>2000</v>
      </c>
      <c r="K82" s="42">
        <f>DPSeguros[[#This Row],[OCT]] - DRSeguros[[#This Row],[OCT]]</f>
        <v>2000</v>
      </c>
      <c r="L82" s="42">
        <f>DPSeguros[[#This Row],[NOV]] - DRSeguros[[#This Row],[NOV]]</f>
        <v>2000</v>
      </c>
      <c r="M82" s="42">
        <f>DPSeguros[[#This Row],[DÉC]] - DRSeguros[[#This Row],[DÉC]]</f>
        <v>2000</v>
      </c>
      <c r="N82" s="43">
        <f>SUM(B82:M82)</f>
        <v>21865.66</v>
      </c>
    </row>
    <row r="83" spans="1:14" ht="25.15" customHeight="1" thickBot="1" x14ac:dyDescent="0.45">
      <c r="A83" s="18" t="s">
        <v>62</v>
      </c>
      <c r="B83" s="42">
        <f>DPSeguros[[#This Row],[JANV]] - DRSeguros[[#This Row],[JANV]]</f>
        <v>-61.089999999999975</v>
      </c>
      <c r="C83" s="42">
        <f>DPSeguros[[#This Row],[FÉVR]] - DRSeguros[[#This Row],[FÉVR]]</f>
        <v>300</v>
      </c>
      <c r="D83" s="42">
        <f>DPSeguros[[#This Row],[MARS]] - DRSeguros[[#This Row],[MARS]]</f>
        <v>300</v>
      </c>
      <c r="E83" s="42">
        <f>DPSeguros[[#This Row],[AVR]] - DRSeguros[[#This Row],[AVR]]</f>
        <v>300</v>
      </c>
      <c r="F83" s="42">
        <f>DPSeguros[[#This Row],[MAI]] - DRSeguros[[#This Row],[MAI]]</f>
        <v>300</v>
      </c>
      <c r="G83" s="42">
        <f>DPSeguros[[#This Row],[JUIN]] - DRSeguros[[#This Row],[JUIN]]</f>
        <v>300</v>
      </c>
      <c r="H83" s="42">
        <f>DPSeguros[[#This Row],[JUIL]] - DRSeguros[[#This Row],[JUIL]]</f>
        <v>300</v>
      </c>
      <c r="I83" s="42">
        <f>DPSeguros[[#This Row],[AOÛT]] - DRSeguros[[#This Row],[AOÛT]]</f>
        <v>300</v>
      </c>
      <c r="J83" s="42">
        <f>DPSeguros[[#This Row],[SEPT]] - DRSeguros[[#This Row],[SEPT]]</f>
        <v>300</v>
      </c>
      <c r="K83" s="42">
        <f>DPSeguros[[#This Row],[OCT]] - DRSeguros[[#This Row],[OCT]]</f>
        <v>300</v>
      </c>
      <c r="L83" s="42">
        <f>DPSeguros[[#This Row],[NOV]] - DRSeguros[[#This Row],[NOV]]</f>
        <v>300</v>
      </c>
      <c r="M83" s="42">
        <f>DPSeguros[[#This Row],[DÉC]] - DRSeguros[[#This Row],[DÉC]]</f>
        <v>300</v>
      </c>
      <c r="N83" s="43">
        <f>SUM(B83:M83)</f>
        <v>3238.91</v>
      </c>
    </row>
    <row r="84" spans="1:14" ht="25.15" customHeight="1" thickBot="1" x14ac:dyDescent="0.45">
      <c r="A84" s="18" t="s">
        <v>120</v>
      </c>
      <c r="B84" s="42">
        <f>DPSeguros[[#This Row],[JANV]] - DRSeguros[[#This Row],[JANV]]</f>
        <v>0</v>
      </c>
      <c r="C84" s="42">
        <f>DPSeguros[[#This Row],[FÉVR]] - DRSeguros[[#This Row],[FÉVR]]</f>
        <v>141.85</v>
      </c>
      <c r="D84" s="42">
        <f>DPSeguros[[#This Row],[MARS]] - DRSeguros[[#This Row],[MARS]]</f>
        <v>141.85</v>
      </c>
      <c r="E84" s="42">
        <f>DPSeguros[[#This Row],[AVR]] - DRSeguros[[#This Row],[AVR]]</f>
        <v>141.85</v>
      </c>
      <c r="F84" s="42">
        <f>DPSeguros[[#This Row],[MAI]] - DRSeguros[[#This Row],[MAI]]</f>
        <v>141.85</v>
      </c>
      <c r="G84" s="42">
        <f>DPSeguros[[#This Row],[JUIN]] - DRSeguros[[#This Row],[JUIN]]</f>
        <v>141.85</v>
      </c>
      <c r="H84" s="42">
        <f>DPSeguros[[#This Row],[JUIL]] - DRSeguros[[#This Row],[JUIL]]</f>
        <v>141.85</v>
      </c>
      <c r="I84" s="42">
        <f>DPSeguros[[#This Row],[AOÛT]] - DRSeguros[[#This Row],[AOÛT]]</f>
        <v>141.85</v>
      </c>
      <c r="J84" s="42">
        <f>DPSeguros[[#This Row],[SEPT]] - DRSeguros[[#This Row],[SEPT]]</f>
        <v>141.85</v>
      </c>
      <c r="K84" s="42">
        <f>DPSeguros[[#This Row],[OCT]] - DRSeguros[[#This Row],[OCT]]</f>
        <v>141.85</v>
      </c>
      <c r="L84" s="42">
        <f>DPSeguros[[#This Row],[NOV]] - DRSeguros[[#This Row],[NOV]]</f>
        <v>141.85</v>
      </c>
      <c r="M84" s="42">
        <f>DPSeguros[[#This Row],[DÉC]] - DRSeguros[[#This Row],[DÉC]]</f>
        <v>141.85</v>
      </c>
      <c r="N84" s="43">
        <f>SUM(B84:M84)</f>
        <v>1560.3499999999997</v>
      </c>
    </row>
    <row r="85" spans="1:14" ht="21" customHeight="1" thickBot="1" x14ac:dyDescent="0.45">
      <c r="A85" s="18" t="s">
        <v>121</v>
      </c>
      <c r="B85" s="42">
        <f>DPSeguros[[#This Row],[JANV]] - DRSeguros[[#This Row],[JANV]]</f>
        <v>-59.2</v>
      </c>
      <c r="C85" s="42">
        <f>DPSeguros[[#This Row],[FÉVR]] - DRSeguros[[#This Row],[FÉVR]]</f>
        <v>20</v>
      </c>
      <c r="D85" s="42">
        <f>DPSeguros[[#This Row],[MARS]] - DRSeguros[[#This Row],[MARS]]</f>
        <v>20</v>
      </c>
      <c r="E85" s="42">
        <f>DPSeguros[[#This Row],[AVR]] - DRSeguros[[#This Row],[AVR]]</f>
        <v>20</v>
      </c>
      <c r="F85" s="42">
        <f>DPSeguros[[#This Row],[MAI]] - DRSeguros[[#This Row],[MAI]]</f>
        <v>20</v>
      </c>
      <c r="G85" s="42">
        <f>DPSeguros[[#This Row],[JUIN]] - DRSeguros[[#This Row],[JUIN]]</f>
        <v>20</v>
      </c>
      <c r="H85" s="42">
        <f>DPSeguros[[#This Row],[JUIL]] - DRSeguros[[#This Row],[JUIL]]</f>
        <v>20</v>
      </c>
      <c r="I85" s="42">
        <f>DPSeguros[[#This Row],[AOÛT]] - DRSeguros[[#This Row],[AOÛT]]</f>
        <v>20</v>
      </c>
      <c r="J85" s="42">
        <f>DPSeguros[[#This Row],[SEPT]] - DRSeguros[[#This Row],[SEPT]]</f>
        <v>20</v>
      </c>
      <c r="K85" s="42">
        <f>DPSeguros[[#This Row],[OCT]] - DRSeguros[[#This Row],[OCT]]</f>
        <v>20</v>
      </c>
      <c r="L85" s="42">
        <f>DPSeguros[[#This Row],[NOV]] - DRSeguros[[#This Row],[NOV]]</f>
        <v>20</v>
      </c>
      <c r="M85" s="42">
        <f>DPSeguros[[#This Row],[DÉC]] - DRSeguros[[#This Row],[DÉC]]</f>
        <v>20</v>
      </c>
      <c r="N85" s="43">
        <f>SUM(B85:M85)</f>
        <v>160.80000000000001</v>
      </c>
    </row>
    <row r="86" spans="1:14" ht="25.15" customHeight="1" x14ac:dyDescent="0.4">
      <c r="A86" s="24" t="s">
        <v>113</v>
      </c>
      <c r="B86" s="43">
        <f>SUBTOTAL(109,Seguros4[JANV])</f>
        <v>-254.63000000000011</v>
      </c>
      <c r="C86" s="43">
        <f>SUBTOTAL(109,Seguros4[FÉVR])</f>
        <v>2461.85</v>
      </c>
      <c r="D86" s="43">
        <f>SUBTOTAL(109,Seguros4[MARS])</f>
        <v>2461.85</v>
      </c>
      <c r="E86" s="43">
        <f>SUBTOTAL(109,Seguros4[AVR])</f>
        <v>2461.85</v>
      </c>
      <c r="F86" s="43">
        <f>SUBTOTAL(109,Seguros4[MAI])</f>
        <v>2461.85</v>
      </c>
      <c r="G86" s="43">
        <f>SUBTOTAL(109,Seguros4[JUIN])</f>
        <v>2461.85</v>
      </c>
      <c r="H86" s="43">
        <f>SUBTOTAL(109,Seguros4[JUIL])</f>
        <v>2461.85</v>
      </c>
      <c r="I86" s="43">
        <f>SUBTOTAL(109,Seguros4[AOÛT])</f>
        <v>2461.85</v>
      </c>
      <c r="J86" s="43">
        <f>SUBTOTAL(109,Seguros4[SEPT])</f>
        <v>2461.85</v>
      </c>
      <c r="K86" s="43">
        <f>SUBTOTAL(109,Seguros4[OCT])</f>
        <v>2461.85</v>
      </c>
      <c r="L86" s="43">
        <f>SUBTOTAL(109,Seguros4[NOV])</f>
        <v>2461.85</v>
      </c>
      <c r="M86" s="43">
        <f>SUBTOTAL(109,Seguros4[DÉC])</f>
        <v>2461.85</v>
      </c>
      <c r="N86" s="43">
        <f>SUBTOTAL(109,Seguros4[ANNÉE])</f>
        <v>26825.719999999998</v>
      </c>
    </row>
    <row r="87" spans="1:14" ht="25.15" customHeight="1" x14ac:dyDescent="0.4">
      <c r="A87" s="31"/>
      <c r="B87" s="31"/>
      <c r="C87" s="38"/>
      <c r="D87" s="38"/>
      <c r="E87" s="38"/>
      <c r="F87" s="38"/>
      <c r="G87" s="38"/>
      <c r="H87" s="38"/>
      <c r="I87" s="38"/>
      <c r="J87" s="38"/>
      <c r="K87" s="38"/>
      <c r="L87" s="38"/>
      <c r="M87" s="38"/>
      <c r="N87" s="37"/>
    </row>
    <row r="88" spans="1:14" ht="25.15" customHeight="1" thickBot="1" x14ac:dyDescent="0.45">
      <c r="A88" s="21" t="s">
        <v>65</v>
      </c>
      <c r="B88" s="215" t="s">
        <v>99</v>
      </c>
      <c r="C88" s="216" t="s">
        <v>100</v>
      </c>
      <c r="D88" s="216" t="s">
        <v>101</v>
      </c>
      <c r="E88" s="216" t="s">
        <v>102</v>
      </c>
      <c r="F88" s="216" t="s">
        <v>103</v>
      </c>
      <c r="G88" s="216" t="s">
        <v>104</v>
      </c>
      <c r="H88" s="216" t="s">
        <v>105</v>
      </c>
      <c r="I88" s="216" t="s">
        <v>106</v>
      </c>
      <c r="J88" s="216" t="s">
        <v>107</v>
      </c>
      <c r="K88" s="216" t="s">
        <v>108</v>
      </c>
      <c r="L88" s="216" t="s">
        <v>109</v>
      </c>
      <c r="M88" s="216" t="s">
        <v>110</v>
      </c>
      <c r="N88" s="217" t="s">
        <v>111</v>
      </c>
    </row>
    <row r="89" spans="1:14" ht="25.15" customHeight="1" thickBot="1" x14ac:dyDescent="0.45">
      <c r="A89" s="23" t="s">
        <v>66</v>
      </c>
      <c r="B89" s="42">
        <f>DPServicos[[#This Row],[JANV]] - DRServicos[[#This Row],[JANV]]</f>
        <v>-29.28</v>
      </c>
      <c r="C89" s="42">
        <f>DPServicos[[#This Row],[FÉVR]] - DRServicos[[#This Row],[FÉVR]]</f>
        <v>100</v>
      </c>
      <c r="D89" s="42">
        <f>DPServicos[[#This Row],[MARS]] - DRServicos[[#This Row],[MARS]]</f>
        <v>100</v>
      </c>
      <c r="E89" s="42">
        <f>DPServicos[[#This Row],[AVR]] - DRServicos[[#This Row],[AVR]]</f>
        <v>100</v>
      </c>
      <c r="F89" s="42">
        <f>DPServicos[[#This Row],[MAI]] - DRServicos[[#This Row],[MAI]]</f>
        <v>100</v>
      </c>
      <c r="G89" s="42">
        <f>DPServicos[[#This Row],[JUIN]] - DRServicos[[#This Row],[JUIN]]</f>
        <v>100</v>
      </c>
      <c r="H89" s="42">
        <f>DPServicos[[#This Row],[JUIL]] - DRServicos[[#This Row],[JUIL]]</f>
        <v>100</v>
      </c>
      <c r="I89" s="42">
        <f>DPServicos[[#This Row],[AOÛT]] - DRServicos[[#This Row],[AOÛT]]</f>
        <v>100</v>
      </c>
      <c r="J89" s="42">
        <f>DPServicos[[#This Row],[SEPT]] - DRServicos[[#This Row],[SEPT]]</f>
        <v>100</v>
      </c>
      <c r="K89" s="42">
        <f>DPServicos[[#This Row],[OCT]] - DRServicos[[#This Row],[OCT]]</f>
        <v>100</v>
      </c>
      <c r="L89" s="42">
        <f>DPServicos[[#This Row],[NOV]] - DRServicos[[#This Row],[NOV]]</f>
        <v>100</v>
      </c>
      <c r="M89" s="42">
        <f>DPServicos[[#This Row],[DÉC]] - DRServicos[[#This Row],[DÉC]]</f>
        <v>100</v>
      </c>
      <c r="N89" s="43">
        <f t="shared" ref="N89:N96" si="2">SUM(B89:M89)</f>
        <v>1070.72</v>
      </c>
    </row>
    <row r="90" spans="1:14" ht="25.15" customHeight="1" thickBot="1" x14ac:dyDescent="0.45">
      <c r="A90" s="23" t="s">
        <v>67</v>
      </c>
      <c r="B90" s="42">
        <f>DPServicos[[#This Row],[JANV]] - DRServicos[[#This Row],[JANV]]</f>
        <v>230</v>
      </c>
      <c r="C90" s="42">
        <f>DPServicos[[#This Row],[FÉVR]] - DRServicos[[#This Row],[FÉVR]]</f>
        <v>230</v>
      </c>
      <c r="D90" s="42">
        <f>DPServicos[[#This Row],[MARS]] - DRServicos[[#This Row],[MARS]]</f>
        <v>230</v>
      </c>
      <c r="E90" s="42">
        <f>DPServicos[[#This Row],[AVR]] - DRServicos[[#This Row],[AVR]]</f>
        <v>230</v>
      </c>
      <c r="F90" s="42">
        <f>DPServicos[[#This Row],[MAI]] - DRServicos[[#This Row],[MAI]]</f>
        <v>230</v>
      </c>
      <c r="G90" s="42">
        <f>DPServicos[[#This Row],[JUIN]] - DRServicos[[#This Row],[JUIN]]</f>
        <v>230</v>
      </c>
      <c r="H90" s="42">
        <f>DPServicos[[#This Row],[JUIL]] - DRServicos[[#This Row],[JUIL]]</f>
        <v>230</v>
      </c>
      <c r="I90" s="42">
        <f>DPServicos[[#This Row],[AOÛT]] - DRServicos[[#This Row],[AOÛT]]</f>
        <v>230</v>
      </c>
      <c r="J90" s="42">
        <f>DPServicos[[#This Row],[SEPT]] - DRServicos[[#This Row],[SEPT]]</f>
        <v>230</v>
      </c>
      <c r="K90" s="42">
        <f>DPServicos[[#This Row],[OCT]] - DRServicos[[#This Row],[OCT]]</f>
        <v>230</v>
      </c>
      <c r="L90" s="42">
        <f>DPServicos[[#This Row],[NOV]] - DRServicos[[#This Row],[NOV]]</f>
        <v>230</v>
      </c>
      <c r="M90" s="42">
        <f>DPServicos[[#This Row],[DÉC]] - DRServicos[[#This Row],[DÉC]]</f>
        <v>230</v>
      </c>
      <c r="N90" s="43">
        <f t="shared" si="2"/>
        <v>2760</v>
      </c>
    </row>
    <row r="91" spans="1:14" ht="25.15" customHeight="1" thickBot="1" x14ac:dyDescent="0.45">
      <c r="A91" s="23" t="s">
        <v>68</v>
      </c>
      <c r="B91" s="42">
        <f>DPServicos[[#This Row],[JANV]] - DRServicos[[#This Row],[JANV]]</f>
        <v>100</v>
      </c>
      <c r="C91" s="42">
        <f>DPServicos[[#This Row],[FÉVR]] - DRServicos[[#This Row],[FÉVR]]</f>
        <v>1700</v>
      </c>
      <c r="D91" s="42">
        <f>DPServicos[[#This Row],[MARS]] - DRServicos[[#This Row],[MARS]]</f>
        <v>1700</v>
      </c>
      <c r="E91" s="42">
        <f>DPServicos[[#This Row],[AVR]] - DRServicos[[#This Row],[AVR]]</f>
        <v>1700</v>
      </c>
      <c r="F91" s="42">
        <f>DPServicos[[#This Row],[MAI]] - DRServicos[[#This Row],[MAI]]</f>
        <v>1700</v>
      </c>
      <c r="G91" s="42">
        <f>DPServicos[[#This Row],[JUIN]] - DRServicos[[#This Row],[JUIN]]</f>
        <v>1700</v>
      </c>
      <c r="H91" s="42">
        <f>DPServicos[[#This Row],[JUIL]] - DRServicos[[#This Row],[JUIL]]</f>
        <v>1700</v>
      </c>
      <c r="I91" s="42">
        <f>DPServicos[[#This Row],[AOÛT]] - DRServicos[[#This Row],[AOÛT]]</f>
        <v>1700</v>
      </c>
      <c r="J91" s="42">
        <f>DPServicos[[#This Row],[SEPT]] - DRServicos[[#This Row],[SEPT]]</f>
        <v>1700</v>
      </c>
      <c r="K91" s="42">
        <f>DPServicos[[#This Row],[OCT]] - DRServicos[[#This Row],[OCT]]</f>
        <v>1700</v>
      </c>
      <c r="L91" s="42">
        <f>DPServicos[[#This Row],[NOV]] - DRServicos[[#This Row],[NOV]]</f>
        <v>1700</v>
      </c>
      <c r="M91" s="42">
        <f>DPServicos[[#This Row],[DÉC]] - DRServicos[[#This Row],[DÉC]]</f>
        <v>1700</v>
      </c>
      <c r="N91" s="43">
        <f t="shared" si="2"/>
        <v>18800</v>
      </c>
    </row>
    <row r="92" spans="1:14" ht="25.15" customHeight="1" thickBot="1" x14ac:dyDescent="0.45">
      <c r="A92" s="23" t="s">
        <v>69</v>
      </c>
      <c r="B92" s="42">
        <f>DPServicos[[#This Row],[JANV]] - DRServicos[[#This Row],[JANV]]</f>
        <v>0</v>
      </c>
      <c r="C92" s="42">
        <f>DPServicos[[#This Row],[FÉVR]] - DRServicos[[#This Row],[FÉVR]]</f>
        <v>135</v>
      </c>
      <c r="D92" s="42">
        <f>DPServicos[[#This Row],[MARS]] - DRServicos[[#This Row],[MARS]]</f>
        <v>135</v>
      </c>
      <c r="E92" s="42">
        <f>DPServicos[[#This Row],[AVR]] - DRServicos[[#This Row],[AVR]]</f>
        <v>135</v>
      </c>
      <c r="F92" s="42">
        <f>DPServicos[[#This Row],[MAI]] - DRServicos[[#This Row],[MAI]]</f>
        <v>135</v>
      </c>
      <c r="G92" s="42">
        <f>DPServicos[[#This Row],[JUIN]] - DRServicos[[#This Row],[JUIN]]</f>
        <v>135</v>
      </c>
      <c r="H92" s="42">
        <f>DPServicos[[#This Row],[JUIL]] - DRServicos[[#This Row],[JUIL]]</f>
        <v>135</v>
      </c>
      <c r="I92" s="42">
        <f>DPServicos[[#This Row],[AOÛT]] - DRServicos[[#This Row],[AOÛT]]</f>
        <v>135</v>
      </c>
      <c r="J92" s="42">
        <f>DPServicos[[#This Row],[SEPT]] - DRServicos[[#This Row],[SEPT]]</f>
        <v>135</v>
      </c>
      <c r="K92" s="42">
        <f>DPServicos[[#This Row],[OCT]] - DRServicos[[#This Row],[OCT]]</f>
        <v>135</v>
      </c>
      <c r="L92" s="42">
        <f>DPServicos[[#This Row],[NOV]] - DRServicos[[#This Row],[NOV]]</f>
        <v>135</v>
      </c>
      <c r="M92" s="42">
        <f>DPServicos[[#This Row],[DÉC]] - DRServicos[[#This Row],[DÉC]]</f>
        <v>135</v>
      </c>
      <c r="N92" s="43">
        <f t="shared" si="2"/>
        <v>1485</v>
      </c>
    </row>
    <row r="93" spans="1:14" ht="25.15" customHeight="1" thickBot="1" x14ac:dyDescent="0.45">
      <c r="A93" s="23" t="s">
        <v>70</v>
      </c>
      <c r="B93" s="42">
        <f>DPServicos[[#This Row],[JANV]] - DRServicos[[#This Row],[JANV]]</f>
        <v>-2.1299999999999955</v>
      </c>
      <c r="C93" s="42">
        <f>DPServicos[[#This Row],[FÉVR]] - DRServicos[[#This Row],[FÉVR]]</f>
        <v>100</v>
      </c>
      <c r="D93" s="42">
        <f>DPServicos[[#This Row],[MARS]] - DRServicos[[#This Row],[MARS]]</f>
        <v>100</v>
      </c>
      <c r="E93" s="42">
        <f>DPServicos[[#This Row],[AVR]] - DRServicos[[#This Row],[AVR]]</f>
        <v>100</v>
      </c>
      <c r="F93" s="42">
        <f>DPServicos[[#This Row],[MAI]] - DRServicos[[#This Row],[MAI]]</f>
        <v>100</v>
      </c>
      <c r="G93" s="42">
        <f>DPServicos[[#This Row],[JUIN]] - DRServicos[[#This Row],[JUIN]]</f>
        <v>100</v>
      </c>
      <c r="H93" s="42">
        <f>DPServicos[[#This Row],[JUIL]] - DRServicos[[#This Row],[JUIL]]</f>
        <v>100</v>
      </c>
      <c r="I93" s="42">
        <f>DPServicos[[#This Row],[AOÛT]] - DRServicos[[#This Row],[AOÛT]]</f>
        <v>100</v>
      </c>
      <c r="J93" s="42">
        <f>DPServicos[[#This Row],[SEPT]] - DRServicos[[#This Row],[SEPT]]</f>
        <v>100</v>
      </c>
      <c r="K93" s="42">
        <f>DPServicos[[#This Row],[OCT]] - DRServicos[[#This Row],[OCT]]</f>
        <v>100</v>
      </c>
      <c r="L93" s="42">
        <f>DPServicos[[#This Row],[NOV]] - DRServicos[[#This Row],[NOV]]</f>
        <v>100</v>
      </c>
      <c r="M93" s="42">
        <f>DPServicos[[#This Row],[DÉC]] - DRServicos[[#This Row],[DÉC]]</f>
        <v>100</v>
      </c>
      <c r="N93" s="43">
        <f t="shared" si="2"/>
        <v>1097.8699999999999</v>
      </c>
    </row>
    <row r="94" spans="1:14" ht="25.15" customHeight="1" thickBot="1" x14ac:dyDescent="0.45">
      <c r="A94" s="23" t="s">
        <v>71</v>
      </c>
      <c r="B94" s="42">
        <f>DPServicos[[#This Row],[JANV]] - DRServicos[[#This Row],[JANV]]</f>
        <v>-8.0699999999999932</v>
      </c>
      <c r="C94" s="42">
        <f>DPServicos[[#This Row],[FÉVR]] - DRServicos[[#This Row],[FÉVR]]</f>
        <v>115</v>
      </c>
      <c r="D94" s="42">
        <f>DPServicos[[#This Row],[MARS]] - DRServicos[[#This Row],[MARS]]</f>
        <v>115</v>
      </c>
      <c r="E94" s="42">
        <f>DPServicos[[#This Row],[AVR]] - DRServicos[[#This Row],[AVR]]</f>
        <v>115</v>
      </c>
      <c r="F94" s="42">
        <f>DPServicos[[#This Row],[MAI]] - DRServicos[[#This Row],[MAI]]</f>
        <v>115</v>
      </c>
      <c r="G94" s="42">
        <f>DPServicos[[#This Row],[JUIN]] - DRServicos[[#This Row],[JUIN]]</f>
        <v>115</v>
      </c>
      <c r="H94" s="42">
        <f>DPServicos[[#This Row],[JUIL]] - DRServicos[[#This Row],[JUIL]]</f>
        <v>115</v>
      </c>
      <c r="I94" s="42">
        <f>DPServicos[[#This Row],[AOÛT]] - DRServicos[[#This Row],[AOÛT]]</f>
        <v>115</v>
      </c>
      <c r="J94" s="42">
        <f>DPServicos[[#This Row],[SEPT]] - DRServicos[[#This Row],[SEPT]]</f>
        <v>115</v>
      </c>
      <c r="K94" s="42">
        <f>DPServicos[[#This Row],[OCT]] - DRServicos[[#This Row],[OCT]]</f>
        <v>115</v>
      </c>
      <c r="L94" s="42">
        <f>DPServicos[[#This Row],[NOV]] - DRServicos[[#This Row],[NOV]]</f>
        <v>115</v>
      </c>
      <c r="M94" s="42">
        <f>DPServicos[[#This Row],[DÉC]] - DRServicos[[#This Row],[DÉC]]</f>
        <v>115</v>
      </c>
      <c r="N94" s="43">
        <f t="shared" si="2"/>
        <v>1256.93</v>
      </c>
    </row>
    <row r="95" spans="1:14" ht="25.15" customHeight="1" thickBot="1" x14ac:dyDescent="0.45">
      <c r="A95" s="23" t="s">
        <v>72</v>
      </c>
      <c r="B95" s="42">
        <f>DPServicos[[#This Row],[JANV]] - DRServicos[[#This Row],[JANV]]</f>
        <v>0</v>
      </c>
      <c r="C95" s="42">
        <f>DPServicos[[#This Row],[FÉVR]] - DRServicos[[#This Row],[FÉVR]]</f>
        <v>0</v>
      </c>
      <c r="D95" s="42">
        <f>DPServicos[[#This Row],[MARS]] - DRServicos[[#This Row],[MARS]]</f>
        <v>0</v>
      </c>
      <c r="E95" s="42">
        <f>DPServicos[[#This Row],[AVR]] - DRServicos[[#This Row],[AVR]]</f>
        <v>0</v>
      </c>
      <c r="F95" s="42">
        <f>DPServicos[[#This Row],[MAI]] - DRServicos[[#This Row],[MAI]]</f>
        <v>0</v>
      </c>
      <c r="G95" s="42">
        <f>DPServicos[[#This Row],[JUIN]] - DRServicos[[#This Row],[JUIN]]</f>
        <v>0</v>
      </c>
      <c r="H95" s="42">
        <f>DPServicos[[#This Row],[JUIL]] - DRServicos[[#This Row],[JUIL]]</f>
        <v>0</v>
      </c>
      <c r="I95" s="42">
        <f>DPServicos[[#This Row],[AOÛT]] - DRServicos[[#This Row],[AOÛT]]</f>
        <v>0</v>
      </c>
      <c r="J95" s="42">
        <f>DPServicos[[#This Row],[SEPT]] - DRServicos[[#This Row],[SEPT]]</f>
        <v>0</v>
      </c>
      <c r="K95" s="42">
        <f>DPServicos[[#This Row],[OCT]] - DRServicos[[#This Row],[OCT]]</f>
        <v>0</v>
      </c>
      <c r="L95" s="42">
        <f>DPServicos[[#This Row],[NOV]] - DRServicos[[#This Row],[NOV]]</f>
        <v>0</v>
      </c>
      <c r="M95" s="42">
        <f>DPServicos[[#This Row],[DÉC]] - DRServicos[[#This Row],[DÉC]]</f>
        <v>0</v>
      </c>
      <c r="N95" s="43">
        <f t="shared" si="2"/>
        <v>0</v>
      </c>
    </row>
    <row r="96" spans="1:14" ht="25.15" customHeight="1" thickBot="1" x14ac:dyDescent="0.45">
      <c r="A96" s="23" t="s">
        <v>73</v>
      </c>
      <c r="B96" s="42">
        <f>DPServicos[[#This Row],[JANV]] - DRServicos[[#This Row],[JANV]]</f>
        <v>1.0000000000005116E-2</v>
      </c>
      <c r="C96" s="42">
        <f>DPServicos[[#This Row],[FÉVR]] - DRServicos[[#This Row],[FÉVR]]</f>
        <v>105</v>
      </c>
      <c r="D96" s="42">
        <f>DPServicos[[#This Row],[MARS]] - DRServicos[[#This Row],[MARS]]</f>
        <v>105</v>
      </c>
      <c r="E96" s="42">
        <f>DPServicos[[#This Row],[AVR]] - DRServicos[[#This Row],[AVR]]</f>
        <v>105</v>
      </c>
      <c r="F96" s="42">
        <f>DPServicos[[#This Row],[MAI]] - DRServicos[[#This Row],[MAI]]</f>
        <v>120</v>
      </c>
      <c r="G96" s="42">
        <f>DPServicos[[#This Row],[JUIN]] - DRServicos[[#This Row],[JUIN]]</f>
        <v>120</v>
      </c>
      <c r="H96" s="42">
        <f>DPServicos[[#This Row],[JUIL]] - DRServicos[[#This Row],[JUIL]]</f>
        <v>120</v>
      </c>
      <c r="I96" s="42">
        <f>DPServicos[[#This Row],[AOÛT]] - DRServicos[[#This Row],[AOÛT]]</f>
        <v>120</v>
      </c>
      <c r="J96" s="42">
        <f>DPServicos[[#This Row],[SEPT]] - DRServicos[[#This Row],[SEPT]]</f>
        <v>120</v>
      </c>
      <c r="K96" s="42">
        <f>DPServicos[[#This Row],[OCT]] - DRServicos[[#This Row],[OCT]]</f>
        <v>120</v>
      </c>
      <c r="L96" s="42">
        <f>DPServicos[[#This Row],[NOV]] - DRServicos[[#This Row],[NOV]]</f>
        <v>120</v>
      </c>
      <c r="M96" s="42">
        <f>DPServicos[[#This Row],[DÉC]] - DRServicos[[#This Row],[DÉC]]</f>
        <v>120</v>
      </c>
      <c r="N96" s="43">
        <f t="shared" si="2"/>
        <v>1275.01</v>
      </c>
    </row>
    <row r="97" spans="1:15" ht="25.15" customHeight="1" x14ac:dyDescent="0.4">
      <c r="A97" s="26" t="s">
        <v>113</v>
      </c>
      <c r="B97" s="43">
        <f>SUBTOTAL(109,Servicos8[JANV])</f>
        <v>290.53000000000003</v>
      </c>
      <c r="C97" s="43">
        <f>SUBTOTAL(109,Servicos8[FÉVR])</f>
        <v>2485</v>
      </c>
      <c r="D97" s="43">
        <f>SUBTOTAL(109,Servicos8[MARS])</f>
        <v>2485</v>
      </c>
      <c r="E97" s="43">
        <f>SUBTOTAL(109,Servicos8[AVR])</f>
        <v>2485</v>
      </c>
      <c r="F97" s="43">
        <f>SUBTOTAL(109,Servicos8[MAI])</f>
        <v>2500</v>
      </c>
      <c r="G97" s="43">
        <f>SUBTOTAL(109,Servicos8[JUIN])</f>
        <v>2500</v>
      </c>
      <c r="H97" s="43">
        <f>SUBTOTAL(109,Servicos8[JUIL])</f>
        <v>2500</v>
      </c>
      <c r="I97" s="43">
        <f>SUBTOTAL(109,Servicos8[AOÛT])</f>
        <v>2500</v>
      </c>
      <c r="J97" s="43">
        <f>SUBTOTAL(109,Servicos8[SEPT])</f>
        <v>2500</v>
      </c>
      <c r="K97" s="43">
        <f>SUBTOTAL(109,Servicos8[OCT])</f>
        <v>2500</v>
      </c>
      <c r="L97" s="43">
        <f>SUBTOTAL(109,Servicos8[NOV])</f>
        <v>2500</v>
      </c>
      <c r="M97" s="43">
        <f>SUBTOTAL(109,Servicos8[DÉC])</f>
        <v>2500</v>
      </c>
      <c r="N97" s="43">
        <f>SUBTOTAL(109,Servicos8[ANNÉE])</f>
        <v>27745.53</v>
      </c>
    </row>
    <row r="98" spans="1:15" ht="25.15" customHeight="1" x14ac:dyDescent="0.4"/>
    <row r="99" spans="1:15" ht="25.15" customHeight="1" thickBot="1" x14ac:dyDescent="0.45">
      <c r="A99" s="17" t="s">
        <v>74</v>
      </c>
      <c r="B99" s="215" t="s">
        <v>99</v>
      </c>
      <c r="C99" s="216" t="s">
        <v>100</v>
      </c>
      <c r="D99" s="216" t="s">
        <v>101</v>
      </c>
      <c r="E99" s="216" t="s">
        <v>102</v>
      </c>
      <c r="F99" s="216" t="s">
        <v>103</v>
      </c>
      <c r="G99" s="216" t="s">
        <v>104</v>
      </c>
      <c r="H99" s="216" t="s">
        <v>105</v>
      </c>
      <c r="I99" s="216" t="s">
        <v>106</v>
      </c>
      <c r="J99" s="216" t="s">
        <v>107</v>
      </c>
      <c r="K99" s="216" t="s">
        <v>108</v>
      </c>
      <c r="L99" s="216" t="s">
        <v>109</v>
      </c>
      <c r="M99" s="216" t="s">
        <v>110</v>
      </c>
      <c r="N99" s="217" t="s">
        <v>111</v>
      </c>
    </row>
    <row r="100" spans="1:15" ht="25.15" customHeight="1" thickBot="1" x14ac:dyDescent="0.45">
      <c r="A100" s="40" t="s">
        <v>75</v>
      </c>
      <c r="B100" s="42">
        <f>DPViagens[[#This Row],[JANV]] - DRViagens[[#This Row],[JANV]]</f>
        <v>45</v>
      </c>
      <c r="C100" s="42">
        <f>DPViagens[[#This Row],[FÉVR]] - DRViagens[[#This Row],[FÉVR]]</f>
        <v>45</v>
      </c>
      <c r="D100" s="42">
        <f>DPViagens[[#This Row],[MARS]] - DRViagens[[#This Row],[MARS]]</f>
        <v>45</v>
      </c>
      <c r="E100" s="42">
        <f>DPViagens[[#This Row],[AVR]] - DRViagens[[#This Row],[AVR]]</f>
        <v>45</v>
      </c>
      <c r="F100" s="42">
        <f>DPViagens[[#This Row],[MAI]] - DRViagens[[#This Row],[MAI]]</f>
        <v>45</v>
      </c>
      <c r="G100" s="42">
        <f>DPViagens[[#This Row],[JUIN]] - DRViagens[[#This Row],[JUIN]]</f>
        <v>45</v>
      </c>
      <c r="H100" s="42">
        <f>DPViagens[[#This Row],[JUIL]] - DRViagens[[#This Row],[JUIL]]</f>
        <v>45</v>
      </c>
      <c r="I100" s="42">
        <f>DPViagens[[#This Row],[AOÛT]] - DRViagens[[#This Row],[AOÛT]]</f>
        <v>45</v>
      </c>
      <c r="J100" s="42">
        <f>DPViagens[[#This Row],[SEPT]] - DRViagens[[#This Row],[SEPT]]</f>
        <v>45</v>
      </c>
      <c r="K100" s="42">
        <f>DPViagens[[#This Row],[OCT]] - DRViagens[[#This Row],[OCT]]</f>
        <v>45</v>
      </c>
      <c r="L100" s="42">
        <f>DPViagens[[#This Row],[NOV]] - DRViagens[[#This Row],[NOV]]</f>
        <v>45</v>
      </c>
      <c r="M100" s="42">
        <f>DPViagens[[#This Row],[DÉC]] - DRViagens[[#This Row],[DÉC]]</f>
        <v>45</v>
      </c>
      <c r="N100" s="43">
        <f t="shared" ref="N100:N108" si="3">SUM(B100:M100)</f>
        <v>540</v>
      </c>
    </row>
    <row r="101" spans="1:15" ht="25.15" customHeight="1" thickBot="1" x14ac:dyDescent="0.45">
      <c r="A101" s="40" t="s">
        <v>76</v>
      </c>
      <c r="B101" s="42">
        <f>DPViagens[[#This Row],[JANV]] - DRViagens[[#This Row],[JANV]]</f>
        <v>2490</v>
      </c>
      <c r="C101" s="42">
        <f>DPViagens[[#This Row],[FÉVR]] - DRViagens[[#This Row],[FÉVR]]</f>
        <v>2490</v>
      </c>
      <c r="D101" s="42">
        <f>DPViagens[[#This Row],[MARS]] - DRViagens[[#This Row],[MARS]]</f>
        <v>2490</v>
      </c>
      <c r="E101" s="42">
        <f>DPViagens[[#This Row],[AVR]] - DRViagens[[#This Row],[AVR]]</f>
        <v>2490</v>
      </c>
      <c r="F101" s="42">
        <f>DPViagens[[#This Row],[MAI]] - DRViagens[[#This Row],[MAI]]</f>
        <v>2490</v>
      </c>
      <c r="G101" s="42">
        <f>DPViagens[[#This Row],[JUIN]] - DRViagens[[#This Row],[JUIN]]</f>
        <v>2490</v>
      </c>
      <c r="H101" s="42">
        <f>DPViagens[[#This Row],[JUIL]] - DRViagens[[#This Row],[JUIL]]</f>
        <v>2490</v>
      </c>
      <c r="I101" s="42">
        <f>DPViagens[[#This Row],[AOÛT]] - DRViagens[[#This Row],[AOÛT]]</f>
        <v>2490</v>
      </c>
      <c r="J101" s="42">
        <f>DPViagens[[#This Row],[SEPT]] - DRViagens[[#This Row],[SEPT]]</f>
        <v>2490</v>
      </c>
      <c r="K101" s="42">
        <f>DPViagens[[#This Row],[OCT]] - DRViagens[[#This Row],[OCT]]</f>
        <v>2490</v>
      </c>
      <c r="L101" s="42">
        <f>DPViagens[[#This Row],[NOV]] - DRViagens[[#This Row],[NOV]]</f>
        <v>2490</v>
      </c>
      <c r="M101" s="42">
        <f>DPViagens[[#This Row],[DÉC]] - DRViagens[[#This Row],[DÉC]]</f>
        <v>2490</v>
      </c>
      <c r="N101" s="43">
        <f t="shared" si="3"/>
        <v>29880</v>
      </c>
    </row>
    <row r="102" spans="1:15" ht="25.15" customHeight="1" thickBot="1" x14ac:dyDescent="0.45">
      <c r="A102" s="40" t="s">
        <v>77</v>
      </c>
      <c r="B102" s="42">
        <f>DPViagens[[#This Row],[JANV]] - DRViagens[[#This Row],[JANV]]</f>
        <v>148.60000000000002</v>
      </c>
      <c r="C102" s="42">
        <f>DPViagens[[#This Row],[FÉVR]] - DRViagens[[#This Row],[FÉVR]]</f>
        <v>705</v>
      </c>
      <c r="D102" s="42">
        <f>DPViagens[[#This Row],[MARS]] - DRViagens[[#This Row],[MARS]]</f>
        <v>705</v>
      </c>
      <c r="E102" s="42">
        <f>DPViagens[[#This Row],[AVR]] - DRViagens[[#This Row],[AVR]]</f>
        <v>705</v>
      </c>
      <c r="F102" s="42">
        <f>DPViagens[[#This Row],[MAI]] - DRViagens[[#This Row],[MAI]]</f>
        <v>705</v>
      </c>
      <c r="G102" s="42">
        <f>DPViagens[[#This Row],[JUIN]] - DRViagens[[#This Row],[JUIN]]</f>
        <v>705</v>
      </c>
      <c r="H102" s="42">
        <f>DPViagens[[#This Row],[JUIL]] - DRViagens[[#This Row],[JUIL]]</f>
        <v>705</v>
      </c>
      <c r="I102" s="42">
        <f>DPViagens[[#This Row],[AOÛT]] - DRViagens[[#This Row],[AOÛT]]</f>
        <v>705</v>
      </c>
      <c r="J102" s="42">
        <f>DPViagens[[#This Row],[SEPT]] - DRViagens[[#This Row],[SEPT]]</f>
        <v>705</v>
      </c>
      <c r="K102" s="42">
        <f>DPViagens[[#This Row],[OCT]] - DRViagens[[#This Row],[OCT]]</f>
        <v>705</v>
      </c>
      <c r="L102" s="42">
        <f>DPViagens[[#This Row],[NOV]] - DRViagens[[#This Row],[NOV]]</f>
        <v>705</v>
      </c>
      <c r="M102" s="42">
        <f>DPViagens[[#This Row],[DÉC]] - DRViagens[[#This Row],[DÉC]]</f>
        <v>705</v>
      </c>
      <c r="N102" s="43">
        <f t="shared" si="3"/>
        <v>7903.6</v>
      </c>
    </row>
    <row r="103" spans="1:15" ht="25.15" customHeight="1" thickBot="1" x14ac:dyDescent="0.45">
      <c r="A103" s="40" t="s">
        <v>78</v>
      </c>
      <c r="B103" s="42">
        <f>DPViagens[[#This Row],[JANV]] - DRViagens[[#This Row],[JANV]]</f>
        <v>360</v>
      </c>
      <c r="C103" s="42">
        <f>DPViagens[[#This Row],[FÉVR]] - DRViagens[[#This Row],[FÉVR]]</f>
        <v>360</v>
      </c>
      <c r="D103" s="42">
        <f>DPViagens[[#This Row],[MARS]] - DRViagens[[#This Row],[MARS]]</f>
        <v>360</v>
      </c>
      <c r="E103" s="42">
        <f>DPViagens[[#This Row],[AVR]] - DRViagens[[#This Row],[AVR]]</f>
        <v>360</v>
      </c>
      <c r="F103" s="42">
        <f>DPViagens[[#This Row],[MAI]] - DRViagens[[#This Row],[MAI]]</f>
        <v>360</v>
      </c>
      <c r="G103" s="42">
        <f>DPViagens[[#This Row],[JUIN]] - DRViagens[[#This Row],[JUIN]]</f>
        <v>360</v>
      </c>
      <c r="H103" s="42">
        <f>DPViagens[[#This Row],[JUIL]] - DRViagens[[#This Row],[JUIL]]</f>
        <v>360</v>
      </c>
      <c r="I103" s="42">
        <f>DPViagens[[#This Row],[AOÛT]] - DRViagens[[#This Row],[AOÛT]]</f>
        <v>360</v>
      </c>
      <c r="J103" s="42">
        <f>DPViagens[[#This Row],[SEPT]] - DRViagens[[#This Row],[SEPT]]</f>
        <v>360</v>
      </c>
      <c r="K103" s="42">
        <f>DPViagens[[#This Row],[OCT]] - DRViagens[[#This Row],[OCT]]</f>
        <v>360</v>
      </c>
      <c r="L103" s="42">
        <f>DPViagens[[#This Row],[NOV]] - DRViagens[[#This Row],[NOV]]</f>
        <v>360</v>
      </c>
      <c r="M103" s="42">
        <f>DPViagens[[#This Row],[DÉC]] - DRViagens[[#This Row],[DÉC]]</f>
        <v>360</v>
      </c>
      <c r="N103" s="43">
        <f t="shared" si="3"/>
        <v>4320</v>
      </c>
    </row>
    <row r="104" spans="1:15" ht="25.15" customHeight="1" thickBot="1" x14ac:dyDescent="0.45">
      <c r="A104" s="40" t="s">
        <v>79</v>
      </c>
      <c r="B104" s="42">
        <f>DPViagens[[#This Row],[JANV]] - DRViagens[[#This Row],[JANV]]</f>
        <v>720</v>
      </c>
      <c r="C104" s="42">
        <f>DPViagens[[#This Row],[FÉVR]] - DRViagens[[#This Row],[FÉVR]]</f>
        <v>720</v>
      </c>
      <c r="D104" s="42">
        <f>DPViagens[[#This Row],[MARS]] - DRViagens[[#This Row],[MARS]]</f>
        <v>720</v>
      </c>
      <c r="E104" s="42">
        <f>DPViagens[[#This Row],[AVR]] - DRViagens[[#This Row],[AVR]]</f>
        <v>720</v>
      </c>
      <c r="F104" s="42">
        <f>DPViagens[[#This Row],[MAI]] - DRViagens[[#This Row],[MAI]]</f>
        <v>720</v>
      </c>
      <c r="G104" s="42">
        <f>DPViagens[[#This Row],[JUIN]] - DRViagens[[#This Row],[JUIN]]</f>
        <v>720</v>
      </c>
      <c r="H104" s="42">
        <f>DPViagens[[#This Row],[JUIL]] - DRViagens[[#This Row],[JUIL]]</f>
        <v>720</v>
      </c>
      <c r="I104" s="42">
        <f>DPViagens[[#This Row],[AOÛT]] - DRViagens[[#This Row],[AOÛT]]</f>
        <v>720</v>
      </c>
      <c r="J104" s="42">
        <f>DPViagens[[#This Row],[SEPT]] - DRViagens[[#This Row],[SEPT]]</f>
        <v>720</v>
      </c>
      <c r="K104" s="42">
        <f>DPViagens[[#This Row],[OCT]] - DRViagens[[#This Row],[OCT]]</f>
        <v>720</v>
      </c>
      <c r="L104" s="42">
        <f>DPViagens[[#This Row],[NOV]] - DRViagens[[#This Row],[NOV]]</f>
        <v>720</v>
      </c>
      <c r="M104" s="42">
        <f>DPViagens[[#This Row],[DÉC]] - DRViagens[[#This Row],[DÉC]]</f>
        <v>720</v>
      </c>
      <c r="N104" s="43">
        <f t="shared" si="3"/>
        <v>8640</v>
      </c>
    </row>
    <row r="105" spans="1:15" ht="25.15" customHeight="1" thickBot="1" x14ac:dyDescent="0.45">
      <c r="A105" s="40" t="s">
        <v>80</v>
      </c>
      <c r="B105" s="42">
        <f>DPViagens[[#This Row],[JANV]] - DRViagens[[#This Row],[JANV]]</f>
        <v>50</v>
      </c>
      <c r="C105" s="42">
        <f>DPViagens[[#This Row],[FÉVR]] - DRViagens[[#This Row],[FÉVR]]</f>
        <v>50</v>
      </c>
      <c r="D105" s="42">
        <f>DPViagens[[#This Row],[MARS]] - DRViagens[[#This Row],[MARS]]</f>
        <v>50</v>
      </c>
      <c r="E105" s="42">
        <f>DPViagens[[#This Row],[AVR]] - DRViagens[[#This Row],[AVR]]</f>
        <v>50</v>
      </c>
      <c r="F105" s="42">
        <f>DPViagens[[#This Row],[MAI]] - DRViagens[[#This Row],[MAI]]</f>
        <v>50</v>
      </c>
      <c r="G105" s="42">
        <f>DPViagens[[#This Row],[JUIN]] - DRViagens[[#This Row],[JUIN]]</f>
        <v>50</v>
      </c>
      <c r="H105" s="42">
        <f>DPViagens[[#This Row],[JUIL]] - DRViagens[[#This Row],[JUIL]]</f>
        <v>50</v>
      </c>
      <c r="I105" s="42">
        <f>DPViagens[[#This Row],[AOÛT]] - DRViagens[[#This Row],[AOÛT]]</f>
        <v>50</v>
      </c>
      <c r="J105" s="42">
        <f>DPViagens[[#This Row],[SEPT]] - DRViagens[[#This Row],[SEPT]]</f>
        <v>50</v>
      </c>
      <c r="K105" s="42">
        <f>DPViagens[[#This Row],[OCT]] - DRViagens[[#This Row],[OCT]]</f>
        <v>50</v>
      </c>
      <c r="L105" s="42">
        <f>DPViagens[[#This Row],[NOV]] - DRViagens[[#This Row],[NOV]]</f>
        <v>50</v>
      </c>
      <c r="M105" s="42">
        <f>DPViagens[[#This Row],[DÉC]] - DRViagens[[#This Row],[DÉC]]</f>
        <v>50</v>
      </c>
      <c r="N105" s="43">
        <f t="shared" si="3"/>
        <v>600</v>
      </c>
    </row>
    <row r="106" spans="1:15" ht="25.15" customHeight="1" thickBot="1" x14ac:dyDescent="0.45">
      <c r="A106" s="40" t="s">
        <v>81</v>
      </c>
      <c r="B106" s="42">
        <f>DPViagens[[#This Row],[JANV]] - DRViagens[[#This Row],[JANV]]</f>
        <v>80</v>
      </c>
      <c r="C106" s="42">
        <f>DPViagens[[#This Row],[FÉVR]] - DRViagens[[#This Row],[FÉVR]]</f>
        <v>80</v>
      </c>
      <c r="D106" s="42">
        <f>DPViagens[[#This Row],[MARS]] - DRViagens[[#This Row],[MARS]]</f>
        <v>80</v>
      </c>
      <c r="E106" s="42">
        <f>DPViagens[[#This Row],[AVR]] - DRViagens[[#This Row],[AVR]]</f>
        <v>80</v>
      </c>
      <c r="F106" s="42">
        <f>DPViagens[[#This Row],[MAI]] - DRViagens[[#This Row],[MAI]]</f>
        <v>80</v>
      </c>
      <c r="G106" s="42">
        <f>DPViagens[[#This Row],[JUIN]] - DRViagens[[#This Row],[JUIN]]</f>
        <v>80</v>
      </c>
      <c r="H106" s="42">
        <f>DPViagens[[#This Row],[JUIL]] - DRViagens[[#This Row],[JUIL]]</f>
        <v>80</v>
      </c>
      <c r="I106" s="42">
        <f>DPViagens[[#This Row],[AOÛT]] - DRViagens[[#This Row],[AOÛT]]</f>
        <v>80</v>
      </c>
      <c r="J106" s="42">
        <f>DPViagens[[#This Row],[SEPT]] - DRViagens[[#This Row],[SEPT]]</f>
        <v>80</v>
      </c>
      <c r="K106" s="42">
        <f>DPViagens[[#This Row],[OCT]] - DRViagens[[#This Row],[OCT]]</f>
        <v>80</v>
      </c>
      <c r="L106" s="42">
        <f>DPViagens[[#This Row],[NOV]] - DRViagens[[#This Row],[NOV]]</f>
        <v>80</v>
      </c>
      <c r="M106" s="42">
        <f>DPViagens[[#This Row],[DÉC]] - DRViagens[[#This Row],[DÉC]]</f>
        <v>80</v>
      </c>
      <c r="N106" s="43">
        <f t="shared" si="3"/>
        <v>960</v>
      </c>
    </row>
    <row r="107" spans="1:15" ht="25.15" customHeight="1" thickBot="1" x14ac:dyDescent="0.45">
      <c r="A107" s="40" t="s">
        <v>122</v>
      </c>
      <c r="B107" s="42">
        <f>DPViagens[[#This Row],[JANV]] - DRViagens[[#This Row],[JANV]]</f>
        <v>0</v>
      </c>
      <c r="C107" s="42">
        <f>DPViagens[[#This Row],[FÉVR]] - DRViagens[[#This Row],[FÉVR]]</f>
        <v>0</v>
      </c>
      <c r="D107" s="42">
        <f>DPViagens[[#This Row],[MARS]] - DRViagens[[#This Row],[MARS]]</f>
        <v>0</v>
      </c>
      <c r="E107" s="42">
        <f>DPViagens[[#This Row],[AVR]] - DRViagens[[#This Row],[AVR]]</f>
        <v>0</v>
      </c>
      <c r="F107" s="42">
        <f>DPViagens[[#This Row],[MAI]] - DRViagens[[#This Row],[MAI]]</f>
        <v>0</v>
      </c>
      <c r="G107" s="42">
        <f>DPViagens[[#This Row],[JUIN]] - DRViagens[[#This Row],[JUIN]]</f>
        <v>0</v>
      </c>
      <c r="H107" s="42">
        <f>DPViagens[[#This Row],[JUIL]] - DRViagens[[#This Row],[JUIL]]</f>
        <v>0</v>
      </c>
      <c r="I107" s="42">
        <f>DPViagens[[#This Row],[AOÛT]] - DRViagens[[#This Row],[AOÛT]]</f>
        <v>0</v>
      </c>
      <c r="J107" s="42">
        <f>DPViagens[[#This Row],[SEPT]] - DRViagens[[#This Row],[SEPT]]</f>
        <v>0</v>
      </c>
      <c r="K107" s="42">
        <f>DPViagens[[#This Row],[OCT]] - DRViagens[[#This Row],[OCT]]</f>
        <v>0</v>
      </c>
      <c r="L107" s="42">
        <f>DPViagens[[#This Row],[NOV]] - DRViagens[[#This Row],[NOV]]</f>
        <v>0</v>
      </c>
      <c r="M107" s="42">
        <f>DPViagens[[#This Row],[DÉC]] - DRViagens[[#This Row],[DÉC]]</f>
        <v>0</v>
      </c>
      <c r="N107" s="43">
        <f t="shared" si="3"/>
        <v>0</v>
      </c>
    </row>
    <row r="108" spans="1:15" ht="21" customHeight="1" thickBot="1" x14ac:dyDescent="0.45">
      <c r="A108" s="40" t="s">
        <v>83</v>
      </c>
      <c r="B108" s="42">
        <f>DPViagens[[#This Row],[JANV]] - DRViagens[[#This Row],[JANV]]</f>
        <v>370</v>
      </c>
      <c r="C108" s="42">
        <f>DPViagens[[#This Row],[FÉVR]] - DRViagens[[#This Row],[FÉVR]]</f>
        <v>370</v>
      </c>
      <c r="D108" s="42">
        <f>DPViagens[[#This Row],[MARS]] - DRViagens[[#This Row],[MARS]]</f>
        <v>370</v>
      </c>
      <c r="E108" s="42">
        <f>DPViagens[[#This Row],[AVR]] - DRViagens[[#This Row],[AVR]]</f>
        <v>370</v>
      </c>
      <c r="F108" s="42">
        <f>DPViagens[[#This Row],[MAI]] - DRViagens[[#This Row],[MAI]]</f>
        <v>370</v>
      </c>
      <c r="G108" s="42">
        <f>DPViagens[[#This Row],[JUIN]] - DRViagens[[#This Row],[JUIN]]</f>
        <v>370</v>
      </c>
      <c r="H108" s="42">
        <f>DPViagens[[#This Row],[JUIL]] - DRViagens[[#This Row],[JUIL]]</f>
        <v>370</v>
      </c>
      <c r="I108" s="42">
        <f>DPViagens[[#This Row],[AOÛT]] - DRViagens[[#This Row],[AOÛT]]</f>
        <v>370</v>
      </c>
      <c r="J108" s="42">
        <f>DPViagens[[#This Row],[SEPT]] - DRViagens[[#This Row],[SEPT]]</f>
        <v>370</v>
      </c>
      <c r="K108" s="42">
        <f>DPViagens[[#This Row],[OCT]] - DRViagens[[#This Row],[OCT]]</f>
        <v>370</v>
      </c>
      <c r="L108" s="42">
        <f>DPViagens[[#This Row],[NOV]] - DRViagens[[#This Row],[NOV]]</f>
        <v>370</v>
      </c>
      <c r="M108" s="42">
        <f>DPViagens[[#This Row],[DÉC]] - DRViagens[[#This Row],[DÉC]]</f>
        <v>370</v>
      </c>
      <c r="N108" s="43">
        <f t="shared" si="3"/>
        <v>4440</v>
      </c>
    </row>
    <row r="109" spans="1:15" ht="25.15" customHeight="1" x14ac:dyDescent="0.4">
      <c r="A109" s="25" t="s">
        <v>113</v>
      </c>
      <c r="B109" s="43">
        <f>SUBTOTAL(109,Viagens54[JANV])</f>
        <v>4263.6000000000004</v>
      </c>
      <c r="C109" s="43">
        <f>SUBTOTAL(109,Viagens54[FÉVR])</f>
        <v>4820</v>
      </c>
      <c r="D109" s="43">
        <f>SUBTOTAL(109,Viagens54[MARS])</f>
        <v>4820</v>
      </c>
      <c r="E109" s="43">
        <f>SUBTOTAL(109,Viagens54[AVR])</f>
        <v>4820</v>
      </c>
      <c r="F109" s="43">
        <f>SUBTOTAL(109,Viagens54[MAI])</f>
        <v>4820</v>
      </c>
      <c r="G109" s="43">
        <f>SUBTOTAL(109,Viagens54[JUIN])</f>
        <v>4820</v>
      </c>
      <c r="H109" s="43">
        <f>SUBTOTAL(109,Viagens54[JUIL])</f>
        <v>4820</v>
      </c>
      <c r="I109" s="43">
        <f>SUBTOTAL(109,Viagens54[AOÛT])</f>
        <v>4820</v>
      </c>
      <c r="J109" s="43">
        <f>SUBTOTAL(109,Viagens54[SEPT])</f>
        <v>4820</v>
      </c>
      <c r="K109" s="43">
        <f>SUBTOTAL(109,Viagens54[OCT])</f>
        <v>4820</v>
      </c>
      <c r="L109" s="43">
        <f>SUBTOTAL(109,Viagens54[NOV])</f>
        <v>4820</v>
      </c>
      <c r="M109" s="43">
        <f>SUBTOTAL(109,Viagens54[DÉC])</f>
        <v>4820</v>
      </c>
      <c r="N109" s="43">
        <f>SUBTOTAL(109,Viagens54[ANNÉE])</f>
        <v>57283.6</v>
      </c>
    </row>
    <row r="110" spans="1:15" ht="25.15" customHeight="1" x14ac:dyDescent="0.35">
      <c r="A110" s="31"/>
      <c r="B110" s="31"/>
      <c r="C110" s="37"/>
      <c r="D110" s="37"/>
      <c r="E110" s="37"/>
      <c r="F110" s="37"/>
      <c r="G110" s="37"/>
      <c r="H110" s="37"/>
      <c r="I110" s="37"/>
      <c r="J110" s="37"/>
      <c r="K110" s="37"/>
      <c r="L110" s="37"/>
      <c r="M110" s="37"/>
      <c r="N110" s="37"/>
      <c r="O110"/>
    </row>
    <row r="111" spans="1:15" ht="25.15" customHeight="1" thickBot="1" x14ac:dyDescent="0.4">
      <c r="A111" s="31"/>
      <c r="B111" s="31"/>
      <c r="C111" s="37"/>
      <c r="D111" s="37"/>
      <c r="E111" s="37"/>
      <c r="F111" s="37"/>
      <c r="G111" s="37"/>
      <c r="H111" s="37"/>
      <c r="I111" s="37"/>
      <c r="J111" s="37"/>
      <c r="K111" s="37"/>
      <c r="L111" s="37"/>
      <c r="M111" s="37"/>
      <c r="N111" s="37"/>
      <c r="O111"/>
    </row>
    <row r="112" spans="1:15" ht="25.15" customHeight="1" thickBot="1" x14ac:dyDescent="0.4">
      <c r="A112" s="219"/>
      <c r="B112" s="80" t="s">
        <v>99</v>
      </c>
      <c r="C112" s="81" t="s">
        <v>100</v>
      </c>
      <c r="D112" s="81" t="s">
        <v>101</v>
      </c>
      <c r="E112" s="81" t="s">
        <v>102</v>
      </c>
      <c r="F112" s="81" t="s">
        <v>103</v>
      </c>
      <c r="G112" s="81" t="s">
        <v>104</v>
      </c>
      <c r="H112" s="81" t="s">
        <v>105</v>
      </c>
      <c r="I112" s="81" t="s">
        <v>106</v>
      </c>
      <c r="J112" s="81" t="s">
        <v>107</v>
      </c>
      <c r="K112" s="81" t="s">
        <v>108</v>
      </c>
      <c r="L112" s="81" t="s">
        <v>109</v>
      </c>
      <c r="M112" s="81" t="s">
        <v>110</v>
      </c>
      <c r="N112" s="81" t="s">
        <v>111</v>
      </c>
      <c r="O112"/>
    </row>
    <row r="113" spans="1:15" ht="25.15" customHeight="1" thickBot="1" x14ac:dyDescent="0.4">
      <c r="A113" s="96" t="s">
        <v>123</v>
      </c>
      <c r="B113" s="83" t="s">
        <v>124</v>
      </c>
      <c r="C113" s="83" t="s">
        <v>125</v>
      </c>
      <c r="D113" s="83" t="s">
        <v>126</v>
      </c>
      <c r="E113" s="83" t="s">
        <v>127</v>
      </c>
      <c r="F113" s="83" t="s">
        <v>128</v>
      </c>
      <c r="G113" s="83" t="s">
        <v>129</v>
      </c>
      <c r="H113" s="83" t="s">
        <v>130</v>
      </c>
      <c r="I113" s="83" t="s">
        <v>131</v>
      </c>
      <c r="J113" s="83" t="s">
        <v>132</v>
      </c>
      <c r="K113" s="83" t="s">
        <v>133</v>
      </c>
      <c r="L113" s="83" t="s">
        <v>134</v>
      </c>
      <c r="M113" s="83" t="s">
        <v>135</v>
      </c>
      <c r="N113" s="84" t="s">
        <v>136</v>
      </c>
      <c r="O113"/>
    </row>
    <row r="114" spans="1:15" ht="21" customHeight="1" thickBot="1" x14ac:dyDescent="0.45">
      <c r="A114" s="97" t="s">
        <v>145</v>
      </c>
      <c r="B114" s="86">
        <f>'DESPESAS REAIS'!B$112</f>
        <v>14504.859999999999</v>
      </c>
      <c r="C114" s="87">
        <f>'DESPESAS REAIS'!C$112</f>
        <v>0</v>
      </c>
      <c r="D114" s="87">
        <f>'DESPESAS REAIS'!D$112</f>
        <v>0</v>
      </c>
      <c r="E114" s="87">
        <f>'DESPESAS REAIS'!E$112</f>
        <v>0</v>
      </c>
      <c r="F114" s="87">
        <f>'DESPESAS REAIS'!F$112</f>
        <v>0</v>
      </c>
      <c r="G114" s="87">
        <f>'DESPESAS REAIS'!G$112</f>
        <v>0</v>
      </c>
      <c r="H114" s="98">
        <f>'DESPESAS REAIS'!H$112</f>
        <v>0</v>
      </c>
      <c r="I114" s="98">
        <f>'DESPESAS REAIS'!I$112</f>
        <v>0</v>
      </c>
      <c r="J114" s="98">
        <f>'DESPESAS REAIS'!J$112</f>
        <v>0</v>
      </c>
      <c r="K114" s="98">
        <f>'DESPESAS REAIS'!K$112</f>
        <v>0</v>
      </c>
      <c r="L114" s="98">
        <f>'DESPESAS REAIS'!L$112</f>
        <v>0</v>
      </c>
      <c r="M114" s="98">
        <f>'DESPESAS REAIS'!M$112</f>
        <v>0</v>
      </c>
      <c r="N114" s="99">
        <f>'DESPESAS REAIS'!N$112</f>
        <v>14504.859999999999</v>
      </c>
    </row>
    <row r="115" spans="1:15" ht="21" customHeight="1" thickBot="1" x14ac:dyDescent="0.45">
      <c r="A115" s="100" t="s">
        <v>123</v>
      </c>
      <c r="B115" s="101">
        <f>SUM($B$114:B114)</f>
        <v>14504.859999999999</v>
      </c>
      <c r="C115" s="102">
        <f>SUM($B$114:C114)</f>
        <v>14504.859999999999</v>
      </c>
      <c r="D115" s="102">
        <f>SUM($B$114:D114)</f>
        <v>14504.859999999999</v>
      </c>
      <c r="E115" s="102">
        <f>SUM($B$114:E114)</f>
        <v>14504.859999999999</v>
      </c>
      <c r="F115" s="102">
        <f>SUM($B$114:F114)</f>
        <v>14504.859999999999</v>
      </c>
      <c r="G115" s="102">
        <f>SUM($B$114:G114)</f>
        <v>14504.859999999999</v>
      </c>
      <c r="H115" s="102">
        <f>SUM($B$114:H114)</f>
        <v>14504.859999999999</v>
      </c>
      <c r="I115" s="102">
        <f>SUM($B$114:I114)</f>
        <v>14504.859999999999</v>
      </c>
      <c r="J115" s="102">
        <f>SUM($B$114:J114)</f>
        <v>14504.859999999999</v>
      </c>
      <c r="K115" s="102">
        <f>SUM($B$114:K114)</f>
        <v>14504.859999999999</v>
      </c>
      <c r="L115" s="102">
        <f>SUM($B$114:L114)</f>
        <v>14504.859999999999</v>
      </c>
      <c r="M115" s="102">
        <f>SUM($B$114:M114)</f>
        <v>14504.859999999999</v>
      </c>
      <c r="N115" s="103">
        <f>'DESPESAS REAIS'!N$112</f>
        <v>14504.859999999999</v>
      </c>
    </row>
    <row r="116" spans="1:15" ht="21" customHeight="1" x14ac:dyDescent="0.4">
      <c r="A116" s="31"/>
      <c r="B116" s="31"/>
      <c r="C116" s="37"/>
      <c r="D116" s="37"/>
      <c r="E116" s="37"/>
      <c r="F116" s="37"/>
      <c r="G116" s="37"/>
      <c r="H116" s="37"/>
      <c r="I116" s="37"/>
      <c r="J116" s="37"/>
      <c r="K116" s="37"/>
      <c r="L116" s="37"/>
      <c r="M116" s="37"/>
      <c r="N116" s="37"/>
    </row>
    <row r="117" spans="1:15" ht="21" customHeight="1" x14ac:dyDescent="0.4">
      <c r="B117" s="80" t="s">
        <v>99</v>
      </c>
      <c r="C117" s="81" t="s">
        <v>100</v>
      </c>
      <c r="D117" s="81" t="s">
        <v>101</v>
      </c>
      <c r="E117" s="81" t="s">
        <v>102</v>
      </c>
      <c r="F117" s="81" t="s">
        <v>103</v>
      </c>
      <c r="G117" s="81" t="s">
        <v>104</v>
      </c>
      <c r="H117" s="81" t="s">
        <v>105</v>
      </c>
      <c r="I117" s="81" t="s">
        <v>106</v>
      </c>
      <c r="J117" s="81" t="s">
        <v>107</v>
      </c>
      <c r="K117" s="81" t="s">
        <v>108</v>
      </c>
      <c r="L117" s="81" t="s">
        <v>109</v>
      </c>
      <c r="M117" s="81" t="s">
        <v>110</v>
      </c>
      <c r="N117" s="81" t="s">
        <v>111</v>
      </c>
    </row>
    <row r="118" spans="1:15" ht="21" customHeight="1" thickBot="1" x14ac:dyDescent="0.45">
      <c r="A118" s="96" t="s">
        <v>148</v>
      </c>
      <c r="B118" s="83" t="s">
        <v>124</v>
      </c>
      <c r="C118" s="83" t="s">
        <v>125</v>
      </c>
      <c r="D118" s="83" t="s">
        <v>126</v>
      </c>
      <c r="E118" s="83" t="s">
        <v>127</v>
      </c>
      <c r="F118" s="83" t="s">
        <v>128</v>
      </c>
      <c r="G118" s="83" t="s">
        <v>129</v>
      </c>
      <c r="H118" s="83" t="s">
        <v>130</v>
      </c>
      <c r="I118" s="83" t="s">
        <v>131</v>
      </c>
      <c r="J118" s="83" t="s">
        <v>132</v>
      </c>
      <c r="K118" s="83" t="s">
        <v>133</v>
      </c>
      <c r="L118" s="83" t="s">
        <v>134</v>
      </c>
      <c r="M118" s="83" t="s">
        <v>135</v>
      </c>
      <c r="N118" s="84" t="s">
        <v>136</v>
      </c>
    </row>
    <row r="119" spans="1:15" ht="21" customHeight="1" thickBot="1" x14ac:dyDescent="0.45">
      <c r="A119" s="97" t="s">
        <v>149</v>
      </c>
      <c r="B119" s="86">
        <f>'GANHOS REAIS'!$O2</f>
        <v>13168.670000000047</v>
      </c>
      <c r="C119" s="86">
        <f>'GANHOS REAIS'!$O2</f>
        <v>13168.670000000047</v>
      </c>
      <c r="D119" s="86">
        <f>'GANHOS REAIS'!$O2</f>
        <v>13168.670000000047</v>
      </c>
      <c r="E119" s="86">
        <f>'GANHOS REAIS'!$O2</f>
        <v>13168.670000000047</v>
      </c>
      <c r="F119" s="86">
        <f>'GANHOS REAIS'!$O2</f>
        <v>13168.670000000047</v>
      </c>
      <c r="G119" s="86">
        <f>'GANHOS REAIS'!$O2</f>
        <v>13168.670000000047</v>
      </c>
      <c r="H119" s="86">
        <f>'GANHOS REAIS'!$O2</f>
        <v>13168.670000000047</v>
      </c>
      <c r="I119" s="86">
        <f>'GANHOS REAIS'!$O2</f>
        <v>13168.670000000047</v>
      </c>
      <c r="J119" s="86">
        <f>'GANHOS REAIS'!$O2</f>
        <v>13168.670000000047</v>
      </c>
      <c r="K119" s="86">
        <f>'GANHOS REAIS'!$O2</f>
        <v>13168.670000000047</v>
      </c>
      <c r="L119" s="86">
        <f>'GANHOS REAIS'!$O2</f>
        <v>13168.670000000047</v>
      </c>
      <c r="M119" s="86">
        <f>'GANHOS REAIS'!$O2</f>
        <v>13168.670000000047</v>
      </c>
      <c r="N119" s="88">
        <f>'GANHOS PREVISTOS'!$O14</f>
        <v>146695.74999999997</v>
      </c>
    </row>
    <row r="120" spans="1:15" ht="21" customHeight="1" thickBot="1" x14ac:dyDescent="0.45">
      <c r="A120" s="100" t="s">
        <v>148</v>
      </c>
      <c r="B120" s="101">
        <f>SUM($B$119:B119)</f>
        <v>13168.670000000047</v>
      </c>
      <c r="C120" s="102">
        <f>SUM($B$119:C119)</f>
        <v>26337.340000000095</v>
      </c>
      <c r="D120" s="102">
        <f>SUM($B$119:D119)</f>
        <v>39506.01000000014</v>
      </c>
      <c r="E120" s="102">
        <f>SUM($B$119:E119)</f>
        <v>52674.680000000189</v>
      </c>
      <c r="F120" s="102">
        <f>SUM($B$119:F119)</f>
        <v>65843.350000000239</v>
      </c>
      <c r="G120" s="102">
        <f>SUM($B$119:G119)</f>
        <v>79012.020000000281</v>
      </c>
      <c r="H120" s="102">
        <f>SUM($B$119:H119)</f>
        <v>92180.690000000322</v>
      </c>
      <c r="I120" s="102">
        <f>SUM($B$119:I119)</f>
        <v>105349.36000000036</v>
      </c>
      <c r="J120" s="102">
        <f>SUM($B$119:J119)</f>
        <v>118518.03000000041</v>
      </c>
      <c r="K120" s="102">
        <f>SUM($B$119:K119)</f>
        <v>131686.70000000045</v>
      </c>
      <c r="L120" s="102">
        <f>SUM($B$119:L119)</f>
        <v>144855.37000000049</v>
      </c>
      <c r="M120" s="102">
        <f>SUM($B$119:M119)</f>
        <v>158024.04000000053</v>
      </c>
      <c r="N120" s="103"/>
    </row>
    <row r="121" spans="1:15" ht="21" customHeight="1" x14ac:dyDescent="0.4">
      <c r="A121" s="31"/>
      <c r="B121" s="31"/>
      <c r="C121" s="37"/>
      <c r="D121" s="37"/>
      <c r="E121" s="37"/>
      <c r="F121" s="37"/>
      <c r="G121" s="37"/>
      <c r="H121" s="37"/>
      <c r="I121" s="37"/>
      <c r="J121" s="37"/>
      <c r="K121" s="37"/>
      <c r="L121" s="37"/>
      <c r="M121" s="37"/>
      <c r="N121" s="37"/>
    </row>
    <row r="122" spans="1:15" ht="21" customHeight="1" x14ac:dyDescent="0.4">
      <c r="B122" s="80" t="s">
        <v>99</v>
      </c>
      <c r="C122" s="81" t="s">
        <v>100</v>
      </c>
      <c r="D122" s="81" t="s">
        <v>101</v>
      </c>
      <c r="E122" s="81" t="s">
        <v>102</v>
      </c>
      <c r="F122" s="81" t="s">
        <v>103</v>
      </c>
      <c r="G122" s="81" t="s">
        <v>104</v>
      </c>
      <c r="H122" s="81" t="s">
        <v>105</v>
      </c>
      <c r="I122" s="81" t="s">
        <v>106</v>
      </c>
      <c r="J122" s="81" t="s">
        <v>107</v>
      </c>
      <c r="K122" s="81" t="s">
        <v>108</v>
      </c>
      <c r="L122" s="81" t="s">
        <v>109</v>
      </c>
      <c r="M122" s="81" t="s">
        <v>110</v>
      </c>
      <c r="N122" s="81" t="s">
        <v>111</v>
      </c>
    </row>
    <row r="123" spans="1:15" ht="21" customHeight="1" thickBot="1" x14ac:dyDescent="0.45">
      <c r="A123" s="96" t="s">
        <v>150</v>
      </c>
      <c r="B123" s="83" t="s">
        <v>124</v>
      </c>
      <c r="C123" s="83" t="s">
        <v>125</v>
      </c>
      <c r="D123" s="83" t="s">
        <v>126</v>
      </c>
      <c r="E123" s="83" t="s">
        <v>127</v>
      </c>
      <c r="F123" s="83" t="s">
        <v>128</v>
      </c>
      <c r="G123" s="83" t="s">
        <v>129</v>
      </c>
      <c r="H123" s="83" t="s">
        <v>130</v>
      </c>
      <c r="I123" s="83" t="s">
        <v>131</v>
      </c>
      <c r="J123" s="83" t="s">
        <v>132</v>
      </c>
      <c r="K123" s="83" t="s">
        <v>133</v>
      </c>
      <c r="L123" s="83" t="s">
        <v>134</v>
      </c>
      <c r="M123" s="83" t="s">
        <v>135</v>
      </c>
      <c r="N123" s="84" t="s">
        <v>136</v>
      </c>
    </row>
    <row r="124" spans="1:15" ht="21" customHeight="1" thickBot="1" x14ac:dyDescent="0.45">
      <c r="A124" s="97" t="s">
        <v>151</v>
      </c>
      <c r="B124" s="86">
        <f t="shared" ref="B124:N124" si="4">B119 - B114</f>
        <v>-1336.1899999999514</v>
      </c>
      <c r="C124" s="87">
        <f t="shared" si="4"/>
        <v>13168.670000000047</v>
      </c>
      <c r="D124" s="87">
        <f t="shared" si="4"/>
        <v>13168.670000000047</v>
      </c>
      <c r="E124" s="87">
        <f t="shared" si="4"/>
        <v>13168.670000000047</v>
      </c>
      <c r="F124" s="87">
        <f t="shared" si="4"/>
        <v>13168.670000000047</v>
      </c>
      <c r="G124" s="87">
        <f t="shared" si="4"/>
        <v>13168.670000000047</v>
      </c>
      <c r="H124" s="87">
        <f t="shared" si="4"/>
        <v>13168.670000000047</v>
      </c>
      <c r="I124" s="87">
        <f t="shared" si="4"/>
        <v>13168.670000000047</v>
      </c>
      <c r="J124" s="87">
        <f t="shared" si="4"/>
        <v>13168.670000000047</v>
      </c>
      <c r="K124" s="87">
        <f t="shared" si="4"/>
        <v>13168.670000000047</v>
      </c>
      <c r="L124" s="87">
        <f t="shared" si="4"/>
        <v>13168.670000000047</v>
      </c>
      <c r="M124" s="87">
        <f t="shared" si="4"/>
        <v>13168.670000000047</v>
      </c>
      <c r="N124" s="87">
        <f t="shared" si="4"/>
        <v>132190.88999999998</v>
      </c>
    </row>
    <row r="125" spans="1:15" ht="21" customHeight="1" thickBot="1" x14ac:dyDescent="0.45">
      <c r="A125" s="100" t="s">
        <v>150</v>
      </c>
      <c r="B125" s="101">
        <f>SUM($B$124:B124)</f>
        <v>-1336.1899999999514</v>
      </c>
      <c r="C125" s="102">
        <f>SUM($B$124:C124)</f>
        <v>11832.480000000096</v>
      </c>
      <c r="D125" s="102">
        <f>SUM($B$124:D124)</f>
        <v>25001.150000000143</v>
      </c>
      <c r="E125" s="102">
        <f>SUM($B$124:E124)</f>
        <v>38169.820000000189</v>
      </c>
      <c r="F125" s="102">
        <f>SUM($B$124:F124)</f>
        <v>51338.490000000238</v>
      </c>
      <c r="G125" s="102">
        <f>SUM($B$124:G124)</f>
        <v>64507.160000000287</v>
      </c>
      <c r="H125" s="102">
        <f>SUM($B$124:H124)</f>
        <v>77675.830000000336</v>
      </c>
      <c r="I125" s="102">
        <f>SUM($B$124:I124)</f>
        <v>90844.500000000378</v>
      </c>
      <c r="J125" s="102">
        <f>SUM($B$124:J124)</f>
        <v>104013.17000000042</v>
      </c>
      <c r="K125" s="102">
        <f>SUM($B$124:K124)</f>
        <v>117181.84000000046</v>
      </c>
      <c r="L125" s="102">
        <f>SUM($B$124:L124)</f>
        <v>130350.5100000005</v>
      </c>
      <c r="M125" s="102">
        <f>SUM($B$124:M124)</f>
        <v>143519.18000000055</v>
      </c>
      <c r="N125" s="103"/>
    </row>
    <row r="127" spans="1:15" ht="21" customHeight="1" thickBot="1" x14ac:dyDescent="0.35">
      <c r="A127" s="104" t="s">
        <v>152</v>
      </c>
      <c r="B127" s="147" t="s">
        <v>153</v>
      </c>
      <c r="C127" s="147" t="s">
        <v>154</v>
      </c>
      <c r="O127" s="2"/>
    </row>
    <row r="128" spans="1:15" ht="21" customHeight="1" thickBot="1" x14ac:dyDescent="0.35">
      <c r="A128" s="97" t="s">
        <v>155</v>
      </c>
      <c r="B128" s="77">
        <f>B$119 - B$114</f>
        <v>-1336.1899999999514</v>
      </c>
      <c r="C128" s="77">
        <f>B$119 - B$114*(1 +'METAS INFLACAO'!$C$2)</f>
        <v>-1408.7142999999505</v>
      </c>
      <c r="O128" s="2"/>
    </row>
    <row r="129" spans="1:15" ht="21" customHeight="1" thickBot="1" x14ac:dyDescent="0.35">
      <c r="A129" s="97" t="s">
        <v>156</v>
      </c>
      <c r="B129" s="77">
        <f>C$119 - C$114</f>
        <v>13168.670000000047</v>
      </c>
      <c r="C129" s="77">
        <f>B$119 - B$114*(1 +'METAS INFLACAO'!$C$2)</f>
        <v>-1408.7142999999505</v>
      </c>
      <c r="O129" s="2"/>
    </row>
    <row r="130" spans="1:15" ht="21" customHeight="1" thickBot="1" x14ac:dyDescent="0.35">
      <c r="A130" s="97" t="s">
        <v>157</v>
      </c>
      <c r="B130" s="77">
        <f>D$119 - D$114</f>
        <v>13168.670000000047</v>
      </c>
      <c r="C130" s="77">
        <f>B$119 - B$114*(1 +'METAS INFLACAO'!$C$2)</f>
        <v>-1408.7142999999505</v>
      </c>
      <c r="O130" s="2"/>
    </row>
    <row r="131" spans="1:15" ht="21" customHeight="1" thickBot="1" x14ac:dyDescent="0.35">
      <c r="A131" s="97" t="s">
        <v>158</v>
      </c>
      <c r="B131" s="77">
        <f>E$119 - E$114</f>
        <v>13168.670000000047</v>
      </c>
      <c r="C131" s="77">
        <f>B$119 - B$114*(1 +'METAS INFLACAO'!$C$2)</f>
        <v>-1408.7142999999505</v>
      </c>
      <c r="O131" s="2"/>
    </row>
    <row r="132" spans="1:15" ht="21" customHeight="1" thickBot="1" x14ac:dyDescent="0.35">
      <c r="A132" s="97" t="s">
        <v>159</v>
      </c>
      <c r="B132" s="77">
        <f>F$119 - F$114</f>
        <v>13168.670000000047</v>
      </c>
      <c r="C132" s="77">
        <f>B$119 - B$114*(1 +'METAS INFLACAO'!$C$2)</f>
        <v>-1408.7142999999505</v>
      </c>
      <c r="O132" s="2"/>
    </row>
    <row r="133" spans="1:15" ht="21" customHeight="1" thickBot="1" x14ac:dyDescent="0.35">
      <c r="A133" s="97" t="s">
        <v>160</v>
      </c>
      <c r="B133" s="77">
        <f>G$119 - G$114</f>
        <v>13168.670000000047</v>
      </c>
      <c r="C133" s="77">
        <f>B$119 - B$114*(1 +'METAS INFLACAO'!$C$2)</f>
        <v>-1408.7142999999505</v>
      </c>
      <c r="O133" s="2"/>
    </row>
    <row r="134" spans="1:15" ht="21" customHeight="1" thickBot="1" x14ac:dyDescent="0.35">
      <c r="A134" s="97" t="s">
        <v>161</v>
      </c>
      <c r="B134" s="77">
        <f>H$119 - H$114</f>
        <v>13168.670000000047</v>
      </c>
      <c r="C134" s="77">
        <f>B$119 - B$114*(1 +'METAS INFLACAO'!$C$2)</f>
        <v>-1408.7142999999505</v>
      </c>
      <c r="O134" s="2"/>
    </row>
    <row r="135" spans="1:15" ht="21" customHeight="1" thickBot="1" x14ac:dyDescent="0.35">
      <c r="A135" s="97" t="s">
        <v>162</v>
      </c>
      <c r="B135" s="77">
        <f>I$119 - I$114</f>
        <v>13168.670000000047</v>
      </c>
      <c r="C135" s="77">
        <f>B$119 - B$114*(1 +'METAS INFLACAO'!$C$2)</f>
        <v>-1408.7142999999505</v>
      </c>
      <c r="O135" s="2"/>
    </row>
    <row r="136" spans="1:15" ht="21" customHeight="1" thickBot="1" x14ac:dyDescent="0.35">
      <c r="A136" s="97" t="s">
        <v>163</v>
      </c>
      <c r="B136" s="77">
        <f>J$119 - J$114</f>
        <v>13168.670000000047</v>
      </c>
      <c r="C136" s="77">
        <f>B$119 - B$114*(1 +'METAS INFLACAO'!$C$2)</f>
        <v>-1408.7142999999505</v>
      </c>
      <c r="O136" s="2"/>
    </row>
    <row r="137" spans="1:15" ht="21" customHeight="1" thickBot="1" x14ac:dyDescent="0.35">
      <c r="A137" s="97" t="s">
        <v>164</v>
      </c>
      <c r="B137" s="77">
        <f>K$119 - K$114</f>
        <v>13168.670000000047</v>
      </c>
      <c r="C137" s="77">
        <f>B$119 - B$114*(1 +'METAS INFLACAO'!$C$2)</f>
        <v>-1408.7142999999505</v>
      </c>
      <c r="O137" s="2"/>
    </row>
    <row r="138" spans="1:15" ht="21" customHeight="1" thickBot="1" x14ac:dyDescent="0.35">
      <c r="A138" s="97" t="s">
        <v>165</v>
      </c>
      <c r="B138" s="77">
        <f>L$119 - L$114</f>
        <v>13168.670000000047</v>
      </c>
      <c r="C138" s="77">
        <f>B$119 - B$114*(1 +'METAS INFLACAO'!$C$2)</f>
        <v>-1408.7142999999505</v>
      </c>
      <c r="O138" s="2"/>
    </row>
    <row r="139" spans="1:15" ht="21" customHeight="1" thickBot="1" x14ac:dyDescent="0.35">
      <c r="A139" s="97" t="s">
        <v>166</v>
      </c>
      <c r="B139" s="77">
        <f>M$119 - M$114</f>
        <v>13168.670000000047</v>
      </c>
      <c r="C139" s="77">
        <f>B$119 - B$114*(1 +'METAS INFLACAO'!$C$2)</f>
        <v>-1408.7142999999505</v>
      </c>
      <c r="O139" s="2"/>
    </row>
    <row r="140" spans="1:15" ht="21" customHeight="1" thickBot="1" x14ac:dyDescent="0.35">
      <c r="A140" s="105" t="s">
        <v>167</v>
      </c>
      <c r="B140" s="106">
        <f>SUM(B128:B139)</f>
        <v>143519.18000000055</v>
      </c>
      <c r="C140" s="77">
        <f>B$119 - B$114*(1 +'METAS INFLACAO'!$C$2)</f>
        <v>-1408.7142999999505</v>
      </c>
      <c r="O140" s="2"/>
    </row>
  </sheetData>
  <conditionalFormatting sqref="B3:N7 B9:N12 B14:N17 B19:N22 B24:N28 B30:N34 B36:N42 B44:N48 B50:N56 B58:N66 B89:N98 B100:N109">
    <cfRule type="cellIs" dxfId="4" priority="3" operator="lessThan">
      <formula>0</formula>
    </cfRule>
  </conditionalFormatting>
  <conditionalFormatting sqref="B68:N80 B82:N87 B128:C140">
    <cfRule type="cellIs" dxfId="3" priority="4" operator="lessThan">
      <formula>0</formula>
    </cfRule>
  </conditionalFormatting>
  <conditionalFormatting sqref="B124:N125">
    <cfRule type="cellIs" dxfId="2" priority="5" operator="lessThan">
      <formula>0</formula>
    </cfRule>
  </conditionalFormatting>
  <dataValidations count="1">
    <dataValidation type="list" allowBlank="1" showInputMessage="1" showErrorMessage="1" sqref="A2 A57 A49 A43 A35 A18 A29 A23 A8 A13 A67 A99 A112" xr:uid="{00000000-0002-0000-0400-000000000000}">
      <formula1>#REF!</formula1>
    </dataValidation>
  </dataValidations>
  <pageMargins left="0.7" right="0.7" top="0.75" bottom="0.75" header="0.3" footer="0.3"/>
  <pageSetup paperSize="9" scale="81" fitToHeight="0" orientation="portrait"/>
  <rowBreaks count="1" manualBreakCount="1">
    <brk id="94" max="16383" man="1"/>
  </rowBreaks>
  <colBreaks count="1" manualBreakCount="1">
    <brk id="5" max="1048575" man="1"/>
  </colBreaks>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tabColor theme="8" tint="0.59999389629810485"/>
  </sheetPr>
  <dimension ref="A1:O19"/>
  <sheetViews>
    <sheetView zoomScale="140" zoomScaleNormal="140" workbookViewId="0">
      <pane xSplit="1" ySplit="1" topLeftCell="E2" activePane="bottomRight" state="frozen"/>
      <selection pane="topRight" activeCell="B1" sqref="B1"/>
      <selection pane="bottomLeft" activeCell="A7" sqref="A7"/>
      <selection pane="bottomRight" activeCell="K18" sqref="K18"/>
    </sheetView>
  </sheetViews>
  <sheetFormatPr baseColWidth="10" defaultColWidth="11" defaultRowHeight="12.75" x14ac:dyDescent="0.35"/>
  <cols>
    <col min="1" max="1" width="10.3046875" style="54" customWidth="1"/>
    <col min="2" max="2" width="15.3828125" style="54" bestFit="1" customWidth="1"/>
    <col min="3" max="3" width="17" style="54" bestFit="1" customWidth="1"/>
    <col min="4" max="4" width="18.69140625" style="54" bestFit="1" customWidth="1"/>
    <col min="5" max="5" width="14.3046875" style="54" customWidth="1"/>
    <col min="6" max="6" width="15.3828125" style="54" customWidth="1"/>
    <col min="7" max="7" width="17.07421875" style="54" bestFit="1" customWidth="1"/>
    <col min="8" max="8" width="15.61328125" style="54" bestFit="1" customWidth="1"/>
    <col min="9" max="9" width="15.3828125" style="54" bestFit="1" customWidth="1"/>
    <col min="10" max="10" width="26.69140625" style="54" customWidth="1"/>
    <col min="11" max="11" width="16.3046875" style="54" bestFit="1" customWidth="1"/>
    <col min="12" max="12" width="16.23046875" style="54" bestFit="1" customWidth="1"/>
    <col min="13" max="13" width="17.69140625" style="54" bestFit="1" customWidth="1"/>
    <col min="14" max="14" width="14.84375" style="54" bestFit="1" customWidth="1"/>
    <col min="15" max="15" width="19.07421875" style="54" bestFit="1" customWidth="1"/>
    <col min="16" max="25" width="11" style="54" customWidth="1"/>
    <col min="26" max="16384" width="11" style="54"/>
  </cols>
  <sheetData>
    <row r="1" spans="1:15" ht="25.9" customHeight="1" thickBot="1" x14ac:dyDescent="0.4">
      <c r="A1" s="108" t="s">
        <v>168</v>
      </c>
      <c r="B1" s="109" t="s">
        <v>169</v>
      </c>
      <c r="C1" s="109" t="s">
        <v>170</v>
      </c>
      <c r="D1" s="109" t="s">
        <v>171</v>
      </c>
      <c r="E1" s="109" t="s">
        <v>172</v>
      </c>
      <c r="F1" s="109" t="s">
        <v>173</v>
      </c>
      <c r="G1" s="109" t="s">
        <v>174</v>
      </c>
      <c r="H1" s="110" t="s">
        <v>175</v>
      </c>
      <c r="I1" s="110" t="s">
        <v>176</v>
      </c>
      <c r="J1" s="109" t="s">
        <v>177</v>
      </c>
      <c r="K1" s="109" t="s">
        <v>178</v>
      </c>
      <c r="L1" s="109" t="s">
        <v>179</v>
      </c>
      <c r="M1" s="109" t="s">
        <v>180</v>
      </c>
      <c r="N1" s="109" t="s">
        <v>181</v>
      </c>
      <c r="O1" s="111" t="s">
        <v>182</v>
      </c>
    </row>
    <row r="2" spans="1:15" ht="19.899999999999999" customHeight="1" x14ac:dyDescent="0.35">
      <c r="A2" s="112" t="s">
        <v>183</v>
      </c>
      <c r="B2" s="113">
        <v>5486.4</v>
      </c>
      <c r="C2" s="114">
        <v>6309.36</v>
      </c>
      <c r="D2" s="114">
        <v>124.33</v>
      </c>
      <c r="E2" s="114"/>
      <c r="F2" s="115"/>
      <c r="G2" s="115">
        <f t="shared" ref="G2:G13" si="0">SUM(B2:F2)</f>
        <v>11920.089999999998</v>
      </c>
      <c r="H2" s="116">
        <v>621.79</v>
      </c>
      <c r="I2" s="115">
        <v>2203.48</v>
      </c>
      <c r="J2" s="115"/>
      <c r="K2" s="115">
        <f t="shared" ref="K2:K13" si="1">SUM(H2:J2)</f>
        <v>2825.27</v>
      </c>
      <c r="L2" s="115">
        <f t="shared" ref="L2:L13" si="2">(G2-K2)</f>
        <v>9094.8199999999979</v>
      </c>
      <c r="M2" s="116">
        <v>389.05</v>
      </c>
      <c r="N2" s="115"/>
      <c r="O2" s="117">
        <f>'GANHOS PREVISTOS'!$L2 + 'GANHOS PREVISTOS'!$M2 + 'GANHOS PREVISTOS'!$N2</f>
        <v>9483.8699999999972</v>
      </c>
    </row>
    <row r="3" spans="1:15" ht="19.899999999999999" customHeight="1" x14ac:dyDescent="0.35">
      <c r="A3" s="118" t="s">
        <v>184</v>
      </c>
      <c r="B3" s="119">
        <v>5486.4</v>
      </c>
      <c r="C3" s="120">
        <v>6309.36</v>
      </c>
      <c r="D3" s="120">
        <v>124.33</v>
      </c>
      <c r="E3" s="120"/>
      <c r="F3" s="121"/>
      <c r="G3" s="121">
        <f t="shared" si="0"/>
        <v>11920.089999999998</v>
      </c>
      <c r="H3" s="122">
        <v>621.79</v>
      </c>
      <c r="I3" s="121">
        <v>2203.48</v>
      </c>
      <c r="J3" s="121"/>
      <c r="K3" s="121">
        <f t="shared" si="1"/>
        <v>2825.27</v>
      </c>
      <c r="L3" s="121">
        <f t="shared" si="2"/>
        <v>9094.8199999999979</v>
      </c>
      <c r="M3" s="122">
        <v>-9324.9799999998868</v>
      </c>
      <c r="N3" s="121"/>
      <c r="O3" s="123">
        <f>'GANHOS PREVISTOS'!$L3 + 'GANHOS PREVISTOS'!$M3 + 'GANHOS PREVISTOS'!$N3</f>
        <v>-230.1599999998889</v>
      </c>
    </row>
    <row r="4" spans="1:15" ht="19.899999999999999" customHeight="1" x14ac:dyDescent="0.35">
      <c r="A4" s="124" t="s">
        <v>185</v>
      </c>
      <c r="B4" s="125">
        <v>5486.4</v>
      </c>
      <c r="C4" s="126">
        <v>6309.36</v>
      </c>
      <c r="D4" s="126">
        <v>124.33</v>
      </c>
      <c r="E4" s="126"/>
      <c r="F4" s="127"/>
      <c r="G4" s="127">
        <f t="shared" si="0"/>
        <v>11920.089999999998</v>
      </c>
      <c r="H4" s="128">
        <v>621.79</v>
      </c>
      <c r="I4" s="127">
        <v>2203.48</v>
      </c>
      <c r="J4" s="127"/>
      <c r="K4" s="127">
        <f t="shared" si="1"/>
        <v>2825.27</v>
      </c>
      <c r="L4" s="127">
        <f t="shared" si="2"/>
        <v>9094.8199999999979</v>
      </c>
      <c r="M4" s="128">
        <v>-1860.8899999999851</v>
      </c>
      <c r="N4" s="127"/>
      <c r="O4" s="129">
        <f>'GANHOS PREVISTOS'!$L4 + 'GANHOS PREVISTOS'!$M4 + 'GANHOS PREVISTOS'!$N4</f>
        <v>7233.930000000013</v>
      </c>
    </row>
    <row r="5" spans="1:15" ht="19.899999999999999" customHeight="1" x14ac:dyDescent="0.35">
      <c r="A5" s="118" t="s">
        <v>186</v>
      </c>
      <c r="B5" s="119">
        <v>5486.4</v>
      </c>
      <c r="C5" s="120">
        <v>6309.36</v>
      </c>
      <c r="D5" s="120">
        <v>124.33</v>
      </c>
      <c r="E5" s="120"/>
      <c r="F5" s="121"/>
      <c r="G5" s="121">
        <f t="shared" si="0"/>
        <v>11920.089999999998</v>
      </c>
      <c r="H5" s="122">
        <v>621.79</v>
      </c>
      <c r="I5" s="121">
        <v>2203.48</v>
      </c>
      <c r="J5" s="121"/>
      <c r="K5" s="121">
        <f t="shared" si="1"/>
        <v>2825.27</v>
      </c>
      <c r="L5" s="121">
        <f t="shared" si="2"/>
        <v>9094.8199999999979</v>
      </c>
      <c r="M5" s="122">
        <v>2136.0099999999402</v>
      </c>
      <c r="N5" s="121"/>
      <c r="O5" s="123">
        <f>'GANHOS PREVISTOS'!$L5 + 'GANHOS PREVISTOS'!$M5 + 'GANHOS PREVISTOS'!$N5</f>
        <v>11230.829999999938</v>
      </c>
    </row>
    <row r="6" spans="1:15" ht="19.899999999999999" customHeight="1" x14ac:dyDescent="0.35">
      <c r="A6" s="124" t="s">
        <v>159</v>
      </c>
      <c r="B6" s="125">
        <v>5980.18</v>
      </c>
      <c r="C6" s="126">
        <v>6877.2</v>
      </c>
      <c r="D6" s="126">
        <v>124.33</v>
      </c>
      <c r="E6" s="126"/>
      <c r="F6" s="127"/>
      <c r="G6" s="127">
        <f t="shared" si="0"/>
        <v>12981.710000000001</v>
      </c>
      <c r="H6" s="128">
        <v>775.74</v>
      </c>
      <c r="I6" s="127">
        <v>2437.4899999999998</v>
      </c>
      <c r="J6" s="127"/>
      <c r="K6" s="127">
        <f t="shared" si="1"/>
        <v>3213.2299999999996</v>
      </c>
      <c r="L6" s="127">
        <f t="shared" si="2"/>
        <v>9768.4800000000014</v>
      </c>
      <c r="M6" s="128">
        <v>3769.5099999999979</v>
      </c>
      <c r="N6" s="127">
        <v>8152.97</v>
      </c>
      <c r="O6" s="129">
        <f>'GANHOS PREVISTOS'!$L6 + 'GANHOS PREVISTOS'!$M6 + 'GANHOS PREVISTOS'!$N6</f>
        <v>21690.959999999999</v>
      </c>
    </row>
    <row r="7" spans="1:15" ht="19.899999999999999" customHeight="1" x14ac:dyDescent="0.35">
      <c r="A7" s="118" t="s">
        <v>187</v>
      </c>
      <c r="B7" s="119">
        <v>5980.18</v>
      </c>
      <c r="C7" s="120">
        <v>6877.2</v>
      </c>
      <c r="D7" s="120">
        <v>124.33</v>
      </c>
      <c r="E7" s="120"/>
      <c r="F7" s="121">
        <v>6428.69</v>
      </c>
      <c r="G7" s="121">
        <f t="shared" si="0"/>
        <v>19410.400000000001</v>
      </c>
      <c r="H7" s="122">
        <v>775.74</v>
      </c>
      <c r="I7" s="121">
        <v>2437.4899999999998</v>
      </c>
      <c r="J7" s="121"/>
      <c r="K7" s="121">
        <f t="shared" si="1"/>
        <v>3213.2299999999996</v>
      </c>
      <c r="L7" s="121">
        <f t="shared" si="2"/>
        <v>16197.170000000002</v>
      </c>
      <c r="M7" s="122">
        <v>4673.3499999999767</v>
      </c>
      <c r="N7" s="121"/>
      <c r="O7" s="123">
        <f>'GANHOS PREVISTOS'!$L7 + 'GANHOS PREVISTOS'!$M7 + 'GANHOS PREVISTOS'!$N7</f>
        <v>20870.519999999979</v>
      </c>
    </row>
    <row r="8" spans="1:15" ht="19.899999999999999" customHeight="1" x14ac:dyDescent="0.35">
      <c r="A8" s="124" t="s">
        <v>188</v>
      </c>
      <c r="B8" s="125">
        <v>5980.18</v>
      </c>
      <c r="C8" s="126">
        <v>6877.2</v>
      </c>
      <c r="D8" s="126">
        <v>124.33</v>
      </c>
      <c r="E8" s="126"/>
      <c r="F8" s="127"/>
      <c r="G8" s="127">
        <f t="shared" si="0"/>
        <v>12981.710000000001</v>
      </c>
      <c r="H8" s="128">
        <v>775.74</v>
      </c>
      <c r="I8" s="127">
        <v>2437.4899999999998</v>
      </c>
      <c r="J8" s="127"/>
      <c r="K8" s="127">
        <f t="shared" si="1"/>
        <v>3213.2299999999996</v>
      </c>
      <c r="L8" s="127">
        <f t="shared" si="2"/>
        <v>9768.4800000000014</v>
      </c>
      <c r="M8" s="128">
        <v>5418.2900000000463</v>
      </c>
      <c r="N8" s="127"/>
      <c r="O8" s="129">
        <f>'GANHOS PREVISTOS'!$L8 + 'GANHOS PREVISTOS'!$M8 + 'GANHOS PREVISTOS'!$N8</f>
        <v>15186.770000000048</v>
      </c>
    </row>
    <row r="9" spans="1:15" ht="19.899999999999999" customHeight="1" x14ac:dyDescent="0.35">
      <c r="A9" s="118" t="s">
        <v>189</v>
      </c>
      <c r="B9" s="119">
        <v>5980.18</v>
      </c>
      <c r="C9" s="120">
        <v>6877.2</v>
      </c>
      <c r="D9" s="120">
        <v>124.33</v>
      </c>
      <c r="E9" s="120"/>
      <c r="F9" s="121"/>
      <c r="G9" s="121">
        <f t="shared" si="0"/>
        <v>12981.710000000001</v>
      </c>
      <c r="H9" s="122">
        <v>775.74</v>
      </c>
      <c r="I9" s="121">
        <v>2437.4899999999998</v>
      </c>
      <c r="J9" s="121"/>
      <c r="K9" s="121">
        <f t="shared" si="1"/>
        <v>3213.2299999999996</v>
      </c>
      <c r="L9" s="121">
        <f t="shared" si="2"/>
        <v>9768.4800000000014</v>
      </c>
      <c r="M9" s="122">
        <v>-1220.9799999999379</v>
      </c>
      <c r="N9" s="121"/>
      <c r="O9" s="123">
        <f>'GANHOS PREVISTOS'!$L9 + 'GANHOS PREVISTOS'!$M9 + 'GANHOS PREVISTOS'!$N9</f>
        <v>8547.5000000000637</v>
      </c>
    </row>
    <row r="10" spans="1:15" ht="19.899999999999999" customHeight="1" x14ac:dyDescent="0.35">
      <c r="A10" s="124" t="s">
        <v>190</v>
      </c>
      <c r="B10" s="119">
        <v>5980.18</v>
      </c>
      <c r="C10" s="120">
        <v>6877.2</v>
      </c>
      <c r="D10" s="120">
        <v>124.33</v>
      </c>
      <c r="E10" s="126"/>
      <c r="F10" s="127"/>
      <c r="G10" s="127">
        <f t="shared" si="0"/>
        <v>12981.710000000001</v>
      </c>
      <c r="H10" s="122">
        <v>775.74</v>
      </c>
      <c r="I10" s="121">
        <v>2437.4899999999998</v>
      </c>
      <c r="J10" s="127"/>
      <c r="K10" s="127">
        <f t="shared" si="1"/>
        <v>3213.2299999999996</v>
      </c>
      <c r="L10" s="127">
        <f t="shared" si="2"/>
        <v>9768.4800000000014</v>
      </c>
      <c r="M10" s="128">
        <v>1353.229999999701</v>
      </c>
      <c r="N10" s="127"/>
      <c r="O10" s="129">
        <f>'GANHOS PREVISTOS'!$L10 + 'GANHOS PREVISTOS'!$M10 + 'GANHOS PREVISTOS'!$N10</f>
        <v>11121.709999999703</v>
      </c>
    </row>
    <row r="11" spans="1:15" ht="19.899999999999999" customHeight="1" x14ac:dyDescent="0.35">
      <c r="A11" s="118" t="s">
        <v>191</v>
      </c>
      <c r="B11" s="119">
        <v>5980.18</v>
      </c>
      <c r="C11" s="120">
        <v>6877.2</v>
      </c>
      <c r="D11" s="120">
        <v>124.33</v>
      </c>
      <c r="E11" s="120"/>
      <c r="F11" s="121"/>
      <c r="G11" s="121">
        <f t="shared" si="0"/>
        <v>12981.710000000001</v>
      </c>
      <c r="H11" s="122">
        <v>775.74</v>
      </c>
      <c r="I11" s="121">
        <v>2437.4899999999998</v>
      </c>
      <c r="J11" s="121"/>
      <c r="K11" s="121">
        <f t="shared" si="1"/>
        <v>3213.2299999999996</v>
      </c>
      <c r="L11" s="121">
        <f t="shared" si="2"/>
        <v>9768.4800000000014</v>
      </c>
      <c r="M11" s="122">
        <v>2154.7400000001871</v>
      </c>
      <c r="N11" s="121"/>
      <c r="O11" s="123">
        <f>'GANHOS PREVISTOS'!$L11 + 'GANHOS PREVISTOS'!$M11 + 'GANHOS PREVISTOS'!$N11</f>
        <v>11923.220000000189</v>
      </c>
    </row>
    <row r="12" spans="1:15" ht="19.899999999999999" customHeight="1" x14ac:dyDescent="0.35">
      <c r="A12" s="124" t="s">
        <v>192</v>
      </c>
      <c r="B12" s="119">
        <v>5980.18</v>
      </c>
      <c r="C12" s="120">
        <v>6877.2</v>
      </c>
      <c r="D12" s="120">
        <v>124.33</v>
      </c>
      <c r="E12" s="126"/>
      <c r="F12" s="127">
        <v>12857.38</v>
      </c>
      <c r="G12" s="127">
        <f t="shared" si="0"/>
        <v>25839.09</v>
      </c>
      <c r="H12" s="128">
        <f>775.74 + 775.74</f>
        <v>1551.48</v>
      </c>
      <c r="I12" s="127">
        <f>2437.49 + 2437.49</f>
        <v>4874.9799999999996</v>
      </c>
      <c r="J12" s="127">
        <v>6428.69</v>
      </c>
      <c r="K12" s="127">
        <f t="shared" si="1"/>
        <v>12855.149999999998</v>
      </c>
      <c r="L12" s="127">
        <f t="shared" si="2"/>
        <v>12983.940000000002</v>
      </c>
      <c r="M12" s="128">
        <v>3853.7299999999782</v>
      </c>
      <c r="N12" s="127"/>
      <c r="O12" s="129">
        <f>'GANHOS PREVISTOS'!$L12 + 'GANHOS PREVISTOS'!$M12 + 'GANHOS PREVISTOS'!$N12</f>
        <v>16837.66999999998</v>
      </c>
    </row>
    <row r="13" spans="1:15" ht="19.899999999999999" customHeight="1" x14ac:dyDescent="0.35">
      <c r="A13" s="118" t="s">
        <v>193</v>
      </c>
      <c r="B13" s="119">
        <v>5980.18</v>
      </c>
      <c r="C13" s="120">
        <v>6877.2</v>
      </c>
      <c r="D13" s="120">
        <v>124.33</v>
      </c>
      <c r="E13" s="120"/>
      <c r="F13" s="121"/>
      <c r="G13" s="121">
        <f t="shared" si="0"/>
        <v>12981.710000000001</v>
      </c>
      <c r="H13" s="122">
        <v>775.74</v>
      </c>
      <c r="I13" s="121">
        <v>2437.4899999999998</v>
      </c>
      <c r="J13" s="121"/>
      <c r="K13" s="121">
        <f t="shared" si="1"/>
        <v>3213.2299999999996</v>
      </c>
      <c r="L13" s="121">
        <f t="shared" si="2"/>
        <v>9768.4800000000014</v>
      </c>
      <c r="M13" s="122">
        <f>'[4]VARIACAO PATRIMONIAL'!E52</f>
        <v>3030.4499999999662</v>
      </c>
      <c r="N13" s="121"/>
      <c r="O13" s="123">
        <f>'GANHOS PREVISTOS'!$L13 + 'GANHOS PREVISTOS'!$M13 + 'GANHOS PREVISTOS'!$N13</f>
        <v>12798.929999999968</v>
      </c>
    </row>
    <row r="14" spans="1:15" ht="20.2" customHeight="1" thickBot="1" x14ac:dyDescent="0.4">
      <c r="A14" s="130" t="s">
        <v>194</v>
      </c>
      <c r="B14" s="131">
        <f>SUBTOTAL(109,'GANHOS PREVISTOS'!$B$2:$B$13)</f>
        <v>69787.040000000008</v>
      </c>
      <c r="C14" s="132">
        <f>SUBTOTAL(109,'GANHOS PREVISTOS'!$C$2:$C$13)</f>
        <v>80255.039999999979</v>
      </c>
      <c r="D14" s="132">
        <f>SUBTOTAL(109,'GANHOS PREVISTOS'!$D$2:$D$13)</f>
        <v>1491.9599999999998</v>
      </c>
      <c r="E14" s="132">
        <f>SUBTOTAL(109,'GANHOS PREVISTOS'!$E$2:$E$13)</f>
        <v>0</v>
      </c>
      <c r="F14" s="132">
        <f>SUBTOTAL(109,'GANHOS PREVISTOS'!$F$2:$F$13)</f>
        <v>19286.07</v>
      </c>
      <c r="G14" s="132">
        <f>SUBTOTAL(109,'GANHOS PREVISTOS'!$G$2:$G$13)</f>
        <v>170820.11000000002</v>
      </c>
      <c r="H14" s="132">
        <f>SUBTOTAL(109,'GANHOS PREVISTOS'!$H$2:$H$13)</f>
        <v>9468.8199999999979</v>
      </c>
      <c r="I14" s="132">
        <f>SUBTOTAL(109,'GANHOS PREVISTOS'!$I$2:$I$13)</f>
        <v>30751.329999999994</v>
      </c>
      <c r="J14" s="132">
        <f>SUBTOTAL(109,'GANHOS PREVISTOS'!$J$2:$J$13)</f>
        <v>6428.69</v>
      </c>
      <c r="K14" s="132">
        <f>SUBTOTAL(109,'GANHOS PREVISTOS'!$K$2:$K$13)</f>
        <v>46648.84</v>
      </c>
      <c r="L14" s="132">
        <f>SUBTOTAL(109,'GANHOS PREVISTOS'!$L$2:$L$13)</f>
        <v>124171.26999999997</v>
      </c>
      <c r="M14" s="132">
        <f>SUBTOTAL(109,'GANHOS PREVISTOS'!$M$2:$M$13)</f>
        <v>14371.509999999984</v>
      </c>
      <c r="N14" s="132">
        <f>SUBTOTAL(109,'GANHOS PREVISTOS'!$N$2:$N$13)</f>
        <v>8152.97</v>
      </c>
      <c r="O14" s="133">
        <f>SUBTOTAL(109,'GANHOS PREVISTOS'!$O$2:$O$13)</f>
        <v>146695.74999999997</v>
      </c>
    </row>
    <row r="15" spans="1:15" ht="13.15" customHeight="1" thickTop="1" x14ac:dyDescent="0.35"/>
    <row r="17" spans="1:6" x14ac:dyDescent="0.35">
      <c r="A17" s="221" t="s">
        <v>195</v>
      </c>
      <c r="B17" s="222"/>
      <c r="C17" s="223">
        <f ca="1">NOW()</f>
        <v>45333.382109375001</v>
      </c>
      <c r="D17" s="222"/>
      <c r="E17" s="55"/>
    </row>
    <row r="19" spans="1:6" x14ac:dyDescent="0.35">
      <c r="F19" s="212"/>
    </row>
  </sheetData>
  <mergeCells count="2">
    <mergeCell ref="A17:B17"/>
    <mergeCell ref="C17:D17"/>
  </mergeCells>
  <conditionalFormatting sqref="A2:L13">
    <cfRule type="expression" dxfId="1" priority="1" stopIfTrue="1">
      <formula>MOD(ROW(),2)=0</formula>
    </cfRule>
  </conditionalFormatting>
  <printOptions horizontalCentered="1"/>
  <pageMargins left="0.78740157480314965" right="0.78740157480314965" top="0.59055118110236227" bottom="0.59055118110236227" header="0.51181102362204722" footer="0.51181102362204722"/>
  <pageSetup paperSize="9"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13">
    <tabColor theme="8" tint="0.59999389629810485"/>
  </sheetPr>
  <dimension ref="A1:O19"/>
  <sheetViews>
    <sheetView zoomScale="140" zoomScaleNormal="140" workbookViewId="0">
      <pane xSplit="1" ySplit="1" topLeftCell="G2" activePane="bottomRight" state="frozen"/>
      <selection pane="topRight" activeCell="B1" sqref="B1"/>
      <selection pane="bottomLeft" activeCell="A7" sqref="A7"/>
      <selection pane="bottomRight" activeCell="R9" sqref="R9"/>
    </sheetView>
  </sheetViews>
  <sheetFormatPr baseColWidth="10" defaultColWidth="11" defaultRowHeight="12.75" x14ac:dyDescent="0.35"/>
  <cols>
    <col min="1" max="1" width="10.3046875" style="54" customWidth="1"/>
    <col min="2" max="2" width="15.3828125" style="54" bestFit="1" customWidth="1"/>
    <col min="3" max="3" width="17" style="54" bestFit="1" customWidth="1"/>
    <col min="4" max="4" width="18.69140625" style="54" bestFit="1" customWidth="1"/>
    <col min="5" max="5" width="14.3046875" style="54" customWidth="1"/>
    <col min="6" max="6" width="15.3828125" style="54" customWidth="1"/>
    <col min="7" max="7" width="17.07421875" style="54" bestFit="1" customWidth="1"/>
    <col min="8" max="8" width="15.61328125" style="54" bestFit="1" customWidth="1"/>
    <col min="9" max="9" width="15.3828125" style="54" bestFit="1" customWidth="1"/>
    <col min="10" max="10" width="26.69140625" style="54" customWidth="1"/>
    <col min="11" max="11" width="16.3046875" style="54" bestFit="1" customWidth="1"/>
    <col min="12" max="12" width="16.23046875" style="54" bestFit="1" customWidth="1"/>
    <col min="13" max="13" width="17.69140625" style="54" bestFit="1" customWidth="1"/>
    <col min="14" max="14" width="14.84375" style="54" bestFit="1" customWidth="1"/>
    <col min="15" max="15" width="19.07421875" style="54" bestFit="1" customWidth="1"/>
    <col min="16" max="25" width="11" style="54" customWidth="1"/>
    <col min="26" max="16384" width="11" style="54"/>
  </cols>
  <sheetData>
    <row r="1" spans="1:15" ht="25.9" customHeight="1" thickBot="1" x14ac:dyDescent="0.4">
      <c r="A1" s="108" t="s">
        <v>168</v>
      </c>
      <c r="B1" s="109" t="s">
        <v>169</v>
      </c>
      <c r="C1" s="109" t="s">
        <v>170</v>
      </c>
      <c r="D1" s="109" t="s">
        <v>196</v>
      </c>
      <c r="E1" s="109" t="s">
        <v>172</v>
      </c>
      <c r="F1" s="109" t="s">
        <v>173</v>
      </c>
      <c r="G1" s="109" t="s">
        <v>174</v>
      </c>
      <c r="H1" s="109" t="s">
        <v>175</v>
      </c>
      <c r="I1" s="109" t="s">
        <v>176</v>
      </c>
      <c r="J1" s="109" t="s">
        <v>177</v>
      </c>
      <c r="K1" s="109" t="s">
        <v>178</v>
      </c>
      <c r="L1" s="109" t="s">
        <v>179</v>
      </c>
      <c r="M1" s="109" t="s">
        <v>180</v>
      </c>
      <c r="N1" s="109" t="s">
        <v>181</v>
      </c>
      <c r="O1" s="111" t="s">
        <v>182</v>
      </c>
    </row>
    <row r="2" spans="1:15" ht="19.899999999999999" customHeight="1" x14ac:dyDescent="0.35">
      <c r="A2" s="112" t="s">
        <v>183</v>
      </c>
      <c r="B2" s="113">
        <v>5980.18</v>
      </c>
      <c r="C2" s="114">
        <v>6877.2</v>
      </c>
      <c r="D2" s="114">
        <v>124.33</v>
      </c>
      <c r="E2" s="114"/>
      <c r="F2" s="115"/>
      <c r="G2" s="115">
        <f t="shared" ref="G2:G13" si="0">SUM(B2:F2)</f>
        <v>12981.710000000001</v>
      </c>
      <c r="H2" s="116">
        <v>735.34</v>
      </c>
      <c r="I2" s="115">
        <v>2448.6</v>
      </c>
      <c r="J2" s="115"/>
      <c r="K2" s="115">
        <f t="shared" ref="K2:K13" si="1">SUM(H2:J2)</f>
        <v>3183.94</v>
      </c>
      <c r="L2" s="115">
        <f t="shared" ref="L2:L13" si="2">(G2-K2)</f>
        <v>9797.77</v>
      </c>
      <c r="M2" s="116">
        <v>2996.130000000046</v>
      </c>
      <c r="N2" s="115">
        <v>374.77</v>
      </c>
      <c r="O2" s="117">
        <f>'GANHOS REAIS'!$L2 + 'GANHOS REAIS'!$M2 + 'GANHOS REAIS'!$N2</f>
        <v>13168.670000000047</v>
      </c>
    </row>
    <row r="3" spans="1:15" ht="19.899999999999999" customHeight="1" x14ac:dyDescent="0.35">
      <c r="A3" s="118" t="s">
        <v>184</v>
      </c>
      <c r="B3" s="119"/>
      <c r="C3" s="120"/>
      <c r="D3" s="120"/>
      <c r="E3" s="120"/>
      <c r="F3" s="121"/>
      <c r="G3" s="121">
        <f t="shared" si="0"/>
        <v>0</v>
      </c>
      <c r="H3" s="122"/>
      <c r="I3" s="121"/>
      <c r="J3" s="121"/>
      <c r="K3" s="121">
        <f t="shared" si="1"/>
        <v>0</v>
      </c>
      <c r="L3" s="121">
        <f t="shared" si="2"/>
        <v>0</v>
      </c>
      <c r="M3" s="122"/>
      <c r="N3" s="121"/>
      <c r="O3" s="123">
        <f>'GANHOS REAIS'!$L3 + 'GANHOS REAIS'!$M3 + 'GANHOS REAIS'!$N3</f>
        <v>0</v>
      </c>
    </row>
    <row r="4" spans="1:15" ht="19.899999999999999" customHeight="1" x14ac:dyDescent="0.35">
      <c r="A4" s="124" t="s">
        <v>185</v>
      </c>
      <c r="B4" s="125"/>
      <c r="C4" s="126"/>
      <c r="D4" s="126"/>
      <c r="E4" s="126"/>
      <c r="F4" s="127"/>
      <c r="G4" s="127">
        <f t="shared" si="0"/>
        <v>0</v>
      </c>
      <c r="H4" s="128"/>
      <c r="I4" s="127"/>
      <c r="J4" s="127"/>
      <c r="K4" s="127">
        <f t="shared" si="1"/>
        <v>0</v>
      </c>
      <c r="L4" s="127">
        <f t="shared" si="2"/>
        <v>0</v>
      </c>
      <c r="M4" s="128"/>
      <c r="N4" s="127"/>
      <c r="O4" s="129">
        <f>'GANHOS REAIS'!$L4 + 'GANHOS REAIS'!$M4 + 'GANHOS REAIS'!$N4</f>
        <v>0</v>
      </c>
    </row>
    <row r="5" spans="1:15" ht="19.899999999999999" customHeight="1" x14ac:dyDescent="0.35">
      <c r="A5" s="118" t="s">
        <v>186</v>
      </c>
      <c r="B5" s="119"/>
      <c r="C5" s="120"/>
      <c r="D5" s="120"/>
      <c r="E5" s="120"/>
      <c r="F5" s="121"/>
      <c r="G5" s="121">
        <f t="shared" si="0"/>
        <v>0</v>
      </c>
      <c r="H5" s="122"/>
      <c r="I5" s="121"/>
      <c r="J5" s="121"/>
      <c r="K5" s="121">
        <f t="shared" si="1"/>
        <v>0</v>
      </c>
      <c r="L5" s="121">
        <f t="shared" si="2"/>
        <v>0</v>
      </c>
      <c r="M5" s="122"/>
      <c r="N5" s="121"/>
      <c r="O5" s="123">
        <f>'GANHOS REAIS'!$L5 + 'GANHOS REAIS'!$M5 + 'GANHOS REAIS'!$N5</f>
        <v>0</v>
      </c>
    </row>
    <row r="6" spans="1:15" ht="19.899999999999999" customHeight="1" x14ac:dyDescent="0.35">
      <c r="A6" s="124" t="s">
        <v>159</v>
      </c>
      <c r="B6" s="125"/>
      <c r="C6" s="126"/>
      <c r="D6" s="126"/>
      <c r="E6" s="126"/>
      <c r="F6" s="127"/>
      <c r="G6" s="127">
        <f t="shared" si="0"/>
        <v>0</v>
      </c>
      <c r="H6" s="128"/>
      <c r="I6" s="127"/>
      <c r="J6" s="127"/>
      <c r="K6" s="127">
        <f t="shared" si="1"/>
        <v>0</v>
      </c>
      <c r="L6" s="127">
        <f t="shared" si="2"/>
        <v>0</v>
      </c>
      <c r="M6" s="128"/>
      <c r="N6" s="127"/>
      <c r="O6" s="129">
        <f>'GANHOS REAIS'!$L6 + 'GANHOS REAIS'!$M6 + 'GANHOS REAIS'!$N6</f>
        <v>0</v>
      </c>
    </row>
    <row r="7" spans="1:15" ht="19.899999999999999" customHeight="1" x14ac:dyDescent="0.35">
      <c r="A7" s="118" t="s">
        <v>187</v>
      </c>
      <c r="B7" s="119"/>
      <c r="C7" s="120"/>
      <c r="D7" s="120"/>
      <c r="E7" s="120"/>
      <c r="F7" s="121"/>
      <c r="G7" s="121">
        <f t="shared" si="0"/>
        <v>0</v>
      </c>
      <c r="H7" s="122"/>
      <c r="I7" s="121"/>
      <c r="J7" s="121"/>
      <c r="K7" s="121">
        <f t="shared" si="1"/>
        <v>0</v>
      </c>
      <c r="L7" s="121">
        <f t="shared" si="2"/>
        <v>0</v>
      </c>
      <c r="M7" s="122"/>
      <c r="N7" s="121"/>
      <c r="O7" s="123">
        <f>'GANHOS REAIS'!$L7 + 'GANHOS REAIS'!$M7 + 'GANHOS REAIS'!$N7</f>
        <v>0</v>
      </c>
    </row>
    <row r="8" spans="1:15" ht="19.899999999999999" customHeight="1" x14ac:dyDescent="0.35">
      <c r="A8" s="124" t="s">
        <v>188</v>
      </c>
      <c r="B8" s="125"/>
      <c r="C8" s="126"/>
      <c r="D8" s="126"/>
      <c r="E8" s="126"/>
      <c r="F8" s="127"/>
      <c r="G8" s="127">
        <f t="shared" si="0"/>
        <v>0</v>
      </c>
      <c r="H8" s="128"/>
      <c r="I8" s="127"/>
      <c r="J8" s="127"/>
      <c r="K8" s="127">
        <f t="shared" si="1"/>
        <v>0</v>
      </c>
      <c r="L8" s="127">
        <f t="shared" si="2"/>
        <v>0</v>
      </c>
      <c r="M8" s="128"/>
      <c r="N8" s="127"/>
      <c r="O8" s="129">
        <f>'GANHOS REAIS'!$L8 + 'GANHOS REAIS'!$M8 + 'GANHOS REAIS'!$N8</f>
        <v>0</v>
      </c>
    </row>
    <row r="9" spans="1:15" ht="19.899999999999999" customHeight="1" x14ac:dyDescent="0.35">
      <c r="A9" s="118" t="s">
        <v>189</v>
      </c>
      <c r="B9" s="119"/>
      <c r="C9" s="120"/>
      <c r="D9" s="120"/>
      <c r="E9" s="120"/>
      <c r="F9" s="121"/>
      <c r="G9" s="121">
        <f t="shared" si="0"/>
        <v>0</v>
      </c>
      <c r="H9" s="122"/>
      <c r="I9" s="121"/>
      <c r="J9" s="121"/>
      <c r="K9" s="121">
        <f t="shared" si="1"/>
        <v>0</v>
      </c>
      <c r="L9" s="121">
        <f t="shared" si="2"/>
        <v>0</v>
      </c>
      <c r="M9" s="122"/>
      <c r="N9" s="121"/>
      <c r="O9" s="123">
        <f>'GANHOS REAIS'!$L9 + 'GANHOS REAIS'!$M9 + 'GANHOS REAIS'!$N9</f>
        <v>0</v>
      </c>
    </row>
    <row r="10" spans="1:15" ht="19.899999999999999" customHeight="1" x14ac:dyDescent="0.35">
      <c r="A10" s="124" t="s">
        <v>190</v>
      </c>
      <c r="B10" s="119"/>
      <c r="C10" s="120"/>
      <c r="D10" s="120"/>
      <c r="E10" s="126"/>
      <c r="F10" s="127"/>
      <c r="G10" s="127">
        <f t="shared" si="0"/>
        <v>0</v>
      </c>
      <c r="H10" s="122"/>
      <c r="I10" s="121"/>
      <c r="J10" s="127"/>
      <c r="K10" s="127">
        <f t="shared" si="1"/>
        <v>0</v>
      </c>
      <c r="L10" s="127">
        <f t="shared" si="2"/>
        <v>0</v>
      </c>
      <c r="M10" s="128"/>
      <c r="N10" s="127"/>
      <c r="O10" s="129">
        <f>'GANHOS REAIS'!$L10 + 'GANHOS REAIS'!$M10 + 'GANHOS REAIS'!$N10</f>
        <v>0</v>
      </c>
    </row>
    <row r="11" spans="1:15" ht="19.899999999999999" customHeight="1" x14ac:dyDescent="0.35">
      <c r="A11" s="118" t="s">
        <v>191</v>
      </c>
      <c r="B11" s="119"/>
      <c r="C11" s="120"/>
      <c r="D11" s="120"/>
      <c r="E11" s="120"/>
      <c r="F11" s="121"/>
      <c r="G11" s="121">
        <f t="shared" si="0"/>
        <v>0</v>
      </c>
      <c r="H11" s="122"/>
      <c r="I11" s="121"/>
      <c r="J11" s="121"/>
      <c r="K11" s="121">
        <f t="shared" si="1"/>
        <v>0</v>
      </c>
      <c r="L11" s="121">
        <f t="shared" si="2"/>
        <v>0</v>
      </c>
      <c r="M11" s="122"/>
      <c r="N11" s="121"/>
      <c r="O11" s="123">
        <f>'GANHOS REAIS'!$L11 + 'GANHOS REAIS'!$M11 + 'GANHOS REAIS'!$N11</f>
        <v>0</v>
      </c>
    </row>
    <row r="12" spans="1:15" ht="19.899999999999999" customHeight="1" x14ac:dyDescent="0.35">
      <c r="A12" s="124" t="s">
        <v>192</v>
      </c>
      <c r="B12" s="119"/>
      <c r="C12" s="120"/>
      <c r="D12" s="120"/>
      <c r="E12" s="126"/>
      <c r="F12" s="127"/>
      <c r="G12" s="127">
        <f t="shared" si="0"/>
        <v>0</v>
      </c>
      <c r="H12" s="128"/>
      <c r="I12" s="127"/>
      <c r="J12" s="127"/>
      <c r="K12" s="127">
        <f t="shared" si="1"/>
        <v>0</v>
      </c>
      <c r="L12" s="127">
        <f t="shared" si="2"/>
        <v>0</v>
      </c>
      <c r="M12" s="128"/>
      <c r="N12" s="127"/>
      <c r="O12" s="129">
        <f>'GANHOS REAIS'!$L12 + 'GANHOS REAIS'!$M12 + 'GANHOS REAIS'!$N12</f>
        <v>0</v>
      </c>
    </row>
    <row r="13" spans="1:15" ht="19.899999999999999" customHeight="1" x14ac:dyDescent="0.35">
      <c r="A13" s="118" t="s">
        <v>193</v>
      </c>
      <c r="B13" s="119"/>
      <c r="C13" s="120"/>
      <c r="D13" s="120"/>
      <c r="E13" s="120"/>
      <c r="F13" s="121"/>
      <c r="G13" s="121">
        <f t="shared" si="0"/>
        <v>0</v>
      </c>
      <c r="H13" s="122"/>
      <c r="I13" s="121"/>
      <c r="J13" s="121"/>
      <c r="K13" s="121">
        <f t="shared" si="1"/>
        <v>0</v>
      </c>
      <c r="L13" s="121">
        <f t="shared" si="2"/>
        <v>0</v>
      </c>
      <c r="M13" s="122"/>
      <c r="N13" s="121"/>
      <c r="O13" s="123">
        <f>'GANHOS REAIS'!$L13 + 'GANHOS REAIS'!$M13 + 'GANHOS REAIS'!$N13</f>
        <v>0</v>
      </c>
    </row>
    <row r="14" spans="1:15" ht="20.2" customHeight="1" thickBot="1" x14ac:dyDescent="0.4">
      <c r="A14" s="130" t="s">
        <v>194</v>
      </c>
      <c r="B14" s="131">
        <f>SUBTOTAL(109,'GANHOS REAIS'!$B$2:$B$13)</f>
        <v>5980.18</v>
      </c>
      <c r="C14" s="132">
        <f>SUBTOTAL(109,'GANHOS REAIS'!$C$2:$C$13)</f>
        <v>6877.2</v>
      </c>
      <c r="D14" s="132">
        <f>SUBTOTAL(109,'GANHOS REAIS'!$D$2:$D$13)</f>
        <v>124.33</v>
      </c>
      <c r="E14" s="132">
        <f>SUBTOTAL(109,'GANHOS REAIS'!$E$2:$E$13)</f>
        <v>0</v>
      </c>
      <c r="F14" s="132">
        <f>SUBTOTAL(109,'GANHOS REAIS'!$F$2:$F$13)</f>
        <v>0</v>
      </c>
      <c r="G14" s="132">
        <f>SUBTOTAL(109,'GANHOS REAIS'!$G$2:$G$13)</f>
        <v>12981.710000000001</v>
      </c>
      <c r="H14" s="132">
        <f>SUBTOTAL(109,'GANHOS REAIS'!$H$2:$H$13)</f>
        <v>735.34</v>
      </c>
      <c r="I14" s="132">
        <f>SUBTOTAL(109,'GANHOS REAIS'!$I$2:$I$13)</f>
        <v>2448.6</v>
      </c>
      <c r="J14" s="132">
        <f>SUBTOTAL(109,'GANHOS REAIS'!$J$2:$J$13)</f>
        <v>0</v>
      </c>
      <c r="K14" s="132">
        <f>SUBTOTAL(109,'GANHOS REAIS'!$K$2:$K$13)</f>
        <v>3183.94</v>
      </c>
      <c r="L14" s="132">
        <f>SUBTOTAL(109,'GANHOS REAIS'!$L$2:$L$13)</f>
        <v>9797.77</v>
      </c>
      <c r="M14" s="132">
        <f>SUBTOTAL(109,'GANHOS REAIS'!$M$2:$M$13)</f>
        <v>2996.130000000046</v>
      </c>
      <c r="N14" s="132">
        <f>SUBTOTAL(109,'GANHOS REAIS'!$N$2:$N$13)</f>
        <v>374.77</v>
      </c>
      <c r="O14" s="133">
        <f>SUBTOTAL(109,'GANHOS REAIS'!$O$2:$O$13)</f>
        <v>13168.670000000047</v>
      </c>
    </row>
    <row r="15" spans="1:15" ht="13.15" customHeight="1" thickTop="1" x14ac:dyDescent="0.35"/>
    <row r="17" spans="1:6" x14ac:dyDescent="0.35">
      <c r="A17" s="221" t="s">
        <v>195</v>
      </c>
      <c r="B17" s="222"/>
      <c r="C17" s="223">
        <f ca="1">NOW()</f>
        <v>45333.382109375001</v>
      </c>
      <c r="D17" s="222"/>
      <c r="E17" s="55"/>
    </row>
    <row r="19" spans="1:6" x14ac:dyDescent="0.35">
      <c r="F19" s="212"/>
    </row>
  </sheetData>
  <mergeCells count="2">
    <mergeCell ref="A17:B17"/>
    <mergeCell ref="C17:D17"/>
  </mergeCells>
  <conditionalFormatting sqref="A2:L13">
    <cfRule type="expression" dxfId="0" priority="1" stopIfTrue="1">
      <formula>MOD(ROW(),2)=0</formula>
    </cfRule>
  </conditionalFormatting>
  <printOptions horizontalCentered="1"/>
  <pageMargins left="0.78740157480314965" right="0.78740157480314965" top="0.59055118110236227" bottom="0.59055118110236227" header="0.51181102362204722" footer="0.51181102362204722"/>
  <pageSetup paperSize="9"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10">
    <tabColor rgb="FF7030A0"/>
  </sheetPr>
  <dimension ref="A1:C12"/>
  <sheetViews>
    <sheetView zoomScale="160" zoomScaleNormal="160" workbookViewId="0">
      <selection activeCell="E6" sqref="E6"/>
    </sheetView>
  </sheetViews>
  <sheetFormatPr baseColWidth="10" defaultColWidth="11.23046875" defaultRowHeight="11.65" x14ac:dyDescent="0.35"/>
  <cols>
    <col min="1" max="1" width="33.69140625" style="220" bestFit="1" customWidth="1"/>
    <col min="2" max="2" width="16.921875" style="220" bestFit="1" customWidth="1"/>
    <col min="3" max="3" width="18.921875" style="220" bestFit="1" customWidth="1"/>
  </cols>
  <sheetData>
    <row r="1" spans="1:3" ht="25.05" customHeight="1" thickTop="1" x14ac:dyDescent="0.35">
      <c r="A1" s="135" t="s">
        <v>197</v>
      </c>
      <c r="B1" s="136" t="s">
        <v>198</v>
      </c>
      <c r="C1" s="137" t="s">
        <v>199</v>
      </c>
    </row>
    <row r="2" spans="1:3" ht="25.05" customHeight="1" x14ac:dyDescent="0.35">
      <c r="A2" s="203" t="s">
        <v>200</v>
      </c>
      <c r="B2" s="206">
        <f ca="1">EOMONTH(TODAY(), -1)</f>
        <v>45322</v>
      </c>
      <c r="C2" s="209">
        <v>150000</v>
      </c>
    </row>
    <row r="3" spans="1:3" ht="25.05" customHeight="1" x14ac:dyDescent="0.35">
      <c r="A3" s="204" t="s">
        <v>201</v>
      </c>
      <c r="B3" s="207">
        <v>48351</v>
      </c>
      <c r="C3" s="210">
        <v>150000</v>
      </c>
    </row>
    <row r="4" spans="1:3" ht="25.05" customHeight="1" x14ac:dyDescent="0.35">
      <c r="A4" s="203" t="s">
        <v>202</v>
      </c>
      <c r="B4" s="206"/>
      <c r="C4" s="209">
        <v>100000</v>
      </c>
    </row>
    <row r="5" spans="1:3" ht="25.05" customHeight="1" x14ac:dyDescent="0.35">
      <c r="A5" s="204"/>
      <c r="B5" s="207"/>
      <c r="C5" s="210"/>
    </row>
    <row r="6" spans="1:3" ht="25.05" customHeight="1" x14ac:dyDescent="0.35">
      <c r="A6" s="203"/>
      <c r="B6" s="206"/>
      <c r="C6" s="209"/>
    </row>
    <row r="7" spans="1:3" ht="25.05" customHeight="1" x14ac:dyDescent="0.35">
      <c r="A7" s="204"/>
      <c r="B7" s="207"/>
      <c r="C7" s="210"/>
    </row>
    <row r="8" spans="1:3" ht="25.05" customHeight="1" x14ac:dyDescent="0.35">
      <c r="A8" s="203"/>
      <c r="B8" s="206"/>
      <c r="C8" s="209"/>
    </row>
    <row r="9" spans="1:3" ht="25.05" customHeight="1" x14ac:dyDescent="0.35">
      <c r="A9" s="204"/>
      <c r="B9" s="207"/>
      <c r="C9" s="210"/>
    </row>
    <row r="10" spans="1:3" ht="25.05" customHeight="1" x14ac:dyDescent="0.35">
      <c r="A10" s="203"/>
      <c r="B10" s="206"/>
      <c r="C10" s="209"/>
    </row>
    <row r="11" spans="1:3" ht="25.05" customHeight="1" thickBot="1" x14ac:dyDescent="0.4">
      <c r="A11" s="205"/>
      <c r="B11" s="208"/>
      <c r="C11" s="211"/>
    </row>
    <row r="12" spans="1:3" ht="12" customHeight="1" thickTop="1"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5">
    <tabColor theme="7" tint="0.39997558519241921"/>
  </sheetPr>
  <dimension ref="A1:N37"/>
  <sheetViews>
    <sheetView zoomScale="109" zoomScaleNormal="109" workbookViewId="0">
      <pane xSplit="2" ySplit="1" topLeftCell="C2" activePane="bottomRight" state="frozen"/>
      <selection pane="topRight" activeCell="C1" sqref="C1"/>
      <selection pane="bottomLeft" activeCell="A2" sqref="A2"/>
      <selection pane="bottomRight" activeCell="E19" sqref="E19"/>
    </sheetView>
  </sheetViews>
  <sheetFormatPr baseColWidth="10" defaultColWidth="11.23046875" defaultRowHeight="11.65" x14ac:dyDescent="0.35"/>
  <cols>
    <col min="1" max="1" width="32.3828125" style="220" customWidth="1"/>
    <col min="2" max="2" width="47.69140625" style="220" bestFit="1" customWidth="1"/>
    <col min="3" max="3" width="20.3046875" style="220" bestFit="1" customWidth="1"/>
    <col min="4" max="14" width="25.61328125" style="220" customWidth="1"/>
  </cols>
  <sheetData>
    <row r="1" spans="1:14" ht="25.05" customHeight="1" thickTop="1" x14ac:dyDescent="0.35">
      <c r="A1" s="148" t="s">
        <v>203</v>
      </c>
      <c r="B1" s="149" t="s">
        <v>204</v>
      </c>
      <c r="C1" s="149" t="s">
        <v>85</v>
      </c>
      <c r="D1" s="149" t="s">
        <v>86</v>
      </c>
      <c r="E1" s="149" t="s">
        <v>87</v>
      </c>
      <c r="F1" s="149" t="s">
        <v>88</v>
      </c>
      <c r="G1" s="149" t="s">
        <v>89</v>
      </c>
      <c r="H1" s="149" t="s">
        <v>90</v>
      </c>
      <c r="I1" s="149" t="s">
        <v>91</v>
      </c>
      <c r="J1" s="149" t="s">
        <v>92</v>
      </c>
      <c r="K1" s="149" t="s">
        <v>93</v>
      </c>
      <c r="L1" s="149" t="s">
        <v>94</v>
      </c>
      <c r="M1" s="149" t="s">
        <v>95</v>
      </c>
      <c r="N1" s="150" t="s">
        <v>96</v>
      </c>
    </row>
    <row r="2" spans="1:14" ht="25.05" customHeight="1" x14ac:dyDescent="0.35">
      <c r="A2" s="151" t="s">
        <v>205</v>
      </c>
      <c r="B2" s="152" t="s">
        <v>206</v>
      </c>
      <c r="C2" s="153">
        <v>6.8999999999999999E-3</v>
      </c>
      <c r="D2" s="153"/>
      <c r="E2" s="153"/>
      <c r="F2" s="153"/>
      <c r="G2" s="153"/>
      <c r="H2" s="153"/>
      <c r="I2" s="153"/>
      <c r="J2" s="153"/>
      <c r="K2" s="153"/>
      <c r="L2" s="153"/>
      <c r="M2" s="153"/>
      <c r="N2" s="154"/>
    </row>
    <row r="3" spans="1:14" ht="25.05" customHeight="1" x14ac:dyDescent="0.35">
      <c r="A3" s="155"/>
      <c r="B3" s="156" t="s">
        <v>207</v>
      </c>
      <c r="C3" s="157">
        <f>'VARIACOES DESPESAS'!$C$128</f>
        <v>-1408.7142999999505</v>
      </c>
      <c r="D3" s="157">
        <f>'VARIACOES DESPESAS'!$C$129</f>
        <v>-1408.7142999999505</v>
      </c>
      <c r="E3" s="157">
        <f>'VARIACOES DESPESAS'!$C$130</f>
        <v>-1408.7142999999505</v>
      </c>
      <c r="F3" s="157">
        <f>'VARIACOES DESPESAS'!$C$131</f>
        <v>-1408.7142999999505</v>
      </c>
      <c r="G3" s="157">
        <f>'VARIACOES DESPESAS'!$C$132</f>
        <v>-1408.7142999999505</v>
      </c>
      <c r="H3" s="157">
        <f>'VARIACOES DESPESAS'!C$133</f>
        <v>-1408.7142999999505</v>
      </c>
      <c r="I3" s="157">
        <f>'VARIACOES DESPESAS'!C$134</f>
        <v>-1408.7142999999505</v>
      </c>
      <c r="J3" s="157">
        <f>'VARIACOES DESPESAS'!C$135</f>
        <v>-1408.7142999999505</v>
      </c>
      <c r="K3" s="157">
        <f>'VARIACOES DESPESAS'!C$136</f>
        <v>-1408.7142999999505</v>
      </c>
      <c r="L3" s="157">
        <f>'VARIACOES DESPESAS'!C$137</f>
        <v>-1408.7142999999505</v>
      </c>
      <c r="M3" s="157">
        <f>'VARIACOES DESPESAS'!$C$138</f>
        <v>-1408.7142999999505</v>
      </c>
      <c r="N3" s="158">
        <f>'VARIACOES DESPESAS'!$C$139</f>
        <v>-1408.7142999999505</v>
      </c>
    </row>
    <row r="4" spans="1:14" ht="25.05" customHeight="1" x14ac:dyDescent="0.35">
      <c r="A4" s="151"/>
      <c r="B4" s="152" t="s">
        <v>208</v>
      </c>
      <c r="C4" s="159">
        <v>394742.11</v>
      </c>
      <c r="D4" s="159"/>
      <c r="E4" s="159"/>
      <c r="F4" s="159"/>
      <c r="G4" s="159"/>
      <c r="H4" s="159"/>
      <c r="I4" s="159"/>
      <c r="J4" s="159"/>
      <c r="K4" s="159"/>
      <c r="L4" s="159"/>
      <c r="M4" s="159"/>
      <c r="N4" s="160"/>
    </row>
    <row r="5" spans="1:14" ht="25.05" customHeight="1" x14ac:dyDescent="0.35">
      <c r="A5" s="155"/>
      <c r="B5" s="156" t="s">
        <v>202</v>
      </c>
      <c r="C5" s="157">
        <f>'DADOS EXPECTATIVAS'!$C$4</f>
        <v>100000</v>
      </c>
      <c r="D5" s="157">
        <f>'DADOS EXPECTATIVAS'!$C$4</f>
        <v>100000</v>
      </c>
      <c r="E5" s="157">
        <f>'DADOS EXPECTATIVAS'!$C$4</f>
        <v>100000</v>
      </c>
      <c r="F5" s="157">
        <f>'DADOS EXPECTATIVAS'!$C$4</f>
        <v>100000</v>
      </c>
      <c r="G5" s="157">
        <f>'DADOS EXPECTATIVAS'!$C$4</f>
        <v>100000</v>
      </c>
      <c r="H5" s="157">
        <f>'DADOS EXPECTATIVAS'!$C$4</f>
        <v>100000</v>
      </c>
      <c r="I5" s="157">
        <f>'DADOS EXPECTATIVAS'!$C$4</f>
        <v>100000</v>
      </c>
      <c r="J5" s="157">
        <f>'DADOS EXPECTATIVAS'!$C$4</f>
        <v>100000</v>
      </c>
      <c r="K5" s="157">
        <f>'DADOS EXPECTATIVAS'!$C$4</f>
        <v>100000</v>
      </c>
      <c r="L5" s="157">
        <f>'DADOS EXPECTATIVAS'!$C$4</f>
        <v>100000</v>
      </c>
      <c r="M5" s="157">
        <f>'DADOS EXPECTATIVAS'!$C$4</f>
        <v>100000</v>
      </c>
      <c r="N5" s="157">
        <f>'DADOS EXPECTATIVAS'!$C$4</f>
        <v>100000</v>
      </c>
    </row>
    <row r="6" spans="1:14" ht="25.05" customHeight="1" x14ac:dyDescent="0.35">
      <c r="A6" s="151"/>
      <c r="B6" s="152" t="s">
        <v>209</v>
      </c>
      <c r="C6" s="152">
        <v>0</v>
      </c>
      <c r="D6" s="152">
        <v>0</v>
      </c>
      <c r="E6" s="152">
        <v>0</v>
      </c>
      <c r="F6" s="152">
        <v>0</v>
      </c>
      <c r="G6" s="152">
        <v>0</v>
      </c>
      <c r="H6" s="152">
        <v>0</v>
      </c>
      <c r="I6" s="152">
        <v>0</v>
      </c>
      <c r="J6" s="152">
        <v>0</v>
      </c>
      <c r="K6" s="152">
        <v>0</v>
      </c>
      <c r="L6" s="152">
        <v>0</v>
      </c>
      <c r="M6" s="152">
        <v>0</v>
      </c>
      <c r="N6" s="161">
        <v>0</v>
      </c>
    </row>
    <row r="7" spans="1:14" ht="25.05" customHeight="1" x14ac:dyDescent="0.35">
      <c r="A7" s="155"/>
      <c r="B7" s="162" t="s">
        <v>210</v>
      </c>
      <c r="C7" s="163"/>
      <c r="D7" s="164"/>
      <c r="E7" s="164">
        <v>25.681907860852061</v>
      </c>
      <c r="F7" s="164">
        <v>132.5952589741091</v>
      </c>
      <c r="G7" s="163"/>
      <c r="H7" s="163"/>
      <c r="I7" s="164" t="s">
        <v>211</v>
      </c>
      <c r="J7" s="164" t="s">
        <v>212</v>
      </c>
      <c r="K7" s="164">
        <v>66.259699869923367</v>
      </c>
      <c r="L7" s="163">
        <v>43.889523947198143</v>
      </c>
      <c r="M7" s="163">
        <v>35.655165835138909</v>
      </c>
      <c r="N7" s="165"/>
    </row>
    <row r="8" spans="1:14" ht="25.05" customHeight="1" x14ac:dyDescent="0.35">
      <c r="A8" s="151"/>
      <c r="B8" s="152" t="s">
        <v>213</v>
      </c>
      <c r="C8" s="166"/>
      <c r="D8" s="167"/>
      <c r="E8" s="167">
        <v>2.1401589884043379</v>
      </c>
      <c r="F8" s="167">
        <v>11.049604914509089</v>
      </c>
      <c r="G8" s="166"/>
      <c r="H8" s="166"/>
      <c r="I8" s="167" t="s">
        <v>214</v>
      </c>
      <c r="J8" s="167" t="s">
        <v>215</v>
      </c>
      <c r="K8" s="167">
        <v>5.5216416558269472</v>
      </c>
      <c r="L8" s="166">
        <v>3.657460328933178</v>
      </c>
      <c r="M8" s="166">
        <v>2.9712638195949088</v>
      </c>
      <c r="N8" s="168"/>
    </row>
    <row r="9" spans="1:14" ht="25.05" customHeight="1" x14ac:dyDescent="0.35">
      <c r="A9" s="155"/>
      <c r="B9" s="156" t="s">
        <v>216</v>
      </c>
      <c r="C9" s="169">
        <f>DATE(2024,1,31)</f>
        <v>45322</v>
      </c>
      <c r="D9" s="169">
        <f>DATE(2024,2,29)</f>
        <v>45351</v>
      </c>
      <c r="E9" s="169">
        <f>DATE(2023,3,31)</f>
        <v>45016</v>
      </c>
      <c r="F9" s="169">
        <f>DATE(2023,4,30)</f>
        <v>45046</v>
      </c>
      <c r="G9" s="169">
        <f>DATE(2023,5,31)</f>
        <v>45077</v>
      </c>
      <c r="H9" s="169">
        <f>DATE(2023,6,30)</f>
        <v>45107</v>
      </c>
      <c r="I9" s="169">
        <v>45138</v>
      </c>
      <c r="J9" s="169">
        <v>45169</v>
      </c>
      <c r="K9" s="169">
        <v>45199</v>
      </c>
      <c r="L9" s="169">
        <v>45230</v>
      </c>
      <c r="M9" s="169">
        <v>45260</v>
      </c>
      <c r="N9" s="170">
        <v>45291</v>
      </c>
    </row>
    <row r="10" spans="1:14" ht="25.05" customHeight="1" x14ac:dyDescent="0.35">
      <c r="A10" s="151"/>
      <c r="B10" s="152" t="s">
        <v>217</v>
      </c>
      <c r="C10" s="171"/>
      <c r="D10" s="172"/>
      <c r="E10" s="172">
        <v>45777</v>
      </c>
      <c r="F10" s="172">
        <v>49064</v>
      </c>
      <c r="G10" s="171">
        <f>EDATE(G9,G7)</f>
        <v>45077</v>
      </c>
      <c r="H10" s="171">
        <f>EDATE(H9,H7)</f>
        <v>45107</v>
      </c>
      <c r="I10" s="172">
        <v>54666</v>
      </c>
      <c r="J10" s="172">
        <v>48091</v>
      </c>
      <c r="K10" s="172">
        <v>47207</v>
      </c>
      <c r="L10" s="171">
        <v>46538</v>
      </c>
      <c r="M10" s="171">
        <v>46325</v>
      </c>
      <c r="N10" s="173">
        <f>EDATE(N9,N7)</f>
        <v>45291</v>
      </c>
    </row>
    <row r="11" spans="1:14" ht="25.05" customHeight="1" x14ac:dyDescent="0.35">
      <c r="A11" s="155" t="s">
        <v>218</v>
      </c>
      <c r="B11" s="156" t="s">
        <v>219</v>
      </c>
      <c r="C11" s="174"/>
      <c r="D11" s="156"/>
      <c r="E11" s="156"/>
      <c r="F11" s="174"/>
      <c r="G11" s="174">
        <v>108</v>
      </c>
      <c r="H11" s="174">
        <v>107</v>
      </c>
      <c r="I11" s="175"/>
      <c r="J11" s="176"/>
      <c r="K11" s="176"/>
      <c r="L11" s="176"/>
      <c r="M11" s="176"/>
      <c r="N11" s="177"/>
    </row>
    <row r="12" spans="1:14" ht="25.05" customHeight="1" x14ac:dyDescent="0.35">
      <c r="A12" s="151"/>
      <c r="B12" s="152" t="s">
        <v>220</v>
      </c>
      <c r="C12" s="178"/>
      <c r="D12" s="179"/>
      <c r="E12" s="179"/>
      <c r="F12" s="179"/>
      <c r="G12" s="178">
        <v>2554619.5329710338</v>
      </c>
      <c r="H12" s="178">
        <v>3195482.6256689001</v>
      </c>
      <c r="I12" s="179"/>
      <c r="J12" s="179"/>
      <c r="K12" s="179"/>
      <c r="L12" s="179"/>
      <c r="M12" s="179"/>
      <c r="N12" s="180"/>
    </row>
    <row r="13" spans="1:14" ht="25.05" customHeight="1" x14ac:dyDescent="0.35">
      <c r="A13" s="155"/>
      <c r="B13" s="156" t="s">
        <v>221</v>
      </c>
      <c r="C13" s="169">
        <f t="shared" ref="C13:N13" si="0">DATE(2032,5,31)</f>
        <v>48365</v>
      </c>
      <c r="D13" s="169">
        <f t="shared" si="0"/>
        <v>48365</v>
      </c>
      <c r="E13" s="169">
        <f t="shared" si="0"/>
        <v>48365</v>
      </c>
      <c r="F13" s="169">
        <f t="shared" si="0"/>
        <v>48365</v>
      </c>
      <c r="G13" s="169">
        <f t="shared" si="0"/>
        <v>48365</v>
      </c>
      <c r="H13" s="169">
        <f t="shared" si="0"/>
        <v>48365</v>
      </c>
      <c r="I13" s="169">
        <f t="shared" si="0"/>
        <v>48365</v>
      </c>
      <c r="J13" s="169">
        <f t="shared" si="0"/>
        <v>48365</v>
      </c>
      <c r="K13" s="169">
        <f t="shared" si="0"/>
        <v>48365</v>
      </c>
      <c r="L13" s="169">
        <f t="shared" si="0"/>
        <v>48365</v>
      </c>
      <c r="M13" s="169">
        <f t="shared" si="0"/>
        <v>48365</v>
      </c>
      <c r="N13" s="170">
        <f t="shared" si="0"/>
        <v>48365</v>
      </c>
    </row>
    <row r="14" spans="1:14" ht="25.05" customHeight="1" x14ac:dyDescent="0.35">
      <c r="A14" s="181" t="s">
        <v>222</v>
      </c>
      <c r="B14" s="152" t="s">
        <v>223</v>
      </c>
      <c r="C14" s="197"/>
      <c r="D14" s="202"/>
      <c r="E14" s="202"/>
      <c r="F14" s="198"/>
      <c r="G14" s="197"/>
      <c r="H14" s="197"/>
      <c r="I14" s="198"/>
      <c r="J14" s="198"/>
      <c r="K14" s="198"/>
      <c r="L14" s="198"/>
      <c r="M14" s="202"/>
      <c r="N14" s="199"/>
    </row>
    <row r="15" spans="1:14" ht="25.05" customHeight="1" thickBot="1" x14ac:dyDescent="0.4">
      <c r="A15" s="182" t="s">
        <v>224</v>
      </c>
      <c r="B15" s="183" t="s">
        <v>225</v>
      </c>
      <c r="C15" s="169">
        <f>PAINEL!$D$31</f>
        <v>0</v>
      </c>
      <c r="D15" s="169">
        <f>PAINEL!$D$31</f>
        <v>0</v>
      </c>
      <c r="E15" s="169">
        <f>PAINEL!$D$31</f>
        <v>0</v>
      </c>
      <c r="F15" s="169">
        <f>PAINEL!$D$31</f>
        <v>0</v>
      </c>
      <c r="G15" s="169">
        <f>PAINEL!$D$31</f>
        <v>0</v>
      </c>
      <c r="H15" s="169">
        <f>PAINEL!$D$31</f>
        <v>0</v>
      </c>
      <c r="I15" s="169">
        <f>PAINEL!$D$31</f>
        <v>0</v>
      </c>
      <c r="J15" s="169">
        <f>PAINEL!$D$31</f>
        <v>0</v>
      </c>
      <c r="K15" s="169">
        <f>PAINEL!$D$31</f>
        <v>0</v>
      </c>
      <c r="L15" s="169">
        <f>PAINEL!$D$31</f>
        <v>0</v>
      </c>
      <c r="M15" s="169">
        <f>PAINEL!$D$31</f>
        <v>0</v>
      </c>
      <c r="N15" s="169">
        <f>PAINEL!$D$31</f>
        <v>0</v>
      </c>
    </row>
    <row r="16" spans="1:14" ht="12" customHeight="1" thickTop="1" x14ac:dyDescent="0.35">
      <c r="B16" s="59"/>
    </row>
    <row r="17" spans="1:3" x14ac:dyDescent="0.35">
      <c r="A17" s="60"/>
      <c r="B17" s="59"/>
    </row>
    <row r="19" spans="1:3" ht="15" customHeight="1" x14ac:dyDescent="0.35">
      <c r="C19" s="134"/>
    </row>
    <row r="24" spans="1:3" x14ac:dyDescent="0.35">
      <c r="B24" s="61"/>
    </row>
    <row r="27" spans="1:3" x14ac:dyDescent="0.35">
      <c r="B27" s="58"/>
    </row>
    <row r="28" spans="1:3" x14ac:dyDescent="0.35">
      <c r="B28" s="58"/>
    </row>
    <row r="29" spans="1:3" x14ac:dyDescent="0.35">
      <c r="B29" s="58"/>
    </row>
    <row r="30" spans="1:3" x14ac:dyDescent="0.35">
      <c r="B30" s="61"/>
    </row>
    <row r="37" spans="2:2" ht="16.899999999999999" customHeight="1" x14ac:dyDescent="0.45">
      <c r="B37" s="6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2</vt:i4>
      </vt:variant>
    </vt:vector>
  </HeadingPairs>
  <TitlesOfParts>
    <vt:vector size="15" baseType="lpstr">
      <vt:lpstr>PAINEL</vt:lpstr>
      <vt:lpstr>DADOS FORMULARIO</vt:lpstr>
      <vt:lpstr>DESPESAS PREVISTAS</vt:lpstr>
      <vt:lpstr>DESPESAS REAIS</vt:lpstr>
      <vt:lpstr>VARIACOES DESPESAS</vt:lpstr>
      <vt:lpstr>GANHOS PREVISTOS</vt:lpstr>
      <vt:lpstr>GANHOS REAIS</vt:lpstr>
      <vt:lpstr>DADOS EXPECTATIVAS</vt:lpstr>
      <vt:lpstr>EXPECTATIVAS</vt:lpstr>
      <vt:lpstr>CONTROLE DESLIZANTE</vt:lpstr>
      <vt:lpstr>GRAFICO DESPESAS</vt:lpstr>
      <vt:lpstr>GRAFICO VARIACOES</vt:lpstr>
      <vt:lpstr>METAS INFLACAO</vt:lpstr>
      <vt:lpstr>'GANHOS PREVISTOS'!Zone_d_impression</vt:lpstr>
      <vt:lpstr>'GANHOS REAIS'!Zone_d_impression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DIAS MARTINS DE CARVALHO</dc:creator>
  <cp:lastModifiedBy>RICARDO DIAS MARTINS DE CARVALHO</cp:lastModifiedBy>
  <dcterms:created xsi:type="dcterms:W3CDTF">2022-02-14T06:36:37Z</dcterms:created>
  <dcterms:modified xsi:type="dcterms:W3CDTF">2024-02-11T12:10:17Z</dcterms:modified>
</cp:coreProperties>
</file>