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ahim\"/>
    </mc:Choice>
  </mc:AlternateContent>
  <bookViews>
    <workbookView xWindow="0" yWindow="0" windowWidth="14712" windowHeight="10841" tabRatio="643" firstSheet="1" activeTab="5"/>
  </bookViews>
  <sheets>
    <sheet name="Petunjuk" sheetId="11" r:id="rId1"/>
    <sheet name="Status Kelulusan" sheetId="2" r:id="rId2"/>
    <sheet name="Kurikulum 2020" sheetId="3" r:id="rId3"/>
    <sheet name="Prioritas Drop" sheetId="9" r:id="rId4"/>
    <sheet name="Harus Ambil" sheetId="5" r:id="rId5"/>
    <sheet name="Rencana Studi" sheetId="7" r:id="rId6"/>
    <sheet name="Ekuivalensi" sheetId="4" r:id="rId7"/>
    <sheet name="Diagram 2020" sheetId="10" r:id="rId8"/>
  </sheets>
  <definedNames>
    <definedName name="_xlnm._FilterDatabase" localSheetId="6" hidden="1">Ekuivalensi!$A$1:$I$55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42" i="7" l="1"/>
  <c r="K41" i="7"/>
  <c r="K40" i="7"/>
  <c r="K39" i="7"/>
  <c r="K38" i="7"/>
  <c r="K37" i="7"/>
  <c r="K36" i="7"/>
  <c r="E42" i="7"/>
  <c r="E41" i="7"/>
  <c r="K29" i="7"/>
  <c r="E29" i="7"/>
  <c r="E28" i="7"/>
  <c r="K16" i="7"/>
  <c r="E16" i="7"/>
  <c r="B4" i="7"/>
  <c r="B4" i="5"/>
  <c r="B4" i="9"/>
  <c r="B4" i="3"/>
  <c r="J42" i="7" l="1"/>
  <c r="J41" i="7"/>
  <c r="J40" i="7"/>
  <c r="J39" i="7"/>
  <c r="J38" i="7"/>
  <c r="J37" i="7"/>
  <c r="J36" i="7"/>
  <c r="J35" i="7"/>
  <c r="J34" i="7"/>
  <c r="J33" i="7"/>
  <c r="D42" i="7"/>
  <c r="D41" i="7"/>
  <c r="D40" i="7"/>
  <c r="D39" i="7"/>
  <c r="D38" i="7"/>
  <c r="D37" i="7"/>
  <c r="D36" i="7"/>
  <c r="D35" i="7"/>
  <c r="D34" i="7"/>
  <c r="D33" i="7"/>
  <c r="D29" i="7"/>
  <c r="D28" i="7"/>
  <c r="D27" i="7"/>
  <c r="D26" i="7"/>
  <c r="D25" i="7"/>
  <c r="D24" i="7"/>
  <c r="D23" i="7"/>
  <c r="D22" i="7"/>
  <c r="D21" i="7"/>
  <c r="D20" i="7"/>
  <c r="J29" i="7"/>
  <c r="J28" i="7"/>
  <c r="J27" i="7"/>
  <c r="J26" i="7"/>
  <c r="J25" i="7"/>
  <c r="J24" i="7"/>
  <c r="J23" i="7"/>
  <c r="J22" i="7"/>
  <c r="J21" i="7"/>
  <c r="J20" i="7"/>
  <c r="J8" i="7"/>
  <c r="J9" i="7"/>
  <c r="J10" i="7"/>
  <c r="J11" i="7"/>
  <c r="J12" i="7"/>
  <c r="J13" i="7"/>
  <c r="J14" i="7"/>
  <c r="J15" i="7"/>
  <c r="J16" i="7"/>
  <c r="D8" i="7"/>
  <c r="D9" i="7"/>
  <c r="D10" i="7"/>
  <c r="D11" i="7"/>
  <c r="D12" i="7"/>
  <c r="D13" i="7"/>
  <c r="D14" i="7"/>
  <c r="D15" i="7"/>
  <c r="D16" i="7"/>
  <c r="I43" i="7" l="1"/>
  <c r="C43" i="7"/>
  <c r="I30" i="7"/>
  <c r="C30" i="7"/>
  <c r="O38" i="2"/>
  <c r="O37" i="2"/>
  <c r="O36" i="2"/>
  <c r="O35" i="2"/>
  <c r="O34" i="2"/>
  <c r="G39" i="2"/>
  <c r="G38" i="2"/>
  <c r="G37" i="2"/>
  <c r="G36" i="2"/>
  <c r="G35" i="2"/>
  <c r="G34" i="2"/>
  <c r="O13" i="2"/>
  <c r="O12" i="2"/>
  <c r="O11" i="2"/>
  <c r="O10" i="2"/>
  <c r="O9" i="2"/>
  <c r="O8" i="2"/>
  <c r="O7" i="2"/>
  <c r="O21" i="2"/>
  <c r="O20" i="2"/>
  <c r="O19" i="2"/>
  <c r="O18" i="2"/>
  <c r="O17" i="2"/>
  <c r="O16" i="2"/>
  <c r="O31" i="2"/>
  <c r="O30" i="2"/>
  <c r="O29" i="2"/>
  <c r="O28" i="2"/>
  <c r="O27" i="2"/>
  <c r="O26" i="2"/>
  <c r="O25" i="2"/>
  <c r="G30" i="2"/>
  <c r="G29" i="2"/>
  <c r="G28" i="2"/>
  <c r="G27" i="2"/>
  <c r="G26" i="2"/>
  <c r="G25" i="2"/>
  <c r="G22" i="2"/>
  <c r="G21" i="2"/>
  <c r="G20" i="2"/>
  <c r="G19" i="2"/>
  <c r="G18" i="2"/>
  <c r="G17" i="2"/>
  <c r="G16" i="2"/>
  <c r="G13" i="2"/>
  <c r="G12" i="2"/>
  <c r="G11" i="2"/>
  <c r="G10" i="2"/>
  <c r="G9" i="2"/>
  <c r="G8" i="2"/>
  <c r="G7" i="2"/>
  <c r="B3" i="9"/>
  <c r="B2" i="9"/>
  <c r="AA39" i="5" l="1"/>
  <c r="AA38" i="5"/>
  <c r="AA37" i="5"/>
  <c r="AA33" i="5"/>
  <c r="Z33" i="5"/>
  <c r="AA32" i="5"/>
  <c r="Z32" i="5"/>
  <c r="AA31" i="5"/>
  <c r="AA24" i="5"/>
  <c r="Z24" i="5"/>
  <c r="AA23" i="5"/>
  <c r="Z23" i="5"/>
  <c r="AA15" i="5"/>
  <c r="Z15" i="5"/>
  <c r="AA14" i="5"/>
  <c r="Z14" i="5"/>
  <c r="AA6" i="5"/>
  <c r="Z6" i="5"/>
  <c r="N38" i="2"/>
  <c r="N37" i="2"/>
  <c r="N36" i="2"/>
  <c r="N35" i="2"/>
  <c r="N34" i="2"/>
  <c r="F39" i="2"/>
  <c r="F38" i="2"/>
  <c r="F37" i="2"/>
  <c r="F36" i="2"/>
  <c r="F35" i="2"/>
  <c r="F34" i="2"/>
  <c r="N31" i="2"/>
  <c r="N30" i="2"/>
  <c r="N29" i="2"/>
  <c r="N28" i="2"/>
  <c r="N27" i="2"/>
  <c r="N26" i="2"/>
  <c r="R32" i="3" s="1"/>
  <c r="N25" i="2"/>
  <c r="E39" i="3" s="1"/>
  <c r="F30" i="2"/>
  <c r="R31" i="3" s="1"/>
  <c r="F29" i="2"/>
  <c r="F28" i="2"/>
  <c r="F27" i="2"/>
  <c r="F26" i="2"/>
  <c r="F25" i="2"/>
  <c r="F22" i="2"/>
  <c r="F21" i="2"/>
  <c r="F20" i="2"/>
  <c r="R29" i="3" s="1"/>
  <c r="F19" i="2"/>
  <c r="F18" i="2"/>
  <c r="F17" i="2"/>
  <c r="F16" i="2"/>
  <c r="N21" i="2"/>
  <c r="N20" i="2"/>
  <c r="N19" i="2"/>
  <c r="R30" i="3" s="1"/>
  <c r="N18" i="2"/>
  <c r="N17" i="2"/>
  <c r="N16" i="2"/>
  <c r="N13" i="2"/>
  <c r="N12" i="2"/>
  <c r="N11" i="2"/>
  <c r="N10" i="2"/>
  <c r="N9" i="2"/>
  <c r="N8" i="2"/>
  <c r="N7" i="2"/>
  <c r="F13" i="2"/>
  <c r="F12" i="2"/>
  <c r="F11" i="2"/>
  <c r="F10" i="2"/>
  <c r="F9" i="2"/>
  <c r="F8" i="2"/>
  <c r="F7" i="2"/>
  <c r="I23" i="4" a="1"/>
  <c r="I18" i="4" a="1"/>
  <c r="I54" i="4" a="1"/>
  <c r="I10" i="4" a="1"/>
  <c r="I26" i="4" a="1"/>
  <c r="I33" i="4" a="1"/>
  <c r="I28" i="4" a="1"/>
  <c r="I35" i="4" a="1"/>
  <c r="I14" i="4" a="1"/>
  <c r="I30" i="4" a="1"/>
  <c r="I39" i="4" a="1"/>
  <c r="I44" i="4" a="1"/>
  <c r="I5" i="4" a="1"/>
  <c r="I38" i="4" a="1"/>
  <c r="I41" i="4" a="1"/>
  <c r="I19" i="4" a="1"/>
  <c r="I8" i="4" a="1"/>
  <c r="I42" i="4" a="1"/>
  <c r="I15" i="4" a="1"/>
  <c r="I40" i="4" a="1"/>
  <c r="I47" i="4" a="1"/>
  <c r="I25" i="4" a="1"/>
  <c r="I52" i="4" a="1"/>
  <c r="I50" i="4" a="1"/>
  <c r="I13" i="4" a="1"/>
  <c r="I48" i="4" a="1"/>
  <c r="I51" i="4" a="1"/>
  <c r="I27" i="4" a="1"/>
  <c r="I32" i="4" a="1"/>
  <c r="I2" i="4" a="1"/>
  <c r="I36" i="4" a="1"/>
  <c r="I3" i="4" a="1"/>
  <c r="I37" i="4" a="1"/>
  <c r="I21" i="4" a="1"/>
  <c r="I16" i="4" a="1"/>
  <c r="I20" i="4" a="1"/>
  <c r="I46" i="4" a="1"/>
  <c r="I49" i="4" a="1"/>
  <c r="I6" i="4" a="1"/>
  <c r="I31" i="4" a="1"/>
  <c r="I24" i="4" a="1"/>
  <c r="I7" i="4" a="1"/>
  <c r="I34" i="4" a="1"/>
  <c r="I45" i="4" a="1"/>
  <c r="I22" i="4" a="1"/>
  <c r="I53" i="4" a="1"/>
  <c r="I9" i="4" a="1"/>
  <c r="I17" i="4" a="1"/>
  <c r="I55" i="4" a="1"/>
  <c r="I4" i="4" a="1"/>
  <c r="I29" i="4" a="1"/>
  <c r="I12" i="4" a="1"/>
  <c r="I11" i="4" a="1"/>
  <c r="I43" i="4" a="1"/>
  <c r="H2" i="2" l="1"/>
  <c r="H3" i="2" s="1"/>
  <c r="I11" i="4"/>
  <c r="I44" i="4"/>
  <c r="I47" i="4"/>
  <c r="I50" i="4"/>
  <c r="I53" i="4"/>
  <c r="I8" i="4"/>
  <c r="I23" i="4"/>
  <c r="I24" i="4"/>
  <c r="I14" i="4"/>
  <c r="I26" i="4"/>
  <c r="I41" i="4"/>
  <c r="I6" i="4"/>
  <c r="I15" i="4"/>
  <c r="I27" i="4"/>
  <c r="I33" i="4"/>
  <c r="I36" i="4"/>
  <c r="I39" i="4"/>
  <c r="I42" i="4"/>
  <c r="I45" i="4"/>
  <c r="I48" i="4"/>
  <c r="I51" i="4"/>
  <c r="I54" i="4"/>
  <c r="I5" i="4"/>
  <c r="I20" i="4"/>
  <c r="I32" i="4"/>
  <c r="I38" i="4"/>
  <c r="I3" i="4"/>
  <c r="I12" i="4"/>
  <c r="I21" i="4"/>
  <c r="I4" i="4"/>
  <c r="I10" i="4"/>
  <c r="I16" i="4"/>
  <c r="I22" i="4"/>
  <c r="I28" i="4"/>
  <c r="I34" i="4"/>
  <c r="I43" i="4"/>
  <c r="I46" i="4"/>
  <c r="I55" i="4"/>
  <c r="I2" i="4"/>
  <c r="I17" i="4"/>
  <c r="I29" i="4"/>
  <c r="I35" i="4"/>
  <c r="I9" i="4"/>
  <c r="I18" i="4"/>
  <c r="I30" i="4"/>
  <c r="I7" i="4"/>
  <c r="I13" i="4"/>
  <c r="I19" i="4"/>
  <c r="I25" i="4"/>
  <c r="I31" i="4"/>
  <c r="I37" i="4"/>
  <c r="I40" i="4"/>
  <c r="I49" i="4"/>
  <c r="I52" i="4"/>
  <c r="F34" i="3"/>
  <c r="B2" i="5" l="1"/>
  <c r="J7" i="7" l="1"/>
  <c r="I17" i="7" s="1"/>
  <c r="D7" i="7"/>
  <c r="C17" i="7" s="1"/>
  <c r="H3" i="7" l="1"/>
  <c r="O32" i="3" l="1"/>
  <c r="P32" i="3"/>
  <c r="P31" i="3"/>
  <c r="O31" i="3"/>
  <c r="P30" i="3"/>
  <c r="O30" i="3"/>
  <c r="O29" i="3"/>
  <c r="P29" i="3"/>
  <c r="B3" i="7"/>
  <c r="B3" i="5"/>
  <c r="B3" i="3"/>
  <c r="L2" i="3" s="1"/>
  <c r="B2" i="7"/>
  <c r="E11" i="3" a="1"/>
  <c r="P33" i="3" l="1"/>
  <c r="F4" i="5"/>
  <c r="E11" i="3"/>
  <c r="F21" i="3"/>
  <c r="M18" i="3"/>
  <c r="F38" i="3"/>
  <c r="F37" i="3"/>
  <c r="F29" i="3"/>
  <c r="M29" i="3"/>
  <c r="F28" i="3"/>
  <c r="F31" i="3"/>
  <c r="R33" i="3" l="1"/>
  <c r="O33" i="3"/>
  <c r="B2" i="3" l="1"/>
  <c r="G2" i="3" l="1"/>
  <c r="F2" i="5" s="1"/>
  <c r="H4" i="2"/>
  <c r="E7" i="3" a="1"/>
  <c r="L10" i="3" a="1"/>
  <c r="L25" i="3" a="1"/>
  <c r="E31" i="3" a="1"/>
  <c r="L29" i="3" a="1"/>
  <c r="L7" i="3" a="1"/>
  <c r="E26" i="3" a="1"/>
  <c r="E22" i="3" a="1"/>
  <c r="E18" i="3" a="1"/>
  <c r="E16" i="3" a="1"/>
  <c r="L16" i="3" a="1"/>
  <c r="E17" i="3" a="1"/>
  <c r="E38" i="3" a="1"/>
  <c r="E20" i="3" a="1"/>
  <c r="L30" i="3" a="1"/>
  <c r="E37" i="3" a="1"/>
  <c r="L13" i="3" a="1"/>
  <c r="L19" i="3" a="1"/>
  <c r="E21" i="3" a="1"/>
  <c r="L28" i="3" a="1"/>
  <c r="E10" i="3" a="1"/>
  <c r="L8" i="3" a="1"/>
  <c r="E34" i="3" a="1"/>
  <c r="L34" i="3" a="1"/>
  <c r="L17" i="3" a="1"/>
  <c r="E36" i="3" a="1"/>
  <c r="E8" i="3" a="1"/>
  <c r="E9" i="3" a="1"/>
  <c r="L21" i="3" a="1"/>
  <c r="L11" i="3" a="1"/>
  <c r="E13" i="3" a="1"/>
  <c r="L35" i="3" a="1"/>
  <c r="L36" i="3" a="1"/>
  <c r="E28" i="3" a="1"/>
  <c r="E29" i="3" a="1"/>
  <c r="E12" i="3" a="1"/>
  <c r="L18" i="3" a="1"/>
  <c r="E25" i="3" a="1"/>
  <c r="E19" i="3" a="1"/>
  <c r="L27" i="3" a="1"/>
  <c r="L12" i="3" a="1"/>
  <c r="L9" i="3" a="1"/>
  <c r="E27" i="3" a="1"/>
  <c r="E35" i="3" a="1"/>
  <c r="L22" i="3" a="1"/>
  <c r="L20" i="3" a="1"/>
  <c r="L26" i="3" a="1"/>
  <c r="G3" i="3" l="1"/>
  <c r="E7" i="3"/>
  <c r="Z7" i="5" s="1"/>
  <c r="L35" i="3"/>
  <c r="L36" i="3"/>
  <c r="L34" i="3"/>
  <c r="E38" i="3"/>
  <c r="E37" i="3"/>
  <c r="E36" i="3"/>
  <c r="E35" i="3"/>
  <c r="E34" i="3"/>
  <c r="L29" i="3"/>
  <c r="L28" i="3"/>
  <c r="L26" i="3"/>
  <c r="L30" i="3"/>
  <c r="L27" i="3"/>
  <c r="L25" i="3"/>
  <c r="E27" i="3"/>
  <c r="E28" i="3"/>
  <c r="E26" i="3"/>
  <c r="E29" i="3"/>
  <c r="E31" i="3"/>
  <c r="E25" i="3"/>
  <c r="E20" i="3"/>
  <c r="E18" i="3"/>
  <c r="E17" i="3"/>
  <c r="E19" i="3"/>
  <c r="E22" i="3"/>
  <c r="E16" i="3"/>
  <c r="E21" i="3"/>
  <c r="L20" i="3"/>
  <c r="L19" i="3"/>
  <c r="L17" i="3"/>
  <c r="L18" i="3"/>
  <c r="L16" i="3"/>
  <c r="L21" i="3"/>
  <c r="L22" i="3"/>
  <c r="L12" i="3"/>
  <c r="L8" i="3"/>
  <c r="L11" i="3"/>
  <c r="L9" i="3"/>
  <c r="L10" i="3"/>
  <c r="L13" i="3"/>
  <c r="L7" i="3"/>
  <c r="E13" i="3"/>
  <c r="E9" i="3"/>
  <c r="E8" i="3"/>
  <c r="E10" i="3"/>
  <c r="E12" i="3"/>
  <c r="G4" i="3" l="1"/>
  <c r="F2" i="7"/>
  <c r="F3" i="7" s="1"/>
  <c r="AA7" i="5"/>
  <c r="AA8" i="5" s="1"/>
  <c r="Z8" i="5"/>
  <c r="Z9" i="5" s="1"/>
  <c r="F3" i="5"/>
  <c r="AA9" i="5" l="1"/>
  <c r="AA10" i="5" s="1"/>
  <c r="Z10" i="5"/>
  <c r="M36" i="3"/>
  <c r="M34" i="3"/>
  <c r="AA11" i="5" l="1"/>
  <c r="Z11" i="5"/>
  <c r="Z12" i="5" s="1"/>
  <c r="AA12" i="5" l="1"/>
  <c r="Z13" i="5"/>
  <c r="AA13" i="5" l="1"/>
  <c r="Z16" i="5"/>
  <c r="Z17" i="5" s="1"/>
  <c r="Z18" i="5" s="1"/>
  <c r="Z19" i="5" s="1"/>
  <c r="Z20" i="5" s="1"/>
  <c r="Z21" i="5" s="1"/>
  <c r="Z22" i="5" s="1"/>
  <c r="Z25" i="5" s="1"/>
  <c r="Z26" i="5" s="1"/>
  <c r="AE7" i="5"/>
  <c r="AA16" i="5" l="1"/>
  <c r="Z27" i="5"/>
  <c r="Z28" i="5" s="1"/>
  <c r="Z29" i="5" s="1"/>
  <c r="Z30" i="5" s="1"/>
  <c r="Z31" i="5" s="1"/>
  <c r="Z34" i="5" s="1"/>
  <c r="Z35" i="5" s="1"/>
  <c r="Z36" i="5" s="1"/>
  <c r="Z37" i="5" s="1"/>
  <c r="Z38" i="5" s="1"/>
  <c r="Z39" i="5" s="1"/>
  <c r="AF9" i="5"/>
  <c r="AD9" i="5"/>
  <c r="AD7" i="5"/>
  <c r="AG8" i="5"/>
  <c r="AD8" i="5"/>
  <c r="AG9" i="5"/>
  <c r="AF8" i="5"/>
  <c r="AG7" i="5"/>
  <c r="AE8" i="5"/>
  <c r="AF7" i="5"/>
  <c r="AE9" i="5"/>
  <c r="AE10" i="5" l="1"/>
  <c r="AD10" i="5"/>
  <c r="AF10" i="5"/>
  <c r="AG10" i="5"/>
  <c r="AE11" i="5"/>
  <c r="AG13" i="5"/>
  <c r="AF13" i="5"/>
  <c r="AD11" i="5"/>
  <c r="AG11" i="5"/>
  <c r="AD13" i="5"/>
  <c r="AF12" i="5"/>
  <c r="AE12" i="5"/>
  <c r="AE13" i="5"/>
  <c r="AF11" i="5"/>
  <c r="AG12" i="5"/>
  <c r="AD12" i="5"/>
  <c r="AD19" i="5"/>
  <c r="AF18" i="5"/>
  <c r="AD14" i="5"/>
  <c r="AE14" i="5"/>
  <c r="AF16" i="5"/>
  <c r="AE15" i="5"/>
  <c r="AF19" i="5"/>
  <c r="AG16" i="5"/>
  <c r="AG18" i="5"/>
  <c r="AD17" i="5"/>
  <c r="AD18" i="5"/>
  <c r="AG17" i="5"/>
  <c r="AD16" i="5"/>
  <c r="AF17" i="5"/>
  <c r="AE18" i="5"/>
  <c r="AE17" i="5"/>
  <c r="AG15" i="5"/>
  <c r="AE16" i="5"/>
  <c r="AG14" i="5"/>
  <c r="AF14" i="5"/>
  <c r="AD15" i="5"/>
  <c r="AF15" i="5"/>
  <c r="AA17" i="5"/>
  <c r="AF20" i="5"/>
  <c r="AG21" i="5"/>
  <c r="AD21" i="5"/>
  <c r="AE19" i="5"/>
  <c r="AG19" i="5"/>
  <c r="AF21" i="5"/>
  <c r="AD20" i="5"/>
  <c r="AE20" i="5"/>
  <c r="AG20" i="5"/>
  <c r="AE21" i="5"/>
  <c r="AG22" i="5"/>
  <c r="AE22" i="5"/>
  <c r="AF22" i="5"/>
  <c r="AD22" i="5"/>
  <c r="AD29" i="5"/>
  <c r="AF24" i="5"/>
  <c r="AD31" i="5"/>
  <c r="AE37" i="5"/>
  <c r="AD38" i="5"/>
  <c r="AD24" i="5"/>
  <c r="AF32" i="5"/>
  <c r="AF27" i="5"/>
  <c r="AD27" i="5"/>
  <c r="AD35" i="5"/>
  <c r="AG23" i="5"/>
  <c r="AE33" i="5"/>
  <c r="AG35" i="5"/>
  <c r="AC35" i="5" s="1"/>
  <c r="AF35" i="5"/>
  <c r="AE29" i="5"/>
  <c r="AE31" i="5"/>
  <c r="AD37" i="5"/>
  <c r="AE25" i="5"/>
  <c r="AF38" i="5"/>
  <c r="AE36" i="5"/>
  <c r="AG38" i="5"/>
  <c r="AC38" i="5" s="1"/>
  <c r="AE28" i="5"/>
  <c r="AF25" i="5"/>
  <c r="AG25" i="5"/>
  <c r="AF39" i="5"/>
  <c r="AD36" i="5"/>
  <c r="AG32" i="5"/>
  <c r="AD33" i="5"/>
  <c r="AG24" i="5"/>
  <c r="AE26" i="5"/>
  <c r="AG34" i="5"/>
  <c r="AC34" i="5" s="1"/>
  <c r="AF30" i="5"/>
  <c r="AF26" i="5"/>
  <c r="AE27" i="5"/>
  <c r="AD26" i="5"/>
  <c r="AD32" i="5"/>
  <c r="AD28" i="5"/>
  <c r="AG39" i="5"/>
  <c r="AC39" i="5" s="1"/>
  <c r="AE39" i="5"/>
  <c r="AD34" i="5"/>
  <c r="AG30" i="5"/>
  <c r="AE34" i="5"/>
  <c r="AG29" i="5"/>
  <c r="AF33" i="5"/>
  <c r="AE24" i="5"/>
  <c r="AE30" i="5"/>
  <c r="AG37" i="5"/>
  <c r="AC37" i="5" s="1"/>
  <c r="AG31" i="5"/>
  <c r="AG28" i="5"/>
  <c r="AG33" i="5"/>
  <c r="AG27" i="5"/>
  <c r="AD39" i="5"/>
  <c r="AF31" i="5"/>
  <c r="AE35" i="5"/>
  <c r="AG26" i="5"/>
  <c r="AF28" i="5"/>
  <c r="AG36" i="5"/>
  <c r="AC36" i="5" s="1"/>
  <c r="AF37" i="5"/>
  <c r="AE32" i="5"/>
  <c r="AF29" i="5"/>
  <c r="AD30" i="5"/>
  <c r="AE38" i="5"/>
  <c r="AF34" i="5"/>
  <c r="AF36" i="5"/>
  <c r="AD23" i="5"/>
  <c r="AF23" i="5"/>
  <c r="AD25" i="5"/>
  <c r="AE23" i="5"/>
  <c r="AA18" i="5" l="1"/>
  <c r="AA19" i="5" s="1"/>
  <c r="AA20" i="5" s="1"/>
  <c r="AA21" i="5" s="1"/>
  <c r="AA22" i="5" s="1"/>
  <c r="AA25" i="5" s="1"/>
  <c r="AA26" i="5" s="1"/>
  <c r="AA27" i="5" s="1"/>
  <c r="AA28" i="5" s="1"/>
  <c r="AA29" i="5" s="1"/>
  <c r="AA30" i="5" s="1"/>
  <c r="AA34" i="5" s="1"/>
  <c r="AA35" i="5" s="1"/>
  <c r="AA36" i="5" s="1"/>
  <c r="AJ38" i="5" s="1"/>
  <c r="AC32" i="5"/>
  <c r="AC24" i="5"/>
  <c r="AC11" i="5"/>
  <c r="AC29" i="5"/>
  <c r="AC26" i="5"/>
  <c r="AC20" i="5"/>
  <c r="AC27" i="5"/>
  <c r="AC10" i="5"/>
  <c r="AC9" i="5"/>
  <c r="AC33" i="5"/>
  <c r="AC18" i="5"/>
  <c r="AC19" i="5"/>
  <c r="AC28" i="5"/>
  <c r="AC8" i="5"/>
  <c r="AC14" i="5"/>
  <c r="AC12" i="5"/>
  <c r="AC23" i="5"/>
  <c r="AC31" i="5"/>
  <c r="AC30" i="5"/>
  <c r="AC17" i="5"/>
  <c r="AC16" i="5"/>
  <c r="AC13" i="5"/>
  <c r="AC22" i="5"/>
  <c r="AC7" i="5"/>
  <c r="A7" i="5" s="1"/>
  <c r="AC25" i="5"/>
  <c r="AC15" i="5"/>
  <c r="AC21" i="5"/>
  <c r="C7" i="5" l="1"/>
  <c r="AJ7" i="5"/>
  <c r="AM7" i="5"/>
  <c r="AK7" i="5"/>
  <c r="AL7" i="5"/>
  <c r="AK10" i="5"/>
  <c r="AJ13" i="5"/>
  <c r="AK12" i="5"/>
  <c r="AL9" i="5"/>
  <c r="AL17" i="5"/>
  <c r="AK35" i="5"/>
  <c r="AM12" i="5"/>
  <c r="AL38" i="5"/>
  <c r="AL37" i="5"/>
  <c r="AJ21" i="5"/>
  <c r="AK39" i="5"/>
  <c r="AM8" i="5"/>
  <c r="AK8" i="5"/>
  <c r="AK17" i="5"/>
  <c r="AM38" i="5"/>
  <c r="AI38" i="5" s="1"/>
  <c r="AK30" i="5"/>
  <c r="AJ10" i="5"/>
  <c r="AL8" i="5"/>
  <c r="AL25" i="5"/>
  <c r="AK25" i="5"/>
  <c r="AM29" i="5"/>
  <c r="AJ27" i="5"/>
  <c r="AK15" i="5"/>
  <c r="AJ8" i="5"/>
  <c r="AK19" i="5"/>
  <c r="AJ23" i="5"/>
  <c r="AM22" i="5"/>
  <c r="AM11" i="5"/>
  <c r="AJ34" i="5"/>
  <c r="AK9" i="5"/>
  <c r="AJ18" i="5"/>
  <c r="AK18" i="5"/>
  <c r="AJ15" i="5"/>
  <c r="AL10" i="5"/>
  <c r="AM17" i="5"/>
  <c r="AM25" i="5"/>
  <c r="AM23" i="5"/>
  <c r="AM9" i="5"/>
  <c r="AJ9" i="5"/>
  <c r="AM30" i="5"/>
  <c r="AI30" i="5" s="1"/>
  <c r="AM31" i="5"/>
  <c r="AI31" i="5" s="1"/>
  <c r="AK31" i="5"/>
  <c r="AJ20" i="5"/>
  <c r="AK29" i="5"/>
  <c r="AK20" i="5"/>
  <c r="AK33" i="5"/>
  <c r="AL26" i="5"/>
  <c r="AL19" i="5"/>
  <c r="AK28" i="5"/>
  <c r="AL13" i="5"/>
  <c r="AL33" i="5"/>
  <c r="AM10" i="5"/>
  <c r="AM20" i="5"/>
  <c r="AJ14" i="5"/>
  <c r="AJ25" i="5"/>
  <c r="AK23" i="5"/>
  <c r="AJ22" i="5"/>
  <c r="AM16" i="5"/>
  <c r="AL12" i="5"/>
  <c r="AK22" i="5"/>
  <c r="AL35" i="5"/>
  <c r="AK26" i="5"/>
  <c r="AJ33" i="5"/>
  <c r="AJ24" i="5"/>
  <c r="AM37" i="5"/>
  <c r="AI37" i="5" s="1"/>
  <c r="AM36" i="5"/>
  <c r="AI36" i="5" s="1"/>
  <c r="AJ17" i="5"/>
  <c r="AJ35" i="5"/>
  <c r="AM21" i="5"/>
  <c r="AL39" i="5"/>
  <c r="AL36" i="5"/>
  <c r="AK13" i="5"/>
  <c r="AJ32" i="5"/>
  <c r="AJ37" i="5"/>
  <c r="AM32" i="5"/>
  <c r="AI32" i="5" s="1"/>
  <c r="AM39" i="5"/>
  <c r="AI39" i="5" s="1"/>
  <c r="AK14" i="5"/>
  <c r="AM19" i="5"/>
  <c r="AK16" i="5"/>
  <c r="AL24" i="5"/>
  <c r="AK36" i="5"/>
  <c r="AK11" i="5"/>
  <c r="AM33" i="5"/>
  <c r="AI33" i="5" s="1"/>
  <c r="AM14" i="5"/>
  <c r="AL21" i="5"/>
  <c r="AL27" i="5"/>
  <c r="AJ30" i="5"/>
  <c r="AL32" i="5"/>
  <c r="AL23" i="5"/>
  <c r="AJ39" i="5"/>
  <c r="AL16" i="5"/>
  <c r="AL11" i="5"/>
  <c r="AJ26" i="5"/>
  <c r="AL20" i="5"/>
  <c r="AK38" i="5"/>
  <c r="AJ16" i="5"/>
  <c r="AM13" i="5"/>
  <c r="AK34" i="5"/>
  <c r="AM27" i="5"/>
  <c r="AK37" i="5"/>
  <c r="AL29" i="5"/>
  <c r="AM15" i="5"/>
  <c r="AK24" i="5"/>
  <c r="AJ12" i="5"/>
  <c r="AL34" i="5"/>
  <c r="AJ36" i="5"/>
  <c r="AL18" i="5"/>
  <c r="AJ31" i="5"/>
  <c r="AM24" i="5"/>
  <c r="AJ28" i="5"/>
  <c r="AM35" i="5"/>
  <c r="AI35" i="5" s="1"/>
  <c r="AK21" i="5"/>
  <c r="AL22" i="5"/>
  <c r="AJ11" i="5"/>
  <c r="AK27" i="5"/>
  <c r="AL31" i="5"/>
  <c r="AM34" i="5"/>
  <c r="AI34" i="5" s="1"/>
  <c r="AL30" i="5"/>
  <c r="AJ29" i="5"/>
  <c r="AM28" i="5"/>
  <c r="AL15" i="5"/>
  <c r="AJ19" i="5"/>
  <c r="AL28" i="5"/>
  <c r="AL14" i="5"/>
  <c r="AM18" i="5"/>
  <c r="AM26" i="5"/>
  <c r="AK32" i="5"/>
  <c r="D7" i="5"/>
  <c r="B11" i="5"/>
  <c r="A11" i="5"/>
  <c r="C11" i="5" s="1"/>
  <c r="B8" i="5"/>
  <c r="B9" i="5"/>
  <c r="A9" i="5"/>
  <c r="C9" i="5" s="1"/>
  <c r="B17" i="5"/>
  <c r="A10" i="5"/>
  <c r="C10" i="5" s="1"/>
  <c r="D17" i="5"/>
  <c r="B10" i="5"/>
  <c r="D10" i="5"/>
  <c r="A19" i="5"/>
  <c r="C19" i="5" s="1"/>
  <c r="A15" i="5"/>
  <c r="C15" i="5" s="1"/>
  <c r="B14" i="5"/>
  <c r="D21" i="5"/>
  <c r="D20" i="5"/>
  <c r="D13" i="5"/>
  <c r="D8" i="5"/>
  <c r="D11" i="5"/>
  <c r="A14" i="5"/>
  <c r="C14" i="5" s="1"/>
  <c r="D14" i="5"/>
  <c r="B7" i="5"/>
  <c r="A17" i="5"/>
  <c r="C17" i="5" s="1"/>
  <c r="D18" i="5"/>
  <c r="A8" i="5"/>
  <c r="C8" i="5" s="1"/>
  <c r="D19" i="5"/>
  <c r="B16" i="5"/>
  <c r="D9" i="5"/>
  <c r="B33" i="5"/>
  <c r="B27" i="5"/>
  <c r="D22" i="5"/>
  <c r="B24" i="5"/>
  <c r="A25" i="5"/>
  <c r="C25" i="5" s="1"/>
  <c r="B31" i="5"/>
  <c r="A34" i="5"/>
  <c r="C34" i="5" s="1"/>
  <c r="A32" i="5"/>
  <c r="C32" i="5" s="1"/>
  <c r="B13" i="5"/>
  <c r="D39" i="5"/>
  <c r="E39" i="5" s="1"/>
  <c r="B28" i="5"/>
  <c r="B26" i="5"/>
  <c r="D24" i="5"/>
  <c r="A33" i="5"/>
  <c r="C33" i="5" s="1"/>
  <c r="A12" i="5"/>
  <c r="C12" i="5" s="1"/>
  <c r="A36" i="5"/>
  <c r="C36" i="5" s="1"/>
  <c r="D12" i="5"/>
  <c r="D30" i="5"/>
  <c r="D29" i="5"/>
  <c r="A31" i="5"/>
  <c r="C31" i="5" s="1"/>
  <c r="A30" i="5"/>
  <c r="C30" i="5" s="1"/>
  <c r="D34" i="5"/>
  <c r="E34" i="5" s="1"/>
  <c r="D28" i="5"/>
  <c r="B20" i="5"/>
  <c r="B32" i="5"/>
  <c r="D27" i="5"/>
  <c r="A22" i="5"/>
  <c r="C22" i="5" s="1"/>
  <c r="B36" i="5"/>
  <c r="D38" i="5"/>
  <c r="E38" i="5" s="1"/>
  <c r="D35" i="5"/>
  <c r="E35" i="5" s="1"/>
  <c r="A23" i="5"/>
  <c r="C23" i="5" s="1"/>
  <c r="B37" i="5"/>
  <c r="D33" i="5"/>
  <c r="B15" i="5"/>
  <c r="D25" i="5"/>
  <c r="B19" i="5"/>
  <c r="D16" i="5"/>
  <c r="D26" i="5"/>
  <c r="B12" i="5"/>
  <c r="B39" i="5"/>
  <c r="A38" i="5"/>
  <c r="C38" i="5" s="1"/>
  <c r="A27" i="5"/>
  <c r="C27" i="5" s="1"/>
  <c r="A21" i="5"/>
  <c r="C21" i="5" s="1"/>
  <c r="B34" i="5"/>
  <c r="D37" i="5"/>
  <c r="E37" i="5" s="1"/>
  <c r="B35" i="5"/>
  <c r="D31" i="5"/>
  <c r="B29" i="5"/>
  <c r="A13" i="5"/>
  <c r="C13" i="5" s="1"/>
  <c r="B18" i="5"/>
  <c r="A24" i="5"/>
  <c r="C24" i="5" s="1"/>
  <c r="B21" i="5"/>
  <c r="A29" i="5"/>
  <c r="C29" i="5" s="1"/>
  <c r="B22" i="5"/>
  <c r="B38" i="5"/>
  <c r="A37" i="5"/>
  <c r="C37" i="5" s="1"/>
  <c r="D23" i="5"/>
  <c r="A35" i="5"/>
  <c r="C35" i="5" s="1"/>
  <c r="A39" i="5"/>
  <c r="C39" i="5" s="1"/>
  <c r="A16" i="5"/>
  <c r="C16" i="5" s="1"/>
  <c r="B30" i="5"/>
  <c r="D32" i="5"/>
  <c r="D36" i="5"/>
  <c r="E36" i="5" s="1"/>
  <c r="A18" i="5"/>
  <c r="C18" i="5" s="1"/>
  <c r="B23" i="5"/>
  <c r="D15" i="5"/>
  <c r="A28" i="5"/>
  <c r="C28" i="5" s="1"/>
  <c r="B25" i="5"/>
  <c r="A26" i="5"/>
  <c r="C26" i="5" s="1"/>
  <c r="A20" i="5"/>
  <c r="C20" i="5" s="1"/>
  <c r="AI28" i="5" l="1"/>
  <c r="AI29" i="5"/>
  <c r="AI27" i="5"/>
  <c r="AI26" i="5"/>
  <c r="AI25" i="5"/>
  <c r="AI22" i="5"/>
  <c r="AI24" i="5"/>
  <c r="AI23" i="5"/>
  <c r="AI17" i="5"/>
  <c r="AI19" i="5"/>
  <c r="AI7" i="5"/>
  <c r="AI15" i="5"/>
  <c r="AI13" i="5"/>
  <c r="AI21" i="5"/>
  <c r="AI18" i="5"/>
  <c r="AI9" i="5"/>
  <c r="AI14" i="5"/>
  <c r="AI8" i="5"/>
  <c r="AI10" i="5"/>
  <c r="AI11" i="5"/>
  <c r="AI20" i="5"/>
  <c r="AI16" i="5"/>
  <c r="AI12" i="5"/>
  <c r="G26" i="5" l="1"/>
  <c r="I26" i="5" s="1"/>
  <c r="G31" i="5"/>
  <c r="I31" i="5" s="1"/>
  <c r="G32" i="5"/>
  <c r="I32" i="5" s="1"/>
  <c r="H15" i="5"/>
  <c r="H29" i="5"/>
  <c r="H26" i="5"/>
  <c r="J13" i="5"/>
  <c r="G22" i="5"/>
  <c r="I22" i="5" s="1"/>
  <c r="J15" i="5"/>
  <c r="J37" i="5"/>
  <c r="K37" i="5" s="1"/>
  <c r="J35" i="5"/>
  <c r="K35" i="5" s="1"/>
  <c r="G9" i="5"/>
  <c r="I9" i="5" s="1"/>
  <c r="H39" i="5"/>
  <c r="H16" i="5"/>
  <c r="G7" i="5"/>
  <c r="J29" i="5"/>
  <c r="G10" i="5"/>
  <c r="I10" i="5" s="1"/>
  <c r="G29" i="5"/>
  <c r="I29" i="5" s="1"/>
  <c r="J34" i="5"/>
  <c r="K34" i="5" s="1"/>
  <c r="H9" i="5"/>
  <c r="G21" i="5"/>
  <c r="I21" i="5" s="1"/>
  <c r="H20" i="5"/>
  <c r="J12" i="5"/>
  <c r="J11" i="5"/>
  <c r="H18" i="5"/>
  <c r="G36" i="5"/>
  <c r="I36" i="5" s="1"/>
  <c r="H25" i="5"/>
  <c r="J18" i="5"/>
  <c r="G11" i="5"/>
  <c r="I11" i="5" s="1"/>
  <c r="J33" i="5"/>
  <c r="K33" i="5" s="1"/>
  <c r="J8" i="5"/>
  <c r="H7" i="5"/>
  <c r="H12" i="5"/>
  <c r="H23" i="5"/>
  <c r="H37" i="5"/>
  <c r="J25" i="5"/>
  <c r="G17" i="5"/>
  <c r="I17" i="5" s="1"/>
  <c r="G34" i="5"/>
  <c r="I34" i="5" s="1"/>
  <c r="H11" i="5"/>
  <c r="J7" i="5"/>
  <c r="H27" i="5"/>
  <c r="H28" i="5"/>
  <c r="H19" i="5"/>
  <c r="G37" i="5"/>
  <c r="I37" i="5" s="1"/>
  <c r="J26" i="5"/>
  <c r="H35" i="5"/>
  <c r="G19" i="5"/>
  <c r="I19" i="5" s="1"/>
  <c r="G25" i="5"/>
  <c r="I25" i="5" s="1"/>
  <c r="J17" i="5"/>
  <c r="H32" i="5"/>
  <c r="G12" i="5"/>
  <c r="I12" i="5" s="1"/>
  <c r="H38" i="5"/>
  <c r="H13" i="5"/>
  <c r="G23" i="5"/>
  <c r="I23" i="5" s="1"/>
  <c r="G24" i="5"/>
  <c r="I24" i="5" s="1"/>
  <c r="G38" i="5"/>
  <c r="I38" i="5" s="1"/>
  <c r="H33" i="5"/>
  <c r="J27" i="5"/>
  <c r="H31" i="5"/>
  <c r="G15" i="5"/>
  <c r="I15" i="5" s="1"/>
  <c r="H10" i="5"/>
  <c r="J24" i="5"/>
  <c r="H24" i="5"/>
  <c r="G14" i="5"/>
  <c r="I14" i="5" s="1"/>
  <c r="H30" i="5"/>
  <c r="G30" i="5"/>
  <c r="I30" i="5" s="1"/>
  <c r="J23" i="5"/>
  <c r="J36" i="5"/>
  <c r="K36" i="5" s="1"/>
  <c r="J14" i="5"/>
  <c r="J16" i="5"/>
  <c r="J19" i="5"/>
  <c r="H22" i="5"/>
  <c r="J28" i="5"/>
  <c r="J38" i="5"/>
  <c r="K38" i="5" s="1"/>
  <c r="G20" i="5"/>
  <c r="I20" i="5" s="1"/>
  <c r="J31" i="5"/>
  <c r="K31" i="5" s="1"/>
  <c r="H34" i="5"/>
  <c r="G18" i="5"/>
  <c r="I18" i="5" s="1"/>
  <c r="G28" i="5"/>
  <c r="I28" i="5" s="1"/>
  <c r="J30" i="5"/>
  <c r="K30" i="5" s="1"/>
  <c r="J9" i="5"/>
  <c r="G27" i="5"/>
  <c r="I27" i="5" s="1"/>
  <c r="J20" i="5"/>
  <c r="G16" i="5"/>
  <c r="I16" i="5" s="1"/>
  <c r="G39" i="5"/>
  <c r="I39" i="5" s="1"/>
  <c r="H36" i="5"/>
  <c r="J32" i="5"/>
  <c r="K32" i="5" s="1"/>
  <c r="G35" i="5"/>
  <c r="I35" i="5" s="1"/>
  <c r="H8" i="5"/>
  <c r="J21" i="5"/>
  <c r="H21" i="5"/>
  <c r="H14" i="5"/>
  <c r="H17" i="5"/>
  <c r="J22" i="5"/>
  <c r="G13" i="5"/>
  <c r="I13" i="5" s="1"/>
  <c r="J39" i="5"/>
  <c r="K39" i="5" s="1"/>
  <c r="J10" i="5"/>
  <c r="G33" i="5"/>
  <c r="I33" i="5" s="1"/>
  <c r="G8" i="5"/>
  <c r="I8" i="5" s="1"/>
  <c r="I7" i="5" l="1"/>
  <c r="I2" i="5" s="1"/>
  <c r="D6" i="5"/>
  <c r="I3" i="5" l="1"/>
  <c r="M2" i="5" s="1"/>
  <c r="K27" i="5"/>
  <c r="E33" i="5"/>
  <c r="E32" i="5"/>
  <c r="K28" i="5"/>
  <c r="K29" i="5"/>
  <c r="K25" i="5"/>
  <c r="E31" i="5"/>
  <c r="K26" i="5"/>
  <c r="E30" i="5"/>
  <c r="E29" i="5"/>
  <c r="K22" i="5"/>
  <c r="K23" i="5"/>
  <c r="K24" i="5"/>
  <c r="K18" i="5"/>
  <c r="E26" i="5"/>
  <c r="E27" i="5"/>
  <c r="E25" i="5"/>
  <c r="E28" i="5"/>
  <c r="K20" i="5"/>
  <c r="K16" i="5"/>
  <c r="K15" i="5"/>
  <c r="K19" i="5"/>
  <c r="E17" i="5"/>
  <c r="E8" i="5"/>
  <c r="E7" i="5"/>
  <c r="E14" i="5"/>
  <c r="E19" i="5"/>
  <c r="K8" i="5"/>
  <c r="K13" i="5"/>
  <c r="K12" i="5"/>
  <c r="E10" i="5"/>
  <c r="E21" i="5"/>
  <c r="E11" i="5"/>
  <c r="K17" i="5"/>
  <c r="K11" i="5"/>
  <c r="K10" i="5"/>
  <c r="K14" i="5"/>
  <c r="E12" i="5"/>
  <c r="K9" i="5"/>
  <c r="E9" i="5"/>
  <c r="E16" i="5"/>
  <c r="E24" i="5"/>
  <c r="E22" i="5"/>
  <c r="E13" i="5"/>
  <c r="E15" i="7" s="1"/>
  <c r="E15" i="5"/>
  <c r="K21" i="5"/>
  <c r="E20" i="5"/>
  <c r="K7" i="5"/>
  <c r="E23" i="5"/>
  <c r="E18" i="5"/>
  <c r="K28" i="7" l="1"/>
  <c r="K35" i="7"/>
  <c r="E8" i="7"/>
  <c r="E23" i="7"/>
  <c r="E12" i="7"/>
  <c r="E7" i="7"/>
  <c r="E9" i="7"/>
  <c r="E11" i="7"/>
  <c r="E14" i="7"/>
  <c r="E22" i="7"/>
  <c r="E20" i="7"/>
  <c r="E10" i="7"/>
  <c r="E21" i="7"/>
  <c r="E38" i="7"/>
  <c r="E40" i="7"/>
  <c r="E39" i="7"/>
  <c r="K34" i="7"/>
  <c r="K20" i="7"/>
  <c r="K21" i="7"/>
  <c r="E24" i="7"/>
  <c r="K33" i="7"/>
  <c r="K9" i="7"/>
  <c r="K12" i="7"/>
  <c r="E26" i="7"/>
  <c r="K15" i="7"/>
  <c r="E25" i="7"/>
  <c r="K14" i="7"/>
  <c r="K8" i="7"/>
  <c r="K10" i="7"/>
  <c r="K11" i="7"/>
  <c r="E35" i="7"/>
  <c r="E36" i="7"/>
  <c r="E33" i="7"/>
  <c r="E34" i="7"/>
  <c r="E37" i="7"/>
  <c r="K23" i="7"/>
  <c r="K22" i="7"/>
  <c r="K24" i="7"/>
  <c r="K26" i="7"/>
  <c r="K25" i="7"/>
  <c r="K27" i="7"/>
  <c r="K13" i="7"/>
  <c r="E27" i="7"/>
  <c r="K7" i="7"/>
  <c r="E13" i="7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<sst xmlns="http://schemas.openxmlformats.org/spreadsheetml/2006/main" count="1038" uniqueCount="397">
  <si>
    <t>Semester 1</t>
  </si>
  <si>
    <t>SKS</t>
  </si>
  <si>
    <t>Semester 2</t>
  </si>
  <si>
    <t>MUH1B3</t>
  </si>
  <si>
    <t>Kalkulus IB</t>
  </si>
  <si>
    <t>D</t>
  </si>
  <si>
    <t>MSH2A3</t>
  </si>
  <si>
    <t>Matematika Diskrit A</t>
  </si>
  <si>
    <t>LUH1A2</t>
  </si>
  <si>
    <t>Bahasa Indonesia</t>
  </si>
  <si>
    <t>C</t>
  </si>
  <si>
    <t>MUH1E3</t>
  </si>
  <si>
    <t>Kalkulus IIB</t>
  </si>
  <si>
    <t>DUH1A2</t>
  </si>
  <si>
    <t>Literasi TIK</t>
  </si>
  <si>
    <t>CCH1D4</t>
  </si>
  <si>
    <t>Struktur Data</t>
  </si>
  <si>
    <t>CSH1F2</t>
  </si>
  <si>
    <t>Pengantar Teknik Informatika</t>
  </si>
  <si>
    <t>HUH1_2</t>
  </si>
  <si>
    <t>Pendidikan Agama dan Etika</t>
  </si>
  <si>
    <t>CCH1A4</t>
  </si>
  <si>
    <t>Dasar Algoritma dan Pemrograman</t>
  </si>
  <si>
    <t>MUH1G3</t>
  </si>
  <si>
    <t>Matriks dan Ruang Vektor</t>
  </si>
  <si>
    <t>MSH1B3</t>
  </si>
  <si>
    <t>Logika Matematika A</t>
  </si>
  <si>
    <t>LUH1B2</t>
  </si>
  <si>
    <t>Bahasa Inggris I</t>
  </si>
  <si>
    <t>CSH1A2</t>
  </si>
  <si>
    <t>Pembentukan Karakter</t>
  </si>
  <si>
    <t>HUH1G3</t>
  </si>
  <si>
    <t>Pancasila dan Kewarganegaraan</t>
  </si>
  <si>
    <t>Semester 3</t>
  </si>
  <si>
    <t>Semester 4</t>
  </si>
  <si>
    <t>MUH1F3</t>
  </si>
  <si>
    <t>Probabilitas dan Statistika A</t>
  </si>
  <si>
    <t>CSH2E4</t>
  </si>
  <si>
    <t>Analisis dan Perancangan Perangkat Lunak</t>
  </si>
  <si>
    <t>SEH2A3</t>
  </si>
  <si>
    <t>Pemrograman Berorientasi Obyek A</t>
  </si>
  <si>
    <t>CSH2D3</t>
  </si>
  <si>
    <t>Sistem Basis Data</t>
  </si>
  <si>
    <t>CSH2B3</t>
  </si>
  <si>
    <t>Teori Bahasa &amp; Automata</t>
  </si>
  <si>
    <t>CSH2G3</t>
  </si>
  <si>
    <t>Desain dan Analisis Algoritma</t>
  </si>
  <si>
    <t>CSH2C3</t>
  </si>
  <si>
    <t>Pemodelan Basis Data</t>
  </si>
  <si>
    <t>CSH2H3</t>
  </si>
  <si>
    <t>Model Bisnis Digital</t>
  </si>
  <si>
    <t>FUH1G3</t>
  </si>
  <si>
    <t>Fisika Dasar</t>
  </si>
  <si>
    <t>CCH2A3</t>
  </si>
  <si>
    <t>Pemrograman Web</t>
  </si>
  <si>
    <t>CSH2F3</t>
  </si>
  <si>
    <t>Sistem Digital</t>
  </si>
  <si>
    <t>CSH2I3</t>
  </si>
  <si>
    <t>Organisasi dan Arsitektur Komputer</t>
  </si>
  <si>
    <t>LUH2C2</t>
  </si>
  <si>
    <t>Bahasa Inggris II</t>
  </si>
  <si>
    <t>Semester 5</t>
  </si>
  <si>
    <t>Semester 6</t>
  </si>
  <si>
    <t>CSH3A4</t>
  </si>
  <si>
    <t>Jaringan Komputer</t>
  </si>
  <si>
    <t>CSH3H2</t>
  </si>
  <si>
    <t>Dasar Pemodelan dan Simulasi</t>
  </si>
  <si>
    <t>CCH3F3</t>
  </si>
  <si>
    <t>Kecerdasan Buatan</t>
  </si>
  <si>
    <t>CSH3I3</t>
  </si>
  <si>
    <t>Sistem Informasi</t>
  </si>
  <si>
    <t>CSH3E3</t>
  </si>
  <si>
    <t>Implementasi dan Pengujian Perangkat Lunak</t>
  </si>
  <si>
    <t>CSH3J3</t>
  </si>
  <si>
    <t>Sistem Paralel dan Terdistribusi</t>
  </si>
  <si>
    <t>CSH3B3</t>
  </si>
  <si>
    <t>Interaksi Manusia &amp; Komputer A</t>
  </si>
  <si>
    <t>CSH3K2</t>
  </si>
  <si>
    <t>Tata Tulis Ilmiah dan Teknik Presentasi</t>
  </si>
  <si>
    <t>CSH3A3</t>
  </si>
  <si>
    <t>Sistem Operasi A</t>
  </si>
  <si>
    <t>CSH3L3</t>
  </si>
  <si>
    <t>Pembelajaran Mesin</t>
  </si>
  <si>
    <t>CSH3G2</t>
  </si>
  <si>
    <t>Konsep Teknologi</t>
  </si>
  <si>
    <t>Pilihan I</t>
  </si>
  <si>
    <t>CCH3D2</t>
  </si>
  <si>
    <t>Kerja Praktik</t>
  </si>
  <si>
    <t>Semester 7</t>
  </si>
  <si>
    <t>Semester 8</t>
  </si>
  <si>
    <t>CCH3A3</t>
  </si>
  <si>
    <t>Wawasan Global dan TIK</t>
  </si>
  <si>
    <t>CCH4D4</t>
  </si>
  <si>
    <t>Tugas Akhir</t>
  </si>
  <si>
    <t>CCH4A3</t>
  </si>
  <si>
    <t>Penulisan Proposal</t>
  </si>
  <si>
    <t>HLH4J2</t>
  </si>
  <si>
    <t>Bahasa Inggris III</t>
  </si>
  <si>
    <t>Manajemen Proyek TIK</t>
  </si>
  <si>
    <t>DUH2A2</t>
  </si>
  <si>
    <t>Kewirausahaan</t>
  </si>
  <si>
    <t>Keprofesian Informatika</t>
  </si>
  <si>
    <t>Pilihan IV</t>
  </si>
  <si>
    <t>Pilihan II</t>
  </si>
  <si>
    <t>Pilihan V</t>
  </si>
  <si>
    <t>Pilihan III</t>
  </si>
  <si>
    <t>Min</t>
  </si>
  <si>
    <t>Status</t>
  </si>
  <si>
    <t>Tahun</t>
  </si>
  <si>
    <t>SKS Lulus</t>
  </si>
  <si>
    <t>Nama</t>
  </si>
  <si>
    <t>SKS Kurang</t>
  </si>
  <si>
    <t>Pancasila</t>
  </si>
  <si>
    <t>Pengenalan Pemrograman</t>
  </si>
  <si>
    <t>Logika Matematika</t>
  </si>
  <si>
    <t>Statistika</t>
  </si>
  <si>
    <t>Kalkulus</t>
  </si>
  <si>
    <t>Pendidikan Karakter</t>
  </si>
  <si>
    <t>UKI-1C2</t>
  </si>
  <si>
    <t>UKI-1B2</t>
  </si>
  <si>
    <t>CII-1A3</t>
  </si>
  <si>
    <t>CII-1B3</t>
  </si>
  <si>
    <t>CII-1C2</t>
  </si>
  <si>
    <t>CII-1D3</t>
  </si>
  <si>
    <t>CII-1E3</t>
  </si>
  <si>
    <t>Agama</t>
  </si>
  <si>
    <t>UAI-1_2</t>
  </si>
  <si>
    <t>Bahasa Inggris: Dasar</t>
  </si>
  <si>
    <t>UWI-1A2</t>
  </si>
  <si>
    <t>Algoritma Pemrograman</t>
  </si>
  <si>
    <t>CII-1F4</t>
  </si>
  <si>
    <t>Matematika Diskrit</t>
  </si>
  <si>
    <t>CII-1G3</t>
  </si>
  <si>
    <t>Kalkulus Lanjut</t>
  </si>
  <si>
    <t>CII-1H3</t>
  </si>
  <si>
    <t>CII-1I3</t>
  </si>
  <si>
    <t>CII-1J3</t>
  </si>
  <si>
    <t>CII-2A3</t>
  </si>
  <si>
    <t>CII-2B4</t>
  </si>
  <si>
    <t>Analisis Kompleksitas Algoritma</t>
  </si>
  <si>
    <t>CII-2C2</t>
  </si>
  <si>
    <t>CII-2D3</t>
  </si>
  <si>
    <t>RPL: Analisis Kebutuhan</t>
  </si>
  <si>
    <t>CII-2E2</t>
  </si>
  <si>
    <t>CII-2F3</t>
  </si>
  <si>
    <t>Teori Peluang</t>
  </si>
  <si>
    <t>CII-2G3</t>
  </si>
  <si>
    <t>Kewarganegaraan</t>
  </si>
  <si>
    <t>UKI-2A2</t>
  </si>
  <si>
    <t>Sistem Operasi</t>
  </si>
  <si>
    <t>CII-2H3</t>
  </si>
  <si>
    <t>Wawasan Global TIK</t>
  </si>
  <si>
    <t>CII-2I2</t>
  </si>
  <si>
    <t>CII-2J4</t>
  </si>
  <si>
    <t>Strategi Algoritma</t>
  </si>
  <si>
    <t>CII-2K3</t>
  </si>
  <si>
    <t>Teori Bahasa dan Automata</t>
  </si>
  <si>
    <t>CII-2L3</t>
  </si>
  <si>
    <t>Pengantar Kecerdasan Buatan</t>
  </si>
  <si>
    <t>CII-2M3</t>
  </si>
  <si>
    <t>UWI-3A2</t>
  </si>
  <si>
    <t>Interaksi Manusia Komputer</t>
  </si>
  <si>
    <t>CII-3A3</t>
  </si>
  <si>
    <t>Pemrograman Berorientasi Objek</t>
  </si>
  <si>
    <t>CII-3B4</t>
  </si>
  <si>
    <t>CII-3C3</t>
  </si>
  <si>
    <t>CII-3D4</t>
  </si>
  <si>
    <t>Keamanan Siber</t>
  </si>
  <si>
    <t>CII-3E3</t>
  </si>
  <si>
    <t>CII-3F1</t>
  </si>
  <si>
    <t>Manajemen Proyek</t>
  </si>
  <si>
    <t>CII-3G3</t>
  </si>
  <si>
    <t>Aplikasi Berbasis Platform</t>
  </si>
  <si>
    <t>CII-3H4</t>
  </si>
  <si>
    <t>Bahasa Inggris untuk Presentasi</t>
  </si>
  <si>
    <t>CII-3I3</t>
  </si>
  <si>
    <t>RPL: Desain dan Implementasi</t>
  </si>
  <si>
    <t>CII-3J4</t>
  </si>
  <si>
    <t>Sosio-Informatik dan Keprofesian</t>
  </si>
  <si>
    <t>CII-3K2</t>
  </si>
  <si>
    <t>MK Pilihan Peminatan 1</t>
  </si>
  <si>
    <t>CII-3_3</t>
  </si>
  <si>
    <t>CII-4A2</t>
  </si>
  <si>
    <t>CII-4B3</t>
  </si>
  <si>
    <t>Tata Tulis Ilmiah</t>
  </si>
  <si>
    <t>CII-4C3</t>
  </si>
  <si>
    <t>CII-4D3</t>
  </si>
  <si>
    <t>Mk Pilihan Peminatan 2</t>
  </si>
  <si>
    <t>MK Pilihan 1</t>
  </si>
  <si>
    <t>CII-4E4</t>
  </si>
  <si>
    <t>MK Pilihan 2</t>
  </si>
  <si>
    <t>MK Pilihan 3</t>
  </si>
  <si>
    <t>CII-4[1]3</t>
  </si>
  <si>
    <t>CII-4[2]3</t>
  </si>
  <si>
    <t>CII-4[3]3</t>
  </si>
  <si>
    <t>CII-4[4]3</t>
  </si>
  <si>
    <t>CS__[1]3</t>
  </si>
  <si>
    <t>CS__[2]3</t>
  </si>
  <si>
    <t>CS__[3]3</t>
  </si>
  <si>
    <t>CS__[4]3</t>
  </si>
  <si>
    <t>CS__[5]3</t>
  </si>
  <si>
    <t>Kode</t>
  </si>
  <si>
    <t>Sem</t>
  </si>
  <si>
    <t>Logika matematika</t>
  </si>
  <si>
    <t>Pembentukan karakter</t>
  </si>
  <si>
    <t>Pendidikan karakter</t>
  </si>
  <si>
    <t>Algoritma pemrograman</t>
  </si>
  <si>
    <t>Matematika diskrit</t>
  </si>
  <si>
    <t>Kalkulus lanjut</t>
  </si>
  <si>
    <t>Pemodelan Basis data</t>
  </si>
  <si>
    <t>Struktur data</t>
  </si>
  <si>
    <t>Matriks dan ruang vektor</t>
  </si>
  <si>
    <t>Pemrograman berorientasi Objek</t>
  </si>
  <si>
    <t>RPL: analisis kebutuhan</t>
  </si>
  <si>
    <t>Sistem basis data</t>
  </si>
  <si>
    <t>Analisis kompleksitas algoritma</t>
  </si>
  <si>
    <t>Teori bahasa dan automata</t>
  </si>
  <si>
    <t>Strategi algoritma</t>
  </si>
  <si>
    <t>Jaringan komputer</t>
  </si>
  <si>
    <t>Wawasan global TIK</t>
  </si>
  <si>
    <t>Interaksi manusia komputer</t>
  </si>
  <si>
    <t>Sistem paralel dan terdistribusi</t>
  </si>
  <si>
    <t>Pembelajaran mesin</t>
  </si>
  <si>
    <t>Manajemen proyek</t>
  </si>
  <si>
    <t>CSH4B3</t>
  </si>
  <si>
    <t>Informatika untuk masyarakat</t>
  </si>
  <si>
    <t>Bahasa Inggris untuk presentasi</t>
  </si>
  <si>
    <t>Aplikasi berbasis platform</t>
  </si>
  <si>
    <t>RPL: desain dan implementasi</t>
  </si>
  <si>
    <t>MK pilihan 1</t>
  </si>
  <si>
    <t>MK pilihan peminatan 1</t>
  </si>
  <si>
    <t>Sosio-Informatik dan keprofesian</t>
  </si>
  <si>
    <t>Kerja praktik</t>
  </si>
  <si>
    <t>Tata tulis ilmiah</t>
  </si>
  <si>
    <t>Penulisan proposal</t>
  </si>
  <si>
    <t>MK pilihan 2</t>
  </si>
  <si>
    <t>MK pilihan peminatan 2</t>
  </si>
  <si>
    <t>MK pilihan 3</t>
  </si>
  <si>
    <t>Tugas akhir</t>
  </si>
  <si>
    <t>MK pilihan 4</t>
  </si>
  <si>
    <t>MK pilihan 5</t>
  </si>
  <si>
    <t>Fisika Dasar B</t>
  </si>
  <si>
    <t>x</t>
  </si>
  <si>
    <t>CSH4C3</t>
  </si>
  <si>
    <t>Semester Ganjil</t>
  </si>
  <si>
    <t>Total SKS Akan Diambil</t>
  </si>
  <si>
    <t>Selisih SKS</t>
  </si>
  <si>
    <t>Prioritas</t>
  </si>
  <si>
    <t>2020/2021 Ganjil</t>
  </si>
  <si>
    <t>2020/2021 Genap</t>
  </si>
  <si>
    <t>SKS Akhir</t>
  </si>
  <si>
    <t>2021/2022 Ganjil</t>
  </si>
  <si>
    <t>2021/2022 Genap</t>
  </si>
  <si>
    <t>2022/2023 Ganjil</t>
  </si>
  <si>
    <t>2022/2023 Genap</t>
  </si>
  <si>
    <t>Semester Genap</t>
  </si>
  <si>
    <t>Diluluskan</t>
  </si>
  <si>
    <t xml:space="preserve"> Matakuliah Pilihan Peminatan 1</t>
  </si>
  <si>
    <t>CII-3L3</t>
  </si>
  <si>
    <t>CII-3M3</t>
  </si>
  <si>
    <t>CII-3N3</t>
  </si>
  <si>
    <t>CII-3O3</t>
  </si>
  <si>
    <t>CII-3P3</t>
  </si>
  <si>
    <t>Pembelajaran Mesin Lanjut</t>
  </si>
  <si>
    <t>Representasi Pengetahuan</t>
  </si>
  <si>
    <t>Sistem Multi Agen</t>
  </si>
  <si>
    <t>IoT dengan Kemampuan Cerdas</t>
  </si>
  <si>
    <t xml:space="preserve"> Matakuliah Pilihan Peminatan 2</t>
  </si>
  <si>
    <t>CII-4F3</t>
  </si>
  <si>
    <t>CII-4G3</t>
  </si>
  <si>
    <t>CII-4H3</t>
  </si>
  <si>
    <t>CII-4I3</t>
  </si>
  <si>
    <t>CII-4J3</t>
  </si>
  <si>
    <t>CII-4K3</t>
  </si>
  <si>
    <t>CII-4L3</t>
  </si>
  <si>
    <t>CII-4M3</t>
  </si>
  <si>
    <t>Pemrosesan Citra Digital</t>
  </si>
  <si>
    <t>Pemrosesan Bahasa Alami</t>
  </si>
  <si>
    <t>Sistem Pemberi Rekomendasi</t>
  </si>
  <si>
    <t>Penambangan Data</t>
  </si>
  <si>
    <t>Analisis Performansi Jaringan Komputer</t>
  </si>
  <si>
    <t>Sistem Keamanan Cerdas</t>
  </si>
  <si>
    <t>Visualisasi Data</t>
  </si>
  <si>
    <t>Metode Numerik untuk Informatika</t>
  </si>
  <si>
    <t>CII-4N3</t>
  </si>
  <si>
    <t>CII-4O3</t>
  </si>
  <si>
    <t>CII-4P3</t>
  </si>
  <si>
    <t>CII-4Q3</t>
  </si>
  <si>
    <t>CII-4R3</t>
  </si>
  <si>
    <t>Desain Interaksi</t>
  </si>
  <si>
    <t>Analisis Jejaring Sosial</t>
  </si>
  <si>
    <t>Visi Komputer</t>
  </si>
  <si>
    <t>Forensik Digital</t>
  </si>
  <si>
    <t>NIM</t>
  </si>
  <si>
    <t>CII-4S3</t>
  </si>
  <si>
    <t>KETERANGAN</t>
  </si>
  <si>
    <t>SKS 2020</t>
  </si>
  <si>
    <r>
      <t xml:space="preserve">Tidak ada yang perlu diubah atau diisi 
pada </t>
    </r>
    <r>
      <rPr>
        <i/>
        <sz val="11"/>
        <color theme="1"/>
        <rFont val="Calibri"/>
        <family val="2"/>
        <scheme val="minor"/>
      </rPr>
      <t>sheet</t>
    </r>
    <r>
      <rPr>
        <sz val="11"/>
        <color theme="1"/>
        <rFont val="Calibri"/>
        <family val="2"/>
        <scheme val="minor"/>
      </rPr>
      <t xml:space="preserve"> ini</t>
    </r>
  </si>
  <si>
    <r>
      <rPr>
        <b/>
        <sz val="11"/>
        <color rgb="FFFF0000"/>
        <rFont val="Calibri"/>
        <family val="2"/>
        <scheme val="minor"/>
      </rPr>
      <t>Cek</t>
    </r>
    <r>
      <rPr>
        <sz val="11"/>
        <color theme="1"/>
        <rFont val="Calibri"/>
        <family val="2"/>
        <scheme val="minor"/>
      </rPr>
      <t xml:space="preserve"> total SKS Lulus apakah sudah tepat</t>
    </r>
  </si>
  <si>
    <t>Verifikasi dan Validasi Perangkat Lunak</t>
  </si>
  <si>
    <t>list gj</t>
  </si>
  <si>
    <t>list gn</t>
  </si>
  <si>
    <t>no</t>
  </si>
  <si>
    <t>pr</t>
  </si>
  <si>
    <t>sorted</t>
  </si>
  <si>
    <r>
      <t xml:space="preserve">Pada TA 20/21, beberapa Matakuliah dibuka di semester Ganjil dan Genap. 
Cek penawaran matakuliah pada </t>
    </r>
    <r>
      <rPr>
        <i/>
        <sz val="11"/>
        <color theme="1"/>
        <rFont val="Calibri"/>
        <family val="2"/>
        <scheme val="minor"/>
      </rPr>
      <t>sheet</t>
    </r>
    <r>
      <rPr>
        <sz val="11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family val="2"/>
        <scheme val="minor"/>
      </rPr>
      <t>Rencana Studi</t>
    </r>
  </si>
  <si>
    <t xml:space="preserve"> Matakuliah Pilihan Bebas</t>
  </si>
  <si>
    <t>Komputasi Berkinerja Tinggi</t>
  </si>
  <si>
    <t xml:space="preserve"> Matakuliah Dibuka Ganjil dan Genap</t>
  </si>
  <si>
    <r>
      <t xml:space="preserve">AKHIR </t>
    </r>
    <r>
      <rPr>
        <b/>
        <i/>
        <sz val="11"/>
        <color theme="1"/>
        <rFont val="Calibri"/>
        <family val="2"/>
        <scheme val="minor"/>
      </rPr>
      <t>SHEET</t>
    </r>
    <r>
      <rPr>
        <b/>
        <sz val="11"/>
        <color theme="1"/>
        <rFont val="Calibri"/>
        <family val="2"/>
        <scheme val="minor"/>
      </rPr>
      <t xml:space="preserve"> PERENCANAAN STUDI</t>
    </r>
  </si>
  <si>
    <t>Kelas</t>
  </si>
  <si>
    <t>Kode Wali</t>
  </si>
  <si>
    <t>Dosen Wali</t>
  </si>
  <si>
    <t>P</t>
  </si>
  <si>
    <r>
      <t xml:space="preserve">Isi kolom </t>
    </r>
    <r>
      <rPr>
        <b/>
        <sz val="11"/>
        <color theme="1"/>
        <rFont val="Calibri"/>
        <family val="2"/>
        <scheme val="minor"/>
      </rPr>
      <t xml:space="preserve">Ulang? </t>
    </r>
    <r>
      <rPr>
        <sz val="11"/>
        <color theme="1"/>
        <rFont val="Calibri"/>
        <family val="2"/>
        <scheme val="minor"/>
      </rPr>
      <t xml:space="preserve">dengan </t>
    </r>
    <r>
      <rPr>
        <b/>
        <sz val="11"/>
        <color theme="1"/>
        <rFont val="Calibri"/>
        <family val="2"/>
        <scheme val="minor"/>
      </rPr>
      <t xml:space="preserve">Y 
</t>
    </r>
    <r>
      <rPr>
        <sz val="11"/>
        <color theme="1"/>
        <rFont val="Calibri"/>
        <family val="2"/>
        <scheme val="minor"/>
      </rPr>
      <t xml:space="preserve">jika matakuliah yang akan diambil 
adalah mengulang matakuliah yang 
sudah </t>
    </r>
    <r>
      <rPr>
        <b/>
        <sz val="11"/>
        <color rgb="FFFF0000"/>
        <rFont val="Calibri"/>
        <family val="2"/>
        <scheme val="minor"/>
      </rPr>
      <t>Pernah Lulus</t>
    </r>
    <r>
      <rPr>
        <sz val="11"/>
        <color theme="1"/>
        <rFont val="Calibri"/>
        <family val="2"/>
        <scheme val="minor"/>
      </rPr>
      <t xml:space="preserve"> sebelumnya</t>
    </r>
  </si>
  <si>
    <t>Ulang?</t>
  </si>
  <si>
    <t>(berdasar kurikulum 2016)</t>
  </si>
  <si>
    <t>(terhadap kurikulum 2020)</t>
  </si>
  <si>
    <r>
      <t>Salin (</t>
    </r>
    <r>
      <rPr>
        <i/>
        <sz val="11"/>
        <color theme="1"/>
        <rFont val="Calibri"/>
        <family val="2"/>
        <scheme val="minor"/>
      </rPr>
      <t>copy-paste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rgb="FFC00000"/>
        <rFont val="Calibri"/>
        <family val="2"/>
        <scheme val="minor"/>
      </rPr>
      <t xml:space="preserve">KODE </t>
    </r>
    <r>
      <rPr>
        <sz val="11"/>
        <rFont val="Calibri"/>
        <family val="2"/>
        <scheme val="minor"/>
      </rPr>
      <t>dan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 xml:space="preserve">NAMA MK
</t>
    </r>
    <r>
      <rPr>
        <sz val="11"/>
        <color theme="1"/>
        <rFont val="Calibri"/>
        <family val="2"/>
        <scheme val="minor"/>
      </rPr>
      <t xml:space="preserve">yang diperlukan dari </t>
    </r>
    <r>
      <rPr>
        <i/>
        <sz val="11"/>
        <color theme="1"/>
        <rFont val="Calibri"/>
        <family val="2"/>
        <scheme val="minor"/>
      </rPr>
      <t>sheet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Harus Ambil</t>
    </r>
    <r>
      <rPr>
        <sz val="11"/>
        <color theme="1"/>
        <rFont val="Calibri"/>
        <family val="2"/>
        <scheme val="minor"/>
      </rPr>
      <t xml:space="preserve"> sesuai tempat semester rencana pengambilannya</t>
    </r>
  </si>
  <si>
    <r>
      <rPr>
        <b/>
        <sz val="11"/>
        <color theme="1"/>
        <rFont val="Calibri"/>
        <family val="2"/>
        <scheme val="minor"/>
      </rPr>
      <t>UTAMAKAN</t>
    </r>
    <r>
      <rPr>
        <sz val="11"/>
        <color theme="1"/>
        <rFont val="Calibri"/>
        <family val="2"/>
        <scheme val="minor"/>
      </rPr>
      <t xml:space="preserve"> mengambil matakuliah sesuai prioritas yang diberikan.
Terutama jika matakuliah tsb ditawarkan.</t>
    </r>
  </si>
  <si>
    <r>
      <t xml:space="preserve">Cek urutan </t>
    </r>
    <r>
      <rPr>
        <b/>
        <sz val="11"/>
        <color theme="1"/>
        <rFont val="Calibri"/>
        <family val="2"/>
        <scheme val="minor"/>
      </rPr>
      <t>Prioritas</t>
    </r>
    <r>
      <rPr>
        <sz val="11"/>
        <color theme="1"/>
        <rFont val="Calibri"/>
        <family val="2"/>
        <scheme val="minor"/>
      </rPr>
      <t xml:space="preserve"> yang dihasilkan dari Rencana Studi</t>
    </r>
  </si>
  <si>
    <r>
      <t xml:space="preserve">Isikan </t>
    </r>
    <r>
      <rPr>
        <b/>
        <sz val="11"/>
        <color theme="1"/>
        <rFont val="Calibri"/>
        <family val="2"/>
        <scheme val="minor"/>
      </rPr>
      <t>Nama,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NIM, </t>
    </r>
    <r>
      <rPr>
        <sz val="11"/>
        <color theme="1"/>
        <rFont val="Calibri"/>
        <family val="2"/>
        <scheme val="minor"/>
      </rPr>
      <t>dan</t>
    </r>
    <r>
      <rPr>
        <b/>
        <sz val="11"/>
        <color theme="1"/>
        <rFont val="Calibri"/>
        <family val="2"/>
        <scheme val="minor"/>
      </rPr>
      <t xml:space="preserve"> Kelas</t>
    </r>
    <r>
      <rPr>
        <sz val="11"/>
        <color theme="1"/>
        <rFont val="Calibri"/>
        <family val="2"/>
        <scheme val="minor"/>
      </rPr>
      <t xml:space="preserve"> pada cell 
berwarna </t>
    </r>
    <r>
      <rPr>
        <b/>
        <sz val="11"/>
        <color rgb="FF00B050"/>
        <rFont val="Calibri"/>
        <family val="2"/>
        <scheme val="minor"/>
      </rPr>
      <t>Hijau</t>
    </r>
  </si>
  <si>
    <r>
      <t>Salin (</t>
    </r>
    <r>
      <rPr>
        <i/>
        <sz val="11"/>
        <color theme="1"/>
        <rFont val="Calibri"/>
        <family val="2"/>
        <scheme val="minor"/>
      </rPr>
      <t>copy-paste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rgb="FFC00000"/>
        <rFont val="Calibri"/>
        <family val="2"/>
        <scheme val="minor"/>
      </rPr>
      <t xml:space="preserve">KODE </t>
    </r>
    <r>
      <rPr>
        <sz val="11"/>
        <rFont val="Calibri"/>
        <family val="2"/>
        <scheme val="minor"/>
      </rPr>
      <t>dan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C00000"/>
        <rFont val="Calibri"/>
        <family val="2"/>
        <scheme val="minor"/>
      </rPr>
      <t>NAMA MK</t>
    </r>
    <r>
      <rPr>
        <sz val="11"/>
        <color theme="1"/>
        <rFont val="Calibri"/>
        <family val="2"/>
        <scheme val="minor"/>
      </rPr>
      <t xml:space="preserve"> 
yang diperlukan ke </t>
    </r>
    <r>
      <rPr>
        <i/>
        <sz val="11"/>
        <color theme="1"/>
        <rFont val="Calibri"/>
        <family val="2"/>
        <scheme val="minor"/>
      </rPr>
      <t>sheet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Rencana Studi</t>
    </r>
    <r>
      <rPr>
        <sz val="11"/>
        <color theme="1"/>
        <rFont val="Calibri"/>
        <family val="2"/>
        <scheme val="minor"/>
      </rPr>
      <t xml:space="preserve"> sesuai tempat semester rencana pengambilannya</t>
    </r>
  </si>
  <si>
    <t>Belum</t>
  </si>
  <si>
    <t>Nilai</t>
  </si>
  <si>
    <r>
      <t xml:space="preserve">Isikan </t>
    </r>
    <r>
      <rPr>
        <b/>
        <sz val="11"/>
        <color theme="1"/>
        <rFont val="Calibri"/>
        <family val="2"/>
        <scheme val="minor"/>
      </rPr>
      <t>Nilai Matakuliah</t>
    </r>
    <r>
      <rPr>
        <sz val="11"/>
        <color theme="1"/>
        <rFont val="Calibri"/>
        <family val="2"/>
        <scheme val="minor"/>
      </rPr>
      <t xml:space="preserve"> pada cell berwarna </t>
    </r>
    <r>
      <rPr>
        <b/>
        <sz val="11"/>
        <color rgb="FF00B050"/>
        <rFont val="Calibri"/>
        <family val="2"/>
        <scheme val="minor"/>
      </rPr>
      <t>Hijau</t>
    </r>
    <r>
      <rPr>
        <sz val="11"/>
        <color theme="1"/>
        <rFont val="Calibri"/>
        <family val="2"/>
        <scheme val="minor"/>
      </rPr>
      <t xml:space="preserve"> yang sesuai</t>
    </r>
  </si>
  <si>
    <t>Bahasa Inggris untuk Karier</t>
  </si>
  <si>
    <t>Kurikulum 2016</t>
  </si>
  <si>
    <t>Kurikulum 2020</t>
  </si>
  <si>
    <t>Pemodelan dan Simulasi</t>
  </si>
  <si>
    <t>Semester 7 dan 8</t>
  </si>
  <si>
    <t>CII-4_3</t>
  </si>
  <si>
    <r>
      <t xml:space="preserve">KE </t>
    </r>
    <r>
      <rPr>
        <b/>
        <i/>
        <sz val="11"/>
        <color theme="1"/>
        <rFont val="Calibri"/>
        <family val="2"/>
        <scheme val="minor"/>
      </rPr>
      <t>SHEET</t>
    </r>
    <r>
      <rPr>
        <b/>
        <sz val="11"/>
        <color theme="1"/>
        <rFont val="Calibri"/>
        <family val="2"/>
        <scheme val="minor"/>
      </rPr>
      <t xml:space="preserve"> PRIORITAS DROP &gt;&gt;</t>
    </r>
  </si>
  <si>
    <r>
      <t xml:space="preserve">KE </t>
    </r>
    <r>
      <rPr>
        <b/>
        <i/>
        <sz val="11"/>
        <color theme="1"/>
        <rFont val="Calibri"/>
        <family val="2"/>
        <scheme val="minor"/>
      </rPr>
      <t>SHEET</t>
    </r>
    <r>
      <rPr>
        <b/>
        <sz val="11"/>
        <color theme="1"/>
        <rFont val="Calibri"/>
        <family val="2"/>
        <scheme val="minor"/>
      </rPr>
      <t xml:space="preserve"> HARUS AMBIL &gt;&gt;</t>
    </r>
  </si>
  <si>
    <r>
      <t xml:space="preserve">KE </t>
    </r>
    <r>
      <rPr>
        <b/>
        <i/>
        <sz val="11"/>
        <color theme="1"/>
        <rFont val="Calibri"/>
        <family val="2"/>
        <scheme val="minor"/>
      </rPr>
      <t>SHEET</t>
    </r>
    <r>
      <rPr>
        <b/>
        <sz val="11"/>
        <color theme="1"/>
        <rFont val="Calibri"/>
        <family val="2"/>
        <scheme val="minor"/>
      </rPr>
      <t xml:space="preserve"> RENCANA STUDI &gt;&gt;</t>
    </r>
  </si>
  <si>
    <t>IPK Lulus</t>
  </si>
  <si>
    <r>
      <t xml:space="preserve">KE </t>
    </r>
    <r>
      <rPr>
        <b/>
        <i/>
        <sz val="11"/>
        <color theme="1"/>
        <rFont val="Calibri"/>
        <family val="2"/>
        <scheme val="minor"/>
      </rPr>
      <t>SHEET</t>
    </r>
    <r>
      <rPr>
        <b/>
        <sz val="11"/>
        <color theme="1"/>
        <rFont val="Calibri"/>
        <family val="2"/>
        <scheme val="minor"/>
      </rPr>
      <t xml:space="preserve"> KURIKULUM 2020 &gt;&gt;</t>
    </r>
  </si>
  <si>
    <t>Jika belum lulus Mk Pilihan Peminatan 1, 
maka tidak mengambil MK Pilihan Peminatan 2.
Namun boleh diambil bersamaan.</t>
  </si>
  <si>
    <t>Jika belum lulus Mk Pilihan Peminatan 1, 
maka tidak mengambil MK Pilihan Bebas.
Namun boleh diambil bersamaan.</t>
  </si>
  <si>
    <r>
      <t xml:space="preserve">Pada TA 20/21, beberapa Matakuliah dibuka 
di semester Ganjil dan Genap. 
Cek </t>
    </r>
    <r>
      <rPr>
        <b/>
        <sz val="11"/>
        <color theme="1"/>
        <rFont val="Calibri"/>
        <family val="2"/>
        <scheme val="minor"/>
      </rPr>
      <t>Penawaran Matakuliah</t>
    </r>
    <r>
      <rPr>
        <sz val="11"/>
        <color theme="1"/>
        <rFont val="Calibri"/>
        <family val="2"/>
        <scheme val="minor"/>
      </rPr>
      <t xml:space="preserve"> pada kolom </t>
    </r>
    <r>
      <rPr>
        <b/>
        <sz val="11"/>
        <color theme="1"/>
        <rFont val="Calibri"/>
        <family val="2"/>
        <scheme val="minor"/>
      </rPr>
      <t>[R-T]</t>
    </r>
  </si>
  <si>
    <r>
      <t xml:space="preserve">Cek </t>
    </r>
    <r>
      <rPr>
        <b/>
        <sz val="11"/>
        <color theme="1"/>
        <rFont val="Calibri"/>
        <family val="2"/>
        <scheme val="minor"/>
      </rPr>
      <t>Penawaran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 xml:space="preserve">Matakuliah Pilihan 
</t>
    </r>
    <r>
      <rPr>
        <sz val="11"/>
        <color theme="1"/>
        <rFont val="Calibri"/>
        <family val="2"/>
        <scheme val="minor"/>
      </rPr>
      <t xml:space="preserve">pada kolom </t>
    </r>
    <r>
      <rPr>
        <b/>
        <sz val="11"/>
        <color theme="1"/>
        <rFont val="Calibri"/>
        <family val="2"/>
        <scheme val="minor"/>
      </rPr>
      <t>[V-X]</t>
    </r>
  </si>
  <si>
    <r>
      <t xml:space="preserve">Jika </t>
    </r>
    <r>
      <rPr>
        <b/>
        <sz val="11"/>
        <color theme="1"/>
        <rFont val="Calibri Light"/>
        <family val="2"/>
        <scheme val="major"/>
      </rPr>
      <t>belum ambil</t>
    </r>
    <r>
      <rPr>
        <sz val="11"/>
        <color theme="1"/>
        <rFont val="Calibri Light"/>
        <family val="1"/>
        <scheme val="major"/>
      </rPr>
      <t xml:space="preserve"> MK Pengantar AI,
maka tidak mengambil MK Pembelajaran Mesin</t>
    </r>
  </si>
  <si>
    <r>
      <t xml:space="preserve">Jika </t>
    </r>
    <r>
      <rPr>
        <b/>
        <sz val="11"/>
        <color theme="1"/>
        <rFont val="Calibri Light"/>
        <family val="2"/>
        <scheme val="major"/>
      </rPr>
      <t xml:space="preserve">belum ambil </t>
    </r>
    <r>
      <rPr>
        <sz val="11"/>
        <color theme="1"/>
        <rFont val="Calibri Light"/>
        <family val="1"/>
        <scheme val="major"/>
      </rPr>
      <t>MK Analisis Kompleksitas, 
maka tidak mengambil MK Strategi Algoritma</t>
    </r>
  </si>
  <si>
    <r>
      <t xml:space="preserve">Jika </t>
    </r>
    <r>
      <rPr>
        <b/>
        <sz val="11"/>
        <color theme="1"/>
        <rFont val="Calibri Light"/>
        <family val="2"/>
        <scheme val="major"/>
      </rPr>
      <t>belum lulus</t>
    </r>
    <r>
      <rPr>
        <sz val="11"/>
        <color theme="1"/>
        <rFont val="Calibri Light"/>
        <family val="1"/>
        <scheme val="major"/>
      </rPr>
      <t xml:space="preserve"> MK Algoritma Pemrograman, 
maka tidak mengambil MK Struktur data</t>
    </r>
  </si>
  <si>
    <r>
      <t xml:space="preserve">Jika </t>
    </r>
    <r>
      <rPr>
        <b/>
        <sz val="11"/>
        <color theme="1"/>
        <rFont val="Calibri Light"/>
        <family val="2"/>
        <scheme val="major"/>
      </rPr>
      <t>belum lulus</t>
    </r>
    <r>
      <rPr>
        <sz val="11"/>
        <color theme="1"/>
        <rFont val="Calibri Light"/>
        <family val="1"/>
        <scheme val="major"/>
      </rPr>
      <t xml:space="preserve"> MK Penulisan Proposal, maka tidak mengambil MK Tugas Akhir</t>
    </r>
  </si>
  <si>
    <t>(setelah ekuivalensi kurikulum 2020)</t>
  </si>
  <si>
    <t>Matakuliah Non-Ekuivalensi</t>
  </si>
  <si>
    <t>Informatika untuk Masyarakat</t>
  </si>
  <si>
    <r>
      <t xml:space="preserve">Untuk Angkatan 2015, 2016, dan 2017 yang 
</t>
    </r>
    <r>
      <rPr>
        <b/>
        <sz val="11"/>
        <color theme="1"/>
        <rFont val="Calibri Light"/>
        <family val="2"/>
        <scheme val="major"/>
      </rPr>
      <t>Tidak Lulus MK Pengetahuan Lingkungan</t>
    </r>
    <r>
      <rPr>
        <sz val="11"/>
        <color theme="1"/>
        <rFont val="Calibri Light"/>
        <family val="1"/>
        <scheme val="major"/>
      </rPr>
      <t xml:space="preserve"> dan </t>
    </r>
    <r>
      <rPr>
        <b/>
        <sz val="11"/>
        <color theme="1"/>
        <rFont val="Calibri Light"/>
        <family val="2"/>
        <scheme val="major"/>
      </rPr>
      <t xml:space="preserve">Tidak Mengambil MK Pembentukan Karakter </t>
    </r>
    <r>
      <rPr>
        <sz val="11"/>
        <color theme="1"/>
        <rFont val="Calibri Light"/>
        <family val="2"/>
        <scheme val="major"/>
      </rPr>
      <t>(Kur 2016)</t>
    </r>
    <r>
      <rPr>
        <sz val="11"/>
        <color theme="1"/>
        <rFont val="Calibri Light"/>
        <family val="1"/>
        <scheme val="major"/>
      </rPr>
      <t>, 
maka tidak mengambil MK Pendidikan Karakter. Kemudian diganti dengan MK Pilihan</t>
    </r>
  </si>
  <si>
    <r>
      <t xml:space="preserve">Berikut adalah Sheet untuk mengisikan </t>
    </r>
    <r>
      <rPr>
        <b/>
        <sz val="11"/>
        <color theme="1"/>
        <rFont val="Calibri"/>
        <family val="2"/>
        <scheme val="minor"/>
      </rPr>
      <t>Status Kelulusan</t>
    </r>
    <r>
      <rPr>
        <sz val="11"/>
        <color theme="1"/>
        <rFont val="Calibri"/>
        <family val="2"/>
        <scheme val="minor"/>
      </rPr>
      <t xml:space="preserve"> mahasiswa</t>
    </r>
  </si>
  <si>
    <r>
      <t xml:space="preserve">Total </t>
    </r>
    <r>
      <rPr>
        <b/>
        <sz val="11"/>
        <rFont val="Calibri"/>
        <family val="2"/>
        <scheme val="minor"/>
      </rPr>
      <t>SKS minimum</t>
    </r>
    <r>
      <rPr>
        <sz val="11"/>
        <rFont val="Calibri"/>
        <family val="2"/>
        <scheme val="minor"/>
      </rPr>
      <t xml:space="preserve"> untuk lulus pada Kurikulum 2020 adalah </t>
    </r>
    <r>
      <rPr>
        <b/>
        <sz val="11"/>
        <color rgb="FFC00000"/>
        <rFont val="Calibri"/>
        <family val="2"/>
        <scheme val="minor"/>
      </rPr>
      <t>144 SKS</t>
    </r>
  </si>
  <si>
    <r>
      <t xml:space="preserve">Jika terdapat matakuliah yang </t>
    </r>
    <r>
      <rPr>
        <b/>
        <sz val="11"/>
        <color rgb="FF0000FF"/>
        <rFont val="Calibri"/>
        <family val="2"/>
        <scheme val="minor"/>
      </rPr>
      <t>LULUS</t>
    </r>
    <r>
      <rPr>
        <sz val="11"/>
        <color theme="1"/>
        <rFont val="Calibri"/>
        <family val="2"/>
        <scheme val="minor"/>
      </rPr>
      <t xml:space="preserve">, namun </t>
    </r>
    <r>
      <rPr>
        <b/>
        <sz val="11"/>
        <color theme="1"/>
        <rFont val="Calibri"/>
        <family val="2"/>
        <scheme val="minor"/>
      </rPr>
      <t>TIDAK MEMILIKI</t>
    </r>
    <r>
      <rPr>
        <sz val="11"/>
        <color theme="1"/>
        <rFont val="Calibri"/>
        <family val="2"/>
        <scheme val="minor"/>
      </rPr>
      <t xml:space="preserve"> ekuivalensi, 
maka matakuliah tersebut 
</t>
    </r>
    <r>
      <rPr>
        <b/>
        <sz val="11"/>
        <color theme="1"/>
        <rFont val="Calibri"/>
        <family val="2"/>
        <scheme val="minor"/>
      </rPr>
      <t>TETAP DINYATAKAN LULUS</t>
    </r>
    <r>
      <rPr>
        <sz val="11"/>
        <color theme="1"/>
        <rFont val="Calibri"/>
        <family val="2"/>
        <scheme val="minor"/>
      </rPr>
      <t xml:space="preserve">,
dan </t>
    </r>
    <r>
      <rPr>
        <b/>
        <sz val="11"/>
        <color rgb="FF00B050"/>
        <rFont val="Calibri"/>
        <family val="2"/>
        <scheme val="minor"/>
      </rPr>
      <t>MENGURANGI</t>
    </r>
    <r>
      <rPr>
        <sz val="11"/>
        <color theme="1"/>
        <rFont val="Calibri"/>
        <family val="2"/>
        <scheme val="minor"/>
      </rPr>
      <t xml:space="preserve"> jatah kewajiban pengambilan matakuliah pada Kurikulum 2020 (prioritas Matakuliah Pilihan)</t>
    </r>
  </si>
  <si>
    <r>
      <t xml:space="preserve">Berikut adalah Sheet untuk mengecek </t>
    </r>
    <r>
      <rPr>
        <b/>
        <sz val="11"/>
        <color theme="1"/>
        <rFont val="Calibri"/>
        <family val="2"/>
        <scheme val="minor"/>
      </rPr>
      <t>Ekuivalensi Status Kelulusan</t>
    </r>
    <r>
      <rPr>
        <sz val="11"/>
        <color theme="1"/>
        <rFont val="Calibri"/>
        <family val="2"/>
        <scheme val="minor"/>
      </rPr>
      <t xml:space="preserve"> mahasiswa pada Kurikulum 2020</t>
    </r>
  </si>
  <si>
    <r>
      <t xml:space="preserve">Berikut adalah Sheet untuk melihat 
daftar Matakuliah usulan prodi untuk </t>
    </r>
    <r>
      <rPr>
        <b/>
        <sz val="11"/>
        <color theme="1"/>
        <rFont val="Calibri"/>
        <family val="2"/>
        <scheme val="minor"/>
      </rPr>
      <t>Tidak Diambil</t>
    </r>
    <r>
      <rPr>
        <sz val="11"/>
        <color theme="1"/>
        <rFont val="Calibri"/>
        <family val="2"/>
        <scheme val="minor"/>
      </rPr>
      <t xml:space="preserve"> mahasiswa jika SKS pada Semester tersebut Tidak Mencukupi.
(e.g. Dikarenakan mengulang)</t>
    </r>
  </si>
  <si>
    <r>
      <t xml:space="preserve">Berikut adalah Sheet untuk mengecek matakuliah apa saja pada Kurikulum 2020 yang </t>
    </r>
    <r>
      <rPr>
        <b/>
        <sz val="11"/>
        <color theme="1"/>
        <rFont val="Calibri"/>
        <family val="2"/>
        <scheme val="minor"/>
      </rPr>
      <t>HARUS DIAMBIL</t>
    </r>
    <r>
      <rPr>
        <sz val="11"/>
        <color theme="1"/>
        <rFont val="Calibri"/>
        <family val="2"/>
        <scheme val="minor"/>
      </rPr>
      <t xml:space="preserve"> beserta prioritas pengambilannya</t>
    </r>
  </si>
  <si>
    <r>
      <t xml:space="preserve">Berikut adalah Sheet untuk 
merencanakan </t>
    </r>
    <r>
      <rPr>
        <b/>
        <sz val="11"/>
        <color theme="1"/>
        <rFont val="Calibri"/>
        <family val="2"/>
        <scheme val="minor"/>
      </rPr>
      <t>PENGAMBILAN</t>
    </r>
    <r>
      <rPr>
        <sz val="11"/>
        <color theme="1"/>
        <rFont val="Calibri"/>
        <family val="2"/>
        <scheme val="minor"/>
      </rPr>
      <t xml:space="preserve"> matakuliah dengan Kurikulum 2020 pada tahun ajaran 2020/2021 dan selanjutnya</t>
    </r>
  </si>
  <si>
    <r>
      <rPr>
        <b/>
        <sz val="11"/>
        <color rgb="FFFF0000"/>
        <rFont val="Calibri"/>
        <family val="2"/>
        <scheme val="minor"/>
      </rPr>
      <t>Cek</t>
    </r>
    <r>
      <rPr>
        <sz val="11"/>
        <color theme="1"/>
        <rFont val="Calibri"/>
        <family val="2"/>
        <scheme val="minor"/>
      </rPr>
      <t xml:space="preserve"> apakah total </t>
    </r>
    <r>
      <rPr>
        <b/>
        <sz val="11"/>
        <color theme="1"/>
        <rFont val="Calibri"/>
        <family val="2"/>
        <scheme val="minor"/>
      </rPr>
      <t>IPK</t>
    </r>
    <r>
      <rPr>
        <sz val="11"/>
        <color theme="1"/>
        <rFont val="Calibri"/>
        <family val="2"/>
        <scheme val="minor"/>
      </rPr>
      <t xml:space="preserve"> dan </t>
    </r>
    <r>
      <rPr>
        <b/>
        <sz val="11"/>
        <color theme="1"/>
        <rFont val="Calibri"/>
        <family val="2"/>
        <scheme val="minor"/>
      </rPr>
      <t>SKS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Lulus</t>
    </r>
    <r>
      <rPr>
        <sz val="11"/>
        <color theme="1"/>
        <rFont val="Calibri"/>
        <family val="2"/>
        <scheme val="minor"/>
      </rPr>
      <t xml:space="preserve"> 
sudah tepat</t>
    </r>
  </si>
  <si>
    <t>Total SKS Semester</t>
  </si>
  <si>
    <t>(hanya MK Kurikulum 2020)</t>
  </si>
  <si>
    <t>Nama Sheet</t>
  </si>
  <si>
    <t>Keterangan Sheet</t>
  </si>
  <si>
    <t>Yang Harus Dilakukan</t>
  </si>
  <si>
    <t>Status Kelulusan</t>
  </si>
  <si>
    <t>Sheet untuk mengisikan Status Kelulusan mahasiswa sesuai dengan Kurikulum 2016 yang sudah diambil</t>
  </si>
  <si>
    <t>Isikan Nama, NIM, dan Kelas pada cell berwarna Hijau</t>
  </si>
  <si>
    <t>Isikan Nilai Matakuliah pada cell berwarna Hijau yang sesuai</t>
  </si>
  <si>
    <t>Akan terlihat status matakuliah apakah Sudah Lulus, Belum Ambil, atau Harus Mengulang</t>
  </si>
  <si>
    <t>Cek total apakah IPK akhir dan total SKS Lulus sudah tepat</t>
  </si>
  <si>
    <t>Total SKS minimum untuk lulus pada Kurikulum 2020 adalah 144 SKS</t>
  </si>
  <si>
    <t>Sheet untuk mengecek hasil Ekuivalensi Status Kelulusan mahasiswa pada Kurikulum 2020</t>
  </si>
  <si>
    <t>Tidak ada yang perlu diubah atau diisi pada sheet ini</t>
  </si>
  <si>
    <t>Cek total SKS Lulus apakah sudah tepat</t>
  </si>
  <si>
    <t>Jika terdapat matakuliah yang LULUS, namun TIDAK MEMILIKI ekuivalensi, 
maka matakuliah tersebut TETAP DINYATAKAN LULUS, dan MENGURANGI jatah kewajiban 
pengambilan matakuliah pada Kurikulum 2020 (prioritas Matakuliah Pilihan)</t>
  </si>
  <si>
    <t>Prioritas Drop</t>
  </si>
  <si>
    <t>Sheet untuk melihat informasi daftar Matakuliah usulan prodi 
untuk Tidak Diambil mahasiswa jika SKS pada Semester tersebut Tidak Mencukupi. (e.g. Dikarenakan mengulang)</t>
  </si>
  <si>
    <t>Baca dengan seksama informasi yang diberikan</t>
  </si>
  <si>
    <t>Harus Ambil</t>
  </si>
  <si>
    <t>Sheet untuk melihat informasi matakuliah apa saja pada Kurikulum 2020 yang HARUS DIAMBIL pada semester-semester berikutnya, beserta prioritas pengambilannya</t>
  </si>
  <si>
    <t>Salin (copy-paste) KODE dan NAMA MK yang diperlukan ke sheet Rencana Studi sesuai tempat 
semester rencana pengambilannya</t>
  </si>
  <si>
    <t>UTAMAKAN mengambil matakuliah sesuai prioritas yang diberikan. Terutama jika matakuliah tsb ditawarkan.</t>
  </si>
  <si>
    <t>Pada TA 20/21, beberapa Matakuliah dibuka di semester Ganjil dan Genap. Cek penawaran 
matakuliah pada sheet  Rencana Studi</t>
  </si>
  <si>
    <t>Rencana Studi</t>
  </si>
  <si>
    <t>Sheet untuk mengisikan perencanaan PENGAMBILAN matakuliah dengan Kurikulum 2020 pada tahun ajaran 2020/2021 dan selanjutnya</t>
  </si>
  <si>
    <t>Salin (copy-paste) KODE dan NAMA MK yang diperlukan dari sheet Harus Ambil sesuai tempat 
semester rencana pengambilannya</t>
  </si>
  <si>
    <t>Isi kolom Ulang? dengan Y jika matakuliah yang akan diambil adalah mengulang matakuliah yang 
sudah Pernah Lulus sebelumnya</t>
  </si>
  <si>
    <t>Cek urutan Prioritas yang dihasilkan dari Rencana Studi</t>
  </si>
  <si>
    <t>Ekuivalensi</t>
  </si>
  <si>
    <t>Sheet untuk melihat informasi Aturan Ekuivalensi (Penyetaraan Matakuliah) dari Kurikulum 2016 ke Kurikulum 2020</t>
  </si>
  <si>
    <t>Diagram 2020</t>
  </si>
  <si>
    <t>Sheet untuk melihat Struktur Diagram penempatan Matakuliah terhadap Pre-requisite-nya</t>
  </si>
  <si>
    <t>MUHAMMAD RIFQI ARRAHIM NATADIKARTA</t>
  </si>
  <si>
    <t>IF4308</t>
  </si>
  <si>
    <t>PHG</t>
  </si>
  <si>
    <t>A</t>
  </si>
  <si>
    <t>AB</t>
  </si>
  <si>
    <t>N</t>
  </si>
  <si>
    <t>HEI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</si>
</sst>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scheme val="minor"/>
    </font>
    <font>
      <b/>
      <sz val="10"/>
      <name val="Calibri Light"/>
      <family val="1"/>
      <scheme val="major"/>
    </font>
    <font>
      <sz val="11"/>
      <color theme="1"/>
      <name val="Calibri Light"/>
      <family val="1"/>
      <scheme val="major"/>
    </font>
    <font>
      <b/>
      <sz val="11"/>
      <color theme="1"/>
      <name val="Calibri Light"/>
      <family val="1"/>
      <scheme val="maj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1"/>
      <color theme="1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0"/>
      <name val="Calibri Light"/>
      <family val="2"/>
      <scheme val="major"/>
    </font>
    <font>
      <b/>
      <sz val="11"/>
      <name val="Calibri Light"/>
      <family val="1"/>
      <scheme val="major"/>
    </font>
    <font>
      <b/>
      <sz val="11"/>
      <color rgb="FFC0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F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9">
    <xf numFmtId="0" fontId="0" fillId="0" borderId="0" xfId="0"/>
    <xf numFmtId="0" fontId="1" fillId="4" borderId="0" xfId="0" applyFont="1" applyFill="1" applyAlignment="1" applyProtection="1">
      <alignment horizontal="left" vertical="center"/>
      <protection hidden="1"/>
    </xf>
    <xf numFmtId="0" fontId="2" fillId="4" borderId="0" xfId="0" applyFont="1" applyFill="1" applyAlignment="1" applyProtection="1">
      <alignment horizontal="left" vertical="center" indent="1"/>
      <protection hidden="1"/>
    </xf>
    <xf numFmtId="0" fontId="2" fillId="4" borderId="0" xfId="0" applyFont="1" applyFill="1" applyAlignment="1" applyProtection="1">
      <alignment vertical="center"/>
      <protection hidden="1"/>
    </xf>
    <xf numFmtId="0" fontId="2" fillId="4" borderId="0" xfId="0" applyFont="1" applyFill="1" applyAlignment="1" applyProtection="1">
      <alignment horizontal="center" vertical="center"/>
      <protection hidden="1"/>
    </xf>
    <xf numFmtId="0" fontId="0" fillId="4" borderId="0" xfId="0" applyFill="1" applyAlignment="1" applyProtection="1">
      <protection hidden="1"/>
    </xf>
    <xf numFmtId="0" fontId="0" fillId="0" borderId="0" xfId="0" applyAlignment="1" applyProtection="1">
      <protection hidden="1"/>
    </xf>
    <xf numFmtId="0" fontId="0" fillId="0" borderId="0" xfId="0" applyProtection="1">
      <protection hidden="1"/>
    </xf>
    <xf numFmtId="0" fontId="2" fillId="6" borderId="1" xfId="0" applyFont="1" applyFill="1" applyBorder="1" applyAlignment="1" applyProtection="1">
      <alignment horizontal="left" vertical="center" indent="1"/>
      <protection hidden="1"/>
    </xf>
    <xf numFmtId="0" fontId="2" fillId="3" borderId="1" xfId="0" applyFont="1" applyFill="1" applyBorder="1" applyAlignment="1" applyProtection="1">
      <alignment horizontal="center" vertical="center"/>
      <protection hidden="1"/>
    </xf>
    <xf numFmtId="0" fontId="2" fillId="2" borderId="1" xfId="0" applyFont="1" applyFill="1" applyBorder="1" applyAlignment="1" applyProtection="1">
      <alignment horizontal="center" vertical="center"/>
      <protection hidden="1"/>
    </xf>
    <xf numFmtId="0" fontId="3" fillId="3" borderId="1" xfId="0" applyFont="1" applyFill="1" applyBorder="1" applyAlignment="1" applyProtection="1">
      <alignment horizontal="center" vertical="center"/>
      <protection hidden="1"/>
    </xf>
    <xf numFmtId="0" fontId="0" fillId="3" borderId="1" xfId="0" applyFill="1" applyBorder="1" applyAlignment="1" applyProtection="1">
      <alignment horizontal="center"/>
      <protection hidden="1"/>
    </xf>
    <xf numFmtId="0" fontId="2" fillId="2" borderId="1" xfId="0" applyFont="1" applyFill="1" applyBorder="1" applyAlignment="1" applyProtection="1">
      <alignment horizontal="left" vertical="center"/>
      <protection hidden="1"/>
    </xf>
    <xf numFmtId="0" fontId="2" fillId="2" borderId="1" xfId="0" applyFont="1" applyFill="1" applyBorder="1" applyAlignment="1" applyProtection="1">
      <alignment horizontal="left" vertical="center" indent="1"/>
      <protection hidden="1"/>
    </xf>
    <xf numFmtId="0" fontId="0" fillId="2" borderId="1" xfId="0" applyFill="1" applyBorder="1" applyAlignment="1" applyProtection="1">
      <alignment horizontal="center"/>
      <protection hidden="1"/>
    </xf>
    <xf numFmtId="0" fontId="0" fillId="4" borderId="0" xfId="0" applyFill="1" applyAlignment="1" applyProtection="1">
      <alignment horizontal="left"/>
      <protection hidden="1"/>
    </xf>
    <xf numFmtId="0" fontId="0" fillId="4" borderId="0" xfId="0" applyFill="1" applyAlignment="1" applyProtection="1">
      <alignment horizontal="left" indent="1"/>
      <protection hidden="1"/>
    </xf>
    <xf numFmtId="0" fontId="0" fillId="4" borderId="0" xfId="0" applyFill="1" applyAlignment="1" applyProtection="1">
      <alignment horizontal="center"/>
      <protection hidden="1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indent="1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left" vertical="center"/>
      <protection hidden="1"/>
    </xf>
    <xf numFmtId="0" fontId="2" fillId="0" borderId="0" xfId="0" applyFont="1" applyAlignment="1" applyProtection="1">
      <alignment horizontal="left" vertical="center" indent="1"/>
      <protection hidden="1"/>
    </xf>
    <xf numFmtId="0" fontId="2" fillId="0" borderId="0" xfId="0" applyFont="1" applyAlignment="1" applyProtection="1">
      <alignment vertical="center"/>
      <protection hidden="1"/>
    </xf>
    <xf numFmtId="0" fontId="2" fillId="0" borderId="0" xfId="0" applyFont="1" applyAlignment="1" applyProtection="1">
      <alignment horizontal="center" vertical="center"/>
      <protection hidden="1"/>
    </xf>
    <xf numFmtId="0" fontId="4" fillId="0" borderId="1" xfId="0" applyFont="1" applyBorder="1" applyAlignment="1" applyProtection="1">
      <alignment horizontal="center" vertical="center"/>
      <protection hidden="1"/>
    </xf>
    <xf numFmtId="0" fontId="0" fillId="0" borderId="1" xfId="0" applyBorder="1" applyAlignment="1" applyProtection="1">
      <alignment vertical="center"/>
      <protection hidden="1"/>
    </xf>
    <xf numFmtId="0" fontId="0" fillId="0" borderId="1" xfId="0" applyBorder="1" applyAlignment="1" applyProtection="1">
      <alignment horizontal="center" vertic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6" fillId="5" borderId="1" xfId="0" applyFont="1" applyFill="1" applyBorder="1" applyAlignment="1" applyProtection="1">
      <alignment horizontal="left" vertical="center" indent="1"/>
      <protection hidden="1"/>
    </xf>
    <xf numFmtId="0" fontId="6" fillId="5" borderId="1" xfId="0" applyFont="1" applyFill="1" applyBorder="1" applyAlignment="1" applyProtection="1">
      <alignment horizontal="center" vertical="center"/>
      <protection hidden="1"/>
    </xf>
    <xf numFmtId="0" fontId="0" fillId="7" borderId="1" xfId="0" applyFill="1" applyBorder="1" applyAlignment="1" applyProtection="1">
      <alignment vertical="center"/>
      <protection hidden="1"/>
    </xf>
    <xf numFmtId="0" fontId="0" fillId="7" borderId="1" xfId="0" applyFill="1" applyBorder="1" applyAlignment="1" applyProtection="1">
      <alignment horizontal="center" vertical="center"/>
      <protection hidden="1"/>
    </xf>
    <xf numFmtId="0" fontId="2" fillId="2" borderId="1" xfId="0" applyFont="1" applyFill="1" applyBorder="1" applyAlignment="1" applyProtection="1">
      <alignment horizontal="center" vertical="center"/>
      <protection hidden="1"/>
    </xf>
    <xf numFmtId="0" fontId="0" fillId="0" borderId="1" xfId="0" applyBorder="1" applyProtection="1">
      <protection hidden="1"/>
    </xf>
    <xf numFmtId="0" fontId="12" fillId="4" borderId="0" xfId="0" applyFont="1" applyFill="1" applyAlignment="1" applyProtection="1">
      <protection hidden="1"/>
    </xf>
    <xf numFmtId="0" fontId="12" fillId="4" borderId="0" xfId="0" applyFont="1" applyFill="1" applyAlignment="1" applyProtection="1">
      <alignment horizontal="center" vertical="center"/>
      <protection hidden="1"/>
    </xf>
    <xf numFmtId="0" fontId="12" fillId="0" borderId="0" xfId="0" applyFont="1" applyAlignment="1" applyProtection="1">
      <protection hidden="1"/>
    </xf>
    <xf numFmtId="0" fontId="12" fillId="6" borderId="1" xfId="0" applyFont="1" applyFill="1" applyBorder="1" applyAlignment="1" applyProtection="1">
      <alignment horizontal="left" vertical="center" indent="1"/>
      <protection hidden="1"/>
    </xf>
    <xf numFmtId="0" fontId="12" fillId="4" borderId="0" xfId="0" applyFont="1" applyFill="1" applyAlignment="1" applyProtection="1">
      <alignment vertical="center"/>
      <protection hidden="1"/>
    </xf>
    <xf numFmtId="0" fontId="12" fillId="4" borderId="0" xfId="0" applyFont="1" applyFill="1" applyAlignment="1" applyProtection="1">
      <alignment horizontal="left" vertical="center"/>
      <protection hidden="1"/>
    </xf>
    <xf numFmtId="0" fontId="12" fillId="4" borderId="0" xfId="0" applyFont="1" applyFill="1" applyAlignment="1" applyProtection="1">
      <alignment horizontal="left" vertical="center" indent="1"/>
      <protection hidden="1"/>
    </xf>
    <xf numFmtId="0" fontId="12" fillId="3" borderId="1" xfId="0" applyFont="1" applyFill="1" applyBorder="1" applyAlignment="1" applyProtection="1">
      <alignment horizontal="center" vertical="center"/>
      <protection hidden="1"/>
    </xf>
    <xf numFmtId="0" fontId="13" fillId="4" borderId="0" xfId="0" applyFont="1" applyFill="1" applyAlignment="1" applyProtection="1">
      <alignment horizontal="left" vertical="center"/>
      <protection hidden="1"/>
    </xf>
    <xf numFmtId="0" fontId="12" fillId="2" borderId="1" xfId="0" applyFont="1" applyFill="1" applyBorder="1" applyAlignment="1" applyProtection="1">
      <alignment horizontal="left" vertical="center"/>
      <protection hidden="1"/>
    </xf>
    <xf numFmtId="0" fontId="12" fillId="2" borderId="1" xfId="0" applyFont="1" applyFill="1" applyBorder="1" applyAlignment="1" applyProtection="1">
      <alignment horizontal="left" vertical="center" indent="1"/>
      <protection hidden="1"/>
    </xf>
    <xf numFmtId="1" fontId="12" fillId="2" borderId="1" xfId="0" applyNumberFormat="1" applyFont="1" applyFill="1" applyBorder="1" applyAlignment="1" applyProtection="1">
      <alignment horizontal="center" vertical="center"/>
      <protection hidden="1"/>
    </xf>
    <xf numFmtId="0" fontId="12" fillId="4" borderId="0" xfId="0" applyFont="1" applyFill="1" applyAlignment="1" applyProtection="1">
      <alignment horizontal="left"/>
      <protection hidden="1"/>
    </xf>
    <xf numFmtId="0" fontId="12" fillId="4" borderId="0" xfId="0" applyFont="1" applyFill="1" applyAlignment="1" applyProtection="1">
      <alignment horizontal="left" indent="1"/>
      <protection hidden="1"/>
    </xf>
    <xf numFmtId="0" fontId="12" fillId="4" borderId="0" xfId="0" applyFont="1" applyFill="1" applyAlignment="1" applyProtection="1">
      <alignment horizontal="center"/>
      <protection hidden="1"/>
    </xf>
    <xf numFmtId="0" fontId="12" fillId="0" borderId="0" xfId="0" applyFont="1" applyAlignment="1" applyProtection="1">
      <alignment horizontal="left"/>
      <protection hidden="1"/>
    </xf>
    <xf numFmtId="0" fontId="12" fillId="0" borderId="0" xfId="0" applyFont="1" applyAlignment="1" applyProtection="1">
      <alignment horizontal="left" indent="1"/>
      <protection hidden="1"/>
    </xf>
    <xf numFmtId="0" fontId="12" fillId="0" borderId="0" xfId="0" applyFont="1" applyAlignment="1" applyProtection="1">
      <alignment horizontal="center"/>
      <protection hidden="1"/>
    </xf>
    <xf numFmtId="0" fontId="12" fillId="0" borderId="0" xfId="0" applyFont="1" applyAlignment="1" applyProtection="1">
      <alignment horizontal="left" vertical="center"/>
      <protection hidden="1"/>
    </xf>
    <xf numFmtId="0" fontId="12" fillId="0" borderId="0" xfId="0" applyFont="1" applyAlignment="1" applyProtection="1">
      <alignment horizontal="left" vertical="center" indent="1"/>
      <protection hidden="1"/>
    </xf>
    <xf numFmtId="0" fontId="12" fillId="0" borderId="0" xfId="0" applyFont="1" applyAlignment="1" applyProtection="1">
      <alignment vertical="center"/>
      <protection hidden="1"/>
    </xf>
    <xf numFmtId="0" fontId="12" fillId="0" borderId="0" xfId="0" applyFont="1" applyAlignment="1" applyProtection="1">
      <alignment horizontal="center" vertical="center"/>
      <protection hidden="1"/>
    </xf>
    <xf numFmtId="0" fontId="0" fillId="4" borderId="0" xfId="0" applyFont="1" applyFill="1" applyAlignment="1" applyProtection="1">
      <protection hidden="1"/>
    </xf>
    <xf numFmtId="0" fontId="0" fillId="4" borderId="0" xfId="0" applyFont="1" applyFill="1" applyAlignment="1" applyProtection="1">
      <alignment horizontal="center" vertical="center"/>
      <protection hidden="1"/>
    </xf>
    <xf numFmtId="0" fontId="0" fillId="2" borderId="1" xfId="0" applyFont="1" applyFill="1" applyBorder="1" applyAlignment="1" applyProtection="1">
      <alignment horizontal="center" vertical="center"/>
      <protection hidden="1"/>
    </xf>
    <xf numFmtId="0" fontId="0" fillId="2" borderId="1" xfId="0" applyFont="1" applyFill="1" applyBorder="1" applyAlignment="1" applyProtection="1">
      <alignment horizontal="left" vertical="center"/>
      <protection hidden="1"/>
    </xf>
    <xf numFmtId="0" fontId="2" fillId="6" borderId="1" xfId="0" applyFont="1" applyFill="1" applyBorder="1" applyAlignment="1" applyProtection="1">
      <alignment horizontal="center" vertical="center"/>
      <protection hidden="1"/>
    </xf>
    <xf numFmtId="1" fontId="2" fillId="4" borderId="0" xfId="0" applyNumberFormat="1" applyFont="1" applyFill="1" applyAlignment="1" applyProtection="1">
      <alignment horizontal="center" vertical="center"/>
      <protection hidden="1"/>
    </xf>
    <xf numFmtId="1" fontId="2" fillId="3" borderId="1" xfId="0" applyNumberFormat="1" applyFont="1" applyFill="1" applyBorder="1" applyAlignment="1" applyProtection="1">
      <alignment horizontal="center" vertical="center"/>
      <protection hidden="1"/>
    </xf>
    <xf numFmtId="1" fontId="0" fillId="4" borderId="0" xfId="0" applyNumberFormat="1" applyFill="1" applyAlignment="1" applyProtection="1">
      <alignment horizontal="center"/>
      <protection hidden="1"/>
    </xf>
    <xf numFmtId="1" fontId="0" fillId="0" borderId="0" xfId="0" applyNumberFormat="1" applyAlignment="1" applyProtection="1">
      <alignment horizontal="center"/>
      <protection hidden="1"/>
    </xf>
    <xf numFmtId="1" fontId="2" fillId="0" borderId="0" xfId="0" applyNumberFormat="1" applyFont="1" applyAlignment="1" applyProtection="1">
      <alignment horizontal="center" vertical="center"/>
      <protection hidden="1"/>
    </xf>
    <xf numFmtId="0" fontId="6" fillId="3" borderId="1" xfId="0" applyFont="1" applyFill="1" applyBorder="1" applyAlignment="1" applyProtection="1">
      <alignment horizontal="center" vertical="center"/>
      <protection hidden="1"/>
    </xf>
    <xf numFmtId="0" fontId="12" fillId="2" borderId="1" xfId="0" applyFont="1" applyFill="1" applyBorder="1" applyAlignment="1" applyProtection="1">
      <alignment horizontal="center" vertical="center"/>
      <protection hidden="1"/>
    </xf>
    <xf numFmtId="0" fontId="2" fillId="4" borderId="0" xfId="0" applyFont="1" applyFill="1" applyAlignment="1" applyProtection="1">
      <alignment horizontal="left" vertical="center"/>
      <protection hidden="1"/>
    </xf>
    <xf numFmtId="1" fontId="0" fillId="4" borderId="0" xfId="0" applyNumberFormat="1" applyFill="1" applyProtection="1">
      <protection hidden="1"/>
    </xf>
    <xf numFmtId="1" fontId="0" fillId="0" borderId="0" xfId="0" applyNumberFormat="1" applyProtection="1">
      <protection hidden="1"/>
    </xf>
    <xf numFmtId="1" fontId="0" fillId="8" borderId="0" xfId="0" applyNumberFormat="1" applyFill="1" applyProtection="1">
      <protection hidden="1"/>
    </xf>
    <xf numFmtId="0" fontId="2" fillId="5" borderId="1" xfId="0" applyFont="1" applyFill="1" applyBorder="1" applyAlignment="1" applyProtection="1">
      <alignment horizontal="left" vertical="center"/>
      <protection hidden="1"/>
    </xf>
    <xf numFmtId="0" fontId="2" fillId="5" borderId="1" xfId="0" applyFont="1" applyFill="1" applyBorder="1" applyAlignment="1" applyProtection="1">
      <alignment horizontal="left" vertical="center" indent="1"/>
      <protection hidden="1"/>
    </xf>
    <xf numFmtId="0" fontId="2" fillId="5" borderId="1" xfId="0" applyFont="1" applyFill="1" applyBorder="1" applyAlignment="1" applyProtection="1">
      <alignment horizontal="center" vertical="center"/>
      <protection hidden="1"/>
    </xf>
    <xf numFmtId="0" fontId="0" fillId="5" borderId="1" xfId="0" applyFill="1" applyBorder="1" applyAlignment="1" applyProtection="1">
      <alignment horizontal="center"/>
      <protection hidden="1"/>
    </xf>
    <xf numFmtId="0" fontId="2" fillId="6" borderId="1" xfId="0" applyFont="1" applyFill="1" applyBorder="1" applyAlignment="1" applyProtection="1">
      <alignment horizontal="left" vertical="center"/>
      <protection hidden="1"/>
    </xf>
    <xf numFmtId="0" fontId="0" fillId="6" borderId="1" xfId="0" applyFill="1" applyBorder="1" applyAlignment="1" applyProtection="1">
      <alignment horizontal="center"/>
      <protection hidden="1"/>
    </xf>
    <xf numFmtId="0" fontId="2" fillId="7" borderId="1" xfId="0" applyFont="1" applyFill="1" applyBorder="1" applyAlignment="1" applyProtection="1">
      <alignment horizontal="left" vertical="center"/>
      <protection hidden="1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14" fillId="3" borderId="1" xfId="0" applyFont="1" applyFill="1" applyBorder="1" applyAlignment="1" applyProtection="1">
      <alignment horizontal="left" vertical="center"/>
      <protection hidden="1"/>
    </xf>
    <xf numFmtId="0" fontId="8" fillId="6" borderId="1" xfId="0" applyFont="1" applyFill="1" applyBorder="1" applyAlignment="1" applyProtection="1">
      <alignment horizontal="center"/>
      <protection hidden="1"/>
    </xf>
    <xf numFmtId="0" fontId="2" fillId="2" borderId="1" xfId="0" applyFont="1" applyFill="1" applyBorder="1" applyAlignment="1" applyProtection="1">
      <alignment horizontal="center" vertical="center"/>
      <protection hidden="1"/>
    </xf>
    <xf numFmtId="0" fontId="12" fillId="2" borderId="1" xfId="0" applyFont="1" applyFill="1" applyBorder="1" applyAlignment="1" applyProtection="1">
      <alignment horizontal="left" vertical="center"/>
      <protection locked="0"/>
    </xf>
    <xf numFmtId="0" fontId="12" fillId="2" borderId="1" xfId="0" applyFont="1" applyFill="1" applyBorder="1" applyAlignment="1" applyProtection="1">
      <alignment horizontal="left" vertical="center" indent="1"/>
      <protection locked="0"/>
    </xf>
    <xf numFmtId="0" fontId="12" fillId="2" borderId="1" xfId="0" applyFont="1" applyFill="1" applyBorder="1" applyAlignment="1" applyProtection="1">
      <alignment horizontal="center" vertical="center"/>
      <protection hidden="1"/>
    </xf>
    <xf numFmtId="0" fontId="12" fillId="6" borderId="1" xfId="0" applyFont="1" applyFill="1" applyBorder="1" applyAlignment="1" applyProtection="1">
      <alignment horizontal="center" vertical="center"/>
      <protection hidden="1"/>
    </xf>
    <xf numFmtId="1" fontId="0" fillId="9" borderId="0" xfId="0" applyNumberFormat="1" applyFill="1" applyProtection="1">
      <protection hidden="1"/>
    </xf>
    <xf numFmtId="0" fontId="2" fillId="4" borderId="0" xfId="0" applyFont="1" applyFill="1" applyAlignment="1" applyProtection="1">
      <alignment horizontal="left" vertical="center" indent="1"/>
      <protection hidden="1"/>
    </xf>
    <xf numFmtId="0" fontId="3" fillId="3" borderId="1" xfId="0" applyFont="1" applyFill="1" applyBorder="1" applyAlignment="1" applyProtection="1">
      <alignment horizontal="center" vertical="center"/>
      <protection hidden="1"/>
    </xf>
    <xf numFmtId="0" fontId="0" fillId="5" borderId="1" xfId="0" applyFill="1" applyBorder="1" applyAlignment="1" applyProtection="1">
      <alignment horizontal="center"/>
      <protection locked="0"/>
    </xf>
    <xf numFmtId="0" fontId="5" fillId="0" borderId="1" xfId="0" applyFont="1" applyBorder="1" applyAlignment="1" applyProtection="1">
      <alignment vertical="center"/>
      <protection hidden="1"/>
    </xf>
    <xf numFmtId="0" fontId="2" fillId="2" borderId="1" xfId="0" applyFont="1" applyFill="1" applyBorder="1" applyAlignment="1" applyProtection="1">
      <alignment vertical="center"/>
      <protection hidden="1"/>
    </xf>
    <xf numFmtId="0" fontId="0" fillId="3" borderId="0" xfId="0" applyFill="1" applyBorder="1" applyAlignment="1" applyProtection="1">
      <alignment horizontal="center"/>
      <protection hidden="1"/>
    </xf>
    <xf numFmtId="0" fontId="0" fillId="2" borderId="0" xfId="0" applyFill="1" applyBorder="1" applyAlignment="1" applyProtection="1">
      <alignment horizontal="center"/>
      <protection hidden="1"/>
    </xf>
    <xf numFmtId="0" fontId="2" fillId="5" borderId="0" xfId="0" applyFont="1" applyFill="1" applyBorder="1" applyAlignment="1" applyProtection="1">
      <alignment horizontal="center" vertical="center"/>
      <protection hidden="1"/>
    </xf>
    <xf numFmtId="2" fontId="2" fillId="2" borderId="1" xfId="0" applyNumberFormat="1" applyFont="1" applyFill="1" applyBorder="1" applyAlignment="1" applyProtection="1">
      <alignment horizontal="center" vertical="center"/>
      <protection hidden="1"/>
    </xf>
    <xf numFmtId="0" fontId="2" fillId="3" borderId="1" xfId="0" applyFont="1" applyFill="1" applyBorder="1" applyAlignment="1" applyProtection="1">
      <alignment horizontal="center" vertical="center"/>
      <protection hidden="1"/>
    </xf>
    <xf numFmtId="0" fontId="3" fillId="3" borderId="1" xfId="0" applyFont="1" applyFill="1" applyBorder="1" applyAlignment="1" applyProtection="1">
      <alignment horizontal="center" vertical="center"/>
      <protection hidden="1"/>
    </xf>
    <xf numFmtId="0" fontId="2" fillId="4" borderId="0" xfId="0" applyFont="1" applyFill="1" applyAlignment="1" applyProtection="1">
      <alignment horizontal="left" vertical="center" indent="1"/>
      <protection hidden="1"/>
    </xf>
    <xf numFmtId="0" fontId="14" fillId="3" borderId="1" xfId="0" applyFont="1" applyFill="1" applyBorder="1" applyAlignment="1" applyProtection="1">
      <alignment horizontal="center" vertical="center"/>
      <protection hidden="1"/>
    </xf>
    <xf numFmtId="0" fontId="2" fillId="5" borderId="1" xfId="0" applyFont="1" applyFill="1" applyBorder="1" applyAlignment="1" applyProtection="1">
      <alignment horizontal="left" vertical="center" indent="1"/>
      <protection locked="0"/>
    </xf>
    <xf numFmtId="0" fontId="3" fillId="3" borderId="1" xfId="0" applyFont="1" applyFill="1" applyBorder="1" applyAlignment="1" applyProtection="1">
      <alignment horizontal="center" vertical="center"/>
      <protection hidden="1"/>
    </xf>
    <xf numFmtId="0" fontId="2" fillId="2" borderId="1" xfId="0" applyFont="1" applyFill="1" applyBorder="1" applyAlignment="1" applyProtection="1">
      <alignment horizontal="center" vertical="center"/>
      <protection hidden="1"/>
    </xf>
    <xf numFmtId="0" fontId="3" fillId="3" borderId="1" xfId="0" applyFont="1" applyFill="1" applyBorder="1" applyAlignment="1" applyProtection="1">
      <alignment horizontal="center" vertical="center"/>
      <protection hidden="1"/>
    </xf>
    <xf numFmtId="0" fontId="12" fillId="2" borderId="1" xfId="0" applyFont="1" applyFill="1" applyBorder="1" applyAlignment="1" applyProtection="1">
      <alignment horizontal="left" vertical="center"/>
      <protection locked="0" hidden="1"/>
    </xf>
    <xf numFmtId="0" fontId="12" fillId="2" borderId="1" xfId="0" applyFont="1" applyFill="1" applyBorder="1" applyAlignment="1" applyProtection="1">
      <alignment horizontal="left" vertical="center" indent="1"/>
      <protection locked="0" hidden="1"/>
    </xf>
    <xf numFmtId="0" fontId="2" fillId="7" borderId="1" xfId="0" applyFont="1" applyFill="1" applyBorder="1" applyAlignment="1" applyProtection="1">
      <alignment horizontal="center" vertical="center"/>
      <protection hidden="1"/>
    </xf>
    <xf numFmtId="0" fontId="12" fillId="7" borderId="1" xfId="0" applyFont="1" applyFill="1" applyBorder="1" applyAlignment="1" applyProtection="1">
      <alignment horizontal="center" vertical="center"/>
      <protection hidden="1"/>
    </xf>
    <xf numFmtId="0" fontId="4" fillId="10" borderId="1" xfId="0" applyFont="1" applyFill="1" applyBorder="1" applyAlignment="1">
      <alignment horizontal="center" vertical="center" wrapText="1"/>
    </xf>
    <xf numFmtId="0" fontId="0" fillId="11" borderId="0" xfId="0" applyFill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 wrapText="1" indent="1"/>
    </xf>
    <xf numFmtId="0" fontId="0" fillId="11" borderId="11" xfId="0" applyFill="1" applyBorder="1" applyAlignment="1">
      <alignment horizontal="left" vertical="center" wrapText="1" indent="1"/>
    </xf>
    <xf numFmtId="0" fontId="0" fillId="11" borderId="11" xfId="0" applyFill="1" applyBorder="1" applyAlignment="1">
      <alignment vertical="center" wrapText="1"/>
    </xf>
    <xf numFmtId="0" fontId="0" fillId="11" borderId="11" xfId="0" applyFill="1" applyBorder="1" applyAlignment="1">
      <alignment horizontal="left" vertical="center" wrapText="1"/>
    </xf>
    <xf numFmtId="0" fontId="0" fillId="11" borderId="0" xfId="0" applyFill="1" applyAlignment="1">
      <alignment horizontal="left" vertical="center" wrapText="1"/>
    </xf>
    <xf numFmtId="0" fontId="0" fillId="11" borderId="0" xfId="0" applyFill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 applyProtection="1">
      <alignment horizontal="left" vertical="center" indent="1"/>
      <protection locked="0" hidden="1"/>
    </xf>
    <xf numFmtId="0" fontId="0" fillId="7" borderId="1" xfId="0" applyFill="1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0" fillId="6" borderId="1" xfId="0" applyFill="1" applyBorder="1" applyAlignment="1">
      <alignment horizontal="left" vertical="center" wrapText="1" indent="1"/>
    </xf>
    <xf numFmtId="0" fontId="0" fillId="5" borderId="1" xfId="0" applyFill="1" applyBorder="1" applyAlignment="1">
      <alignment horizontal="left" vertical="center" wrapText="1" indent="1"/>
    </xf>
    <xf numFmtId="0" fontId="4" fillId="3" borderId="5" xfId="0" applyFont="1" applyFill="1" applyBorder="1" applyAlignment="1" applyProtection="1">
      <alignment horizontal="center" vertical="center"/>
      <protection hidden="1"/>
    </xf>
    <xf numFmtId="0" fontId="4" fillId="3" borderId="6" xfId="0" applyFont="1" applyFill="1" applyBorder="1" applyAlignment="1" applyProtection="1">
      <alignment horizontal="center" vertical="center"/>
      <protection hidden="1"/>
    </xf>
    <xf numFmtId="0" fontId="4" fillId="3" borderId="7" xfId="0" applyFont="1" applyFill="1" applyBorder="1" applyAlignment="1" applyProtection="1">
      <alignment horizontal="center" vertical="center"/>
      <protection hidden="1"/>
    </xf>
    <xf numFmtId="0" fontId="4" fillId="3" borderId="8" xfId="0" applyFont="1" applyFill="1" applyBorder="1" applyAlignment="1" applyProtection="1">
      <alignment horizontal="center" vertical="center"/>
      <protection hidden="1"/>
    </xf>
    <xf numFmtId="0" fontId="4" fillId="3" borderId="4" xfId="0" applyFont="1" applyFill="1" applyBorder="1" applyAlignment="1" applyProtection="1">
      <alignment horizontal="center" vertical="center"/>
      <protection hidden="1"/>
    </xf>
    <xf numFmtId="0" fontId="4" fillId="3" borderId="9" xfId="0" applyFont="1" applyFill="1" applyBorder="1" applyAlignment="1" applyProtection="1">
      <alignment horizontal="center" vertical="center"/>
      <protection hidden="1"/>
    </xf>
    <xf numFmtId="0" fontId="0" fillId="2" borderId="1" xfId="0" applyFont="1" applyFill="1" applyBorder="1" applyAlignment="1" applyProtection="1">
      <alignment horizontal="left" vertical="center" wrapText="1" indent="1"/>
      <protection hidden="1"/>
    </xf>
    <xf numFmtId="0" fontId="2" fillId="3" borderId="1" xfId="0" applyFont="1" applyFill="1" applyBorder="1" applyAlignment="1" applyProtection="1">
      <alignment horizontal="center" vertical="center"/>
      <protection hidden="1"/>
    </xf>
    <xf numFmtId="0" fontId="6" fillId="3" borderId="5" xfId="0" applyFont="1" applyFill="1" applyBorder="1" applyAlignment="1" applyProtection="1">
      <alignment horizontal="center" vertical="center" wrapText="1"/>
      <protection hidden="1"/>
    </xf>
    <xf numFmtId="0" fontId="6" fillId="3" borderId="6" xfId="0" applyFont="1" applyFill="1" applyBorder="1" applyAlignment="1" applyProtection="1">
      <alignment horizontal="center" vertical="center" wrapText="1"/>
      <protection hidden="1"/>
    </xf>
    <xf numFmtId="0" fontId="6" fillId="3" borderId="7" xfId="0" applyFont="1" applyFill="1" applyBorder="1" applyAlignment="1" applyProtection="1">
      <alignment horizontal="center" vertical="center" wrapText="1"/>
      <protection hidden="1"/>
    </xf>
    <xf numFmtId="0" fontId="6" fillId="3" borderId="8" xfId="0" applyFont="1" applyFill="1" applyBorder="1" applyAlignment="1" applyProtection="1">
      <alignment horizontal="center" vertical="center" wrapText="1"/>
      <protection hidden="1"/>
    </xf>
    <xf numFmtId="0" fontId="6" fillId="3" borderId="4" xfId="0" applyFont="1" applyFill="1" applyBorder="1" applyAlignment="1" applyProtection="1">
      <alignment horizontal="center" vertical="center" wrapText="1"/>
      <protection hidden="1"/>
    </xf>
    <xf numFmtId="0" fontId="6" fillId="3" borderId="9" xfId="0" applyFont="1" applyFill="1" applyBorder="1" applyAlignment="1" applyProtection="1">
      <alignment horizontal="center" vertical="center" wrapText="1"/>
      <protection hidden="1"/>
    </xf>
    <xf numFmtId="0" fontId="2" fillId="4" borderId="10" xfId="0" applyFont="1" applyFill="1" applyBorder="1" applyAlignment="1" applyProtection="1">
      <alignment horizontal="left" vertical="center" indent="1"/>
      <protection hidden="1"/>
    </xf>
    <xf numFmtId="0" fontId="2" fillId="4" borderId="0" xfId="0" applyFont="1" applyFill="1" applyAlignment="1" applyProtection="1">
      <alignment horizontal="left" vertical="center" indent="1"/>
      <protection hidden="1"/>
    </xf>
    <xf numFmtId="0" fontId="2" fillId="5" borderId="14" xfId="0" applyFont="1" applyFill="1" applyBorder="1" applyAlignment="1" applyProtection="1">
      <alignment horizontal="center" vertical="center"/>
      <protection locked="0"/>
    </xf>
    <xf numFmtId="0" fontId="2" fillId="5" borderId="13" xfId="0" applyFont="1" applyFill="1" applyBorder="1" applyAlignment="1" applyProtection="1">
      <alignment horizontal="center" vertical="center"/>
      <protection locked="0"/>
    </xf>
    <xf numFmtId="0" fontId="4" fillId="3" borderId="1" xfId="0" applyFont="1" applyFill="1" applyBorder="1" applyAlignment="1" applyProtection="1">
      <alignment horizontal="center" vertical="center"/>
      <protection hidden="1"/>
    </xf>
    <xf numFmtId="0" fontId="8" fillId="2" borderId="1" xfId="0" applyFont="1" applyFill="1" applyBorder="1" applyAlignment="1" applyProtection="1">
      <alignment horizontal="left" vertical="center" wrapText="1" indent="1"/>
      <protection hidden="1"/>
    </xf>
    <xf numFmtId="0" fontId="3" fillId="3" borderId="2" xfId="0" applyFont="1" applyFill="1" applyBorder="1" applyAlignment="1" applyProtection="1">
      <alignment horizontal="center" vertical="center"/>
      <protection hidden="1"/>
    </xf>
    <xf numFmtId="0" fontId="3" fillId="3" borderId="3" xfId="0" applyFont="1" applyFill="1" applyBorder="1" applyAlignment="1" applyProtection="1">
      <alignment horizontal="center" vertical="center"/>
      <protection hidden="1"/>
    </xf>
    <xf numFmtId="0" fontId="3" fillId="3" borderId="1" xfId="0" applyFont="1" applyFill="1" applyBorder="1" applyAlignment="1" applyProtection="1">
      <alignment horizontal="center" vertical="center"/>
      <protection hidden="1"/>
    </xf>
    <xf numFmtId="0" fontId="0" fillId="2" borderId="2" xfId="0" applyFont="1" applyFill="1" applyBorder="1" applyAlignment="1" applyProtection="1">
      <alignment horizontal="left" vertical="center"/>
      <protection hidden="1"/>
    </xf>
    <xf numFmtId="0" fontId="0" fillId="2" borderId="3" xfId="0" applyFont="1" applyFill="1" applyBorder="1" applyAlignment="1" applyProtection="1">
      <alignment horizontal="left" vertical="center"/>
      <protection hidden="1"/>
    </xf>
    <xf numFmtId="0" fontId="0" fillId="2" borderId="1" xfId="0" applyFont="1" applyFill="1" applyBorder="1" applyAlignment="1" applyProtection="1">
      <alignment horizontal="left" vertical="center"/>
      <protection hidden="1"/>
    </xf>
    <xf numFmtId="0" fontId="0" fillId="2" borderId="1" xfId="0" applyFont="1" applyFill="1" applyBorder="1" applyAlignment="1" applyProtection="1">
      <alignment horizontal="left" vertical="center" wrapText="1"/>
      <protection hidden="1"/>
    </xf>
    <xf numFmtId="0" fontId="0" fillId="2" borderId="1" xfId="0" applyFont="1" applyFill="1" applyBorder="1" applyAlignment="1" applyProtection="1">
      <alignment horizontal="center" vertical="center"/>
      <protection hidden="1"/>
    </xf>
    <xf numFmtId="0" fontId="0" fillId="2" borderId="5" xfId="0" applyFont="1" applyFill="1" applyBorder="1" applyAlignment="1" applyProtection="1">
      <alignment horizontal="left" vertical="center" wrapText="1" indent="1"/>
      <protection hidden="1"/>
    </xf>
    <xf numFmtId="0" fontId="0" fillId="2" borderId="6" xfId="0" applyFont="1" applyFill="1" applyBorder="1" applyAlignment="1" applyProtection="1">
      <alignment horizontal="left" vertical="center" wrapText="1" indent="1"/>
      <protection hidden="1"/>
    </xf>
    <xf numFmtId="0" fontId="0" fillId="2" borderId="7" xfId="0" applyFont="1" applyFill="1" applyBorder="1" applyAlignment="1" applyProtection="1">
      <alignment horizontal="left" vertical="center" wrapText="1" indent="1"/>
      <protection hidden="1"/>
    </xf>
    <xf numFmtId="0" fontId="0" fillId="2" borderId="10" xfId="0" applyFont="1" applyFill="1" applyBorder="1" applyAlignment="1" applyProtection="1">
      <alignment horizontal="left" vertical="center" wrapText="1" indent="1"/>
      <protection hidden="1"/>
    </xf>
    <xf numFmtId="0" fontId="0" fillId="2" borderId="0" xfId="0" applyFont="1" applyFill="1" applyBorder="1" applyAlignment="1" applyProtection="1">
      <alignment horizontal="left" vertical="center" wrapText="1" indent="1"/>
      <protection hidden="1"/>
    </xf>
    <xf numFmtId="0" fontId="0" fillId="2" borderId="12" xfId="0" applyFont="1" applyFill="1" applyBorder="1" applyAlignment="1" applyProtection="1">
      <alignment horizontal="left" vertical="center" wrapText="1" indent="1"/>
      <protection hidden="1"/>
    </xf>
    <xf numFmtId="0" fontId="0" fillId="2" borderId="8" xfId="0" applyFont="1" applyFill="1" applyBorder="1" applyAlignment="1" applyProtection="1">
      <alignment horizontal="left" vertical="center" wrapText="1" indent="1"/>
      <protection hidden="1"/>
    </xf>
    <xf numFmtId="0" fontId="0" fillId="2" borderId="4" xfId="0" applyFont="1" applyFill="1" applyBorder="1" applyAlignment="1" applyProtection="1">
      <alignment horizontal="left" vertical="center" wrapText="1" indent="1"/>
      <protection hidden="1"/>
    </xf>
    <xf numFmtId="0" fontId="0" fillId="2" borderId="9" xfId="0" applyFont="1" applyFill="1" applyBorder="1" applyAlignment="1" applyProtection="1">
      <alignment horizontal="left" vertical="center" wrapText="1" indent="1"/>
      <protection hidden="1"/>
    </xf>
    <xf numFmtId="0" fontId="14" fillId="3" borderId="1" xfId="0" applyFont="1" applyFill="1" applyBorder="1" applyAlignment="1" applyProtection="1">
      <alignment horizontal="center" vertical="center"/>
      <protection hidden="1"/>
    </xf>
    <xf numFmtId="0" fontId="2" fillId="4" borderId="0" xfId="0" applyFont="1" applyFill="1" applyBorder="1" applyAlignment="1" applyProtection="1">
      <alignment horizontal="left" vertical="center" indent="1"/>
      <protection hidden="1"/>
    </xf>
    <xf numFmtId="0" fontId="2" fillId="2" borderId="14" xfId="0" applyFont="1" applyFill="1" applyBorder="1" applyAlignment="1" applyProtection="1">
      <alignment horizontal="left" vertical="center"/>
      <protection hidden="1"/>
    </xf>
    <xf numFmtId="0" fontId="2" fillId="2" borderId="15" xfId="0" applyFont="1" applyFill="1" applyBorder="1" applyAlignment="1" applyProtection="1">
      <alignment horizontal="left" vertical="center"/>
      <protection hidden="1"/>
    </xf>
    <xf numFmtId="0" fontId="2" fillId="2" borderId="13" xfId="0" applyFont="1" applyFill="1" applyBorder="1" applyAlignment="1" applyProtection="1">
      <alignment horizontal="left" vertical="center"/>
      <protection hidden="1"/>
    </xf>
    <xf numFmtId="0" fontId="2" fillId="2" borderId="14" xfId="0" applyFont="1" applyFill="1" applyBorder="1" applyAlignment="1" applyProtection="1">
      <alignment horizontal="left" vertical="center" wrapText="1" indent="1"/>
      <protection hidden="1"/>
    </xf>
    <xf numFmtId="0" fontId="2" fillId="2" borderId="15" xfId="0" applyFont="1" applyFill="1" applyBorder="1" applyAlignment="1" applyProtection="1">
      <alignment horizontal="left" vertical="center" wrapText="1" indent="1"/>
      <protection hidden="1"/>
    </xf>
    <xf numFmtId="0" fontId="2" fillId="2" borderId="13" xfId="0" applyFont="1" applyFill="1" applyBorder="1" applyAlignment="1" applyProtection="1">
      <alignment horizontal="left" vertical="center" wrapText="1" indent="1"/>
      <protection hidden="1"/>
    </xf>
    <xf numFmtId="0" fontId="2" fillId="2" borderId="14" xfId="0" applyFont="1" applyFill="1" applyBorder="1" applyAlignment="1" applyProtection="1">
      <alignment horizontal="center" vertical="center"/>
      <protection hidden="1"/>
    </xf>
    <xf numFmtId="0" fontId="2" fillId="2" borderId="15" xfId="0" applyFont="1" applyFill="1" applyBorder="1" applyAlignment="1" applyProtection="1">
      <alignment horizontal="center" vertical="center"/>
      <protection hidden="1"/>
    </xf>
    <xf numFmtId="0" fontId="2" fillId="2" borderId="13" xfId="0" applyFont="1" applyFill="1" applyBorder="1" applyAlignment="1" applyProtection="1">
      <alignment horizontal="center" vertical="center"/>
      <protection hidden="1"/>
    </xf>
    <xf numFmtId="0" fontId="2" fillId="6" borderId="14" xfId="0" applyFont="1" applyFill="1" applyBorder="1" applyAlignment="1" applyProtection="1">
      <alignment horizontal="left" vertical="center" wrapText="1" indent="1"/>
      <protection hidden="1"/>
    </xf>
    <xf numFmtId="0" fontId="2" fillId="6" borderId="13" xfId="0" applyFont="1" applyFill="1" applyBorder="1" applyAlignment="1" applyProtection="1">
      <alignment horizontal="left" vertical="center" wrapText="1" indent="1"/>
      <protection hidden="1"/>
    </xf>
    <xf numFmtId="0" fontId="2" fillId="7" borderId="14" xfId="0" applyFont="1" applyFill="1" applyBorder="1" applyAlignment="1" applyProtection="1">
      <alignment horizontal="left" vertical="center" wrapText="1" indent="1"/>
      <protection hidden="1"/>
    </xf>
    <xf numFmtId="0" fontId="2" fillId="7" borderId="13" xfId="0" applyFont="1" applyFill="1" applyBorder="1" applyAlignment="1" applyProtection="1">
      <alignment horizontal="left" vertical="center" wrapText="1" indent="1"/>
      <protection hidden="1"/>
    </xf>
    <xf numFmtId="0" fontId="2" fillId="0" borderId="14" xfId="0" applyFont="1" applyBorder="1" applyAlignment="1" applyProtection="1">
      <alignment horizontal="left" vertical="center"/>
      <protection hidden="1"/>
    </xf>
    <xf numFmtId="0" fontId="2" fillId="0" borderId="13" xfId="0" applyFont="1" applyBorder="1" applyAlignment="1" applyProtection="1">
      <alignment horizontal="left" vertical="center"/>
      <protection hidden="1"/>
    </xf>
    <xf numFmtId="0" fontId="2" fillId="2" borderId="1" xfId="0" applyFont="1" applyFill="1" applyBorder="1" applyAlignment="1" applyProtection="1">
      <alignment horizontal="left" vertical="center" wrapText="1" indent="1"/>
      <protection hidden="1"/>
    </xf>
    <xf numFmtId="0" fontId="2" fillId="2" borderId="1" xfId="0" applyFont="1" applyFill="1" applyBorder="1" applyAlignment="1" applyProtection="1">
      <alignment horizontal="center" vertical="center"/>
      <protection hidden="1"/>
    </xf>
    <xf numFmtId="0" fontId="2" fillId="2" borderId="1" xfId="0" applyFont="1" applyFill="1" applyBorder="1" applyAlignment="1" applyProtection="1">
      <alignment horizontal="left" vertical="center"/>
      <protection hidden="1"/>
    </xf>
    <xf numFmtId="0" fontId="2" fillId="2" borderId="1" xfId="0" applyFont="1" applyFill="1" applyBorder="1" applyAlignment="1" applyProtection="1">
      <alignment horizontal="center" vertical="center" wrapText="1"/>
      <protection hidden="1"/>
    </xf>
    <xf numFmtId="0" fontId="3" fillId="3" borderId="8" xfId="0" applyFont="1" applyFill="1" applyBorder="1" applyAlignment="1" applyProtection="1">
      <alignment horizontal="center" vertical="center"/>
      <protection hidden="1"/>
    </xf>
    <xf numFmtId="0" fontId="3" fillId="3" borderId="4" xfId="0" applyFont="1" applyFill="1" applyBorder="1" applyAlignment="1" applyProtection="1">
      <alignment horizontal="center" vertical="center"/>
      <protection hidden="1"/>
    </xf>
    <xf numFmtId="0" fontId="3" fillId="3" borderId="9" xfId="0" applyFont="1" applyFill="1" applyBorder="1" applyAlignment="1" applyProtection="1">
      <alignment horizontal="center" vertical="center"/>
      <protection hidden="1"/>
    </xf>
    <xf numFmtId="0" fontId="2" fillId="6" borderId="1" xfId="0" applyFont="1" applyFill="1" applyBorder="1" applyAlignment="1" applyProtection="1">
      <alignment horizontal="left" vertical="center" wrapText="1" indent="1"/>
      <protection hidden="1"/>
    </xf>
    <xf numFmtId="0" fontId="12" fillId="2" borderId="2" xfId="0" applyFont="1" applyFill="1" applyBorder="1" applyAlignment="1" applyProtection="1">
      <alignment horizontal="center" vertical="center"/>
      <protection hidden="1"/>
    </xf>
    <xf numFmtId="0" fontId="12" fillId="2" borderId="11" xfId="0" applyFont="1" applyFill="1" applyBorder="1" applyAlignment="1" applyProtection="1">
      <alignment horizontal="center" vertical="center"/>
      <protection hidden="1"/>
    </xf>
    <xf numFmtId="0" fontId="12" fillId="2" borderId="3" xfId="0" applyFont="1" applyFill="1" applyBorder="1" applyAlignment="1" applyProtection="1">
      <alignment horizontal="center" vertical="center"/>
      <protection hidden="1"/>
    </xf>
    <xf numFmtId="0" fontId="12" fillId="2" borderId="1" xfId="0" applyFont="1" applyFill="1" applyBorder="1" applyAlignment="1" applyProtection="1">
      <alignment horizontal="center" vertical="center"/>
      <protection hidden="1"/>
    </xf>
    <xf numFmtId="0" fontId="12" fillId="4" borderId="0" xfId="0" applyFont="1" applyFill="1" applyAlignment="1" applyProtection="1">
      <alignment horizontal="center" wrapText="1"/>
      <protection hidden="1"/>
    </xf>
    <xf numFmtId="0" fontId="6" fillId="3" borderId="1" xfId="0" applyFont="1" applyFill="1" applyBorder="1" applyAlignment="1" applyProtection="1">
      <alignment horizontal="center" vertical="center"/>
      <protection hidden="1"/>
    </xf>
    <xf numFmtId="0" fontId="3" fillId="3" borderId="14" xfId="0" applyFont="1" applyFill="1" applyBorder="1" applyAlignment="1" applyProtection="1">
      <alignment horizontal="center" vertical="center"/>
      <protection hidden="1"/>
    </xf>
    <xf numFmtId="0" fontId="3" fillId="3" borderId="13" xfId="0" applyFont="1" applyFill="1" applyBorder="1" applyAlignment="1" applyProtection="1">
      <alignment horizontal="center" vertical="center"/>
      <protection hidden="1"/>
    </xf>
    <xf numFmtId="0" fontId="0" fillId="2" borderId="5" xfId="0" applyFill="1" applyBorder="1" applyAlignment="1" applyProtection="1">
      <alignment horizontal="left" vertical="center" wrapText="1" indent="1"/>
      <protection hidden="1"/>
    </xf>
    <xf numFmtId="0" fontId="0" fillId="2" borderId="6" xfId="0" applyFill="1" applyBorder="1" applyAlignment="1" applyProtection="1">
      <alignment horizontal="left" vertical="center" wrapText="1" indent="1"/>
      <protection hidden="1"/>
    </xf>
    <xf numFmtId="0" fontId="0" fillId="2" borderId="7" xfId="0" applyFill="1" applyBorder="1" applyAlignment="1" applyProtection="1">
      <alignment horizontal="left" vertical="center" wrapText="1" indent="1"/>
      <protection hidden="1"/>
    </xf>
    <xf numFmtId="0" fontId="0" fillId="2" borderId="10" xfId="0" applyFill="1" applyBorder="1" applyAlignment="1" applyProtection="1">
      <alignment horizontal="left" vertical="center" wrapText="1" indent="1"/>
      <protection hidden="1"/>
    </xf>
    <xf numFmtId="0" fontId="0" fillId="2" borderId="0" xfId="0" applyFill="1" applyBorder="1" applyAlignment="1" applyProtection="1">
      <alignment horizontal="left" vertical="center" wrapText="1" indent="1"/>
      <protection hidden="1"/>
    </xf>
    <xf numFmtId="0" fontId="0" fillId="2" borderId="12" xfId="0" applyFill="1" applyBorder="1" applyAlignment="1" applyProtection="1">
      <alignment horizontal="left" vertical="center" wrapText="1" indent="1"/>
      <protection hidden="1"/>
    </xf>
    <xf numFmtId="0" fontId="0" fillId="2" borderId="8" xfId="0" applyFill="1" applyBorder="1" applyAlignment="1" applyProtection="1">
      <alignment horizontal="left" vertical="center" wrapText="1" indent="1"/>
      <protection hidden="1"/>
    </xf>
    <xf numFmtId="0" fontId="0" fillId="2" borderId="4" xfId="0" applyFill="1" applyBorder="1" applyAlignment="1" applyProtection="1">
      <alignment horizontal="left" vertical="center" wrapText="1" indent="1"/>
      <protection hidden="1"/>
    </xf>
    <xf numFmtId="0" fontId="0" fillId="2" borderId="9" xfId="0" applyFill="1" applyBorder="1" applyAlignment="1" applyProtection="1">
      <alignment horizontal="left" vertical="center" wrapText="1" indent="1"/>
      <protection hidden="1"/>
    </xf>
    <xf numFmtId="0" fontId="4" fillId="7" borderId="1" xfId="0" applyFont="1" applyFill="1" applyBorder="1" applyAlignment="1" applyProtection="1">
      <alignment horizontal="center" vertical="center"/>
      <protection hidden="1"/>
    </xf>
    <xf numFmtId="0" fontId="2" fillId="2" borderId="1" xfId="0" applyFont="1" applyFill="1" applyBorder="1" applyAlignment="1" applyProtection="1">
      <alignment horizontal="left" vertical="center"/>
      <protection locked="0" hidden="1"/>
    </xf>
    <xf numFmtId="0" fontId="2" fillId="2" borderId="1" xfId="0" applyFont="1" applyFill="1" applyBorder="1" applyAlignment="1" applyProtection="1">
      <alignment horizontal="left" vertical="center" indent="1"/>
      <protection locked="0" hidden="1"/>
    </xf>
  </cellXfs>
  <cellStyles count="1">
    <cellStyle name="Normal" xfId="0" builtinId="0"/>
  </cellStyles>
  <dxfs count="221"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ont>
        <strike/>
      </font>
      <fill>
        <patternFill>
          <bgColor rgb="FFFFCCFF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ont>
        <strike/>
      </font>
      <fill>
        <patternFill>
          <bgColor rgb="FFFFCCFF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ont>
        <strike/>
      </font>
      <fill>
        <patternFill>
          <bgColor rgb="FFFFCCFF"/>
        </patternFill>
      </fill>
    </dxf>
    <dxf>
      <fill>
        <patternFill>
          <bgColor theme="9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5" tint="0.7999816888943144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9" tint="0.79998168889431442"/>
        </patternFill>
      </fill>
    </dxf>
  </dxfs>
  <tableStyles count="0" defaultTableStyle="TableStyleMedium2" defaultPivotStyle="PivotStyleLight16"/>
  <colors>
    <mruColors>
      <color rgb="FFFFCCFF"/>
      <color rgb="FFFF99CC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115956</xdr:colOff>
      <xdr:row>21</xdr:row>
      <xdr:rowOff>33130</xdr:rowOff>
    </xdr:from>
    <xdr:to>
      <xdr:col>18</xdr:col>
      <xdr:colOff>1134717</xdr:colOff>
      <xdr:row>26</xdr:row>
      <xdr:rowOff>91110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FE5A41C0-7185-4732-8FD6-9E457E6E4398}"/>
            </a:ext>
          </a:extLst>
        </xdr:cNvPr>
        <xdr:cNvCxnSpPr/>
      </xdr:nvCxnSpPr>
      <xdr:spPr>
        <a:xfrm flipV="1">
          <a:off x="11893826" y="4033630"/>
          <a:ext cx="1946413" cy="1010480"/>
        </a:xfrm>
        <a:prstGeom prst="bentConnector3">
          <a:avLst>
            <a:gd name="adj1" fmla="val 100213"/>
          </a:avLst>
        </a:prstGeom>
        <a:ln>
          <a:solidFill>
            <a:srgbClr val="C00000"/>
          </a:solidFill>
          <a:prstDash val="dash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91108</xdr:colOff>
      <xdr:row>30</xdr:row>
      <xdr:rowOff>91109</xdr:rowOff>
    </xdr:from>
    <xdr:to>
      <xdr:col>20</xdr:col>
      <xdr:colOff>225286</xdr:colOff>
      <xdr:row>30</xdr:row>
      <xdr:rowOff>91109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3B1119CA-66C2-4872-B150-0C6B0F4D13E0}"/>
            </a:ext>
          </a:extLst>
        </xdr:cNvPr>
        <xdr:cNvCxnSpPr/>
      </xdr:nvCxnSpPr>
      <xdr:spPr>
        <a:xfrm flipV="1">
          <a:off x="15364238" y="5615609"/>
          <a:ext cx="457200" cy="0"/>
        </a:xfrm>
        <a:prstGeom prst="straightConnector1">
          <a:avLst/>
        </a:prstGeom>
        <a:ln>
          <a:solidFill>
            <a:srgbClr val="C00000"/>
          </a:solidFill>
          <a:prstDash val="dash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869674</xdr:colOff>
      <xdr:row>21</xdr:row>
      <xdr:rowOff>57976</xdr:rowOff>
    </xdr:from>
    <xdr:to>
      <xdr:col>18</xdr:col>
      <xdr:colOff>869674</xdr:colOff>
      <xdr:row>23</xdr:row>
      <xdr:rowOff>141796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C80DF697-8206-43CA-AD0A-E532180FF09E}"/>
            </a:ext>
          </a:extLst>
        </xdr:cNvPr>
        <xdr:cNvCxnSpPr/>
      </xdr:nvCxnSpPr>
      <xdr:spPr>
        <a:xfrm flipH="1" flipV="1">
          <a:off x="13641457" y="4058476"/>
          <a:ext cx="0" cy="274320"/>
        </a:xfrm>
        <a:prstGeom prst="straightConnector1">
          <a:avLst/>
        </a:prstGeom>
        <a:ln>
          <a:solidFill>
            <a:srgbClr val="C00000"/>
          </a:solidFill>
          <a:prstDash val="dash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566191</xdr:colOff>
      <xdr:row>10</xdr:row>
      <xdr:rowOff>33639</xdr:rowOff>
    </xdr:from>
    <xdr:to>
      <xdr:col>8</xdr:col>
      <xdr:colOff>374645</xdr:colOff>
      <xdr:row>15</xdr:row>
      <xdr:rowOff>124645</xdr:rowOff>
    </xdr:to>
    <xdr:cxnSp macro="">
      <xdr:nvCxnSpPr>
        <xdr:cNvPr id="125" name="Straight Arrow Connector 124">
          <a:extLst>
            <a:ext uri="{FF2B5EF4-FFF2-40B4-BE49-F238E27FC236}">
              <a16:creationId xmlns:a16="http://schemas.microsoft.com/office/drawing/2014/main" id="{67B2F68B-9E30-44AC-B434-7442D79E2B03}"/>
            </a:ext>
          </a:extLst>
        </xdr:cNvPr>
        <xdr:cNvCxnSpPr>
          <a:cxnSpLocks/>
          <a:stCxn id="196" idx="3"/>
          <a:endCxn id="204" idx="1"/>
        </xdr:cNvCxnSpPr>
      </xdr:nvCxnSpPr>
      <xdr:spPr>
        <a:xfrm flipV="1">
          <a:off x="4833391" y="1938639"/>
          <a:ext cx="418054" cy="1043506"/>
        </a:xfrm>
        <a:prstGeom prst="straightConnector1">
          <a:avLst/>
        </a:prstGeom>
        <a:ln>
          <a:tailEnd type="triangle"/>
        </a:ln>
        <a:effectLst>
          <a:glow rad="50800">
            <a:schemeClr val="bg1"/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590095</xdr:colOff>
      <xdr:row>18</xdr:row>
      <xdr:rowOff>74898</xdr:rowOff>
    </xdr:from>
    <xdr:to>
      <xdr:col>8</xdr:col>
      <xdr:colOff>374646</xdr:colOff>
      <xdr:row>18</xdr:row>
      <xdr:rowOff>74898</xdr:rowOff>
    </xdr:to>
    <xdr:cxnSp macro="">
      <xdr:nvCxnSpPr>
        <xdr:cNvPr id="126" name="Straight Arrow Connector 125">
          <a:extLst>
            <a:ext uri="{FF2B5EF4-FFF2-40B4-BE49-F238E27FC236}">
              <a16:creationId xmlns:a16="http://schemas.microsoft.com/office/drawing/2014/main" id="{CA7D0FA6-3B20-4431-BE26-13541BA53132}"/>
            </a:ext>
          </a:extLst>
        </xdr:cNvPr>
        <xdr:cNvCxnSpPr>
          <a:cxnSpLocks/>
          <a:stCxn id="195" idx="3"/>
          <a:endCxn id="224" idx="1"/>
        </xdr:cNvCxnSpPr>
      </xdr:nvCxnSpPr>
      <xdr:spPr>
        <a:xfrm>
          <a:off x="3638095" y="3503898"/>
          <a:ext cx="1613351" cy="0"/>
        </a:xfrm>
        <a:prstGeom prst="straightConnector1">
          <a:avLst/>
        </a:prstGeom>
        <a:ln>
          <a:tailEnd type="triangle"/>
        </a:ln>
        <a:effectLst>
          <a:glow rad="50800">
            <a:schemeClr val="bg1"/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167640</xdr:colOff>
      <xdr:row>12</xdr:row>
      <xdr:rowOff>174392</xdr:rowOff>
    </xdr:from>
    <xdr:to>
      <xdr:col>2</xdr:col>
      <xdr:colOff>446359</xdr:colOff>
      <xdr:row>12</xdr:row>
      <xdr:rowOff>174392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693626A9-7D46-4081-A34C-EB05B3D5EA55}"/>
            </a:ext>
          </a:extLst>
        </xdr:cNvPr>
        <xdr:cNvCxnSpPr>
          <a:cxnSpLocks/>
          <a:stCxn id="179" idx="3"/>
          <a:endCxn id="186" idx="1"/>
        </xdr:cNvCxnSpPr>
      </xdr:nvCxnSpPr>
      <xdr:spPr>
        <a:xfrm>
          <a:off x="1386840" y="2460392"/>
          <a:ext cx="278719" cy="0"/>
        </a:xfrm>
        <a:prstGeom prst="straightConnector1">
          <a:avLst/>
        </a:prstGeom>
        <a:ln>
          <a:tailEnd type="triangle"/>
        </a:ln>
        <a:effectLst>
          <a:glow rad="50800">
            <a:schemeClr val="bg1"/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225379</xdr:colOff>
      <xdr:row>13</xdr:row>
      <xdr:rowOff>166772</xdr:rowOff>
    </xdr:from>
    <xdr:to>
      <xdr:col>3</xdr:col>
      <xdr:colOff>225379</xdr:colOff>
      <xdr:row>14</xdr:row>
      <xdr:rowOff>132265</xdr:rowOff>
    </xdr:to>
    <xdr:cxnSp macro="">
      <xdr:nvCxnSpPr>
        <xdr:cNvPr id="128" name="Straight Arrow Connector 127">
          <a:extLst>
            <a:ext uri="{FF2B5EF4-FFF2-40B4-BE49-F238E27FC236}">
              <a16:creationId xmlns:a16="http://schemas.microsoft.com/office/drawing/2014/main" id="{02C0927F-303C-41FC-8143-C2BA8F533213}"/>
            </a:ext>
          </a:extLst>
        </xdr:cNvPr>
        <xdr:cNvCxnSpPr>
          <a:cxnSpLocks/>
          <a:stCxn id="186" idx="2"/>
          <a:endCxn id="244" idx="0"/>
        </xdr:cNvCxnSpPr>
      </xdr:nvCxnSpPr>
      <xdr:spPr>
        <a:xfrm>
          <a:off x="2054179" y="2643272"/>
          <a:ext cx="0" cy="15599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201475</xdr:colOff>
      <xdr:row>5</xdr:row>
      <xdr:rowOff>125513</xdr:rowOff>
    </xdr:from>
    <xdr:to>
      <xdr:col>5</xdr:col>
      <xdr:colOff>201475</xdr:colOff>
      <xdr:row>6</xdr:row>
      <xdr:rowOff>91006</xdr:rowOff>
    </xdr:to>
    <xdr:cxnSp macro="">
      <xdr:nvCxnSpPr>
        <xdr:cNvPr id="129" name="Straight Arrow Connector 128">
          <a:extLst>
            <a:ext uri="{FF2B5EF4-FFF2-40B4-BE49-F238E27FC236}">
              <a16:creationId xmlns:a16="http://schemas.microsoft.com/office/drawing/2014/main" id="{8BD69F33-A794-4339-9E02-A83AEC542DBA}"/>
            </a:ext>
          </a:extLst>
        </xdr:cNvPr>
        <xdr:cNvCxnSpPr>
          <a:cxnSpLocks/>
          <a:stCxn id="190" idx="2"/>
          <a:endCxn id="193" idx="0"/>
        </xdr:cNvCxnSpPr>
      </xdr:nvCxnSpPr>
      <xdr:spPr>
        <a:xfrm>
          <a:off x="3249475" y="1078013"/>
          <a:ext cx="0" cy="155993"/>
        </a:xfrm>
        <a:prstGeom prst="straightConnector1">
          <a:avLst/>
        </a:prstGeom>
        <a:ln>
          <a:tailEnd type="triangle"/>
        </a:ln>
        <a:effectLst>
          <a:glow rad="50800">
            <a:schemeClr val="bg1"/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201475</xdr:colOff>
      <xdr:row>8</xdr:row>
      <xdr:rowOff>75766</xdr:rowOff>
    </xdr:from>
    <xdr:to>
      <xdr:col>5</xdr:col>
      <xdr:colOff>201475</xdr:colOff>
      <xdr:row>9</xdr:row>
      <xdr:rowOff>41259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BB1B4C6E-04FB-47EC-8515-325D0EBFA56A}"/>
            </a:ext>
          </a:extLst>
        </xdr:cNvPr>
        <xdr:cNvCxnSpPr>
          <a:cxnSpLocks/>
          <a:stCxn id="193" idx="2"/>
          <a:endCxn id="192" idx="0"/>
        </xdr:cNvCxnSpPr>
      </xdr:nvCxnSpPr>
      <xdr:spPr>
        <a:xfrm>
          <a:off x="3249475" y="1599766"/>
          <a:ext cx="0" cy="155993"/>
        </a:xfrm>
        <a:prstGeom prst="straightConnector1">
          <a:avLst/>
        </a:prstGeom>
        <a:ln>
          <a:tailEnd type="triangle"/>
        </a:ln>
        <a:effectLst>
          <a:glow rad="50800">
            <a:schemeClr val="bg1"/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4399</xdr:colOff>
      <xdr:row>10</xdr:row>
      <xdr:rowOff>33639</xdr:rowOff>
    </xdr:from>
    <xdr:to>
      <xdr:col>4</xdr:col>
      <xdr:colOff>422455</xdr:colOff>
      <xdr:row>10</xdr:row>
      <xdr:rowOff>33639</xdr:rowOff>
    </xdr:to>
    <xdr:cxnSp macro="">
      <xdr:nvCxnSpPr>
        <xdr:cNvPr id="131" name="Straight Arrow Connector 130">
          <a:extLst>
            <a:ext uri="{FF2B5EF4-FFF2-40B4-BE49-F238E27FC236}">
              <a16:creationId xmlns:a16="http://schemas.microsoft.com/office/drawing/2014/main" id="{0EA7A6A5-570B-49DD-B980-632FE5C15761}"/>
            </a:ext>
          </a:extLst>
        </xdr:cNvPr>
        <xdr:cNvCxnSpPr>
          <a:cxnSpLocks/>
          <a:stCxn id="185" idx="3"/>
          <a:endCxn id="192" idx="1"/>
        </xdr:cNvCxnSpPr>
      </xdr:nvCxnSpPr>
      <xdr:spPr>
        <a:xfrm>
          <a:off x="2442799" y="1938639"/>
          <a:ext cx="418056" cy="0"/>
        </a:xfrm>
        <a:prstGeom prst="straightConnector1">
          <a:avLst/>
        </a:prstGeom>
        <a:ln>
          <a:tailEnd type="triangle"/>
        </a:ln>
        <a:effectLst>
          <a:glow rad="50800">
            <a:schemeClr val="bg1"/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4399</xdr:colOff>
      <xdr:row>12</xdr:row>
      <xdr:rowOff>174392</xdr:rowOff>
    </xdr:from>
    <xdr:to>
      <xdr:col>4</xdr:col>
      <xdr:colOff>422455</xdr:colOff>
      <xdr:row>12</xdr:row>
      <xdr:rowOff>174392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C912C673-B962-4B22-8CEF-58207311F697}"/>
            </a:ext>
          </a:extLst>
        </xdr:cNvPr>
        <xdr:cNvCxnSpPr>
          <a:cxnSpLocks/>
          <a:stCxn id="186" idx="3"/>
          <a:endCxn id="194" idx="1"/>
        </xdr:cNvCxnSpPr>
      </xdr:nvCxnSpPr>
      <xdr:spPr>
        <a:xfrm>
          <a:off x="2442799" y="2460392"/>
          <a:ext cx="418056" cy="0"/>
        </a:xfrm>
        <a:prstGeom prst="straightConnector1">
          <a:avLst/>
        </a:prstGeom>
        <a:ln>
          <a:tailEnd type="triangle"/>
        </a:ln>
        <a:effectLst>
          <a:glow rad="50800">
            <a:schemeClr val="bg1"/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4399</xdr:colOff>
      <xdr:row>15</xdr:row>
      <xdr:rowOff>124645</xdr:rowOff>
    </xdr:from>
    <xdr:to>
      <xdr:col>4</xdr:col>
      <xdr:colOff>422455</xdr:colOff>
      <xdr:row>15</xdr:row>
      <xdr:rowOff>124645</xdr:rowOff>
    </xdr:to>
    <xdr:cxnSp macro="">
      <xdr:nvCxnSpPr>
        <xdr:cNvPr id="133" name="Straight Arrow Connector 132">
          <a:extLst>
            <a:ext uri="{FF2B5EF4-FFF2-40B4-BE49-F238E27FC236}">
              <a16:creationId xmlns:a16="http://schemas.microsoft.com/office/drawing/2014/main" id="{09EE987D-474C-4B2C-A380-F0AA30215F38}"/>
            </a:ext>
          </a:extLst>
        </xdr:cNvPr>
        <xdr:cNvCxnSpPr>
          <a:cxnSpLocks/>
          <a:stCxn id="244" idx="3"/>
          <a:endCxn id="191" idx="1"/>
        </xdr:cNvCxnSpPr>
      </xdr:nvCxnSpPr>
      <xdr:spPr>
        <a:xfrm>
          <a:off x="2442799" y="2982145"/>
          <a:ext cx="418056" cy="0"/>
        </a:xfrm>
        <a:prstGeom prst="straightConnector1">
          <a:avLst/>
        </a:prstGeom>
        <a:ln>
          <a:tailEnd type="triangle"/>
        </a:ln>
        <a:effectLst>
          <a:glow rad="50800">
            <a:schemeClr val="bg1"/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590095</xdr:colOff>
      <xdr:row>1</xdr:row>
      <xdr:rowOff>182880</xdr:rowOff>
    </xdr:from>
    <xdr:to>
      <xdr:col>6</xdr:col>
      <xdr:colOff>398551</xdr:colOff>
      <xdr:row>18</xdr:row>
      <xdr:rowOff>74898</xdr:rowOff>
    </xdr:to>
    <xdr:cxnSp macro="">
      <xdr:nvCxnSpPr>
        <xdr:cNvPr id="134" name="Straight Arrow Connector 187">
          <a:extLst>
            <a:ext uri="{FF2B5EF4-FFF2-40B4-BE49-F238E27FC236}">
              <a16:creationId xmlns:a16="http://schemas.microsoft.com/office/drawing/2014/main" id="{4C78C9E1-48CF-4786-BACE-85307241E776}"/>
            </a:ext>
          </a:extLst>
        </xdr:cNvPr>
        <xdr:cNvCxnSpPr>
          <a:cxnSpLocks/>
          <a:stCxn id="195" idx="3"/>
          <a:endCxn id="197" idx="1"/>
        </xdr:cNvCxnSpPr>
      </xdr:nvCxnSpPr>
      <xdr:spPr>
        <a:xfrm flipV="1">
          <a:off x="3638095" y="373380"/>
          <a:ext cx="418056" cy="3130518"/>
        </a:xfrm>
        <a:prstGeom prst="bentConnector3">
          <a:avLst>
            <a:gd name="adj1" fmla="val 50000"/>
          </a:avLst>
        </a:prstGeom>
        <a:ln>
          <a:tailEnd type="triangle"/>
        </a:ln>
        <a:effectLst>
          <a:glow rad="50800">
            <a:schemeClr val="bg1"/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201475</xdr:colOff>
      <xdr:row>1</xdr:row>
      <xdr:rowOff>113973</xdr:rowOff>
    </xdr:from>
    <xdr:to>
      <xdr:col>6</xdr:col>
      <xdr:colOff>398553</xdr:colOff>
      <xdr:row>3</xdr:row>
      <xdr:rowOff>140753</xdr:rowOff>
    </xdr:to>
    <xdr:cxnSp macro="">
      <xdr:nvCxnSpPr>
        <xdr:cNvPr id="135" name="Straight Arrow Connector 187">
          <a:extLst>
            <a:ext uri="{FF2B5EF4-FFF2-40B4-BE49-F238E27FC236}">
              <a16:creationId xmlns:a16="http://schemas.microsoft.com/office/drawing/2014/main" id="{C1D32D17-D4D4-4D26-A675-84D1568A1478}"/>
            </a:ext>
          </a:extLst>
        </xdr:cNvPr>
        <xdr:cNvCxnSpPr>
          <a:cxnSpLocks/>
          <a:stCxn id="190" idx="0"/>
        </xdr:cNvCxnSpPr>
      </xdr:nvCxnSpPr>
      <xdr:spPr>
        <a:xfrm rot="5400000" flipH="1" flipV="1">
          <a:off x="3448924" y="105024"/>
          <a:ext cx="407780" cy="806678"/>
        </a:xfrm>
        <a:prstGeom prst="bentConnector2">
          <a:avLst/>
        </a:prstGeom>
        <a:ln>
          <a:tailEnd type="triangle"/>
        </a:ln>
        <a:effectLst>
          <a:glow rad="50800">
            <a:schemeClr val="bg1"/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590095</xdr:colOff>
      <xdr:row>15</xdr:row>
      <xdr:rowOff>124645</xdr:rowOff>
    </xdr:from>
    <xdr:to>
      <xdr:col>6</xdr:col>
      <xdr:colOff>398551</xdr:colOff>
      <xdr:row>15</xdr:row>
      <xdr:rowOff>124645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861E05BE-A8D6-4B5E-AE95-34EFD5A0AE5E}"/>
            </a:ext>
          </a:extLst>
        </xdr:cNvPr>
        <xdr:cNvCxnSpPr>
          <a:cxnSpLocks/>
          <a:stCxn id="191" idx="3"/>
          <a:endCxn id="196" idx="1"/>
        </xdr:cNvCxnSpPr>
      </xdr:nvCxnSpPr>
      <xdr:spPr>
        <a:xfrm>
          <a:off x="3638095" y="2982145"/>
          <a:ext cx="418056" cy="0"/>
        </a:xfrm>
        <a:prstGeom prst="straightConnector1">
          <a:avLst/>
        </a:prstGeom>
        <a:ln>
          <a:tailEnd type="triangle"/>
        </a:ln>
        <a:effectLst>
          <a:glow rad="50800">
            <a:schemeClr val="bg1"/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590095</xdr:colOff>
      <xdr:row>4</xdr:row>
      <xdr:rowOff>133133</xdr:rowOff>
    </xdr:from>
    <xdr:to>
      <xdr:col>8</xdr:col>
      <xdr:colOff>374646</xdr:colOff>
      <xdr:row>7</xdr:row>
      <xdr:rowOff>83386</xdr:rowOff>
    </xdr:to>
    <xdr:cxnSp macro="">
      <xdr:nvCxnSpPr>
        <xdr:cNvPr id="137" name="Straight Arrow Connector 136">
          <a:extLst>
            <a:ext uri="{FF2B5EF4-FFF2-40B4-BE49-F238E27FC236}">
              <a16:creationId xmlns:a16="http://schemas.microsoft.com/office/drawing/2014/main" id="{D4FF9F4B-D031-4FAE-8262-8B388B2E48E0}"/>
            </a:ext>
          </a:extLst>
        </xdr:cNvPr>
        <xdr:cNvCxnSpPr>
          <a:cxnSpLocks/>
          <a:stCxn id="190" idx="3"/>
          <a:endCxn id="203" idx="1"/>
        </xdr:cNvCxnSpPr>
      </xdr:nvCxnSpPr>
      <xdr:spPr>
        <a:xfrm>
          <a:off x="3638095" y="895133"/>
          <a:ext cx="1613351" cy="521753"/>
        </a:xfrm>
        <a:prstGeom prst="straightConnector1">
          <a:avLst/>
        </a:prstGeom>
        <a:ln>
          <a:tailEnd type="triangle"/>
        </a:ln>
        <a:effectLst>
          <a:glow rad="50800">
            <a:schemeClr val="bg1"/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590095</xdr:colOff>
      <xdr:row>4</xdr:row>
      <xdr:rowOff>133133</xdr:rowOff>
    </xdr:from>
    <xdr:to>
      <xdr:col>8</xdr:col>
      <xdr:colOff>374645</xdr:colOff>
      <xdr:row>10</xdr:row>
      <xdr:rowOff>33639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77B84A18-8681-4D10-9086-8BC3F91CFD61}"/>
            </a:ext>
          </a:extLst>
        </xdr:cNvPr>
        <xdr:cNvCxnSpPr>
          <a:cxnSpLocks/>
          <a:stCxn id="190" idx="3"/>
          <a:endCxn id="204" idx="1"/>
        </xdr:cNvCxnSpPr>
      </xdr:nvCxnSpPr>
      <xdr:spPr>
        <a:xfrm>
          <a:off x="3638095" y="895133"/>
          <a:ext cx="1613350" cy="1043506"/>
        </a:xfrm>
        <a:prstGeom prst="straightConnector1">
          <a:avLst/>
        </a:prstGeom>
        <a:ln>
          <a:tailEnd type="triangle"/>
        </a:ln>
        <a:effectLst>
          <a:glow rad="50800">
            <a:schemeClr val="bg1"/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590095</xdr:colOff>
      <xdr:row>10</xdr:row>
      <xdr:rowOff>33639</xdr:rowOff>
    </xdr:from>
    <xdr:to>
      <xdr:col>8</xdr:col>
      <xdr:colOff>374645</xdr:colOff>
      <xdr:row>12</xdr:row>
      <xdr:rowOff>174392</xdr:rowOff>
    </xdr:to>
    <xdr:cxnSp macro="">
      <xdr:nvCxnSpPr>
        <xdr:cNvPr id="139" name="Straight Arrow Connector 138">
          <a:extLst>
            <a:ext uri="{FF2B5EF4-FFF2-40B4-BE49-F238E27FC236}">
              <a16:creationId xmlns:a16="http://schemas.microsoft.com/office/drawing/2014/main" id="{D9FF52C3-5F36-4E12-BC94-668D33B8493B}"/>
            </a:ext>
          </a:extLst>
        </xdr:cNvPr>
        <xdr:cNvCxnSpPr>
          <a:cxnSpLocks/>
          <a:stCxn id="194" idx="3"/>
          <a:endCxn id="204" idx="1"/>
        </xdr:cNvCxnSpPr>
      </xdr:nvCxnSpPr>
      <xdr:spPr>
        <a:xfrm flipV="1">
          <a:off x="3638095" y="1938639"/>
          <a:ext cx="1613350" cy="521753"/>
        </a:xfrm>
        <a:prstGeom prst="straightConnector1">
          <a:avLst/>
        </a:prstGeom>
        <a:ln>
          <a:tailEnd type="triangle"/>
        </a:ln>
        <a:effectLst>
          <a:glow rad="50800">
            <a:schemeClr val="bg1"/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590095</xdr:colOff>
      <xdr:row>12</xdr:row>
      <xdr:rowOff>174392</xdr:rowOff>
    </xdr:from>
    <xdr:to>
      <xdr:col>14</xdr:col>
      <xdr:colOff>105597</xdr:colOff>
      <xdr:row>12</xdr:row>
      <xdr:rowOff>174392</xdr:rowOff>
    </xdr:to>
    <xdr:cxnSp macro="">
      <xdr:nvCxnSpPr>
        <xdr:cNvPr id="140" name="Straight Arrow Connector 139">
          <a:extLst>
            <a:ext uri="{FF2B5EF4-FFF2-40B4-BE49-F238E27FC236}">
              <a16:creationId xmlns:a16="http://schemas.microsoft.com/office/drawing/2014/main" id="{E9E140F6-45BE-44D1-8463-5BF541A060E7}"/>
            </a:ext>
          </a:extLst>
        </xdr:cNvPr>
        <xdr:cNvCxnSpPr>
          <a:cxnSpLocks/>
          <a:stCxn id="194" idx="3"/>
          <a:endCxn id="215" idx="1"/>
        </xdr:cNvCxnSpPr>
      </xdr:nvCxnSpPr>
      <xdr:spPr>
        <a:xfrm>
          <a:off x="3638095" y="2460392"/>
          <a:ext cx="5001902" cy="0"/>
        </a:xfrm>
        <a:prstGeom prst="straightConnector1">
          <a:avLst/>
        </a:prstGeom>
        <a:ln>
          <a:tailEnd type="triangle"/>
        </a:ln>
        <a:effectLst>
          <a:glow rad="50800">
            <a:schemeClr val="bg1"/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607478</xdr:colOff>
      <xdr:row>10</xdr:row>
      <xdr:rowOff>33639</xdr:rowOff>
    </xdr:from>
    <xdr:to>
      <xdr:col>10</xdr:col>
      <xdr:colOff>350742</xdr:colOff>
      <xdr:row>18</xdr:row>
      <xdr:rowOff>74898</xdr:rowOff>
    </xdr:to>
    <xdr:cxnSp macro="">
      <xdr:nvCxnSpPr>
        <xdr:cNvPr id="141" name="Straight Arrow Connector 140">
          <a:extLst>
            <a:ext uri="{FF2B5EF4-FFF2-40B4-BE49-F238E27FC236}">
              <a16:creationId xmlns:a16="http://schemas.microsoft.com/office/drawing/2014/main" id="{9A7D16F2-A42F-4927-B262-2210CEFB9910}"/>
            </a:ext>
          </a:extLst>
        </xdr:cNvPr>
        <xdr:cNvCxnSpPr>
          <a:cxnSpLocks/>
          <a:stCxn id="204" idx="3"/>
          <a:endCxn id="228" idx="1"/>
        </xdr:cNvCxnSpPr>
      </xdr:nvCxnSpPr>
      <xdr:spPr>
        <a:xfrm>
          <a:off x="6093878" y="1938639"/>
          <a:ext cx="352864" cy="1565259"/>
        </a:xfrm>
        <a:prstGeom prst="straightConnector1">
          <a:avLst/>
        </a:prstGeom>
        <a:ln>
          <a:tailEnd type="triangle"/>
        </a:ln>
        <a:effectLst>
          <a:glow rad="50800">
            <a:schemeClr val="bg1"/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607477</xdr:colOff>
      <xdr:row>7</xdr:row>
      <xdr:rowOff>83386</xdr:rowOff>
    </xdr:from>
    <xdr:to>
      <xdr:col>10</xdr:col>
      <xdr:colOff>350743</xdr:colOff>
      <xdr:row>7</xdr:row>
      <xdr:rowOff>83386</xdr:rowOff>
    </xdr:to>
    <xdr:cxnSp macro="">
      <xdr:nvCxnSpPr>
        <xdr:cNvPr id="142" name="Straight Arrow Connector 141">
          <a:extLst>
            <a:ext uri="{FF2B5EF4-FFF2-40B4-BE49-F238E27FC236}">
              <a16:creationId xmlns:a16="http://schemas.microsoft.com/office/drawing/2014/main" id="{F24E7BFB-3786-4841-B625-51DAD4EE5632}"/>
            </a:ext>
          </a:extLst>
        </xdr:cNvPr>
        <xdr:cNvCxnSpPr>
          <a:cxnSpLocks/>
          <a:stCxn id="203" idx="3"/>
          <a:endCxn id="207" idx="1"/>
        </xdr:cNvCxnSpPr>
      </xdr:nvCxnSpPr>
      <xdr:spPr>
        <a:xfrm>
          <a:off x="6093877" y="1416886"/>
          <a:ext cx="352866" cy="0"/>
        </a:xfrm>
        <a:prstGeom prst="straightConnector1">
          <a:avLst/>
        </a:prstGeom>
        <a:ln>
          <a:tailEnd type="triangle"/>
        </a:ln>
        <a:effectLst>
          <a:glow rad="50800">
            <a:schemeClr val="bg1"/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566191</xdr:colOff>
      <xdr:row>1</xdr:row>
      <xdr:rowOff>182880</xdr:rowOff>
    </xdr:from>
    <xdr:to>
      <xdr:col>8</xdr:col>
      <xdr:colOff>374647</xdr:colOff>
      <xdr:row>1</xdr:row>
      <xdr:rowOff>182880</xdr:rowOff>
    </xdr:to>
    <xdr:cxnSp macro="">
      <xdr:nvCxnSpPr>
        <xdr:cNvPr id="143" name="Straight Arrow Connector 142">
          <a:extLst>
            <a:ext uri="{FF2B5EF4-FFF2-40B4-BE49-F238E27FC236}">
              <a16:creationId xmlns:a16="http://schemas.microsoft.com/office/drawing/2014/main" id="{BABAF402-F02A-40CD-87A2-768A7B9AFCA6}"/>
            </a:ext>
          </a:extLst>
        </xdr:cNvPr>
        <xdr:cNvCxnSpPr>
          <a:cxnSpLocks/>
          <a:stCxn id="197" idx="3"/>
          <a:endCxn id="202" idx="1"/>
        </xdr:cNvCxnSpPr>
      </xdr:nvCxnSpPr>
      <xdr:spPr>
        <a:xfrm>
          <a:off x="4833391" y="373380"/>
          <a:ext cx="418056" cy="0"/>
        </a:xfrm>
        <a:prstGeom prst="straightConnector1">
          <a:avLst/>
        </a:prstGeom>
        <a:ln>
          <a:tailEnd type="triangle"/>
        </a:ln>
        <a:effectLst>
          <a:glow rad="50800">
            <a:schemeClr val="bg1"/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566191</xdr:colOff>
      <xdr:row>1</xdr:row>
      <xdr:rowOff>182880</xdr:rowOff>
    </xdr:from>
    <xdr:to>
      <xdr:col>8</xdr:col>
      <xdr:colOff>374647</xdr:colOff>
      <xdr:row>4</xdr:row>
      <xdr:rowOff>133133</xdr:rowOff>
    </xdr:to>
    <xdr:cxnSp macro="">
      <xdr:nvCxnSpPr>
        <xdr:cNvPr id="144" name="Straight Arrow Connector 187">
          <a:extLst>
            <a:ext uri="{FF2B5EF4-FFF2-40B4-BE49-F238E27FC236}">
              <a16:creationId xmlns:a16="http://schemas.microsoft.com/office/drawing/2014/main" id="{B70D98C9-4AF4-491C-ADC5-A8B2B106F722}"/>
            </a:ext>
          </a:extLst>
        </xdr:cNvPr>
        <xdr:cNvCxnSpPr>
          <a:cxnSpLocks/>
          <a:stCxn id="197" idx="3"/>
          <a:endCxn id="200" idx="1"/>
        </xdr:cNvCxnSpPr>
      </xdr:nvCxnSpPr>
      <xdr:spPr>
        <a:xfrm>
          <a:off x="4833391" y="373380"/>
          <a:ext cx="418056" cy="521753"/>
        </a:xfrm>
        <a:prstGeom prst="bentConnector3">
          <a:avLst>
            <a:gd name="adj1" fmla="val 50000"/>
          </a:avLst>
        </a:prstGeom>
        <a:ln>
          <a:tailEnd type="triangle"/>
        </a:ln>
        <a:effectLst>
          <a:glow rad="50800">
            <a:schemeClr val="bg1"/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607477</xdr:colOff>
      <xdr:row>1</xdr:row>
      <xdr:rowOff>182880</xdr:rowOff>
    </xdr:from>
    <xdr:to>
      <xdr:col>10</xdr:col>
      <xdr:colOff>350743</xdr:colOff>
      <xdr:row>1</xdr:row>
      <xdr:rowOff>182880</xdr:rowOff>
    </xdr:to>
    <xdr:cxnSp macro="">
      <xdr:nvCxnSpPr>
        <xdr:cNvPr id="145" name="Straight Arrow Connector 144">
          <a:extLst>
            <a:ext uri="{FF2B5EF4-FFF2-40B4-BE49-F238E27FC236}">
              <a16:creationId xmlns:a16="http://schemas.microsoft.com/office/drawing/2014/main" id="{00A5F4C2-33FA-491A-B67D-CC026C26A835}"/>
            </a:ext>
          </a:extLst>
        </xdr:cNvPr>
        <xdr:cNvCxnSpPr>
          <a:cxnSpLocks/>
          <a:stCxn id="202" idx="3"/>
          <a:endCxn id="206" idx="1"/>
        </xdr:cNvCxnSpPr>
      </xdr:nvCxnSpPr>
      <xdr:spPr>
        <a:xfrm>
          <a:off x="6093877" y="373380"/>
          <a:ext cx="352866" cy="0"/>
        </a:xfrm>
        <a:prstGeom prst="straightConnector1">
          <a:avLst/>
        </a:prstGeom>
        <a:ln>
          <a:tailEnd type="triangle"/>
        </a:ln>
        <a:effectLst>
          <a:glow rad="50800">
            <a:schemeClr val="bg1"/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518383</xdr:colOff>
      <xdr:row>1</xdr:row>
      <xdr:rowOff>182880</xdr:rowOff>
    </xdr:from>
    <xdr:to>
      <xdr:col>12</xdr:col>
      <xdr:colOff>326839</xdr:colOff>
      <xdr:row>1</xdr:row>
      <xdr:rowOff>182880</xdr:rowOff>
    </xdr:to>
    <xdr:cxnSp macro="">
      <xdr:nvCxnSpPr>
        <xdr:cNvPr id="146" name="Straight Arrow Connector 145">
          <a:extLst>
            <a:ext uri="{FF2B5EF4-FFF2-40B4-BE49-F238E27FC236}">
              <a16:creationId xmlns:a16="http://schemas.microsoft.com/office/drawing/2014/main" id="{B2FA91E5-B4AF-48DD-8A67-7DF6FD0E94F1}"/>
            </a:ext>
          </a:extLst>
        </xdr:cNvPr>
        <xdr:cNvCxnSpPr>
          <a:cxnSpLocks/>
          <a:stCxn id="206" idx="3"/>
          <a:endCxn id="210" idx="1"/>
        </xdr:cNvCxnSpPr>
      </xdr:nvCxnSpPr>
      <xdr:spPr>
        <a:xfrm>
          <a:off x="7223983" y="373380"/>
          <a:ext cx="418056" cy="0"/>
        </a:xfrm>
        <a:prstGeom prst="straightConnector1">
          <a:avLst/>
        </a:prstGeom>
        <a:ln>
          <a:tailEnd type="triangle"/>
        </a:ln>
        <a:effectLst>
          <a:glow rad="50800">
            <a:schemeClr val="bg1"/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607477</xdr:colOff>
      <xdr:row>2</xdr:row>
      <xdr:rowOff>175260</xdr:rowOff>
    </xdr:from>
    <xdr:to>
      <xdr:col>13</xdr:col>
      <xdr:colOff>105859</xdr:colOff>
      <xdr:row>4</xdr:row>
      <xdr:rowOff>133133</xdr:rowOff>
    </xdr:to>
    <xdr:cxnSp macro="">
      <xdr:nvCxnSpPr>
        <xdr:cNvPr id="147" name="Straight Arrow Connector 187">
          <a:extLst>
            <a:ext uri="{FF2B5EF4-FFF2-40B4-BE49-F238E27FC236}">
              <a16:creationId xmlns:a16="http://schemas.microsoft.com/office/drawing/2014/main" id="{66D3AAB5-DCF3-4384-B22C-D9437948C7DC}"/>
            </a:ext>
          </a:extLst>
        </xdr:cNvPr>
        <xdr:cNvCxnSpPr>
          <a:cxnSpLocks/>
          <a:stCxn id="200" idx="3"/>
          <a:endCxn id="210" idx="2"/>
        </xdr:cNvCxnSpPr>
      </xdr:nvCxnSpPr>
      <xdr:spPr>
        <a:xfrm flipV="1">
          <a:off x="6093877" y="556260"/>
          <a:ext cx="1936782" cy="338873"/>
        </a:xfrm>
        <a:prstGeom prst="bentConnector2">
          <a:avLst/>
        </a:prstGeom>
        <a:ln>
          <a:tailEnd type="triangle"/>
        </a:ln>
        <a:effectLst>
          <a:glow rad="50800">
            <a:schemeClr val="bg1"/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518383</xdr:colOff>
      <xdr:row>7</xdr:row>
      <xdr:rowOff>83386</xdr:rowOff>
    </xdr:from>
    <xdr:to>
      <xdr:col>12</xdr:col>
      <xdr:colOff>326839</xdr:colOff>
      <xdr:row>7</xdr:row>
      <xdr:rowOff>83386</xdr:rowOff>
    </xdr:to>
    <xdr:cxnSp macro="">
      <xdr:nvCxnSpPr>
        <xdr:cNvPr id="148" name="Straight Arrow Connector 147">
          <a:extLst>
            <a:ext uri="{FF2B5EF4-FFF2-40B4-BE49-F238E27FC236}">
              <a16:creationId xmlns:a16="http://schemas.microsoft.com/office/drawing/2014/main" id="{50F016D7-DB5E-44D3-A3D4-E633AF48F367}"/>
            </a:ext>
          </a:extLst>
        </xdr:cNvPr>
        <xdr:cNvCxnSpPr>
          <a:cxnSpLocks/>
          <a:stCxn id="207" idx="3"/>
          <a:endCxn id="211" idx="1"/>
        </xdr:cNvCxnSpPr>
      </xdr:nvCxnSpPr>
      <xdr:spPr>
        <a:xfrm>
          <a:off x="7223983" y="1416886"/>
          <a:ext cx="418056" cy="0"/>
        </a:xfrm>
        <a:prstGeom prst="straightConnector1">
          <a:avLst/>
        </a:prstGeom>
        <a:ln>
          <a:tailEnd type="triangle"/>
        </a:ln>
        <a:effectLst>
          <a:glow rad="50800">
            <a:schemeClr val="bg1"/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494479</xdr:colOff>
      <xdr:row>7</xdr:row>
      <xdr:rowOff>83386</xdr:rowOff>
    </xdr:from>
    <xdr:to>
      <xdr:col>14</xdr:col>
      <xdr:colOff>302935</xdr:colOff>
      <xdr:row>7</xdr:row>
      <xdr:rowOff>83386</xdr:rowOff>
    </xdr:to>
    <xdr:cxnSp macro="">
      <xdr:nvCxnSpPr>
        <xdr:cNvPr id="149" name="Straight Arrow Connector 148">
          <a:extLst>
            <a:ext uri="{FF2B5EF4-FFF2-40B4-BE49-F238E27FC236}">
              <a16:creationId xmlns:a16="http://schemas.microsoft.com/office/drawing/2014/main" id="{DD896A29-4938-4745-8C5E-E94BAAC2AE86}"/>
            </a:ext>
          </a:extLst>
        </xdr:cNvPr>
        <xdr:cNvCxnSpPr>
          <a:cxnSpLocks/>
          <a:stCxn id="211" idx="3"/>
          <a:endCxn id="214" idx="1"/>
        </xdr:cNvCxnSpPr>
      </xdr:nvCxnSpPr>
      <xdr:spPr>
        <a:xfrm>
          <a:off x="8419279" y="1416886"/>
          <a:ext cx="418056" cy="0"/>
        </a:xfrm>
        <a:prstGeom prst="straightConnector1">
          <a:avLst/>
        </a:prstGeom>
        <a:ln>
          <a:tailEnd type="triangle"/>
        </a:ln>
        <a:effectLst>
          <a:glow rad="50800">
            <a:schemeClr val="bg1"/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500011</xdr:colOff>
      <xdr:row>7</xdr:row>
      <xdr:rowOff>83386</xdr:rowOff>
    </xdr:from>
    <xdr:to>
      <xdr:col>16</xdr:col>
      <xdr:colOff>279031</xdr:colOff>
      <xdr:row>7</xdr:row>
      <xdr:rowOff>83386</xdr:rowOff>
    </xdr:to>
    <xdr:cxnSp macro="">
      <xdr:nvCxnSpPr>
        <xdr:cNvPr id="150" name="Straight Arrow Connector 149">
          <a:extLst>
            <a:ext uri="{FF2B5EF4-FFF2-40B4-BE49-F238E27FC236}">
              <a16:creationId xmlns:a16="http://schemas.microsoft.com/office/drawing/2014/main" id="{1182DD14-393F-4902-A854-243A8A86B57F}"/>
            </a:ext>
          </a:extLst>
        </xdr:cNvPr>
        <xdr:cNvCxnSpPr>
          <a:cxnSpLocks/>
          <a:stCxn id="214" idx="3"/>
          <a:endCxn id="212" idx="1"/>
        </xdr:cNvCxnSpPr>
      </xdr:nvCxnSpPr>
      <xdr:spPr>
        <a:xfrm>
          <a:off x="9644011" y="1416886"/>
          <a:ext cx="388620" cy="0"/>
        </a:xfrm>
        <a:prstGeom prst="straightConnector1">
          <a:avLst/>
        </a:prstGeom>
        <a:ln>
          <a:tailEnd type="triangle"/>
        </a:ln>
        <a:effectLst>
          <a:glow rad="50800">
            <a:schemeClr val="bg1"/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518383</xdr:colOff>
      <xdr:row>7</xdr:row>
      <xdr:rowOff>83386</xdr:rowOff>
    </xdr:from>
    <xdr:to>
      <xdr:col>12</xdr:col>
      <xdr:colOff>326839</xdr:colOff>
      <xdr:row>10</xdr:row>
      <xdr:rowOff>33639</xdr:rowOff>
    </xdr:to>
    <xdr:cxnSp macro="">
      <xdr:nvCxnSpPr>
        <xdr:cNvPr id="151" name="Straight Arrow Connector 255">
          <a:extLst>
            <a:ext uri="{FF2B5EF4-FFF2-40B4-BE49-F238E27FC236}">
              <a16:creationId xmlns:a16="http://schemas.microsoft.com/office/drawing/2014/main" id="{69C057EF-9A00-4AF7-95D1-8003FA67EC76}"/>
            </a:ext>
          </a:extLst>
        </xdr:cNvPr>
        <xdr:cNvCxnSpPr>
          <a:cxnSpLocks/>
          <a:stCxn id="207" idx="3"/>
          <a:endCxn id="209" idx="1"/>
        </xdr:cNvCxnSpPr>
      </xdr:nvCxnSpPr>
      <xdr:spPr>
        <a:xfrm>
          <a:off x="7223983" y="1416886"/>
          <a:ext cx="418056" cy="521753"/>
        </a:xfrm>
        <a:prstGeom prst="bentConnector3">
          <a:avLst>
            <a:gd name="adj1" fmla="val 50000"/>
          </a:avLst>
        </a:prstGeom>
        <a:ln>
          <a:tailEnd type="triangle"/>
        </a:ln>
        <a:effectLst>
          <a:glow rad="50800">
            <a:schemeClr val="bg1"/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494479</xdr:colOff>
      <xdr:row>7</xdr:row>
      <xdr:rowOff>83386</xdr:rowOff>
    </xdr:from>
    <xdr:to>
      <xdr:col>14</xdr:col>
      <xdr:colOff>302935</xdr:colOff>
      <xdr:row>10</xdr:row>
      <xdr:rowOff>33639</xdr:rowOff>
    </xdr:to>
    <xdr:cxnSp macro="">
      <xdr:nvCxnSpPr>
        <xdr:cNvPr id="152" name="Straight Arrow Connector 255">
          <a:extLst>
            <a:ext uri="{FF2B5EF4-FFF2-40B4-BE49-F238E27FC236}">
              <a16:creationId xmlns:a16="http://schemas.microsoft.com/office/drawing/2014/main" id="{A62AAF1A-9DF9-459C-9970-E59773108B22}"/>
            </a:ext>
          </a:extLst>
        </xdr:cNvPr>
        <xdr:cNvCxnSpPr>
          <a:cxnSpLocks/>
          <a:stCxn id="209" idx="3"/>
          <a:endCxn id="214" idx="1"/>
        </xdr:cNvCxnSpPr>
      </xdr:nvCxnSpPr>
      <xdr:spPr>
        <a:xfrm flipV="1">
          <a:off x="8419279" y="1416886"/>
          <a:ext cx="418056" cy="521753"/>
        </a:xfrm>
        <a:prstGeom prst="bentConnector3">
          <a:avLst>
            <a:gd name="adj1" fmla="val 50000"/>
          </a:avLst>
        </a:prstGeom>
        <a:ln>
          <a:tailEnd type="triangle"/>
        </a:ln>
        <a:effectLst>
          <a:glow rad="50800">
            <a:schemeClr val="bg1"/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470575</xdr:colOff>
      <xdr:row>12</xdr:row>
      <xdr:rowOff>174392</xdr:rowOff>
    </xdr:from>
    <xdr:to>
      <xdr:col>16</xdr:col>
      <xdr:colOff>279031</xdr:colOff>
      <xdr:row>12</xdr:row>
      <xdr:rowOff>174392</xdr:rowOff>
    </xdr:to>
    <xdr:cxnSp macro="">
      <xdr:nvCxnSpPr>
        <xdr:cNvPr id="153" name="Straight Arrow Connector 152">
          <a:extLst>
            <a:ext uri="{FF2B5EF4-FFF2-40B4-BE49-F238E27FC236}">
              <a16:creationId xmlns:a16="http://schemas.microsoft.com/office/drawing/2014/main" id="{C4890BC8-B4F0-47AD-8EC6-5AC87F969F26}"/>
            </a:ext>
          </a:extLst>
        </xdr:cNvPr>
        <xdr:cNvCxnSpPr>
          <a:cxnSpLocks/>
          <a:stCxn id="215" idx="3"/>
          <a:endCxn id="213" idx="1"/>
        </xdr:cNvCxnSpPr>
      </xdr:nvCxnSpPr>
      <xdr:spPr>
        <a:xfrm>
          <a:off x="9614575" y="2460392"/>
          <a:ext cx="418056" cy="0"/>
        </a:xfrm>
        <a:prstGeom prst="straightConnector1">
          <a:avLst/>
        </a:prstGeom>
        <a:ln>
          <a:tailEnd type="triangle"/>
        </a:ln>
        <a:effectLst>
          <a:glow rad="50800">
            <a:schemeClr val="bg1"/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446671</xdr:colOff>
      <xdr:row>12</xdr:row>
      <xdr:rowOff>174392</xdr:rowOff>
    </xdr:from>
    <xdr:to>
      <xdr:col>18</xdr:col>
      <xdr:colOff>115791</xdr:colOff>
      <xdr:row>12</xdr:row>
      <xdr:rowOff>174392</xdr:rowOff>
    </xdr:to>
    <xdr:cxnSp macro="">
      <xdr:nvCxnSpPr>
        <xdr:cNvPr id="154" name="Straight Arrow Connector 153">
          <a:extLst>
            <a:ext uri="{FF2B5EF4-FFF2-40B4-BE49-F238E27FC236}">
              <a16:creationId xmlns:a16="http://schemas.microsoft.com/office/drawing/2014/main" id="{4575DBAB-69A6-46FE-AEE6-45BED3816536}"/>
            </a:ext>
          </a:extLst>
        </xdr:cNvPr>
        <xdr:cNvCxnSpPr>
          <a:cxnSpLocks/>
          <a:stCxn id="213" idx="3"/>
          <a:endCxn id="216" idx="1"/>
        </xdr:cNvCxnSpPr>
      </xdr:nvCxnSpPr>
      <xdr:spPr>
        <a:xfrm>
          <a:off x="10809871" y="2460392"/>
          <a:ext cx="278720" cy="0"/>
        </a:xfrm>
        <a:prstGeom prst="straightConnector1">
          <a:avLst/>
        </a:prstGeom>
        <a:ln>
          <a:tailEnd type="triangle"/>
        </a:ln>
        <a:effectLst>
          <a:glow rad="50800">
            <a:schemeClr val="bg1"/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494479</xdr:colOff>
      <xdr:row>1</xdr:row>
      <xdr:rowOff>182880</xdr:rowOff>
    </xdr:from>
    <xdr:to>
      <xdr:col>18</xdr:col>
      <xdr:colOff>504411</xdr:colOff>
      <xdr:row>11</xdr:row>
      <xdr:rowOff>182012</xdr:rowOff>
    </xdr:to>
    <xdr:cxnSp macro="">
      <xdr:nvCxnSpPr>
        <xdr:cNvPr id="155" name="Straight Arrow Connector 187">
          <a:extLst>
            <a:ext uri="{FF2B5EF4-FFF2-40B4-BE49-F238E27FC236}">
              <a16:creationId xmlns:a16="http://schemas.microsoft.com/office/drawing/2014/main" id="{CA2BC6D5-13D0-4ED7-9018-14E63E30D7B3}"/>
            </a:ext>
          </a:extLst>
        </xdr:cNvPr>
        <xdr:cNvCxnSpPr>
          <a:cxnSpLocks/>
          <a:stCxn id="210" idx="3"/>
          <a:endCxn id="216" idx="0"/>
        </xdr:cNvCxnSpPr>
      </xdr:nvCxnSpPr>
      <xdr:spPr>
        <a:xfrm>
          <a:off x="8419279" y="373380"/>
          <a:ext cx="3057932" cy="1904132"/>
        </a:xfrm>
        <a:prstGeom prst="bentConnector2">
          <a:avLst/>
        </a:prstGeom>
        <a:ln>
          <a:tailEnd type="triangle"/>
        </a:ln>
        <a:effectLst>
          <a:glow rad="50800">
            <a:schemeClr val="bg1"/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58051</xdr:colOff>
      <xdr:row>8</xdr:row>
      <xdr:rowOff>75766</xdr:rowOff>
    </xdr:from>
    <xdr:to>
      <xdr:col>17</xdr:col>
      <xdr:colOff>58051</xdr:colOff>
      <xdr:row>11</xdr:row>
      <xdr:rowOff>182012</xdr:rowOff>
    </xdr:to>
    <xdr:cxnSp macro="">
      <xdr:nvCxnSpPr>
        <xdr:cNvPr id="156" name="Straight Arrow Connector 155">
          <a:extLst>
            <a:ext uri="{FF2B5EF4-FFF2-40B4-BE49-F238E27FC236}">
              <a16:creationId xmlns:a16="http://schemas.microsoft.com/office/drawing/2014/main" id="{37EB01E8-2514-4FDD-A39F-677D3400C511}"/>
            </a:ext>
          </a:extLst>
        </xdr:cNvPr>
        <xdr:cNvCxnSpPr>
          <a:cxnSpLocks/>
          <a:stCxn id="212" idx="2"/>
          <a:endCxn id="213" idx="0"/>
        </xdr:cNvCxnSpPr>
      </xdr:nvCxnSpPr>
      <xdr:spPr>
        <a:xfrm>
          <a:off x="10421251" y="1599766"/>
          <a:ext cx="0" cy="677746"/>
        </a:xfrm>
        <a:prstGeom prst="straightConnector1">
          <a:avLst/>
        </a:prstGeom>
        <a:ln>
          <a:tailEnd type="triangle"/>
        </a:ln>
        <a:effectLst>
          <a:glow rad="50800">
            <a:schemeClr val="bg1"/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283431</xdr:colOff>
      <xdr:row>12</xdr:row>
      <xdr:rowOff>174392</xdr:rowOff>
    </xdr:from>
    <xdr:to>
      <xdr:col>19</xdr:col>
      <xdr:colOff>521836</xdr:colOff>
      <xdr:row>18</xdr:row>
      <xdr:rowOff>161888</xdr:rowOff>
    </xdr:to>
    <xdr:cxnSp macro="">
      <xdr:nvCxnSpPr>
        <xdr:cNvPr id="157" name="Straight Arrow Connector 187">
          <a:extLst>
            <a:ext uri="{FF2B5EF4-FFF2-40B4-BE49-F238E27FC236}">
              <a16:creationId xmlns:a16="http://schemas.microsoft.com/office/drawing/2014/main" id="{E989199A-7DA8-4050-85CE-77E5AE3197DB}"/>
            </a:ext>
          </a:extLst>
        </xdr:cNvPr>
        <xdr:cNvCxnSpPr>
          <a:cxnSpLocks/>
          <a:stCxn id="216" idx="3"/>
          <a:endCxn id="217" idx="0"/>
        </xdr:cNvCxnSpPr>
      </xdr:nvCxnSpPr>
      <xdr:spPr>
        <a:xfrm>
          <a:off x="11865831" y="2460392"/>
          <a:ext cx="238405" cy="1130496"/>
        </a:xfrm>
        <a:prstGeom prst="bentConnector2">
          <a:avLst/>
        </a:prstGeom>
        <a:ln>
          <a:tailEnd type="triangle"/>
        </a:ln>
        <a:effectLst>
          <a:glow rad="50800">
            <a:schemeClr val="bg1"/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518382</xdr:colOff>
      <xdr:row>14</xdr:row>
      <xdr:rowOff>104990</xdr:rowOff>
    </xdr:from>
    <xdr:to>
      <xdr:col>12</xdr:col>
      <xdr:colOff>326838</xdr:colOff>
      <xdr:row>18</xdr:row>
      <xdr:rowOff>74898</xdr:rowOff>
    </xdr:to>
    <xdr:cxnSp macro="">
      <xdr:nvCxnSpPr>
        <xdr:cNvPr id="158" name="Straight Arrow Connector 157">
          <a:extLst>
            <a:ext uri="{FF2B5EF4-FFF2-40B4-BE49-F238E27FC236}">
              <a16:creationId xmlns:a16="http://schemas.microsoft.com/office/drawing/2014/main" id="{83BE648D-1D73-461E-B98D-9A73DD7C8ED2}"/>
            </a:ext>
          </a:extLst>
        </xdr:cNvPr>
        <xdr:cNvCxnSpPr>
          <a:cxnSpLocks/>
          <a:stCxn id="228" idx="3"/>
          <a:endCxn id="233" idx="1"/>
        </xdr:cNvCxnSpPr>
      </xdr:nvCxnSpPr>
      <xdr:spPr>
        <a:xfrm flipV="1">
          <a:off x="7223982" y="2771990"/>
          <a:ext cx="418056" cy="731908"/>
        </a:xfrm>
        <a:prstGeom prst="straightConnector1">
          <a:avLst/>
        </a:prstGeom>
        <a:ln>
          <a:tailEnd type="triangle"/>
        </a:ln>
        <a:effectLst>
          <a:glow rad="50800">
            <a:schemeClr val="bg1"/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12594</xdr:colOff>
      <xdr:row>18</xdr:row>
      <xdr:rowOff>74898</xdr:rowOff>
    </xdr:from>
    <xdr:to>
      <xdr:col>10</xdr:col>
      <xdr:colOff>350742</xdr:colOff>
      <xdr:row>21</xdr:row>
      <xdr:rowOff>30643</xdr:rowOff>
    </xdr:to>
    <xdr:cxnSp macro="">
      <xdr:nvCxnSpPr>
        <xdr:cNvPr id="159" name="Straight Arrow Connector 158">
          <a:extLst>
            <a:ext uri="{FF2B5EF4-FFF2-40B4-BE49-F238E27FC236}">
              <a16:creationId xmlns:a16="http://schemas.microsoft.com/office/drawing/2014/main" id="{49FC4389-1161-44FE-AFA5-01FC054CD8F4}"/>
            </a:ext>
          </a:extLst>
        </xdr:cNvPr>
        <xdr:cNvCxnSpPr>
          <a:cxnSpLocks/>
          <a:stCxn id="199" idx="3"/>
          <a:endCxn id="228" idx="1"/>
        </xdr:cNvCxnSpPr>
      </xdr:nvCxnSpPr>
      <xdr:spPr>
        <a:xfrm flipV="1">
          <a:off x="6108594" y="3503898"/>
          <a:ext cx="338148" cy="527245"/>
        </a:xfrm>
        <a:prstGeom prst="straightConnector1">
          <a:avLst/>
        </a:prstGeom>
        <a:ln>
          <a:tailEnd type="triangle"/>
        </a:ln>
        <a:effectLst>
          <a:glow rad="50800">
            <a:schemeClr val="bg1"/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27309</xdr:colOff>
      <xdr:row>20</xdr:row>
      <xdr:rowOff>146648</xdr:rowOff>
    </xdr:from>
    <xdr:to>
      <xdr:col>19</xdr:col>
      <xdr:colOff>521836</xdr:colOff>
      <xdr:row>26</xdr:row>
      <xdr:rowOff>64674</xdr:rowOff>
    </xdr:to>
    <xdr:cxnSp macro="">
      <xdr:nvCxnSpPr>
        <xdr:cNvPr id="160" name="Straight Arrow Connector 187">
          <a:extLst>
            <a:ext uri="{FF2B5EF4-FFF2-40B4-BE49-F238E27FC236}">
              <a16:creationId xmlns:a16="http://schemas.microsoft.com/office/drawing/2014/main" id="{D8F93CA5-2E17-4828-9651-20973BC8E646}"/>
            </a:ext>
          </a:extLst>
        </xdr:cNvPr>
        <xdr:cNvCxnSpPr>
          <a:cxnSpLocks/>
          <a:stCxn id="201" idx="3"/>
          <a:endCxn id="217" idx="2"/>
        </xdr:cNvCxnSpPr>
      </xdr:nvCxnSpPr>
      <xdr:spPr>
        <a:xfrm flipV="1">
          <a:off x="6123309" y="3956648"/>
          <a:ext cx="5980927" cy="1061026"/>
        </a:xfrm>
        <a:prstGeom prst="bentConnector2">
          <a:avLst/>
        </a:prstGeom>
        <a:ln>
          <a:tailEnd type="triangle"/>
        </a:ln>
        <a:effectLst>
          <a:glow rad="50800">
            <a:schemeClr val="bg1"/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27309</xdr:colOff>
      <xdr:row>26</xdr:row>
      <xdr:rowOff>64674</xdr:rowOff>
    </xdr:from>
    <xdr:to>
      <xdr:col>11</xdr:col>
      <xdr:colOff>129763</xdr:colOff>
      <xdr:row>28</xdr:row>
      <xdr:rowOff>22547</xdr:rowOff>
    </xdr:to>
    <xdr:cxnSp macro="">
      <xdr:nvCxnSpPr>
        <xdr:cNvPr id="161" name="Straight Arrow Connector 187">
          <a:extLst>
            <a:ext uri="{FF2B5EF4-FFF2-40B4-BE49-F238E27FC236}">
              <a16:creationId xmlns:a16="http://schemas.microsoft.com/office/drawing/2014/main" id="{CAB7E963-C7D7-4E47-94BA-F547CE5B01C6}"/>
            </a:ext>
          </a:extLst>
        </xdr:cNvPr>
        <xdr:cNvCxnSpPr>
          <a:cxnSpLocks/>
          <a:stCxn id="201" idx="3"/>
          <a:endCxn id="208" idx="0"/>
        </xdr:cNvCxnSpPr>
      </xdr:nvCxnSpPr>
      <xdr:spPr>
        <a:xfrm>
          <a:off x="6123309" y="5017674"/>
          <a:ext cx="712054" cy="338873"/>
        </a:xfrm>
        <a:prstGeom prst="bentConnector2">
          <a:avLst/>
        </a:prstGeom>
        <a:ln>
          <a:tailEnd type="triangle"/>
        </a:ln>
        <a:effectLst>
          <a:glow rad="50800">
            <a:schemeClr val="bg1"/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27309</xdr:colOff>
      <xdr:row>29</xdr:row>
      <xdr:rowOff>14927</xdr:rowOff>
    </xdr:from>
    <xdr:to>
      <xdr:col>10</xdr:col>
      <xdr:colOff>350743</xdr:colOff>
      <xdr:row>29</xdr:row>
      <xdr:rowOff>14927</xdr:rowOff>
    </xdr:to>
    <xdr:cxnSp macro="">
      <xdr:nvCxnSpPr>
        <xdr:cNvPr id="162" name="Straight Arrow Connector 161">
          <a:extLst>
            <a:ext uri="{FF2B5EF4-FFF2-40B4-BE49-F238E27FC236}">
              <a16:creationId xmlns:a16="http://schemas.microsoft.com/office/drawing/2014/main" id="{E7FA6846-8891-4C4C-9B46-D9939B647550}"/>
            </a:ext>
          </a:extLst>
        </xdr:cNvPr>
        <xdr:cNvCxnSpPr>
          <a:cxnSpLocks/>
          <a:stCxn id="198" idx="3"/>
          <a:endCxn id="208" idx="1"/>
        </xdr:cNvCxnSpPr>
      </xdr:nvCxnSpPr>
      <xdr:spPr>
        <a:xfrm>
          <a:off x="6123309" y="5539427"/>
          <a:ext cx="323434" cy="0"/>
        </a:xfrm>
        <a:prstGeom prst="straightConnector1">
          <a:avLst/>
        </a:prstGeom>
        <a:ln>
          <a:tailEnd type="triangle"/>
        </a:ln>
        <a:effectLst>
          <a:glow rad="50800">
            <a:schemeClr val="bg1"/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29396</xdr:colOff>
      <xdr:row>30</xdr:row>
      <xdr:rowOff>7307</xdr:rowOff>
    </xdr:from>
    <xdr:to>
      <xdr:col>11</xdr:col>
      <xdr:colOff>129763</xdr:colOff>
      <xdr:row>34</xdr:row>
      <xdr:rowOff>105933</xdr:rowOff>
    </xdr:to>
    <xdr:cxnSp macro="">
      <xdr:nvCxnSpPr>
        <xdr:cNvPr id="163" name="Straight Arrow Connector 301">
          <a:extLst>
            <a:ext uri="{FF2B5EF4-FFF2-40B4-BE49-F238E27FC236}">
              <a16:creationId xmlns:a16="http://schemas.microsoft.com/office/drawing/2014/main" id="{0567E2DD-47B7-4C67-AA12-C502368B82E0}"/>
            </a:ext>
          </a:extLst>
        </xdr:cNvPr>
        <xdr:cNvCxnSpPr>
          <a:cxnSpLocks/>
          <a:stCxn id="205" idx="3"/>
          <a:endCxn id="208" idx="2"/>
        </xdr:cNvCxnSpPr>
      </xdr:nvCxnSpPr>
      <xdr:spPr>
        <a:xfrm flipV="1">
          <a:off x="6125396" y="5722307"/>
          <a:ext cx="709967" cy="860626"/>
        </a:xfrm>
        <a:prstGeom prst="bentConnector2">
          <a:avLst/>
        </a:prstGeom>
        <a:ln>
          <a:tailEnd type="triangle"/>
        </a:ln>
        <a:effectLst>
          <a:glow rad="50800">
            <a:schemeClr val="bg1"/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566191</xdr:colOff>
      <xdr:row>29</xdr:row>
      <xdr:rowOff>14927</xdr:rowOff>
    </xdr:from>
    <xdr:to>
      <xdr:col>8</xdr:col>
      <xdr:colOff>374647</xdr:colOff>
      <xdr:row>29</xdr:row>
      <xdr:rowOff>14927</xdr:rowOff>
    </xdr:to>
    <xdr:cxnSp macro="">
      <xdr:nvCxnSpPr>
        <xdr:cNvPr id="164" name="Straight Arrow Connector 163">
          <a:extLst>
            <a:ext uri="{FF2B5EF4-FFF2-40B4-BE49-F238E27FC236}">
              <a16:creationId xmlns:a16="http://schemas.microsoft.com/office/drawing/2014/main" id="{3889BC08-840F-47FC-8A2E-3BBE7AD47966}"/>
            </a:ext>
          </a:extLst>
        </xdr:cNvPr>
        <xdr:cNvCxnSpPr>
          <a:cxnSpLocks/>
          <a:stCxn id="220" idx="3"/>
          <a:endCxn id="198" idx="1"/>
        </xdr:cNvCxnSpPr>
      </xdr:nvCxnSpPr>
      <xdr:spPr>
        <a:xfrm>
          <a:off x="4833391" y="5539427"/>
          <a:ext cx="418056" cy="0"/>
        </a:xfrm>
        <a:prstGeom prst="straightConnector1">
          <a:avLst/>
        </a:prstGeom>
        <a:ln>
          <a:tailEnd type="triangle"/>
        </a:ln>
        <a:effectLst>
          <a:glow rad="50800">
            <a:schemeClr val="bg1"/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566191</xdr:colOff>
      <xdr:row>34</xdr:row>
      <xdr:rowOff>105933</xdr:rowOff>
    </xdr:from>
    <xdr:to>
      <xdr:col>8</xdr:col>
      <xdr:colOff>374645</xdr:colOff>
      <xdr:row>34</xdr:row>
      <xdr:rowOff>105935</xdr:rowOff>
    </xdr:to>
    <xdr:cxnSp macro="">
      <xdr:nvCxnSpPr>
        <xdr:cNvPr id="165" name="Straight Arrow Connector 164">
          <a:extLst>
            <a:ext uri="{FF2B5EF4-FFF2-40B4-BE49-F238E27FC236}">
              <a16:creationId xmlns:a16="http://schemas.microsoft.com/office/drawing/2014/main" id="{A2B81850-643C-4746-8373-B04C350E6FE5}"/>
            </a:ext>
          </a:extLst>
        </xdr:cNvPr>
        <xdr:cNvCxnSpPr>
          <a:cxnSpLocks/>
          <a:stCxn id="218" idx="3"/>
          <a:endCxn id="205" idx="1"/>
        </xdr:cNvCxnSpPr>
      </xdr:nvCxnSpPr>
      <xdr:spPr>
        <a:xfrm flipV="1">
          <a:off x="4833391" y="6582933"/>
          <a:ext cx="418054" cy="2"/>
        </a:xfrm>
        <a:prstGeom prst="straightConnector1">
          <a:avLst/>
        </a:prstGeom>
        <a:ln>
          <a:tailEnd type="triangle"/>
        </a:ln>
        <a:effectLst>
          <a:glow rad="50800">
            <a:schemeClr val="bg1"/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566191</xdr:colOff>
      <xdr:row>29</xdr:row>
      <xdr:rowOff>14927</xdr:rowOff>
    </xdr:from>
    <xdr:to>
      <xdr:col>8</xdr:col>
      <xdr:colOff>374645</xdr:colOff>
      <xdr:row>34</xdr:row>
      <xdr:rowOff>105933</xdr:rowOff>
    </xdr:to>
    <xdr:cxnSp macro="">
      <xdr:nvCxnSpPr>
        <xdr:cNvPr id="166" name="Straight Arrow Connector 165">
          <a:extLst>
            <a:ext uri="{FF2B5EF4-FFF2-40B4-BE49-F238E27FC236}">
              <a16:creationId xmlns:a16="http://schemas.microsoft.com/office/drawing/2014/main" id="{020F02AC-AFD9-435C-9001-A218BFB355E0}"/>
            </a:ext>
          </a:extLst>
        </xdr:cNvPr>
        <xdr:cNvCxnSpPr>
          <a:cxnSpLocks/>
          <a:stCxn id="220" idx="3"/>
          <a:endCxn id="205" idx="1"/>
        </xdr:cNvCxnSpPr>
      </xdr:nvCxnSpPr>
      <xdr:spPr>
        <a:xfrm>
          <a:off x="4833391" y="5539427"/>
          <a:ext cx="418054" cy="1043506"/>
        </a:xfrm>
        <a:prstGeom prst="straightConnector1">
          <a:avLst/>
        </a:prstGeom>
        <a:ln>
          <a:tailEnd type="triangle"/>
        </a:ln>
        <a:effectLst>
          <a:glow rad="50800">
            <a:schemeClr val="bg1"/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566191</xdr:colOff>
      <xdr:row>29</xdr:row>
      <xdr:rowOff>14927</xdr:rowOff>
    </xdr:from>
    <xdr:to>
      <xdr:col>8</xdr:col>
      <xdr:colOff>374647</xdr:colOff>
      <xdr:row>34</xdr:row>
      <xdr:rowOff>105935</xdr:rowOff>
    </xdr:to>
    <xdr:cxnSp macro="">
      <xdr:nvCxnSpPr>
        <xdr:cNvPr id="167" name="Straight Arrow Connector 166">
          <a:extLst>
            <a:ext uri="{FF2B5EF4-FFF2-40B4-BE49-F238E27FC236}">
              <a16:creationId xmlns:a16="http://schemas.microsoft.com/office/drawing/2014/main" id="{7301772C-C179-496F-B8EC-CDBC121EB6D5}"/>
            </a:ext>
          </a:extLst>
        </xdr:cNvPr>
        <xdr:cNvCxnSpPr>
          <a:cxnSpLocks/>
          <a:stCxn id="218" idx="3"/>
          <a:endCxn id="198" idx="1"/>
        </xdr:cNvCxnSpPr>
      </xdr:nvCxnSpPr>
      <xdr:spPr>
        <a:xfrm flipV="1">
          <a:off x="4833391" y="5539427"/>
          <a:ext cx="418056" cy="1043508"/>
        </a:xfrm>
        <a:prstGeom prst="straightConnector1">
          <a:avLst/>
        </a:prstGeom>
        <a:ln>
          <a:tailEnd type="triangle"/>
        </a:ln>
        <a:effectLst>
          <a:glow rad="50800">
            <a:schemeClr val="bg1"/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177571</xdr:colOff>
      <xdr:row>30</xdr:row>
      <xdr:rowOff>7307</xdr:rowOff>
    </xdr:from>
    <xdr:to>
      <xdr:col>7</xdr:col>
      <xdr:colOff>177571</xdr:colOff>
      <xdr:row>30</xdr:row>
      <xdr:rowOff>163300</xdr:rowOff>
    </xdr:to>
    <xdr:cxnSp macro="">
      <xdr:nvCxnSpPr>
        <xdr:cNvPr id="168" name="Straight Arrow Connector 167">
          <a:extLst>
            <a:ext uri="{FF2B5EF4-FFF2-40B4-BE49-F238E27FC236}">
              <a16:creationId xmlns:a16="http://schemas.microsoft.com/office/drawing/2014/main" id="{927D77B4-1463-4CAE-AFC7-4E0F4CE77B8F}"/>
            </a:ext>
          </a:extLst>
        </xdr:cNvPr>
        <xdr:cNvCxnSpPr>
          <a:cxnSpLocks/>
          <a:stCxn id="220" idx="2"/>
          <a:endCxn id="219" idx="0"/>
        </xdr:cNvCxnSpPr>
      </xdr:nvCxnSpPr>
      <xdr:spPr>
        <a:xfrm>
          <a:off x="4444771" y="5722307"/>
          <a:ext cx="0" cy="155993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566191</xdr:colOff>
      <xdr:row>26</xdr:row>
      <xdr:rowOff>64674</xdr:rowOff>
    </xdr:from>
    <xdr:to>
      <xdr:col>8</xdr:col>
      <xdr:colOff>374647</xdr:colOff>
      <xdr:row>26</xdr:row>
      <xdr:rowOff>64674</xdr:rowOff>
    </xdr:to>
    <xdr:cxnSp macro="">
      <xdr:nvCxnSpPr>
        <xdr:cNvPr id="169" name="Straight Arrow Connector 168">
          <a:extLst>
            <a:ext uri="{FF2B5EF4-FFF2-40B4-BE49-F238E27FC236}">
              <a16:creationId xmlns:a16="http://schemas.microsoft.com/office/drawing/2014/main" id="{1772D741-37DF-4F22-94E6-D5957FFD4171}"/>
            </a:ext>
          </a:extLst>
        </xdr:cNvPr>
        <xdr:cNvCxnSpPr>
          <a:cxnSpLocks/>
          <a:stCxn id="222" idx="3"/>
          <a:endCxn id="201" idx="1"/>
        </xdr:cNvCxnSpPr>
      </xdr:nvCxnSpPr>
      <xdr:spPr>
        <a:xfrm>
          <a:off x="4833391" y="5017674"/>
          <a:ext cx="418056" cy="0"/>
        </a:xfrm>
        <a:prstGeom prst="straightConnector1">
          <a:avLst/>
        </a:prstGeom>
        <a:ln>
          <a:tailEnd type="triangle"/>
        </a:ln>
        <a:effectLst>
          <a:glow rad="50800">
            <a:schemeClr val="bg1"/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590095</xdr:colOff>
      <xdr:row>18</xdr:row>
      <xdr:rowOff>74898</xdr:rowOff>
    </xdr:from>
    <xdr:to>
      <xdr:col>8</xdr:col>
      <xdr:colOff>374645</xdr:colOff>
      <xdr:row>21</xdr:row>
      <xdr:rowOff>30643</xdr:rowOff>
    </xdr:to>
    <xdr:cxnSp macro="">
      <xdr:nvCxnSpPr>
        <xdr:cNvPr id="170" name="Straight Arrow Connector 169">
          <a:extLst>
            <a:ext uri="{FF2B5EF4-FFF2-40B4-BE49-F238E27FC236}">
              <a16:creationId xmlns:a16="http://schemas.microsoft.com/office/drawing/2014/main" id="{4FE85E53-EE3E-4CBA-AC68-BCEC58D574AB}"/>
            </a:ext>
          </a:extLst>
        </xdr:cNvPr>
        <xdr:cNvCxnSpPr>
          <a:cxnSpLocks/>
          <a:stCxn id="195" idx="3"/>
          <a:endCxn id="199" idx="1"/>
        </xdr:cNvCxnSpPr>
      </xdr:nvCxnSpPr>
      <xdr:spPr>
        <a:xfrm>
          <a:off x="3638095" y="3503898"/>
          <a:ext cx="1613350" cy="527245"/>
        </a:xfrm>
        <a:prstGeom prst="straightConnector1">
          <a:avLst/>
        </a:prstGeom>
        <a:ln>
          <a:tailEnd type="triangle"/>
        </a:ln>
        <a:effectLst>
          <a:glow rad="50800">
            <a:schemeClr val="bg1"/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75117</xdr:colOff>
      <xdr:row>23</xdr:row>
      <xdr:rowOff>114421</xdr:rowOff>
    </xdr:from>
    <xdr:to>
      <xdr:col>6</xdr:col>
      <xdr:colOff>398551</xdr:colOff>
      <xdr:row>23</xdr:row>
      <xdr:rowOff>114421</xdr:rowOff>
    </xdr:to>
    <xdr:cxnSp macro="">
      <xdr:nvCxnSpPr>
        <xdr:cNvPr id="171" name="Straight Arrow Connector 170">
          <a:extLst>
            <a:ext uri="{FF2B5EF4-FFF2-40B4-BE49-F238E27FC236}">
              <a16:creationId xmlns:a16="http://schemas.microsoft.com/office/drawing/2014/main" id="{1D490E1A-84B1-4900-96F1-287FB956B487}"/>
            </a:ext>
          </a:extLst>
        </xdr:cNvPr>
        <xdr:cNvCxnSpPr>
          <a:cxnSpLocks/>
          <a:stCxn id="189" idx="3"/>
          <a:endCxn id="221" idx="1"/>
        </xdr:cNvCxnSpPr>
      </xdr:nvCxnSpPr>
      <xdr:spPr>
        <a:xfrm>
          <a:off x="3732717" y="4495921"/>
          <a:ext cx="323434" cy="0"/>
        </a:xfrm>
        <a:prstGeom prst="straightConnector1">
          <a:avLst/>
        </a:prstGeom>
        <a:ln>
          <a:tailEnd type="triangle"/>
        </a:ln>
        <a:effectLst>
          <a:glow rad="50800">
            <a:schemeClr val="bg1"/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4399</xdr:colOff>
      <xdr:row>23</xdr:row>
      <xdr:rowOff>114421</xdr:rowOff>
    </xdr:from>
    <xdr:to>
      <xdr:col>4</xdr:col>
      <xdr:colOff>422455</xdr:colOff>
      <xdr:row>23</xdr:row>
      <xdr:rowOff>114421</xdr:rowOff>
    </xdr:to>
    <xdr:cxnSp macro="">
      <xdr:nvCxnSpPr>
        <xdr:cNvPr id="172" name="Straight Arrow Connector 171">
          <a:extLst>
            <a:ext uri="{FF2B5EF4-FFF2-40B4-BE49-F238E27FC236}">
              <a16:creationId xmlns:a16="http://schemas.microsoft.com/office/drawing/2014/main" id="{03596737-7B3F-4E4F-8C9B-7B9FF897798C}"/>
            </a:ext>
          </a:extLst>
        </xdr:cNvPr>
        <xdr:cNvCxnSpPr>
          <a:cxnSpLocks/>
          <a:stCxn id="183" idx="3"/>
          <a:endCxn id="189" idx="1"/>
        </xdr:cNvCxnSpPr>
      </xdr:nvCxnSpPr>
      <xdr:spPr>
        <a:xfrm>
          <a:off x="2442799" y="4495921"/>
          <a:ext cx="418056" cy="0"/>
        </a:xfrm>
        <a:prstGeom prst="straightConnector1">
          <a:avLst/>
        </a:prstGeom>
        <a:ln>
          <a:tailEnd type="triangle"/>
        </a:ln>
        <a:effectLst>
          <a:glow rad="50800">
            <a:schemeClr val="bg1"/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4399</xdr:colOff>
      <xdr:row>26</xdr:row>
      <xdr:rowOff>64674</xdr:rowOff>
    </xdr:from>
    <xdr:to>
      <xdr:col>6</xdr:col>
      <xdr:colOff>398551</xdr:colOff>
      <xdr:row>26</xdr:row>
      <xdr:rowOff>64674</xdr:rowOff>
    </xdr:to>
    <xdr:cxnSp macro="">
      <xdr:nvCxnSpPr>
        <xdr:cNvPr id="173" name="Straight Arrow Connector 172">
          <a:extLst>
            <a:ext uri="{FF2B5EF4-FFF2-40B4-BE49-F238E27FC236}">
              <a16:creationId xmlns:a16="http://schemas.microsoft.com/office/drawing/2014/main" id="{6FB9DA35-71B8-49BC-BC0D-968C1EAC8634}"/>
            </a:ext>
          </a:extLst>
        </xdr:cNvPr>
        <xdr:cNvCxnSpPr>
          <a:cxnSpLocks/>
          <a:stCxn id="184" idx="3"/>
          <a:endCxn id="222" idx="1"/>
        </xdr:cNvCxnSpPr>
      </xdr:nvCxnSpPr>
      <xdr:spPr>
        <a:xfrm>
          <a:off x="2442799" y="5017674"/>
          <a:ext cx="1613352" cy="0"/>
        </a:xfrm>
        <a:prstGeom prst="straightConnector1">
          <a:avLst/>
        </a:prstGeom>
        <a:ln>
          <a:tailEnd type="triangle"/>
        </a:ln>
        <a:effectLst>
          <a:glow rad="50800">
            <a:schemeClr val="bg1"/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75117</xdr:colOff>
      <xdr:row>34</xdr:row>
      <xdr:rowOff>105935</xdr:rowOff>
    </xdr:from>
    <xdr:to>
      <xdr:col>6</xdr:col>
      <xdr:colOff>398551</xdr:colOff>
      <xdr:row>34</xdr:row>
      <xdr:rowOff>105935</xdr:rowOff>
    </xdr:to>
    <xdr:cxnSp macro="">
      <xdr:nvCxnSpPr>
        <xdr:cNvPr id="174" name="Straight Arrow Connector 173">
          <a:extLst>
            <a:ext uri="{FF2B5EF4-FFF2-40B4-BE49-F238E27FC236}">
              <a16:creationId xmlns:a16="http://schemas.microsoft.com/office/drawing/2014/main" id="{AAB2CB0E-FA79-4B20-8673-84262CF4AAFA}"/>
            </a:ext>
          </a:extLst>
        </xdr:cNvPr>
        <xdr:cNvCxnSpPr>
          <a:cxnSpLocks/>
          <a:stCxn id="187" idx="3"/>
          <a:endCxn id="218" idx="1"/>
        </xdr:cNvCxnSpPr>
      </xdr:nvCxnSpPr>
      <xdr:spPr>
        <a:xfrm>
          <a:off x="3732717" y="6582935"/>
          <a:ext cx="323434" cy="0"/>
        </a:xfrm>
        <a:prstGeom prst="straightConnector1">
          <a:avLst/>
        </a:prstGeom>
        <a:ln>
          <a:tailEnd type="triangle"/>
        </a:ln>
        <a:effectLst>
          <a:glow rad="50800">
            <a:schemeClr val="bg1"/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4399</xdr:colOff>
      <xdr:row>29</xdr:row>
      <xdr:rowOff>14927</xdr:rowOff>
    </xdr:from>
    <xdr:to>
      <xdr:col>4</xdr:col>
      <xdr:colOff>422455</xdr:colOff>
      <xdr:row>31</xdr:row>
      <xdr:rowOff>155680</xdr:rowOff>
    </xdr:to>
    <xdr:cxnSp macro="">
      <xdr:nvCxnSpPr>
        <xdr:cNvPr id="175" name="Straight Arrow Connector 174">
          <a:extLst>
            <a:ext uri="{FF2B5EF4-FFF2-40B4-BE49-F238E27FC236}">
              <a16:creationId xmlns:a16="http://schemas.microsoft.com/office/drawing/2014/main" id="{C9DDA09D-B9A4-499C-9238-A4E8FC48ECC6}"/>
            </a:ext>
          </a:extLst>
        </xdr:cNvPr>
        <xdr:cNvCxnSpPr>
          <a:cxnSpLocks/>
          <a:stCxn id="181" idx="3"/>
          <a:endCxn id="188" idx="1"/>
        </xdr:cNvCxnSpPr>
      </xdr:nvCxnSpPr>
      <xdr:spPr>
        <a:xfrm flipV="1">
          <a:off x="2442799" y="5539427"/>
          <a:ext cx="418056" cy="521753"/>
        </a:xfrm>
        <a:prstGeom prst="straightConnector1">
          <a:avLst/>
        </a:prstGeom>
        <a:ln>
          <a:tailEnd type="triangle"/>
        </a:ln>
        <a:effectLst>
          <a:glow rad="50800">
            <a:schemeClr val="bg1"/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4399</xdr:colOff>
      <xdr:row>34</xdr:row>
      <xdr:rowOff>105935</xdr:rowOff>
    </xdr:from>
    <xdr:to>
      <xdr:col>4</xdr:col>
      <xdr:colOff>422455</xdr:colOff>
      <xdr:row>34</xdr:row>
      <xdr:rowOff>105935</xdr:rowOff>
    </xdr:to>
    <xdr:cxnSp macro="">
      <xdr:nvCxnSpPr>
        <xdr:cNvPr id="176" name="Straight Arrow Connector 175">
          <a:extLst>
            <a:ext uri="{FF2B5EF4-FFF2-40B4-BE49-F238E27FC236}">
              <a16:creationId xmlns:a16="http://schemas.microsoft.com/office/drawing/2014/main" id="{2891278F-10EA-44FA-9E27-EC34E5ABB892}"/>
            </a:ext>
          </a:extLst>
        </xdr:cNvPr>
        <xdr:cNvCxnSpPr>
          <a:cxnSpLocks/>
          <a:stCxn id="180" idx="3"/>
          <a:endCxn id="187" idx="1"/>
        </xdr:cNvCxnSpPr>
      </xdr:nvCxnSpPr>
      <xdr:spPr>
        <a:xfrm>
          <a:off x="2442799" y="6582935"/>
          <a:ext cx="418056" cy="0"/>
        </a:xfrm>
        <a:prstGeom prst="straightConnector1">
          <a:avLst/>
        </a:prstGeom>
        <a:ln>
          <a:tailEnd type="triangle"/>
        </a:ln>
        <a:effectLst>
          <a:glow rad="50800">
            <a:schemeClr val="bg1"/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75117</xdr:colOff>
      <xdr:row>29</xdr:row>
      <xdr:rowOff>14927</xdr:rowOff>
    </xdr:from>
    <xdr:to>
      <xdr:col>6</xdr:col>
      <xdr:colOff>398551</xdr:colOff>
      <xdr:row>29</xdr:row>
      <xdr:rowOff>14927</xdr:rowOff>
    </xdr:to>
    <xdr:cxnSp macro="">
      <xdr:nvCxnSpPr>
        <xdr:cNvPr id="177" name="Straight Arrow Connector 176">
          <a:extLst>
            <a:ext uri="{FF2B5EF4-FFF2-40B4-BE49-F238E27FC236}">
              <a16:creationId xmlns:a16="http://schemas.microsoft.com/office/drawing/2014/main" id="{3C88A7E6-8B1F-4601-9C79-CDCA338D0834}"/>
            </a:ext>
          </a:extLst>
        </xdr:cNvPr>
        <xdr:cNvCxnSpPr>
          <a:cxnSpLocks/>
          <a:stCxn id="188" idx="3"/>
          <a:endCxn id="220" idx="1"/>
        </xdr:cNvCxnSpPr>
      </xdr:nvCxnSpPr>
      <xdr:spPr>
        <a:xfrm>
          <a:off x="3732717" y="5539427"/>
          <a:ext cx="323434" cy="0"/>
        </a:xfrm>
        <a:prstGeom prst="straightConnector1">
          <a:avLst/>
        </a:prstGeom>
        <a:ln>
          <a:tailEnd type="triangle"/>
        </a:ln>
        <a:effectLst>
          <a:glow rad="50800">
            <a:schemeClr val="bg1"/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4399</xdr:colOff>
      <xdr:row>29</xdr:row>
      <xdr:rowOff>14927</xdr:rowOff>
    </xdr:from>
    <xdr:to>
      <xdr:col>4</xdr:col>
      <xdr:colOff>422455</xdr:colOff>
      <xdr:row>29</xdr:row>
      <xdr:rowOff>14927</xdr:rowOff>
    </xdr:to>
    <xdr:cxnSp macro="">
      <xdr:nvCxnSpPr>
        <xdr:cNvPr id="178" name="Straight Arrow Connector 177">
          <a:extLst>
            <a:ext uri="{FF2B5EF4-FFF2-40B4-BE49-F238E27FC236}">
              <a16:creationId xmlns:a16="http://schemas.microsoft.com/office/drawing/2014/main" id="{5F0CCA31-4A89-41E0-B4FB-808D38CBF465}"/>
            </a:ext>
          </a:extLst>
        </xdr:cNvPr>
        <xdr:cNvCxnSpPr>
          <a:cxnSpLocks/>
          <a:stCxn id="182" idx="3"/>
          <a:endCxn id="188" idx="1"/>
        </xdr:cNvCxnSpPr>
      </xdr:nvCxnSpPr>
      <xdr:spPr>
        <a:xfrm>
          <a:off x="2442799" y="5539427"/>
          <a:ext cx="418056" cy="0"/>
        </a:xfrm>
        <a:prstGeom prst="straightConnector1">
          <a:avLst/>
        </a:prstGeom>
        <a:ln>
          <a:tailEnd type="triangle"/>
        </a:ln>
        <a:effectLst>
          <a:glow rad="50800">
            <a:schemeClr val="bg1"/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11</xdr:row>
      <xdr:rowOff>182012</xdr:rowOff>
    </xdr:from>
    <xdr:to>
      <xdr:col>2</xdr:col>
      <xdr:colOff>167640</xdr:colOff>
      <xdr:row>13</xdr:row>
      <xdr:rowOff>166772</xdr:rowOff>
    </xdr:to>
    <xdr:sp macro="" textlink="">
      <xdr:nvSpPr>
        <xdr:cNvPr id="179" name="Rectangle 178">
          <a:extLst>
            <a:ext uri="{FF2B5EF4-FFF2-40B4-BE49-F238E27FC236}">
              <a16:creationId xmlns:a16="http://schemas.microsoft.com/office/drawing/2014/main" id="{6BBD1C19-2529-4B69-8D73-2042E82E241C}"/>
            </a:ext>
          </a:extLst>
        </xdr:cNvPr>
        <xdr:cNvSpPr/>
      </xdr:nvSpPr>
      <xdr:spPr>
        <a:xfrm>
          <a:off x="609600" y="2277512"/>
          <a:ext cx="777240" cy="365760"/>
        </a:xfrm>
        <a:prstGeom prst="rect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" tIns="0" rIns="45720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d-ID" sz="750" b="0" i="0">
              <a:solidFill>
                <a:srgbClr val="000000"/>
              </a:solidFill>
              <a:effectLst/>
              <a:latin typeface="Cambria" panose="02040503050406030204" pitchFamily="18" charset="0"/>
            </a:rPr>
            <a:t>Pengenalan Pemrograman</a:t>
          </a:r>
          <a:endParaRPr lang="id-ID" sz="750"/>
        </a:p>
      </xdr:txBody>
    </xdr:sp>
    <xdr:clientData/>
  </xdr:twoCellAnchor>
  <xdr:twoCellAnchor>
    <xdr:from>
      <xdr:col>2</xdr:col>
      <xdr:colOff>446359</xdr:colOff>
      <xdr:row>33</xdr:row>
      <xdr:rowOff>113555</xdr:rowOff>
    </xdr:from>
    <xdr:to>
      <xdr:col>4</xdr:col>
      <xdr:colOff>4399</xdr:colOff>
      <xdr:row>35</xdr:row>
      <xdr:rowOff>98315</xdr:rowOff>
    </xdr:to>
    <xdr:sp macro="" textlink="">
      <xdr:nvSpPr>
        <xdr:cNvPr id="180" name="Rectangle 179">
          <a:extLst>
            <a:ext uri="{FF2B5EF4-FFF2-40B4-BE49-F238E27FC236}">
              <a16:creationId xmlns:a16="http://schemas.microsoft.com/office/drawing/2014/main" id="{EB00B3A6-C6D8-4C87-94E3-CB40BF8B0C90}"/>
            </a:ext>
          </a:extLst>
        </xdr:cNvPr>
        <xdr:cNvSpPr/>
      </xdr:nvSpPr>
      <xdr:spPr>
        <a:xfrm>
          <a:off x="1665559" y="6400055"/>
          <a:ext cx="777240" cy="36576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" tIns="0" rIns="45720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d-ID" sz="750" b="0" i="1">
              <a:solidFill>
                <a:srgbClr val="000000"/>
              </a:solidFill>
              <a:effectLst/>
              <a:latin typeface="Cambria" panose="02040503050406030204" pitchFamily="18" charset="0"/>
            </a:rPr>
            <a:t>Harmony, Excellence, Integrity</a:t>
          </a:r>
          <a:endParaRPr lang="id-ID" sz="750"/>
        </a:p>
      </xdr:txBody>
    </xdr:sp>
    <xdr:clientData/>
  </xdr:twoCellAnchor>
  <xdr:twoCellAnchor>
    <xdr:from>
      <xdr:col>2</xdr:col>
      <xdr:colOff>446359</xdr:colOff>
      <xdr:row>30</xdr:row>
      <xdr:rowOff>163300</xdr:rowOff>
    </xdr:from>
    <xdr:to>
      <xdr:col>4</xdr:col>
      <xdr:colOff>4399</xdr:colOff>
      <xdr:row>32</xdr:row>
      <xdr:rowOff>148060</xdr:rowOff>
    </xdr:to>
    <xdr:sp macro="" textlink="">
      <xdr:nvSpPr>
        <xdr:cNvPr id="181" name="Rectangle 180">
          <a:extLst>
            <a:ext uri="{FF2B5EF4-FFF2-40B4-BE49-F238E27FC236}">
              <a16:creationId xmlns:a16="http://schemas.microsoft.com/office/drawing/2014/main" id="{7D8E978F-3B04-441F-8E90-7184112A90AD}"/>
            </a:ext>
          </a:extLst>
        </xdr:cNvPr>
        <xdr:cNvSpPr/>
      </xdr:nvSpPr>
      <xdr:spPr>
        <a:xfrm>
          <a:off x="1665559" y="5878300"/>
          <a:ext cx="777240" cy="36576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" tIns="0" rIns="45720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d-ID" sz="750" b="0" i="0">
              <a:solidFill>
                <a:srgbClr val="000000"/>
              </a:solidFill>
              <a:effectLst/>
              <a:latin typeface="Cambria" panose="02040503050406030204" pitchFamily="18" charset="0"/>
            </a:rPr>
            <a:t>Agama</a:t>
          </a:r>
          <a:endParaRPr lang="id-ID" sz="750"/>
        </a:p>
      </xdr:txBody>
    </xdr:sp>
    <xdr:clientData/>
  </xdr:twoCellAnchor>
  <xdr:twoCellAnchor>
    <xdr:from>
      <xdr:col>2</xdr:col>
      <xdr:colOff>446359</xdr:colOff>
      <xdr:row>28</xdr:row>
      <xdr:rowOff>22547</xdr:rowOff>
    </xdr:from>
    <xdr:to>
      <xdr:col>4</xdr:col>
      <xdr:colOff>4399</xdr:colOff>
      <xdr:row>30</xdr:row>
      <xdr:rowOff>7307</xdr:rowOff>
    </xdr:to>
    <xdr:sp macro="" textlink="">
      <xdr:nvSpPr>
        <xdr:cNvPr id="182" name="Rectangle 181">
          <a:extLst>
            <a:ext uri="{FF2B5EF4-FFF2-40B4-BE49-F238E27FC236}">
              <a16:creationId xmlns:a16="http://schemas.microsoft.com/office/drawing/2014/main" id="{F41E5FD2-DB70-4133-AF6E-633F5297E659}"/>
            </a:ext>
          </a:extLst>
        </xdr:cNvPr>
        <xdr:cNvSpPr/>
      </xdr:nvSpPr>
      <xdr:spPr>
        <a:xfrm>
          <a:off x="1665559" y="5356547"/>
          <a:ext cx="777240" cy="36576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" tIns="0" rIns="45720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d-ID" sz="750" b="0" i="0">
              <a:solidFill>
                <a:srgbClr val="000000"/>
              </a:solidFill>
              <a:effectLst/>
              <a:latin typeface="Cambria" panose="02040503050406030204" pitchFamily="18" charset="0"/>
            </a:rPr>
            <a:t>Pancasila</a:t>
          </a:r>
          <a:endParaRPr lang="id-ID" sz="750"/>
        </a:p>
      </xdr:txBody>
    </xdr:sp>
    <xdr:clientData/>
  </xdr:twoCellAnchor>
  <xdr:twoCellAnchor>
    <xdr:from>
      <xdr:col>2</xdr:col>
      <xdr:colOff>446359</xdr:colOff>
      <xdr:row>22</xdr:row>
      <xdr:rowOff>122041</xdr:rowOff>
    </xdr:from>
    <xdr:to>
      <xdr:col>4</xdr:col>
      <xdr:colOff>4399</xdr:colOff>
      <xdr:row>24</xdr:row>
      <xdr:rowOff>106801</xdr:rowOff>
    </xdr:to>
    <xdr:sp macro="" textlink="">
      <xdr:nvSpPr>
        <xdr:cNvPr id="183" name="Rectangle 182">
          <a:extLst>
            <a:ext uri="{FF2B5EF4-FFF2-40B4-BE49-F238E27FC236}">
              <a16:creationId xmlns:a16="http://schemas.microsoft.com/office/drawing/2014/main" id="{4A87E772-2F3F-4FEA-918E-BB69C856DDE9}"/>
            </a:ext>
          </a:extLst>
        </xdr:cNvPr>
        <xdr:cNvSpPr/>
      </xdr:nvSpPr>
      <xdr:spPr>
        <a:xfrm>
          <a:off x="1665559" y="4313041"/>
          <a:ext cx="777240" cy="36576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" tIns="0" rIns="45720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d-ID" sz="750" b="0" i="0">
              <a:solidFill>
                <a:srgbClr val="000000"/>
              </a:solidFill>
              <a:effectLst/>
              <a:latin typeface="Cambria" panose="02040503050406030204" pitchFamily="18" charset="0"/>
            </a:rPr>
            <a:t>Bahasa Inggris: Dasar</a:t>
          </a:r>
          <a:endParaRPr lang="id-ID" sz="750"/>
        </a:p>
      </xdr:txBody>
    </xdr:sp>
    <xdr:clientData/>
  </xdr:twoCellAnchor>
  <xdr:twoCellAnchor>
    <xdr:from>
      <xdr:col>2</xdr:col>
      <xdr:colOff>446359</xdr:colOff>
      <xdr:row>25</xdr:row>
      <xdr:rowOff>72294</xdr:rowOff>
    </xdr:from>
    <xdr:to>
      <xdr:col>4</xdr:col>
      <xdr:colOff>4399</xdr:colOff>
      <xdr:row>27</xdr:row>
      <xdr:rowOff>57054</xdr:rowOff>
    </xdr:to>
    <xdr:sp macro="" textlink="">
      <xdr:nvSpPr>
        <xdr:cNvPr id="184" name="Rectangle 183">
          <a:extLst>
            <a:ext uri="{FF2B5EF4-FFF2-40B4-BE49-F238E27FC236}">
              <a16:creationId xmlns:a16="http://schemas.microsoft.com/office/drawing/2014/main" id="{F85DEE3C-F8BB-45B1-9172-1EDAE369B045}"/>
            </a:ext>
          </a:extLst>
        </xdr:cNvPr>
        <xdr:cNvSpPr/>
      </xdr:nvSpPr>
      <xdr:spPr>
        <a:xfrm>
          <a:off x="1665559" y="4834794"/>
          <a:ext cx="777240" cy="36576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" tIns="0" rIns="45720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d-ID" sz="750" b="0" i="0">
              <a:solidFill>
                <a:srgbClr val="000000"/>
              </a:solidFill>
              <a:effectLst/>
              <a:latin typeface="Cambria" panose="02040503050406030204" pitchFamily="18" charset="0"/>
            </a:rPr>
            <a:t>Bahasa Indonesia</a:t>
          </a:r>
          <a:endParaRPr lang="id-ID" sz="750"/>
        </a:p>
      </xdr:txBody>
    </xdr:sp>
    <xdr:clientData/>
  </xdr:twoCellAnchor>
  <xdr:twoCellAnchor>
    <xdr:from>
      <xdr:col>2</xdr:col>
      <xdr:colOff>446359</xdr:colOff>
      <xdr:row>9</xdr:row>
      <xdr:rowOff>41259</xdr:rowOff>
    </xdr:from>
    <xdr:to>
      <xdr:col>4</xdr:col>
      <xdr:colOff>4399</xdr:colOff>
      <xdr:row>11</xdr:row>
      <xdr:rowOff>26019</xdr:rowOff>
    </xdr:to>
    <xdr:sp macro="" textlink="">
      <xdr:nvSpPr>
        <xdr:cNvPr id="185" name="Rectangle 184">
          <a:extLst>
            <a:ext uri="{FF2B5EF4-FFF2-40B4-BE49-F238E27FC236}">
              <a16:creationId xmlns:a16="http://schemas.microsoft.com/office/drawing/2014/main" id="{A5BB9B5C-1636-4F71-87FD-79741F60B9BC}"/>
            </a:ext>
          </a:extLst>
        </xdr:cNvPr>
        <xdr:cNvSpPr/>
      </xdr:nvSpPr>
      <xdr:spPr>
        <a:xfrm>
          <a:off x="1665559" y="1755759"/>
          <a:ext cx="777240" cy="36576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" tIns="0" rIns="45720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d-ID" sz="750" b="0" i="0">
              <a:solidFill>
                <a:srgbClr val="000000"/>
              </a:solidFill>
              <a:effectLst/>
              <a:latin typeface="Cambria" panose="02040503050406030204" pitchFamily="18" charset="0"/>
            </a:rPr>
            <a:t>Statistika</a:t>
          </a:r>
          <a:endParaRPr lang="id-ID" sz="750"/>
        </a:p>
      </xdr:txBody>
    </xdr:sp>
    <xdr:clientData/>
  </xdr:twoCellAnchor>
  <xdr:twoCellAnchor>
    <xdr:from>
      <xdr:col>2</xdr:col>
      <xdr:colOff>446359</xdr:colOff>
      <xdr:row>11</xdr:row>
      <xdr:rowOff>182012</xdr:rowOff>
    </xdr:from>
    <xdr:to>
      <xdr:col>4</xdr:col>
      <xdr:colOff>4399</xdr:colOff>
      <xdr:row>13</xdr:row>
      <xdr:rowOff>166772</xdr:rowOff>
    </xdr:to>
    <xdr:sp macro="" textlink="">
      <xdr:nvSpPr>
        <xdr:cNvPr id="186" name="Rectangle 185">
          <a:extLst>
            <a:ext uri="{FF2B5EF4-FFF2-40B4-BE49-F238E27FC236}">
              <a16:creationId xmlns:a16="http://schemas.microsoft.com/office/drawing/2014/main" id="{975273E8-8721-4077-BBD3-21967B60BF39}"/>
            </a:ext>
          </a:extLst>
        </xdr:cNvPr>
        <xdr:cNvSpPr/>
      </xdr:nvSpPr>
      <xdr:spPr>
        <a:xfrm>
          <a:off x="1665559" y="2277512"/>
          <a:ext cx="777240" cy="3657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" tIns="0" rIns="45720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d-ID" sz="750" b="0" i="0">
              <a:solidFill>
                <a:srgbClr val="000000"/>
              </a:solidFill>
              <a:effectLst/>
              <a:latin typeface="Cambria" panose="02040503050406030204" pitchFamily="18" charset="0"/>
            </a:rPr>
            <a:t>Algoritma Pemrograman</a:t>
          </a:r>
          <a:endParaRPr lang="id-ID" sz="750"/>
        </a:p>
      </xdr:txBody>
    </xdr:sp>
    <xdr:clientData/>
  </xdr:twoCellAnchor>
  <xdr:twoCellAnchor>
    <xdr:from>
      <xdr:col>4</xdr:col>
      <xdr:colOff>422455</xdr:colOff>
      <xdr:row>33</xdr:row>
      <xdr:rowOff>113555</xdr:rowOff>
    </xdr:from>
    <xdr:to>
      <xdr:col>6</xdr:col>
      <xdr:colOff>75117</xdr:colOff>
      <xdr:row>35</xdr:row>
      <xdr:rowOff>98315</xdr:rowOff>
    </xdr:to>
    <xdr:sp macro="" textlink="">
      <xdr:nvSpPr>
        <xdr:cNvPr id="187" name="Rectangle 186">
          <a:extLst>
            <a:ext uri="{FF2B5EF4-FFF2-40B4-BE49-F238E27FC236}">
              <a16:creationId xmlns:a16="http://schemas.microsoft.com/office/drawing/2014/main" id="{96415CB8-C093-4F7F-9F9E-F02334F9A18C}"/>
            </a:ext>
          </a:extLst>
        </xdr:cNvPr>
        <xdr:cNvSpPr/>
      </xdr:nvSpPr>
      <xdr:spPr>
        <a:xfrm>
          <a:off x="2860855" y="6400055"/>
          <a:ext cx="871862" cy="36576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" tIns="0" rIns="45720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d-ID" sz="750" b="0" i="0">
              <a:solidFill>
                <a:srgbClr val="000000"/>
              </a:solidFill>
              <a:effectLst/>
              <a:latin typeface="Cambria" panose="02040503050406030204" pitchFamily="18" charset="0"/>
            </a:rPr>
            <a:t>Wawasan Global TIK</a:t>
          </a:r>
          <a:endParaRPr lang="id-ID" sz="750"/>
        </a:p>
      </xdr:txBody>
    </xdr:sp>
    <xdr:clientData/>
  </xdr:twoCellAnchor>
  <xdr:twoCellAnchor>
    <xdr:from>
      <xdr:col>4</xdr:col>
      <xdr:colOff>422455</xdr:colOff>
      <xdr:row>28</xdr:row>
      <xdr:rowOff>22547</xdr:rowOff>
    </xdr:from>
    <xdr:to>
      <xdr:col>6</xdr:col>
      <xdr:colOff>75117</xdr:colOff>
      <xdr:row>30</xdr:row>
      <xdr:rowOff>7307</xdr:rowOff>
    </xdr:to>
    <xdr:sp macro="" textlink="">
      <xdr:nvSpPr>
        <xdr:cNvPr id="188" name="Rectangle 187">
          <a:extLst>
            <a:ext uri="{FF2B5EF4-FFF2-40B4-BE49-F238E27FC236}">
              <a16:creationId xmlns:a16="http://schemas.microsoft.com/office/drawing/2014/main" id="{8FF208A3-A66B-4A55-AE4E-21B47188E973}"/>
            </a:ext>
          </a:extLst>
        </xdr:cNvPr>
        <xdr:cNvSpPr/>
      </xdr:nvSpPr>
      <xdr:spPr>
        <a:xfrm>
          <a:off x="2860855" y="5356547"/>
          <a:ext cx="871862" cy="36576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" tIns="0" rIns="45720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d-ID" sz="750" b="0" i="0">
              <a:solidFill>
                <a:srgbClr val="000000"/>
              </a:solidFill>
              <a:effectLst/>
              <a:latin typeface="Cambria" panose="02040503050406030204" pitchFamily="18" charset="0"/>
            </a:rPr>
            <a:t>Kewarganegaraan</a:t>
          </a:r>
          <a:endParaRPr lang="id-ID" sz="750"/>
        </a:p>
      </xdr:txBody>
    </xdr:sp>
    <xdr:clientData/>
  </xdr:twoCellAnchor>
  <xdr:twoCellAnchor>
    <xdr:from>
      <xdr:col>4</xdr:col>
      <xdr:colOff>422455</xdr:colOff>
      <xdr:row>22</xdr:row>
      <xdr:rowOff>122041</xdr:rowOff>
    </xdr:from>
    <xdr:to>
      <xdr:col>6</xdr:col>
      <xdr:colOff>75117</xdr:colOff>
      <xdr:row>24</xdr:row>
      <xdr:rowOff>106801</xdr:rowOff>
    </xdr:to>
    <xdr:sp macro="" textlink="">
      <xdr:nvSpPr>
        <xdr:cNvPr id="189" name="Rectangle 188">
          <a:extLst>
            <a:ext uri="{FF2B5EF4-FFF2-40B4-BE49-F238E27FC236}">
              <a16:creationId xmlns:a16="http://schemas.microsoft.com/office/drawing/2014/main" id="{4D13533F-630E-4C51-92FE-7BBF5CE6D67A}"/>
            </a:ext>
          </a:extLst>
        </xdr:cNvPr>
        <xdr:cNvSpPr/>
      </xdr:nvSpPr>
      <xdr:spPr>
        <a:xfrm>
          <a:off x="2860855" y="4313041"/>
          <a:ext cx="871862" cy="36576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" tIns="0" rIns="45720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d-ID" sz="750" b="0" i="0">
              <a:solidFill>
                <a:srgbClr val="000000"/>
              </a:solidFill>
              <a:effectLst/>
              <a:latin typeface="Cambria" panose="02040503050406030204" pitchFamily="18" charset="0"/>
            </a:rPr>
            <a:t>Bahasa Inggris untuk Presentasi</a:t>
          </a:r>
          <a:endParaRPr lang="id-ID" sz="750"/>
        </a:p>
      </xdr:txBody>
    </xdr:sp>
    <xdr:clientData/>
  </xdr:twoCellAnchor>
  <xdr:twoCellAnchor>
    <xdr:from>
      <xdr:col>4</xdr:col>
      <xdr:colOff>422455</xdr:colOff>
      <xdr:row>3</xdr:row>
      <xdr:rowOff>140753</xdr:rowOff>
    </xdr:from>
    <xdr:to>
      <xdr:col>5</xdr:col>
      <xdr:colOff>590095</xdr:colOff>
      <xdr:row>5</xdr:row>
      <xdr:rowOff>125513</xdr:rowOff>
    </xdr:to>
    <xdr:sp macro="" textlink="">
      <xdr:nvSpPr>
        <xdr:cNvPr id="190" name="Rectangle 189">
          <a:extLst>
            <a:ext uri="{FF2B5EF4-FFF2-40B4-BE49-F238E27FC236}">
              <a16:creationId xmlns:a16="http://schemas.microsoft.com/office/drawing/2014/main" id="{902DD5EA-435E-427B-9F9A-163DD4300CE5}"/>
            </a:ext>
          </a:extLst>
        </xdr:cNvPr>
        <xdr:cNvSpPr/>
      </xdr:nvSpPr>
      <xdr:spPr>
        <a:xfrm>
          <a:off x="2860855" y="712253"/>
          <a:ext cx="777240" cy="3657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" tIns="0" rIns="45720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d-ID" sz="750" b="0" i="0">
              <a:solidFill>
                <a:srgbClr val="000000"/>
              </a:solidFill>
              <a:effectLst/>
              <a:latin typeface="Cambria" panose="02040503050406030204" pitchFamily="18" charset="0"/>
            </a:rPr>
            <a:t>Logika </a:t>
          </a:r>
          <a:r>
            <a:rPr lang="en-US" sz="750" b="0" i="0">
              <a:solidFill>
                <a:srgbClr val="000000"/>
              </a:solidFill>
              <a:effectLst/>
              <a:latin typeface="Cambria" panose="02040503050406030204" pitchFamily="18" charset="0"/>
            </a:rPr>
            <a:t>M</a:t>
          </a:r>
          <a:r>
            <a:rPr lang="id-ID" sz="750" b="0" i="0">
              <a:solidFill>
                <a:srgbClr val="000000"/>
              </a:solidFill>
              <a:effectLst/>
              <a:latin typeface="Cambria" panose="02040503050406030204" pitchFamily="18" charset="0"/>
            </a:rPr>
            <a:t>atematika</a:t>
          </a:r>
          <a:endParaRPr lang="id-ID" sz="750"/>
        </a:p>
      </xdr:txBody>
    </xdr:sp>
    <xdr:clientData/>
  </xdr:twoCellAnchor>
  <xdr:twoCellAnchor>
    <xdr:from>
      <xdr:col>4</xdr:col>
      <xdr:colOff>422455</xdr:colOff>
      <xdr:row>14</xdr:row>
      <xdr:rowOff>132265</xdr:rowOff>
    </xdr:from>
    <xdr:to>
      <xdr:col>5</xdr:col>
      <xdr:colOff>590095</xdr:colOff>
      <xdr:row>16</xdr:row>
      <xdr:rowOff>117025</xdr:rowOff>
    </xdr:to>
    <xdr:sp macro="" textlink="">
      <xdr:nvSpPr>
        <xdr:cNvPr id="191" name="Rectangle 190">
          <a:extLst>
            <a:ext uri="{FF2B5EF4-FFF2-40B4-BE49-F238E27FC236}">
              <a16:creationId xmlns:a16="http://schemas.microsoft.com/office/drawing/2014/main" id="{5408DE27-9720-4ABE-8763-0861AE451F68}"/>
            </a:ext>
          </a:extLst>
        </xdr:cNvPr>
        <xdr:cNvSpPr/>
      </xdr:nvSpPr>
      <xdr:spPr>
        <a:xfrm>
          <a:off x="2860855" y="2799265"/>
          <a:ext cx="777240" cy="3657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" tIns="0" rIns="45720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d-ID" sz="750" b="0" i="0">
              <a:solidFill>
                <a:srgbClr val="000000"/>
              </a:solidFill>
              <a:effectLst/>
              <a:latin typeface="Cambria" panose="02040503050406030204" pitchFamily="18" charset="0"/>
            </a:rPr>
            <a:t>Teori Bahasa dan Automata</a:t>
          </a:r>
          <a:endParaRPr lang="id-ID" sz="750"/>
        </a:p>
      </xdr:txBody>
    </xdr:sp>
    <xdr:clientData/>
  </xdr:twoCellAnchor>
  <xdr:twoCellAnchor>
    <xdr:from>
      <xdr:col>4</xdr:col>
      <xdr:colOff>422455</xdr:colOff>
      <xdr:row>9</xdr:row>
      <xdr:rowOff>41259</xdr:rowOff>
    </xdr:from>
    <xdr:to>
      <xdr:col>5</xdr:col>
      <xdr:colOff>590095</xdr:colOff>
      <xdr:row>11</xdr:row>
      <xdr:rowOff>26019</xdr:rowOff>
    </xdr:to>
    <xdr:sp macro="" textlink="">
      <xdr:nvSpPr>
        <xdr:cNvPr id="192" name="Rectangle 191">
          <a:extLst>
            <a:ext uri="{FF2B5EF4-FFF2-40B4-BE49-F238E27FC236}">
              <a16:creationId xmlns:a16="http://schemas.microsoft.com/office/drawing/2014/main" id="{C3FD2A83-F111-4B71-95DB-D9F39B2E12B4}"/>
            </a:ext>
          </a:extLst>
        </xdr:cNvPr>
        <xdr:cNvSpPr/>
      </xdr:nvSpPr>
      <xdr:spPr>
        <a:xfrm>
          <a:off x="2860855" y="1755759"/>
          <a:ext cx="777240" cy="3657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" tIns="0" rIns="45720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d-ID" sz="750" b="0" i="0">
              <a:solidFill>
                <a:srgbClr val="000000"/>
              </a:solidFill>
              <a:effectLst/>
              <a:latin typeface="Cambria" panose="02040503050406030204" pitchFamily="18" charset="0"/>
            </a:rPr>
            <a:t>Teori Peluang</a:t>
          </a:r>
          <a:endParaRPr lang="id-ID" sz="750"/>
        </a:p>
      </xdr:txBody>
    </xdr:sp>
    <xdr:clientData/>
  </xdr:twoCellAnchor>
  <xdr:twoCellAnchor>
    <xdr:from>
      <xdr:col>4</xdr:col>
      <xdr:colOff>422455</xdr:colOff>
      <xdr:row>6</xdr:row>
      <xdr:rowOff>91006</xdr:rowOff>
    </xdr:from>
    <xdr:to>
      <xdr:col>5</xdr:col>
      <xdr:colOff>590095</xdr:colOff>
      <xdr:row>8</xdr:row>
      <xdr:rowOff>75766</xdr:rowOff>
    </xdr:to>
    <xdr:sp macro="" textlink="">
      <xdr:nvSpPr>
        <xdr:cNvPr id="193" name="Rectangle 192">
          <a:extLst>
            <a:ext uri="{FF2B5EF4-FFF2-40B4-BE49-F238E27FC236}">
              <a16:creationId xmlns:a16="http://schemas.microsoft.com/office/drawing/2014/main" id="{5BC386F1-3D81-49DF-BAA0-C080E92DAE5C}"/>
            </a:ext>
          </a:extLst>
        </xdr:cNvPr>
        <xdr:cNvSpPr/>
      </xdr:nvSpPr>
      <xdr:spPr>
        <a:xfrm>
          <a:off x="2860855" y="1234006"/>
          <a:ext cx="777240" cy="36576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" tIns="0" rIns="45720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d-ID" sz="750" b="0" i="0">
              <a:solidFill>
                <a:srgbClr val="000000"/>
              </a:solidFill>
              <a:effectLst/>
              <a:latin typeface="Cambria" panose="02040503050406030204" pitchFamily="18" charset="0"/>
            </a:rPr>
            <a:t>Matematika Diskrit</a:t>
          </a:r>
          <a:endParaRPr lang="id-ID" sz="750"/>
        </a:p>
      </xdr:txBody>
    </xdr:sp>
    <xdr:clientData/>
  </xdr:twoCellAnchor>
  <xdr:twoCellAnchor>
    <xdr:from>
      <xdr:col>4</xdr:col>
      <xdr:colOff>422455</xdr:colOff>
      <xdr:row>11</xdr:row>
      <xdr:rowOff>182012</xdr:rowOff>
    </xdr:from>
    <xdr:to>
      <xdr:col>5</xdr:col>
      <xdr:colOff>590095</xdr:colOff>
      <xdr:row>13</xdr:row>
      <xdr:rowOff>166772</xdr:rowOff>
    </xdr:to>
    <xdr:sp macro="" textlink="">
      <xdr:nvSpPr>
        <xdr:cNvPr id="194" name="Rectangle 193">
          <a:extLst>
            <a:ext uri="{FF2B5EF4-FFF2-40B4-BE49-F238E27FC236}">
              <a16:creationId xmlns:a16="http://schemas.microsoft.com/office/drawing/2014/main" id="{EF04CDA6-BA39-42F9-9D7B-6E4EB45B1831}"/>
            </a:ext>
          </a:extLst>
        </xdr:cNvPr>
        <xdr:cNvSpPr/>
      </xdr:nvSpPr>
      <xdr:spPr>
        <a:xfrm>
          <a:off x="2860855" y="2277512"/>
          <a:ext cx="777240" cy="3657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" tIns="0" rIns="45720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d-ID" sz="750">
              <a:solidFill>
                <a:srgbClr val="000000"/>
              </a:solidFill>
              <a:latin typeface="Cambria" panose="02040503050406030204" pitchFamily="18" charset="0"/>
            </a:rPr>
            <a:t>Struktur Data</a:t>
          </a:r>
        </a:p>
      </xdr:txBody>
    </xdr:sp>
    <xdr:clientData/>
  </xdr:twoCellAnchor>
  <xdr:twoCellAnchor>
    <xdr:from>
      <xdr:col>4</xdr:col>
      <xdr:colOff>422455</xdr:colOff>
      <xdr:row>17</xdr:row>
      <xdr:rowOff>82518</xdr:rowOff>
    </xdr:from>
    <xdr:to>
      <xdr:col>5</xdr:col>
      <xdr:colOff>590095</xdr:colOff>
      <xdr:row>19</xdr:row>
      <xdr:rowOff>67278</xdr:rowOff>
    </xdr:to>
    <xdr:sp macro="" textlink="">
      <xdr:nvSpPr>
        <xdr:cNvPr id="195" name="Rectangle 194">
          <a:extLst>
            <a:ext uri="{FF2B5EF4-FFF2-40B4-BE49-F238E27FC236}">
              <a16:creationId xmlns:a16="http://schemas.microsoft.com/office/drawing/2014/main" id="{C8C23997-9D50-4C23-8965-9858C7FD2976}"/>
            </a:ext>
          </a:extLst>
        </xdr:cNvPr>
        <xdr:cNvSpPr/>
      </xdr:nvSpPr>
      <xdr:spPr>
        <a:xfrm>
          <a:off x="2860855" y="3321018"/>
          <a:ext cx="777240" cy="3657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" tIns="0" rIns="45720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d-ID" sz="750" b="0" i="0">
              <a:solidFill>
                <a:srgbClr val="000000"/>
              </a:solidFill>
              <a:effectLst/>
              <a:latin typeface="Cambria" panose="02040503050406030204" pitchFamily="18" charset="0"/>
            </a:rPr>
            <a:t>Kalkulus</a:t>
          </a:r>
          <a:endParaRPr lang="id-ID" sz="750"/>
        </a:p>
      </xdr:txBody>
    </xdr:sp>
    <xdr:clientData/>
  </xdr:twoCellAnchor>
  <xdr:twoCellAnchor>
    <xdr:from>
      <xdr:col>6</xdr:col>
      <xdr:colOff>398551</xdr:colOff>
      <xdr:row>14</xdr:row>
      <xdr:rowOff>132265</xdr:rowOff>
    </xdr:from>
    <xdr:to>
      <xdr:col>7</xdr:col>
      <xdr:colOff>566191</xdr:colOff>
      <xdr:row>16</xdr:row>
      <xdr:rowOff>117025</xdr:rowOff>
    </xdr:to>
    <xdr:sp macro="" textlink="">
      <xdr:nvSpPr>
        <xdr:cNvPr id="196" name="Rectangle 195">
          <a:extLst>
            <a:ext uri="{FF2B5EF4-FFF2-40B4-BE49-F238E27FC236}">
              <a16:creationId xmlns:a16="http://schemas.microsoft.com/office/drawing/2014/main" id="{6D1665E1-DEB0-4906-99DC-685D5A014882}"/>
            </a:ext>
          </a:extLst>
        </xdr:cNvPr>
        <xdr:cNvSpPr/>
      </xdr:nvSpPr>
      <xdr:spPr>
        <a:xfrm>
          <a:off x="4056151" y="2799265"/>
          <a:ext cx="777240" cy="3657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" tIns="0" rIns="45720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d-ID" sz="750" b="0" i="0">
              <a:solidFill>
                <a:srgbClr val="000000"/>
              </a:solidFill>
              <a:effectLst/>
              <a:latin typeface="Cambria" panose="02040503050406030204" pitchFamily="18" charset="0"/>
            </a:rPr>
            <a:t>Strategi Algoritma</a:t>
          </a:r>
          <a:endParaRPr lang="id-ID" sz="750"/>
        </a:p>
      </xdr:txBody>
    </xdr:sp>
    <xdr:clientData/>
  </xdr:twoCellAnchor>
  <xdr:twoCellAnchor>
    <xdr:from>
      <xdr:col>6</xdr:col>
      <xdr:colOff>398551</xdr:colOff>
      <xdr:row>1</xdr:row>
      <xdr:rowOff>0</xdr:rowOff>
    </xdr:from>
    <xdr:to>
      <xdr:col>7</xdr:col>
      <xdr:colOff>566191</xdr:colOff>
      <xdr:row>2</xdr:row>
      <xdr:rowOff>175260</xdr:rowOff>
    </xdr:to>
    <xdr:sp macro="" textlink="">
      <xdr:nvSpPr>
        <xdr:cNvPr id="197" name="Rectangle 196">
          <a:extLst>
            <a:ext uri="{FF2B5EF4-FFF2-40B4-BE49-F238E27FC236}">
              <a16:creationId xmlns:a16="http://schemas.microsoft.com/office/drawing/2014/main" id="{3A08E248-D259-4BCB-9DEF-8C90E2499E60}"/>
            </a:ext>
          </a:extLst>
        </xdr:cNvPr>
        <xdr:cNvSpPr/>
      </xdr:nvSpPr>
      <xdr:spPr>
        <a:xfrm>
          <a:off x="4056151" y="190500"/>
          <a:ext cx="777240" cy="3657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" tIns="0" rIns="45720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d-ID" sz="750" b="0" i="0">
              <a:solidFill>
                <a:srgbClr val="000000"/>
              </a:solidFill>
              <a:effectLst/>
              <a:latin typeface="Cambria" panose="02040503050406030204" pitchFamily="18" charset="0"/>
            </a:rPr>
            <a:t>Pemodelan Basis Data</a:t>
          </a:r>
          <a:endParaRPr lang="id-ID" sz="750"/>
        </a:p>
      </xdr:txBody>
    </xdr:sp>
    <xdr:clientData/>
  </xdr:twoCellAnchor>
  <xdr:twoCellAnchor>
    <xdr:from>
      <xdr:col>8</xdr:col>
      <xdr:colOff>374647</xdr:colOff>
      <xdr:row>28</xdr:row>
      <xdr:rowOff>22547</xdr:rowOff>
    </xdr:from>
    <xdr:to>
      <xdr:col>10</xdr:col>
      <xdr:colOff>27309</xdr:colOff>
      <xdr:row>30</xdr:row>
      <xdr:rowOff>7307</xdr:rowOff>
    </xdr:to>
    <xdr:sp macro="" textlink="">
      <xdr:nvSpPr>
        <xdr:cNvPr id="198" name="Rectangle 197">
          <a:extLst>
            <a:ext uri="{FF2B5EF4-FFF2-40B4-BE49-F238E27FC236}">
              <a16:creationId xmlns:a16="http://schemas.microsoft.com/office/drawing/2014/main" id="{63EC9EA8-3F2F-4034-AD83-D40DCA7C5AFF}"/>
            </a:ext>
          </a:extLst>
        </xdr:cNvPr>
        <xdr:cNvSpPr/>
      </xdr:nvSpPr>
      <xdr:spPr>
        <a:xfrm>
          <a:off x="5251447" y="5356547"/>
          <a:ext cx="871862" cy="36576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" tIns="0" rIns="45720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d-ID" sz="750" b="0" i="0">
              <a:solidFill>
                <a:srgbClr val="000000"/>
              </a:solidFill>
              <a:effectLst/>
              <a:latin typeface="Cambria" panose="02040503050406030204" pitchFamily="18" charset="0"/>
            </a:rPr>
            <a:t>Kerja Praktik</a:t>
          </a:r>
          <a:endParaRPr lang="id-ID" sz="750"/>
        </a:p>
      </xdr:txBody>
    </xdr:sp>
    <xdr:clientData/>
  </xdr:twoCellAnchor>
  <xdr:twoCellAnchor>
    <xdr:from>
      <xdr:col>8</xdr:col>
      <xdr:colOff>374645</xdr:colOff>
      <xdr:row>20</xdr:row>
      <xdr:rowOff>38263</xdr:rowOff>
    </xdr:from>
    <xdr:to>
      <xdr:col>10</xdr:col>
      <xdr:colOff>12594</xdr:colOff>
      <xdr:row>22</xdr:row>
      <xdr:rowOff>23023</xdr:rowOff>
    </xdr:to>
    <xdr:sp macro="" textlink="">
      <xdr:nvSpPr>
        <xdr:cNvPr id="199" name="Rectangle 198">
          <a:extLst>
            <a:ext uri="{FF2B5EF4-FFF2-40B4-BE49-F238E27FC236}">
              <a16:creationId xmlns:a16="http://schemas.microsoft.com/office/drawing/2014/main" id="{073AC82C-0641-4F46-BC7B-78BC94E65143}"/>
            </a:ext>
          </a:extLst>
        </xdr:cNvPr>
        <xdr:cNvSpPr/>
      </xdr:nvSpPr>
      <xdr:spPr>
        <a:xfrm>
          <a:off x="5251445" y="3848263"/>
          <a:ext cx="857149" cy="3657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" tIns="0" rIns="45720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d-ID" sz="750" b="0" i="0">
              <a:solidFill>
                <a:srgbClr val="000000"/>
              </a:solidFill>
              <a:effectLst/>
              <a:latin typeface="Cambria" panose="02040503050406030204" pitchFamily="18" charset="0"/>
            </a:rPr>
            <a:t>Matriks dan Ruang Vektor</a:t>
          </a:r>
          <a:endParaRPr lang="id-ID" sz="750"/>
        </a:p>
      </xdr:txBody>
    </xdr:sp>
    <xdr:clientData/>
  </xdr:twoCellAnchor>
  <xdr:twoCellAnchor>
    <xdr:from>
      <xdr:col>8</xdr:col>
      <xdr:colOff>374647</xdr:colOff>
      <xdr:row>3</xdr:row>
      <xdr:rowOff>140753</xdr:rowOff>
    </xdr:from>
    <xdr:to>
      <xdr:col>9</xdr:col>
      <xdr:colOff>607477</xdr:colOff>
      <xdr:row>5</xdr:row>
      <xdr:rowOff>125513</xdr:rowOff>
    </xdr:to>
    <xdr:sp macro="" textlink="">
      <xdr:nvSpPr>
        <xdr:cNvPr id="200" name="Rectangle 199">
          <a:extLst>
            <a:ext uri="{FF2B5EF4-FFF2-40B4-BE49-F238E27FC236}">
              <a16:creationId xmlns:a16="http://schemas.microsoft.com/office/drawing/2014/main" id="{CB63D8E0-DC69-4163-8C43-07BD77DD640F}"/>
            </a:ext>
          </a:extLst>
        </xdr:cNvPr>
        <xdr:cNvSpPr/>
      </xdr:nvSpPr>
      <xdr:spPr>
        <a:xfrm>
          <a:off x="5251447" y="712253"/>
          <a:ext cx="842430" cy="3657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" tIns="0" rIns="45720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d-ID" sz="750" b="0" i="0">
              <a:solidFill>
                <a:srgbClr val="000000"/>
              </a:solidFill>
              <a:effectLst/>
              <a:latin typeface="Cambria" panose="02040503050406030204" pitchFamily="18" charset="0"/>
            </a:rPr>
            <a:t>Sistem Basis Data</a:t>
          </a:r>
          <a:endParaRPr lang="id-ID" sz="750"/>
        </a:p>
      </xdr:txBody>
    </xdr:sp>
    <xdr:clientData/>
  </xdr:twoCellAnchor>
  <xdr:twoCellAnchor>
    <xdr:from>
      <xdr:col>8</xdr:col>
      <xdr:colOff>374647</xdr:colOff>
      <xdr:row>25</xdr:row>
      <xdr:rowOff>72294</xdr:rowOff>
    </xdr:from>
    <xdr:to>
      <xdr:col>10</xdr:col>
      <xdr:colOff>27309</xdr:colOff>
      <xdr:row>27</xdr:row>
      <xdr:rowOff>57054</xdr:rowOff>
    </xdr:to>
    <xdr:sp macro="" textlink="">
      <xdr:nvSpPr>
        <xdr:cNvPr id="201" name="Rectangle 200">
          <a:extLst>
            <a:ext uri="{FF2B5EF4-FFF2-40B4-BE49-F238E27FC236}">
              <a16:creationId xmlns:a16="http://schemas.microsoft.com/office/drawing/2014/main" id="{4BB44621-49C6-49CD-B583-958047A150FB}"/>
            </a:ext>
          </a:extLst>
        </xdr:cNvPr>
        <xdr:cNvSpPr/>
      </xdr:nvSpPr>
      <xdr:spPr>
        <a:xfrm>
          <a:off x="5251447" y="4834794"/>
          <a:ext cx="871862" cy="3657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" tIns="0" rIns="45720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d-ID" sz="750" b="0" i="0">
              <a:solidFill>
                <a:srgbClr val="000000"/>
              </a:solidFill>
              <a:effectLst/>
              <a:latin typeface="Cambria" panose="02040503050406030204" pitchFamily="18" charset="0"/>
            </a:rPr>
            <a:t>Penulisan Proposal</a:t>
          </a:r>
          <a:endParaRPr lang="id-ID" sz="750"/>
        </a:p>
      </xdr:txBody>
    </xdr:sp>
    <xdr:clientData/>
  </xdr:twoCellAnchor>
  <xdr:twoCellAnchor>
    <xdr:from>
      <xdr:col>8</xdr:col>
      <xdr:colOff>374647</xdr:colOff>
      <xdr:row>1</xdr:row>
      <xdr:rowOff>0</xdr:rowOff>
    </xdr:from>
    <xdr:to>
      <xdr:col>9</xdr:col>
      <xdr:colOff>607477</xdr:colOff>
      <xdr:row>2</xdr:row>
      <xdr:rowOff>175260</xdr:rowOff>
    </xdr:to>
    <xdr:sp macro="" textlink="">
      <xdr:nvSpPr>
        <xdr:cNvPr id="202" name="Rectangle 201">
          <a:extLst>
            <a:ext uri="{FF2B5EF4-FFF2-40B4-BE49-F238E27FC236}">
              <a16:creationId xmlns:a16="http://schemas.microsoft.com/office/drawing/2014/main" id="{93938A09-2146-4CB2-8CF9-1E8A3A30EB7F}"/>
            </a:ext>
          </a:extLst>
        </xdr:cNvPr>
        <xdr:cNvSpPr/>
      </xdr:nvSpPr>
      <xdr:spPr>
        <a:xfrm>
          <a:off x="5251447" y="190500"/>
          <a:ext cx="842430" cy="36576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" tIns="0" rIns="45720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d-ID" sz="750" b="0" i="0">
              <a:solidFill>
                <a:srgbClr val="000000"/>
              </a:solidFill>
              <a:effectLst/>
              <a:latin typeface="Cambria" panose="02040503050406030204" pitchFamily="18" charset="0"/>
            </a:rPr>
            <a:t>RPL: Analisis Kebutuhan</a:t>
          </a:r>
          <a:endParaRPr lang="id-ID" sz="750"/>
        </a:p>
      </xdr:txBody>
    </xdr:sp>
    <xdr:clientData/>
  </xdr:twoCellAnchor>
  <xdr:twoCellAnchor>
    <xdr:from>
      <xdr:col>8</xdr:col>
      <xdr:colOff>374646</xdr:colOff>
      <xdr:row>6</xdr:row>
      <xdr:rowOff>91006</xdr:rowOff>
    </xdr:from>
    <xdr:to>
      <xdr:col>9</xdr:col>
      <xdr:colOff>607477</xdr:colOff>
      <xdr:row>8</xdr:row>
      <xdr:rowOff>75766</xdr:rowOff>
    </xdr:to>
    <xdr:sp macro="" textlink="">
      <xdr:nvSpPr>
        <xdr:cNvPr id="203" name="Rectangle 202">
          <a:extLst>
            <a:ext uri="{FF2B5EF4-FFF2-40B4-BE49-F238E27FC236}">
              <a16:creationId xmlns:a16="http://schemas.microsoft.com/office/drawing/2014/main" id="{E02E2773-475D-466A-A065-40FE717F9933}"/>
            </a:ext>
          </a:extLst>
        </xdr:cNvPr>
        <xdr:cNvSpPr/>
      </xdr:nvSpPr>
      <xdr:spPr>
        <a:xfrm>
          <a:off x="5251446" y="1234006"/>
          <a:ext cx="842431" cy="36576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" tIns="0" rIns="45720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d-ID" sz="750" b="0" i="0">
              <a:solidFill>
                <a:srgbClr val="000000"/>
              </a:solidFill>
              <a:effectLst/>
              <a:latin typeface="Cambria" panose="02040503050406030204" pitchFamily="18" charset="0"/>
            </a:rPr>
            <a:t>Sistem Digital</a:t>
          </a:r>
          <a:endParaRPr lang="id-ID" sz="750"/>
        </a:p>
      </xdr:txBody>
    </xdr:sp>
    <xdr:clientData/>
  </xdr:twoCellAnchor>
  <xdr:twoCellAnchor>
    <xdr:from>
      <xdr:col>8</xdr:col>
      <xdr:colOff>374645</xdr:colOff>
      <xdr:row>9</xdr:row>
      <xdr:rowOff>41259</xdr:rowOff>
    </xdr:from>
    <xdr:to>
      <xdr:col>9</xdr:col>
      <xdr:colOff>607478</xdr:colOff>
      <xdr:row>11</xdr:row>
      <xdr:rowOff>26019</xdr:rowOff>
    </xdr:to>
    <xdr:sp macro="" textlink="">
      <xdr:nvSpPr>
        <xdr:cNvPr id="204" name="Rectangle 203">
          <a:extLst>
            <a:ext uri="{FF2B5EF4-FFF2-40B4-BE49-F238E27FC236}">
              <a16:creationId xmlns:a16="http://schemas.microsoft.com/office/drawing/2014/main" id="{C72A7E56-B120-48D6-8E48-C7EFBD1E6A35}"/>
            </a:ext>
          </a:extLst>
        </xdr:cNvPr>
        <xdr:cNvSpPr/>
      </xdr:nvSpPr>
      <xdr:spPr>
        <a:xfrm>
          <a:off x="5251445" y="1755759"/>
          <a:ext cx="842433" cy="3657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" tIns="0" rIns="45720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d-ID" sz="750" b="0" i="0">
              <a:solidFill>
                <a:srgbClr val="000000"/>
              </a:solidFill>
              <a:effectLst/>
              <a:latin typeface="Cambria" panose="02040503050406030204" pitchFamily="18" charset="0"/>
            </a:rPr>
            <a:t>Pengantar Kecerdasan Buatan</a:t>
          </a:r>
          <a:endParaRPr lang="id-ID" sz="750"/>
        </a:p>
      </xdr:txBody>
    </xdr:sp>
    <xdr:clientData/>
  </xdr:twoCellAnchor>
  <xdr:twoCellAnchor>
    <xdr:from>
      <xdr:col>8</xdr:col>
      <xdr:colOff>374645</xdr:colOff>
      <xdr:row>33</xdr:row>
      <xdr:rowOff>113553</xdr:rowOff>
    </xdr:from>
    <xdr:to>
      <xdr:col>10</xdr:col>
      <xdr:colOff>29396</xdr:colOff>
      <xdr:row>35</xdr:row>
      <xdr:rowOff>98313</xdr:rowOff>
    </xdr:to>
    <xdr:sp macro="" textlink="">
      <xdr:nvSpPr>
        <xdr:cNvPr id="205" name="Rectangle 204">
          <a:extLst>
            <a:ext uri="{FF2B5EF4-FFF2-40B4-BE49-F238E27FC236}">
              <a16:creationId xmlns:a16="http://schemas.microsoft.com/office/drawing/2014/main" id="{781E02DF-98F5-4C1B-85F5-BE3B0D76FF1D}"/>
            </a:ext>
          </a:extLst>
        </xdr:cNvPr>
        <xdr:cNvSpPr/>
      </xdr:nvSpPr>
      <xdr:spPr>
        <a:xfrm>
          <a:off x="5251445" y="6400053"/>
          <a:ext cx="873951" cy="36576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" tIns="0" rIns="45720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750" b="0" i="0">
              <a:solidFill>
                <a:srgbClr val="000000"/>
              </a:solidFill>
              <a:effectLst/>
              <a:latin typeface="Cambria" panose="02040503050406030204" pitchFamily="18" charset="0"/>
            </a:rPr>
            <a:t>Apprenticeship/ Entrepreneurship</a:t>
          </a:r>
          <a:endParaRPr lang="id-ID" sz="750"/>
        </a:p>
      </xdr:txBody>
    </xdr:sp>
    <xdr:clientData/>
  </xdr:twoCellAnchor>
  <xdr:twoCellAnchor>
    <xdr:from>
      <xdr:col>10</xdr:col>
      <xdr:colOff>350743</xdr:colOff>
      <xdr:row>1</xdr:row>
      <xdr:rowOff>0</xdr:rowOff>
    </xdr:from>
    <xdr:to>
      <xdr:col>11</xdr:col>
      <xdr:colOff>518383</xdr:colOff>
      <xdr:row>2</xdr:row>
      <xdr:rowOff>175260</xdr:rowOff>
    </xdr:to>
    <xdr:sp macro="" textlink="">
      <xdr:nvSpPr>
        <xdr:cNvPr id="206" name="Rectangle 205">
          <a:extLst>
            <a:ext uri="{FF2B5EF4-FFF2-40B4-BE49-F238E27FC236}">
              <a16:creationId xmlns:a16="http://schemas.microsoft.com/office/drawing/2014/main" id="{E41D7CB4-7F9E-493F-8668-05A52C5250C8}"/>
            </a:ext>
          </a:extLst>
        </xdr:cNvPr>
        <xdr:cNvSpPr/>
      </xdr:nvSpPr>
      <xdr:spPr>
        <a:xfrm>
          <a:off x="6446743" y="190500"/>
          <a:ext cx="777240" cy="365760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" tIns="0" rIns="45720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d-ID" sz="750" b="0" i="0">
              <a:solidFill>
                <a:srgbClr val="000000"/>
              </a:solidFill>
              <a:effectLst/>
              <a:latin typeface="Cambria" panose="02040503050406030204" pitchFamily="18" charset="0"/>
            </a:rPr>
            <a:t>Interaksi Manusia Komputer</a:t>
          </a:r>
          <a:endParaRPr lang="id-ID" sz="750"/>
        </a:p>
      </xdr:txBody>
    </xdr:sp>
    <xdr:clientData/>
  </xdr:twoCellAnchor>
  <xdr:twoCellAnchor>
    <xdr:from>
      <xdr:col>10</xdr:col>
      <xdr:colOff>350743</xdr:colOff>
      <xdr:row>6</xdr:row>
      <xdr:rowOff>91006</xdr:rowOff>
    </xdr:from>
    <xdr:to>
      <xdr:col>11</xdr:col>
      <xdr:colOff>518383</xdr:colOff>
      <xdr:row>8</xdr:row>
      <xdr:rowOff>75766</xdr:rowOff>
    </xdr:to>
    <xdr:sp macro="" textlink="">
      <xdr:nvSpPr>
        <xdr:cNvPr id="207" name="Rectangle 206">
          <a:extLst>
            <a:ext uri="{FF2B5EF4-FFF2-40B4-BE49-F238E27FC236}">
              <a16:creationId xmlns:a16="http://schemas.microsoft.com/office/drawing/2014/main" id="{884A7A05-5626-49AE-8F84-9EAC8FA21520}"/>
            </a:ext>
          </a:extLst>
        </xdr:cNvPr>
        <xdr:cNvSpPr/>
      </xdr:nvSpPr>
      <xdr:spPr>
        <a:xfrm>
          <a:off x="6446743" y="1234006"/>
          <a:ext cx="777240" cy="36576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" tIns="0" rIns="45720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d-ID" sz="750">
              <a:solidFill>
                <a:srgbClr val="000000"/>
              </a:solidFill>
              <a:latin typeface="Cambria" panose="02040503050406030204" pitchFamily="18" charset="0"/>
            </a:rPr>
            <a:t>Organisasi dan Arsitektur Komputer</a:t>
          </a:r>
        </a:p>
      </xdr:txBody>
    </xdr:sp>
    <xdr:clientData/>
  </xdr:twoCellAnchor>
  <xdr:twoCellAnchor>
    <xdr:from>
      <xdr:col>10</xdr:col>
      <xdr:colOff>350743</xdr:colOff>
      <xdr:row>28</xdr:row>
      <xdr:rowOff>22547</xdr:rowOff>
    </xdr:from>
    <xdr:to>
      <xdr:col>11</xdr:col>
      <xdr:colOff>518383</xdr:colOff>
      <xdr:row>30</xdr:row>
      <xdr:rowOff>7307</xdr:rowOff>
    </xdr:to>
    <xdr:sp macro="" textlink="">
      <xdr:nvSpPr>
        <xdr:cNvPr id="208" name="Rectangle 207">
          <a:extLst>
            <a:ext uri="{FF2B5EF4-FFF2-40B4-BE49-F238E27FC236}">
              <a16:creationId xmlns:a16="http://schemas.microsoft.com/office/drawing/2014/main" id="{0DC53CC2-B843-46A5-8987-F0481F7F1C04}"/>
            </a:ext>
          </a:extLst>
        </xdr:cNvPr>
        <xdr:cNvSpPr/>
      </xdr:nvSpPr>
      <xdr:spPr>
        <a:xfrm>
          <a:off x="6446743" y="5356547"/>
          <a:ext cx="777240" cy="365760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" tIns="0" rIns="45720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d-ID" sz="750" b="0" i="0">
              <a:solidFill>
                <a:srgbClr val="000000"/>
              </a:solidFill>
              <a:effectLst/>
              <a:latin typeface="Cambria" panose="02040503050406030204" pitchFamily="18" charset="0"/>
            </a:rPr>
            <a:t>Tugas Akhir: </a:t>
          </a:r>
          <a:r>
            <a:rPr lang="en-US" sz="750" b="0" i="0">
              <a:solidFill>
                <a:srgbClr val="000000"/>
              </a:solidFill>
              <a:effectLst/>
              <a:latin typeface="Cambria" panose="02040503050406030204" pitchFamily="18" charset="0"/>
            </a:rPr>
            <a:t>Capstone</a:t>
          </a:r>
          <a:endParaRPr lang="id-ID" sz="750"/>
        </a:p>
      </xdr:txBody>
    </xdr:sp>
    <xdr:clientData/>
  </xdr:twoCellAnchor>
  <xdr:twoCellAnchor>
    <xdr:from>
      <xdr:col>12</xdr:col>
      <xdr:colOff>326839</xdr:colOff>
      <xdr:row>9</xdr:row>
      <xdr:rowOff>41259</xdr:rowOff>
    </xdr:from>
    <xdr:to>
      <xdr:col>13</xdr:col>
      <xdr:colOff>494479</xdr:colOff>
      <xdr:row>11</xdr:row>
      <xdr:rowOff>26019</xdr:rowOff>
    </xdr:to>
    <xdr:sp macro="" textlink="">
      <xdr:nvSpPr>
        <xdr:cNvPr id="209" name="Rectangle 208">
          <a:extLst>
            <a:ext uri="{FF2B5EF4-FFF2-40B4-BE49-F238E27FC236}">
              <a16:creationId xmlns:a16="http://schemas.microsoft.com/office/drawing/2014/main" id="{8EE39B0E-67BF-462E-932C-76ED284A45D5}"/>
            </a:ext>
          </a:extLst>
        </xdr:cNvPr>
        <xdr:cNvSpPr/>
      </xdr:nvSpPr>
      <xdr:spPr>
        <a:xfrm>
          <a:off x="7642039" y="1755759"/>
          <a:ext cx="777240" cy="36576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" tIns="0" rIns="45720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d-ID" sz="750" b="0" i="0">
              <a:solidFill>
                <a:srgbClr val="000000"/>
              </a:solidFill>
              <a:effectLst/>
              <a:latin typeface="Cambria" panose="02040503050406030204" pitchFamily="18" charset="0"/>
            </a:rPr>
            <a:t>Jaringan Komputer</a:t>
          </a:r>
          <a:endParaRPr lang="id-ID" sz="750"/>
        </a:p>
      </xdr:txBody>
    </xdr:sp>
    <xdr:clientData/>
  </xdr:twoCellAnchor>
  <xdr:twoCellAnchor>
    <xdr:from>
      <xdr:col>12</xdr:col>
      <xdr:colOff>326839</xdr:colOff>
      <xdr:row>1</xdr:row>
      <xdr:rowOff>0</xdr:rowOff>
    </xdr:from>
    <xdr:to>
      <xdr:col>13</xdr:col>
      <xdr:colOff>494479</xdr:colOff>
      <xdr:row>2</xdr:row>
      <xdr:rowOff>175260</xdr:rowOff>
    </xdr:to>
    <xdr:sp macro="" textlink="">
      <xdr:nvSpPr>
        <xdr:cNvPr id="210" name="Rectangle 209">
          <a:extLst>
            <a:ext uri="{FF2B5EF4-FFF2-40B4-BE49-F238E27FC236}">
              <a16:creationId xmlns:a16="http://schemas.microsoft.com/office/drawing/2014/main" id="{5A198FC5-D3E0-48B5-9B2E-6A2A17145544}"/>
            </a:ext>
          </a:extLst>
        </xdr:cNvPr>
        <xdr:cNvSpPr/>
      </xdr:nvSpPr>
      <xdr:spPr>
        <a:xfrm>
          <a:off x="7642039" y="190500"/>
          <a:ext cx="777240" cy="3657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" tIns="0" rIns="45720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d-ID" sz="750" b="0" i="0">
              <a:solidFill>
                <a:srgbClr val="000000"/>
              </a:solidFill>
              <a:effectLst/>
              <a:latin typeface="Cambria" panose="02040503050406030204" pitchFamily="18" charset="0"/>
            </a:rPr>
            <a:t>Manajemen Proyek</a:t>
          </a:r>
          <a:endParaRPr lang="id-ID" sz="750"/>
        </a:p>
      </xdr:txBody>
    </xdr:sp>
    <xdr:clientData/>
  </xdr:twoCellAnchor>
  <xdr:twoCellAnchor>
    <xdr:from>
      <xdr:col>12</xdr:col>
      <xdr:colOff>326839</xdr:colOff>
      <xdr:row>6</xdr:row>
      <xdr:rowOff>91006</xdr:rowOff>
    </xdr:from>
    <xdr:to>
      <xdr:col>13</xdr:col>
      <xdr:colOff>494479</xdr:colOff>
      <xdr:row>8</xdr:row>
      <xdr:rowOff>75766</xdr:rowOff>
    </xdr:to>
    <xdr:sp macro="" textlink="">
      <xdr:nvSpPr>
        <xdr:cNvPr id="211" name="Rectangle 210">
          <a:extLst>
            <a:ext uri="{FF2B5EF4-FFF2-40B4-BE49-F238E27FC236}">
              <a16:creationId xmlns:a16="http://schemas.microsoft.com/office/drawing/2014/main" id="{84384670-5BAC-4E18-93C3-B2497E8B2DC4}"/>
            </a:ext>
          </a:extLst>
        </xdr:cNvPr>
        <xdr:cNvSpPr/>
      </xdr:nvSpPr>
      <xdr:spPr>
        <a:xfrm>
          <a:off x="7642039" y="1234006"/>
          <a:ext cx="777240" cy="36576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" tIns="0" rIns="45720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d-ID" sz="750" b="0" i="0">
              <a:solidFill>
                <a:srgbClr val="000000"/>
              </a:solidFill>
              <a:effectLst/>
              <a:latin typeface="Cambria" panose="02040503050406030204" pitchFamily="18" charset="0"/>
            </a:rPr>
            <a:t>Sistem Operasi</a:t>
          </a:r>
          <a:endParaRPr lang="id-ID" sz="750"/>
        </a:p>
      </xdr:txBody>
    </xdr:sp>
    <xdr:clientData/>
  </xdr:twoCellAnchor>
  <xdr:twoCellAnchor>
    <xdr:from>
      <xdr:col>16</xdr:col>
      <xdr:colOff>279031</xdr:colOff>
      <xdr:row>6</xdr:row>
      <xdr:rowOff>91006</xdr:rowOff>
    </xdr:from>
    <xdr:to>
      <xdr:col>17</xdr:col>
      <xdr:colOff>446671</xdr:colOff>
      <xdr:row>8</xdr:row>
      <xdr:rowOff>75766</xdr:rowOff>
    </xdr:to>
    <xdr:sp macro="" textlink="">
      <xdr:nvSpPr>
        <xdr:cNvPr id="212" name="Rectangle 211">
          <a:extLst>
            <a:ext uri="{FF2B5EF4-FFF2-40B4-BE49-F238E27FC236}">
              <a16:creationId xmlns:a16="http://schemas.microsoft.com/office/drawing/2014/main" id="{880FA237-96EC-4286-9C23-A093D1BA81A2}"/>
            </a:ext>
          </a:extLst>
        </xdr:cNvPr>
        <xdr:cNvSpPr/>
      </xdr:nvSpPr>
      <xdr:spPr>
        <a:xfrm>
          <a:off x="10032631" y="1234006"/>
          <a:ext cx="777240" cy="36576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" tIns="0" rIns="45720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d-ID" sz="750" b="0" i="0">
              <a:solidFill>
                <a:srgbClr val="000000"/>
              </a:solidFill>
              <a:effectLst/>
              <a:latin typeface="Cambria" panose="02040503050406030204" pitchFamily="18" charset="0"/>
            </a:rPr>
            <a:t>Keamanan Siber</a:t>
          </a:r>
          <a:endParaRPr lang="id-ID" sz="750"/>
        </a:p>
      </xdr:txBody>
    </xdr:sp>
    <xdr:clientData/>
  </xdr:twoCellAnchor>
  <xdr:twoCellAnchor>
    <xdr:from>
      <xdr:col>16</xdr:col>
      <xdr:colOff>279031</xdr:colOff>
      <xdr:row>11</xdr:row>
      <xdr:rowOff>182012</xdr:rowOff>
    </xdr:from>
    <xdr:to>
      <xdr:col>17</xdr:col>
      <xdr:colOff>446671</xdr:colOff>
      <xdr:row>13</xdr:row>
      <xdr:rowOff>166772</xdr:rowOff>
    </xdr:to>
    <xdr:sp macro="" textlink="">
      <xdr:nvSpPr>
        <xdr:cNvPr id="213" name="Rectangle 212">
          <a:extLst>
            <a:ext uri="{FF2B5EF4-FFF2-40B4-BE49-F238E27FC236}">
              <a16:creationId xmlns:a16="http://schemas.microsoft.com/office/drawing/2014/main" id="{F3B96F00-8AEB-4551-B621-68A79A62869A}"/>
            </a:ext>
          </a:extLst>
        </xdr:cNvPr>
        <xdr:cNvSpPr/>
      </xdr:nvSpPr>
      <xdr:spPr>
        <a:xfrm>
          <a:off x="10032631" y="2277512"/>
          <a:ext cx="777240" cy="36576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" tIns="0" rIns="45720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d-ID" sz="750" b="0" i="0">
              <a:solidFill>
                <a:srgbClr val="000000"/>
              </a:solidFill>
              <a:effectLst/>
              <a:latin typeface="Cambria" panose="02040503050406030204" pitchFamily="18" charset="0"/>
            </a:rPr>
            <a:t>Aplikasi Berbasis Platform</a:t>
          </a:r>
          <a:endParaRPr lang="id-ID" sz="750"/>
        </a:p>
      </xdr:txBody>
    </xdr:sp>
    <xdr:clientData/>
  </xdr:twoCellAnchor>
  <xdr:twoCellAnchor>
    <xdr:from>
      <xdr:col>14</xdr:col>
      <xdr:colOff>302935</xdr:colOff>
      <xdr:row>6</xdr:row>
      <xdr:rowOff>91006</xdr:rowOff>
    </xdr:from>
    <xdr:to>
      <xdr:col>15</xdr:col>
      <xdr:colOff>500011</xdr:colOff>
      <xdr:row>8</xdr:row>
      <xdr:rowOff>75766</xdr:rowOff>
    </xdr:to>
    <xdr:sp macro="" textlink="">
      <xdr:nvSpPr>
        <xdr:cNvPr id="214" name="Rectangle 213">
          <a:extLst>
            <a:ext uri="{FF2B5EF4-FFF2-40B4-BE49-F238E27FC236}">
              <a16:creationId xmlns:a16="http://schemas.microsoft.com/office/drawing/2014/main" id="{482596ED-6287-47BA-805A-30AE1CCF3D1D}"/>
            </a:ext>
          </a:extLst>
        </xdr:cNvPr>
        <xdr:cNvSpPr/>
      </xdr:nvSpPr>
      <xdr:spPr>
        <a:xfrm>
          <a:off x="8837335" y="1234006"/>
          <a:ext cx="806676" cy="365760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" tIns="0" rIns="45720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d-ID" sz="750" b="0" i="0">
              <a:solidFill>
                <a:srgbClr val="000000"/>
              </a:solidFill>
              <a:effectLst/>
              <a:latin typeface="Cambria" panose="02040503050406030204" pitchFamily="18" charset="0"/>
            </a:rPr>
            <a:t>Sistem Paralel dan Terdistribusi</a:t>
          </a:r>
          <a:endParaRPr lang="id-ID" sz="750"/>
        </a:p>
      </xdr:txBody>
    </xdr:sp>
    <xdr:clientData/>
  </xdr:twoCellAnchor>
  <xdr:twoCellAnchor>
    <xdr:from>
      <xdr:col>14</xdr:col>
      <xdr:colOff>105597</xdr:colOff>
      <xdr:row>11</xdr:row>
      <xdr:rowOff>182012</xdr:rowOff>
    </xdr:from>
    <xdr:to>
      <xdr:col>15</xdr:col>
      <xdr:colOff>470575</xdr:colOff>
      <xdr:row>13</xdr:row>
      <xdr:rowOff>166772</xdr:rowOff>
    </xdr:to>
    <xdr:sp macro="" textlink="">
      <xdr:nvSpPr>
        <xdr:cNvPr id="215" name="Rectangle 214">
          <a:extLst>
            <a:ext uri="{FF2B5EF4-FFF2-40B4-BE49-F238E27FC236}">
              <a16:creationId xmlns:a16="http://schemas.microsoft.com/office/drawing/2014/main" id="{9696BA8B-6620-4468-B4FB-53E78FC3DCBD}"/>
            </a:ext>
          </a:extLst>
        </xdr:cNvPr>
        <xdr:cNvSpPr/>
      </xdr:nvSpPr>
      <xdr:spPr>
        <a:xfrm>
          <a:off x="8639997" y="2277512"/>
          <a:ext cx="974578" cy="3657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" tIns="0" rIns="45720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d-ID" sz="750" b="0" i="0">
              <a:solidFill>
                <a:srgbClr val="000000"/>
              </a:solidFill>
              <a:effectLst/>
              <a:latin typeface="Cambria" panose="02040503050406030204" pitchFamily="18" charset="0"/>
            </a:rPr>
            <a:t>Pemrograman Berorientasi Objek</a:t>
          </a:r>
          <a:endParaRPr lang="id-ID" sz="750"/>
        </a:p>
      </xdr:txBody>
    </xdr:sp>
    <xdr:clientData/>
  </xdr:twoCellAnchor>
  <xdr:twoCellAnchor>
    <xdr:from>
      <xdr:col>18</xdr:col>
      <xdr:colOff>115791</xdr:colOff>
      <xdr:row>11</xdr:row>
      <xdr:rowOff>182012</xdr:rowOff>
    </xdr:from>
    <xdr:to>
      <xdr:col>19</xdr:col>
      <xdr:colOff>283431</xdr:colOff>
      <xdr:row>13</xdr:row>
      <xdr:rowOff>166772</xdr:rowOff>
    </xdr:to>
    <xdr:sp macro="" textlink="">
      <xdr:nvSpPr>
        <xdr:cNvPr id="216" name="Rectangle 215">
          <a:extLst>
            <a:ext uri="{FF2B5EF4-FFF2-40B4-BE49-F238E27FC236}">
              <a16:creationId xmlns:a16="http://schemas.microsoft.com/office/drawing/2014/main" id="{A23429A8-37B6-4960-AAA8-F96E3B1F76D3}"/>
            </a:ext>
          </a:extLst>
        </xdr:cNvPr>
        <xdr:cNvSpPr/>
      </xdr:nvSpPr>
      <xdr:spPr>
        <a:xfrm>
          <a:off x="11088591" y="2277512"/>
          <a:ext cx="777240" cy="36576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" tIns="0" rIns="45720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d-ID" sz="750" b="0" i="0">
              <a:solidFill>
                <a:srgbClr val="000000"/>
              </a:solidFill>
              <a:effectLst/>
              <a:latin typeface="Cambria" panose="02040503050406030204" pitchFamily="18" charset="0"/>
            </a:rPr>
            <a:t>RPL: Desain dan Implementasi</a:t>
          </a:r>
          <a:endParaRPr lang="id-ID" sz="750"/>
        </a:p>
      </xdr:txBody>
    </xdr:sp>
    <xdr:clientData/>
  </xdr:twoCellAnchor>
  <xdr:twoCellAnchor>
    <xdr:from>
      <xdr:col>19</xdr:col>
      <xdr:colOff>133216</xdr:colOff>
      <xdr:row>18</xdr:row>
      <xdr:rowOff>161888</xdr:rowOff>
    </xdr:from>
    <xdr:to>
      <xdr:col>20</xdr:col>
      <xdr:colOff>300856</xdr:colOff>
      <xdr:row>20</xdr:row>
      <xdr:rowOff>146648</xdr:rowOff>
    </xdr:to>
    <xdr:sp macro="" textlink="">
      <xdr:nvSpPr>
        <xdr:cNvPr id="217" name="Rectangle 216">
          <a:extLst>
            <a:ext uri="{FF2B5EF4-FFF2-40B4-BE49-F238E27FC236}">
              <a16:creationId xmlns:a16="http://schemas.microsoft.com/office/drawing/2014/main" id="{5500673C-52CD-4545-81E8-15BD741723CA}"/>
            </a:ext>
          </a:extLst>
        </xdr:cNvPr>
        <xdr:cNvSpPr/>
      </xdr:nvSpPr>
      <xdr:spPr>
        <a:xfrm>
          <a:off x="11715616" y="3590888"/>
          <a:ext cx="777240" cy="3657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" tIns="0" rIns="45720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d-ID" sz="750" b="0" i="0">
              <a:solidFill>
                <a:srgbClr val="000000"/>
              </a:solidFill>
              <a:effectLst/>
              <a:latin typeface="Cambria" panose="02040503050406030204" pitchFamily="18" charset="0"/>
            </a:rPr>
            <a:t>Tugas Akhir</a:t>
          </a:r>
          <a:endParaRPr lang="id-ID" sz="750"/>
        </a:p>
      </xdr:txBody>
    </xdr:sp>
    <xdr:clientData/>
  </xdr:twoCellAnchor>
  <xdr:twoCellAnchor>
    <xdr:from>
      <xdr:col>6</xdr:col>
      <xdr:colOff>398551</xdr:colOff>
      <xdr:row>33</xdr:row>
      <xdr:rowOff>113555</xdr:rowOff>
    </xdr:from>
    <xdr:to>
      <xdr:col>7</xdr:col>
      <xdr:colOff>566191</xdr:colOff>
      <xdr:row>35</xdr:row>
      <xdr:rowOff>98315</xdr:rowOff>
    </xdr:to>
    <xdr:sp macro="" textlink="">
      <xdr:nvSpPr>
        <xdr:cNvPr id="218" name="Rectangle 217">
          <a:extLst>
            <a:ext uri="{FF2B5EF4-FFF2-40B4-BE49-F238E27FC236}">
              <a16:creationId xmlns:a16="http://schemas.microsoft.com/office/drawing/2014/main" id="{EB1D41E6-C3AB-4C0E-8345-1C590C16B05D}"/>
            </a:ext>
          </a:extLst>
        </xdr:cNvPr>
        <xdr:cNvSpPr/>
      </xdr:nvSpPr>
      <xdr:spPr>
        <a:xfrm>
          <a:off x="4056151" y="6400055"/>
          <a:ext cx="777240" cy="36576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" tIns="0" rIns="45720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d-ID" sz="750" b="0" i="0">
              <a:solidFill>
                <a:srgbClr val="000000"/>
              </a:solidFill>
              <a:effectLst/>
              <a:latin typeface="Cambria" panose="02040503050406030204" pitchFamily="18" charset="0"/>
            </a:rPr>
            <a:t>Kewirausahaan</a:t>
          </a:r>
          <a:endParaRPr lang="id-ID" sz="750"/>
        </a:p>
      </xdr:txBody>
    </xdr:sp>
    <xdr:clientData/>
  </xdr:twoCellAnchor>
  <xdr:twoCellAnchor>
    <xdr:from>
      <xdr:col>6</xdr:col>
      <xdr:colOff>398551</xdr:colOff>
      <xdr:row>30</xdr:row>
      <xdr:rowOff>163300</xdr:rowOff>
    </xdr:from>
    <xdr:to>
      <xdr:col>7</xdr:col>
      <xdr:colOff>566191</xdr:colOff>
      <xdr:row>32</xdr:row>
      <xdr:rowOff>148060</xdr:rowOff>
    </xdr:to>
    <xdr:sp macro="" textlink="">
      <xdr:nvSpPr>
        <xdr:cNvPr id="219" name="Rectangle 218">
          <a:extLst>
            <a:ext uri="{FF2B5EF4-FFF2-40B4-BE49-F238E27FC236}">
              <a16:creationId xmlns:a16="http://schemas.microsoft.com/office/drawing/2014/main" id="{27FA80D3-6EEB-45C2-B6C3-8656C6517628}"/>
            </a:ext>
          </a:extLst>
        </xdr:cNvPr>
        <xdr:cNvSpPr/>
      </xdr:nvSpPr>
      <xdr:spPr>
        <a:xfrm>
          <a:off x="4056151" y="5878300"/>
          <a:ext cx="777240" cy="36576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" tIns="0" rIns="45720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d-ID" sz="750" b="0" i="0">
              <a:solidFill>
                <a:srgbClr val="000000"/>
              </a:solidFill>
              <a:effectLst/>
              <a:latin typeface="Cambria" panose="02040503050406030204" pitchFamily="18" charset="0"/>
            </a:rPr>
            <a:t>Informatika Untuk Masyarakat</a:t>
          </a:r>
          <a:endParaRPr lang="id-ID" sz="750"/>
        </a:p>
      </xdr:txBody>
    </xdr:sp>
    <xdr:clientData/>
  </xdr:twoCellAnchor>
  <xdr:twoCellAnchor>
    <xdr:from>
      <xdr:col>6</xdr:col>
      <xdr:colOff>398551</xdr:colOff>
      <xdr:row>28</xdr:row>
      <xdr:rowOff>22547</xdr:rowOff>
    </xdr:from>
    <xdr:to>
      <xdr:col>7</xdr:col>
      <xdr:colOff>566191</xdr:colOff>
      <xdr:row>30</xdr:row>
      <xdr:rowOff>7307</xdr:rowOff>
    </xdr:to>
    <xdr:sp macro="" textlink="">
      <xdr:nvSpPr>
        <xdr:cNvPr id="220" name="Rectangle 219">
          <a:extLst>
            <a:ext uri="{FF2B5EF4-FFF2-40B4-BE49-F238E27FC236}">
              <a16:creationId xmlns:a16="http://schemas.microsoft.com/office/drawing/2014/main" id="{4B837930-9D10-4F92-ADDE-50B444D3FD50}"/>
            </a:ext>
          </a:extLst>
        </xdr:cNvPr>
        <xdr:cNvSpPr/>
      </xdr:nvSpPr>
      <xdr:spPr>
        <a:xfrm>
          <a:off x="4056151" y="5356547"/>
          <a:ext cx="777240" cy="36576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" tIns="0" rIns="45720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d-ID" sz="750" b="0" i="0">
              <a:solidFill>
                <a:srgbClr val="000000"/>
              </a:solidFill>
              <a:effectLst/>
              <a:latin typeface="Cambria" panose="02040503050406030204" pitchFamily="18" charset="0"/>
            </a:rPr>
            <a:t>Sosio-Informatik dan Keprofesian</a:t>
          </a:r>
          <a:endParaRPr lang="id-ID" sz="750"/>
        </a:p>
      </xdr:txBody>
    </xdr:sp>
    <xdr:clientData/>
  </xdr:twoCellAnchor>
  <xdr:twoCellAnchor>
    <xdr:from>
      <xdr:col>6</xdr:col>
      <xdr:colOff>398551</xdr:colOff>
      <xdr:row>22</xdr:row>
      <xdr:rowOff>122041</xdr:rowOff>
    </xdr:from>
    <xdr:to>
      <xdr:col>7</xdr:col>
      <xdr:colOff>566191</xdr:colOff>
      <xdr:row>24</xdr:row>
      <xdr:rowOff>106801</xdr:rowOff>
    </xdr:to>
    <xdr:sp macro="" textlink="">
      <xdr:nvSpPr>
        <xdr:cNvPr id="221" name="Rectangle 220">
          <a:extLst>
            <a:ext uri="{FF2B5EF4-FFF2-40B4-BE49-F238E27FC236}">
              <a16:creationId xmlns:a16="http://schemas.microsoft.com/office/drawing/2014/main" id="{92B1AC5D-FAF3-40C6-9F11-8D295E83B113}"/>
            </a:ext>
          </a:extLst>
        </xdr:cNvPr>
        <xdr:cNvSpPr/>
      </xdr:nvSpPr>
      <xdr:spPr>
        <a:xfrm>
          <a:off x="4056151" y="4313041"/>
          <a:ext cx="777240" cy="36576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" tIns="0" rIns="45720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d-ID" sz="750" b="0" i="0">
              <a:solidFill>
                <a:srgbClr val="000000"/>
              </a:solidFill>
              <a:effectLst/>
              <a:latin typeface="Cambria" panose="02040503050406030204" pitchFamily="18" charset="0"/>
            </a:rPr>
            <a:t>Bahasa Inggris Untuk Karir</a:t>
          </a:r>
          <a:endParaRPr lang="id-ID" sz="750"/>
        </a:p>
      </xdr:txBody>
    </xdr:sp>
    <xdr:clientData/>
  </xdr:twoCellAnchor>
  <xdr:twoCellAnchor>
    <xdr:from>
      <xdr:col>6</xdr:col>
      <xdr:colOff>398551</xdr:colOff>
      <xdr:row>25</xdr:row>
      <xdr:rowOff>72294</xdr:rowOff>
    </xdr:from>
    <xdr:to>
      <xdr:col>7</xdr:col>
      <xdr:colOff>566191</xdr:colOff>
      <xdr:row>27</xdr:row>
      <xdr:rowOff>57054</xdr:rowOff>
    </xdr:to>
    <xdr:sp macro="" textlink="">
      <xdr:nvSpPr>
        <xdr:cNvPr id="222" name="Rectangle 221">
          <a:extLst>
            <a:ext uri="{FF2B5EF4-FFF2-40B4-BE49-F238E27FC236}">
              <a16:creationId xmlns:a16="http://schemas.microsoft.com/office/drawing/2014/main" id="{73A493B4-0234-4809-B32E-47876C93FE4F}"/>
            </a:ext>
          </a:extLst>
        </xdr:cNvPr>
        <xdr:cNvSpPr/>
      </xdr:nvSpPr>
      <xdr:spPr>
        <a:xfrm>
          <a:off x="4056151" y="4834794"/>
          <a:ext cx="777240" cy="36576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" tIns="0" rIns="45720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d-ID" sz="750" b="0" i="0">
              <a:solidFill>
                <a:srgbClr val="000000"/>
              </a:solidFill>
              <a:effectLst/>
              <a:latin typeface="Cambria" panose="02040503050406030204" pitchFamily="18" charset="0"/>
            </a:rPr>
            <a:t>Tata Tulis Ilmiah</a:t>
          </a:r>
          <a:endParaRPr lang="id-ID" sz="750"/>
        </a:p>
      </xdr:txBody>
    </xdr:sp>
    <xdr:clientData/>
  </xdr:twoCellAnchor>
  <xdr:twoCellAnchor>
    <xdr:from>
      <xdr:col>9</xdr:col>
      <xdr:colOff>607479</xdr:colOff>
      <xdr:row>18</xdr:row>
      <xdr:rowOff>74898</xdr:rowOff>
    </xdr:from>
    <xdr:to>
      <xdr:col>10</xdr:col>
      <xdr:colOff>350742</xdr:colOff>
      <xdr:row>18</xdr:row>
      <xdr:rowOff>74898</xdr:rowOff>
    </xdr:to>
    <xdr:cxnSp macro="">
      <xdr:nvCxnSpPr>
        <xdr:cNvPr id="223" name="Straight Arrow Connector 222">
          <a:extLst>
            <a:ext uri="{FF2B5EF4-FFF2-40B4-BE49-F238E27FC236}">
              <a16:creationId xmlns:a16="http://schemas.microsoft.com/office/drawing/2014/main" id="{136BB86E-B501-4D87-B2B6-3909DB23A508}"/>
            </a:ext>
          </a:extLst>
        </xdr:cNvPr>
        <xdr:cNvCxnSpPr>
          <a:cxnSpLocks/>
          <a:stCxn id="224" idx="3"/>
          <a:endCxn id="228" idx="1"/>
        </xdr:cNvCxnSpPr>
      </xdr:nvCxnSpPr>
      <xdr:spPr>
        <a:xfrm>
          <a:off x="6093879" y="3503898"/>
          <a:ext cx="352863" cy="0"/>
        </a:xfrm>
        <a:prstGeom prst="straightConnector1">
          <a:avLst/>
        </a:prstGeom>
        <a:ln>
          <a:tailEnd type="triangle"/>
        </a:ln>
        <a:effectLst>
          <a:glow rad="50800">
            <a:schemeClr val="bg1"/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374646</xdr:colOff>
      <xdr:row>17</xdr:row>
      <xdr:rowOff>82518</xdr:rowOff>
    </xdr:from>
    <xdr:to>
      <xdr:col>9</xdr:col>
      <xdr:colOff>607479</xdr:colOff>
      <xdr:row>19</xdr:row>
      <xdr:rowOff>67278</xdr:rowOff>
    </xdr:to>
    <xdr:sp macro="" textlink="">
      <xdr:nvSpPr>
        <xdr:cNvPr id="224" name="Rectangle 223">
          <a:extLst>
            <a:ext uri="{FF2B5EF4-FFF2-40B4-BE49-F238E27FC236}">
              <a16:creationId xmlns:a16="http://schemas.microsoft.com/office/drawing/2014/main" id="{77E18219-1814-4CEE-A76C-5859275F4F6F}"/>
            </a:ext>
          </a:extLst>
        </xdr:cNvPr>
        <xdr:cNvSpPr/>
      </xdr:nvSpPr>
      <xdr:spPr>
        <a:xfrm>
          <a:off x="5251446" y="3321018"/>
          <a:ext cx="842433" cy="36576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" tIns="0" rIns="45720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d-ID" sz="750" b="0" i="0">
              <a:solidFill>
                <a:srgbClr val="000000"/>
              </a:solidFill>
              <a:effectLst/>
              <a:latin typeface="Cambria" panose="02040503050406030204" pitchFamily="18" charset="0"/>
            </a:rPr>
            <a:t>Kalkulus Lanjut</a:t>
          </a:r>
          <a:endParaRPr lang="id-ID" sz="750"/>
        </a:p>
      </xdr:txBody>
    </xdr:sp>
    <xdr:clientData/>
  </xdr:twoCellAnchor>
  <xdr:twoCellAnchor>
    <xdr:from>
      <xdr:col>11</xdr:col>
      <xdr:colOff>518382</xdr:colOff>
      <xdr:row>16</xdr:row>
      <xdr:rowOff>181191</xdr:rowOff>
    </xdr:from>
    <xdr:to>
      <xdr:col>12</xdr:col>
      <xdr:colOff>326837</xdr:colOff>
      <xdr:row>18</xdr:row>
      <xdr:rowOff>74898</xdr:rowOff>
    </xdr:to>
    <xdr:cxnSp macro="">
      <xdr:nvCxnSpPr>
        <xdr:cNvPr id="225" name="Straight Arrow Connector 224">
          <a:extLst>
            <a:ext uri="{FF2B5EF4-FFF2-40B4-BE49-F238E27FC236}">
              <a16:creationId xmlns:a16="http://schemas.microsoft.com/office/drawing/2014/main" id="{975BF8DA-A438-45EE-B791-B87768054CD3}"/>
            </a:ext>
          </a:extLst>
        </xdr:cNvPr>
        <xdr:cNvCxnSpPr>
          <a:cxnSpLocks/>
          <a:stCxn id="228" idx="3"/>
          <a:endCxn id="246" idx="1"/>
        </xdr:cNvCxnSpPr>
      </xdr:nvCxnSpPr>
      <xdr:spPr>
        <a:xfrm flipV="1">
          <a:off x="7223982" y="3229191"/>
          <a:ext cx="418055" cy="274707"/>
        </a:xfrm>
        <a:prstGeom prst="straightConnector1">
          <a:avLst/>
        </a:prstGeom>
        <a:ln>
          <a:tailEnd type="triangle"/>
        </a:ln>
        <a:effectLst>
          <a:glow rad="50800">
            <a:schemeClr val="bg1"/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518382</xdr:colOff>
      <xdr:row>18</xdr:row>
      <xdr:rowOff>74898</xdr:rowOff>
    </xdr:from>
    <xdr:to>
      <xdr:col>12</xdr:col>
      <xdr:colOff>312121</xdr:colOff>
      <xdr:row>20</xdr:row>
      <xdr:rowOff>82848</xdr:rowOff>
    </xdr:to>
    <xdr:cxnSp macro="">
      <xdr:nvCxnSpPr>
        <xdr:cNvPr id="226" name="Straight Arrow Connector 225">
          <a:extLst>
            <a:ext uri="{FF2B5EF4-FFF2-40B4-BE49-F238E27FC236}">
              <a16:creationId xmlns:a16="http://schemas.microsoft.com/office/drawing/2014/main" id="{1DD04BF3-2551-4FDE-B7B9-0775532B5C7E}"/>
            </a:ext>
          </a:extLst>
        </xdr:cNvPr>
        <xdr:cNvCxnSpPr>
          <a:cxnSpLocks/>
          <a:stCxn id="228" idx="3"/>
        </xdr:cNvCxnSpPr>
      </xdr:nvCxnSpPr>
      <xdr:spPr>
        <a:xfrm>
          <a:off x="7223982" y="3503898"/>
          <a:ext cx="403339" cy="388950"/>
        </a:xfrm>
        <a:prstGeom prst="straightConnector1">
          <a:avLst/>
        </a:prstGeom>
        <a:ln>
          <a:tailEnd type="triangle"/>
        </a:ln>
        <a:effectLst>
          <a:glow rad="50800">
            <a:schemeClr val="bg1"/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518382</xdr:colOff>
      <xdr:row>18</xdr:row>
      <xdr:rowOff>74898</xdr:rowOff>
    </xdr:from>
    <xdr:to>
      <xdr:col>12</xdr:col>
      <xdr:colOff>326835</xdr:colOff>
      <xdr:row>21</xdr:row>
      <xdr:rowOff>130702</xdr:rowOff>
    </xdr:to>
    <xdr:cxnSp macro="">
      <xdr:nvCxnSpPr>
        <xdr:cNvPr id="227" name="Straight Arrow Connector 226">
          <a:extLst>
            <a:ext uri="{FF2B5EF4-FFF2-40B4-BE49-F238E27FC236}">
              <a16:creationId xmlns:a16="http://schemas.microsoft.com/office/drawing/2014/main" id="{D8133D46-A3F0-46A4-8D91-AE8DF67C29E7}"/>
            </a:ext>
          </a:extLst>
        </xdr:cNvPr>
        <xdr:cNvCxnSpPr>
          <a:cxnSpLocks/>
          <a:stCxn id="228" idx="3"/>
          <a:endCxn id="235" idx="1"/>
        </xdr:cNvCxnSpPr>
      </xdr:nvCxnSpPr>
      <xdr:spPr>
        <a:xfrm>
          <a:off x="7223982" y="3503898"/>
          <a:ext cx="418053" cy="627304"/>
        </a:xfrm>
        <a:prstGeom prst="straightConnector1">
          <a:avLst/>
        </a:prstGeom>
        <a:ln>
          <a:tailEnd type="triangle"/>
        </a:ln>
        <a:effectLst>
          <a:glow rad="50800">
            <a:schemeClr val="bg1"/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350742</xdr:colOff>
      <xdr:row>17</xdr:row>
      <xdr:rowOff>82518</xdr:rowOff>
    </xdr:from>
    <xdr:to>
      <xdr:col>11</xdr:col>
      <xdr:colOff>518382</xdr:colOff>
      <xdr:row>19</xdr:row>
      <xdr:rowOff>67278</xdr:rowOff>
    </xdr:to>
    <xdr:sp macro="" textlink="">
      <xdr:nvSpPr>
        <xdr:cNvPr id="228" name="Rectangle 227">
          <a:extLst>
            <a:ext uri="{FF2B5EF4-FFF2-40B4-BE49-F238E27FC236}">
              <a16:creationId xmlns:a16="http://schemas.microsoft.com/office/drawing/2014/main" id="{3E01BF89-93B1-4E0C-8C8A-C42011B7A6B1}"/>
            </a:ext>
          </a:extLst>
        </xdr:cNvPr>
        <xdr:cNvSpPr/>
      </xdr:nvSpPr>
      <xdr:spPr>
        <a:xfrm>
          <a:off x="6446742" y="3321018"/>
          <a:ext cx="777240" cy="365760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" tIns="0" rIns="45720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d-ID" sz="750" b="0" i="0">
              <a:solidFill>
                <a:srgbClr val="000000"/>
              </a:solidFill>
              <a:effectLst/>
              <a:latin typeface="Cambria" panose="02040503050406030204" pitchFamily="18" charset="0"/>
            </a:rPr>
            <a:t>Pembelajaran Mesin</a:t>
          </a:r>
          <a:endParaRPr lang="id-ID" sz="750"/>
        </a:p>
      </xdr:txBody>
    </xdr:sp>
    <xdr:clientData/>
  </xdr:twoCellAnchor>
  <xdr:twoCellAnchor>
    <xdr:from>
      <xdr:col>13</xdr:col>
      <xdr:colOff>494478</xdr:colOff>
      <xdr:row>14</xdr:row>
      <xdr:rowOff>104990</xdr:rowOff>
    </xdr:from>
    <xdr:to>
      <xdr:col>14</xdr:col>
      <xdr:colOff>302933</xdr:colOff>
      <xdr:row>16</xdr:row>
      <xdr:rowOff>181902</xdr:rowOff>
    </xdr:to>
    <xdr:cxnSp macro="">
      <xdr:nvCxnSpPr>
        <xdr:cNvPr id="229" name="Straight Arrow Connector 228">
          <a:extLst>
            <a:ext uri="{FF2B5EF4-FFF2-40B4-BE49-F238E27FC236}">
              <a16:creationId xmlns:a16="http://schemas.microsoft.com/office/drawing/2014/main" id="{BFDCE074-4E46-479F-8682-D12F651F493D}"/>
            </a:ext>
          </a:extLst>
        </xdr:cNvPr>
        <xdr:cNvCxnSpPr>
          <a:cxnSpLocks/>
          <a:stCxn id="233" idx="3"/>
          <a:endCxn id="247" idx="1"/>
        </xdr:cNvCxnSpPr>
      </xdr:nvCxnSpPr>
      <xdr:spPr>
        <a:xfrm>
          <a:off x="8419278" y="2771990"/>
          <a:ext cx="418055" cy="457912"/>
        </a:xfrm>
        <a:prstGeom prst="straightConnector1">
          <a:avLst/>
        </a:prstGeom>
        <a:ln>
          <a:tailEnd type="triangle"/>
        </a:ln>
        <a:effectLst>
          <a:glow rad="50800">
            <a:schemeClr val="bg1"/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494476</xdr:colOff>
      <xdr:row>16</xdr:row>
      <xdr:rowOff>181902</xdr:rowOff>
    </xdr:from>
    <xdr:to>
      <xdr:col>14</xdr:col>
      <xdr:colOff>302933</xdr:colOff>
      <xdr:row>19</xdr:row>
      <xdr:rowOff>66892</xdr:rowOff>
    </xdr:to>
    <xdr:cxnSp macro="">
      <xdr:nvCxnSpPr>
        <xdr:cNvPr id="230" name="Straight Arrow Connector 229">
          <a:extLst>
            <a:ext uri="{FF2B5EF4-FFF2-40B4-BE49-F238E27FC236}">
              <a16:creationId xmlns:a16="http://schemas.microsoft.com/office/drawing/2014/main" id="{8B7E030C-B193-4829-85A0-0E17A05538CD}"/>
            </a:ext>
          </a:extLst>
        </xdr:cNvPr>
        <xdr:cNvCxnSpPr>
          <a:cxnSpLocks/>
          <a:stCxn id="234" idx="3"/>
          <a:endCxn id="247" idx="1"/>
        </xdr:cNvCxnSpPr>
      </xdr:nvCxnSpPr>
      <xdr:spPr>
        <a:xfrm flipV="1">
          <a:off x="8419276" y="3229902"/>
          <a:ext cx="418057" cy="456490"/>
        </a:xfrm>
        <a:prstGeom prst="straightConnector1">
          <a:avLst/>
        </a:prstGeom>
        <a:ln>
          <a:tailEnd type="triangle"/>
        </a:ln>
        <a:effectLst>
          <a:glow rad="50800">
            <a:schemeClr val="bg1"/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494475</xdr:colOff>
      <xdr:row>21</xdr:row>
      <xdr:rowOff>130702</xdr:rowOff>
    </xdr:from>
    <xdr:to>
      <xdr:col>14</xdr:col>
      <xdr:colOff>302931</xdr:colOff>
      <xdr:row>21</xdr:row>
      <xdr:rowOff>130702</xdr:rowOff>
    </xdr:to>
    <xdr:cxnSp macro="">
      <xdr:nvCxnSpPr>
        <xdr:cNvPr id="231" name="Straight Arrow Connector 230">
          <a:extLst>
            <a:ext uri="{FF2B5EF4-FFF2-40B4-BE49-F238E27FC236}">
              <a16:creationId xmlns:a16="http://schemas.microsoft.com/office/drawing/2014/main" id="{F463ABB4-4DE2-488D-8491-1BA0C3AAE448}"/>
            </a:ext>
          </a:extLst>
        </xdr:cNvPr>
        <xdr:cNvCxnSpPr>
          <a:cxnSpLocks/>
          <a:stCxn id="235" idx="3"/>
          <a:endCxn id="241" idx="1"/>
        </xdr:cNvCxnSpPr>
      </xdr:nvCxnSpPr>
      <xdr:spPr>
        <a:xfrm>
          <a:off x="8419275" y="4131202"/>
          <a:ext cx="418056" cy="0"/>
        </a:xfrm>
        <a:prstGeom prst="straightConnector1">
          <a:avLst/>
        </a:prstGeom>
        <a:ln>
          <a:tailEnd type="triangle"/>
        </a:ln>
        <a:effectLst>
          <a:glow rad="50800">
            <a:schemeClr val="bg1"/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494475</xdr:colOff>
      <xdr:row>24</xdr:row>
      <xdr:rowOff>92038</xdr:rowOff>
    </xdr:from>
    <xdr:to>
      <xdr:col>14</xdr:col>
      <xdr:colOff>302929</xdr:colOff>
      <xdr:row>24</xdr:row>
      <xdr:rowOff>92038</xdr:rowOff>
    </xdr:to>
    <xdr:cxnSp macro="">
      <xdr:nvCxnSpPr>
        <xdr:cNvPr id="232" name="Straight Arrow Connector 231">
          <a:extLst>
            <a:ext uri="{FF2B5EF4-FFF2-40B4-BE49-F238E27FC236}">
              <a16:creationId xmlns:a16="http://schemas.microsoft.com/office/drawing/2014/main" id="{E56D45B7-F583-4779-B642-40BB032DE425}"/>
            </a:ext>
          </a:extLst>
        </xdr:cNvPr>
        <xdr:cNvCxnSpPr>
          <a:cxnSpLocks/>
          <a:stCxn id="236" idx="3"/>
          <a:endCxn id="242" idx="1"/>
        </xdr:cNvCxnSpPr>
      </xdr:nvCxnSpPr>
      <xdr:spPr>
        <a:xfrm>
          <a:off x="8419275" y="4664038"/>
          <a:ext cx="418054" cy="0"/>
        </a:xfrm>
        <a:prstGeom prst="straightConnector1">
          <a:avLst/>
        </a:prstGeom>
        <a:ln>
          <a:tailEnd type="triangle"/>
        </a:ln>
        <a:effectLst>
          <a:glow rad="50800">
            <a:schemeClr val="bg1"/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326838</xdr:colOff>
      <xdr:row>13</xdr:row>
      <xdr:rowOff>112610</xdr:rowOff>
    </xdr:from>
    <xdr:to>
      <xdr:col>13</xdr:col>
      <xdr:colOff>494478</xdr:colOff>
      <xdr:row>15</xdr:row>
      <xdr:rowOff>97370</xdr:rowOff>
    </xdr:to>
    <xdr:sp macro="" textlink="">
      <xdr:nvSpPr>
        <xdr:cNvPr id="233" name="Rectangle 232">
          <a:extLst>
            <a:ext uri="{FF2B5EF4-FFF2-40B4-BE49-F238E27FC236}">
              <a16:creationId xmlns:a16="http://schemas.microsoft.com/office/drawing/2014/main" id="{9F66FB70-3F3F-49F7-8236-DE746C0CC34D}"/>
            </a:ext>
          </a:extLst>
        </xdr:cNvPr>
        <xdr:cNvSpPr/>
      </xdr:nvSpPr>
      <xdr:spPr>
        <a:xfrm>
          <a:off x="7642038" y="2589110"/>
          <a:ext cx="777240" cy="365760"/>
        </a:xfrm>
        <a:prstGeom prst="rect">
          <a:avLst/>
        </a:prstGeom>
        <a:solidFill>
          <a:srgbClr val="00FFCC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" tIns="0" rIns="45720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d-ID" sz="750" b="0" i="0">
              <a:solidFill>
                <a:srgbClr val="000000"/>
              </a:solidFill>
              <a:effectLst/>
              <a:latin typeface="Cambria" panose="02040503050406030204" pitchFamily="18" charset="0"/>
            </a:rPr>
            <a:t>Pembelajaran Mesin Lanjut</a:t>
          </a:r>
          <a:endParaRPr lang="id-ID" sz="750"/>
        </a:p>
      </xdr:txBody>
    </xdr:sp>
    <xdr:clientData/>
  </xdr:twoCellAnchor>
  <xdr:twoCellAnchor>
    <xdr:from>
      <xdr:col>12</xdr:col>
      <xdr:colOff>326836</xdr:colOff>
      <xdr:row>18</xdr:row>
      <xdr:rowOff>74512</xdr:rowOff>
    </xdr:from>
    <xdr:to>
      <xdr:col>13</xdr:col>
      <xdr:colOff>494476</xdr:colOff>
      <xdr:row>20</xdr:row>
      <xdr:rowOff>59272</xdr:rowOff>
    </xdr:to>
    <xdr:sp macro="" textlink="">
      <xdr:nvSpPr>
        <xdr:cNvPr id="234" name="Rectangle 233">
          <a:extLst>
            <a:ext uri="{FF2B5EF4-FFF2-40B4-BE49-F238E27FC236}">
              <a16:creationId xmlns:a16="http://schemas.microsoft.com/office/drawing/2014/main" id="{D7A1C4A5-1C7D-4566-B258-D7519FF492A2}"/>
            </a:ext>
          </a:extLst>
        </xdr:cNvPr>
        <xdr:cNvSpPr/>
      </xdr:nvSpPr>
      <xdr:spPr>
        <a:xfrm>
          <a:off x="7642036" y="3503512"/>
          <a:ext cx="777240" cy="365760"/>
        </a:xfrm>
        <a:prstGeom prst="rect">
          <a:avLst/>
        </a:prstGeom>
        <a:solidFill>
          <a:srgbClr val="00FFCC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" tIns="0" rIns="45720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d-ID" sz="750" b="0" i="0">
              <a:solidFill>
                <a:srgbClr val="000000"/>
              </a:solidFill>
              <a:effectLst/>
              <a:latin typeface="Cambria" panose="02040503050406030204" pitchFamily="18" charset="0"/>
            </a:rPr>
            <a:t>Sistem Berbasis Agen</a:t>
          </a:r>
          <a:endParaRPr lang="id-ID" sz="750"/>
        </a:p>
      </xdr:txBody>
    </xdr:sp>
    <xdr:clientData/>
  </xdr:twoCellAnchor>
  <xdr:twoCellAnchor>
    <xdr:from>
      <xdr:col>12</xdr:col>
      <xdr:colOff>326835</xdr:colOff>
      <xdr:row>20</xdr:row>
      <xdr:rowOff>138322</xdr:rowOff>
    </xdr:from>
    <xdr:to>
      <xdr:col>13</xdr:col>
      <xdr:colOff>494475</xdr:colOff>
      <xdr:row>22</xdr:row>
      <xdr:rowOff>123082</xdr:rowOff>
    </xdr:to>
    <xdr:sp macro="" textlink="">
      <xdr:nvSpPr>
        <xdr:cNvPr id="235" name="Rectangle 234">
          <a:extLst>
            <a:ext uri="{FF2B5EF4-FFF2-40B4-BE49-F238E27FC236}">
              <a16:creationId xmlns:a16="http://schemas.microsoft.com/office/drawing/2014/main" id="{55CE01C0-298E-42B6-9CBA-F78A1AC497BF}"/>
            </a:ext>
          </a:extLst>
        </xdr:cNvPr>
        <xdr:cNvSpPr/>
      </xdr:nvSpPr>
      <xdr:spPr>
        <a:xfrm>
          <a:off x="7642035" y="3948322"/>
          <a:ext cx="777240" cy="365760"/>
        </a:xfrm>
        <a:prstGeom prst="rect">
          <a:avLst/>
        </a:prstGeom>
        <a:solidFill>
          <a:srgbClr val="00FFCC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" tIns="0" rIns="45720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d-ID" sz="750" b="0" i="0">
              <a:solidFill>
                <a:srgbClr val="000000"/>
              </a:solidFill>
              <a:effectLst/>
              <a:latin typeface="Cambria" panose="02040503050406030204" pitchFamily="18" charset="0"/>
            </a:rPr>
            <a:t>IoT dengan Kemampuan Cerdas</a:t>
          </a:r>
          <a:endParaRPr lang="id-ID" sz="750"/>
        </a:p>
      </xdr:txBody>
    </xdr:sp>
    <xdr:clientData/>
  </xdr:twoCellAnchor>
  <xdr:twoCellAnchor>
    <xdr:from>
      <xdr:col>12</xdr:col>
      <xdr:colOff>326835</xdr:colOff>
      <xdr:row>23</xdr:row>
      <xdr:rowOff>99658</xdr:rowOff>
    </xdr:from>
    <xdr:to>
      <xdr:col>13</xdr:col>
      <xdr:colOff>494475</xdr:colOff>
      <xdr:row>25</xdr:row>
      <xdr:rowOff>84418</xdr:rowOff>
    </xdr:to>
    <xdr:sp macro="" textlink="">
      <xdr:nvSpPr>
        <xdr:cNvPr id="236" name="Rectangle 235">
          <a:extLst>
            <a:ext uri="{FF2B5EF4-FFF2-40B4-BE49-F238E27FC236}">
              <a16:creationId xmlns:a16="http://schemas.microsoft.com/office/drawing/2014/main" id="{9006B47C-9F6E-47E1-8573-470AAC20D810}"/>
            </a:ext>
          </a:extLst>
        </xdr:cNvPr>
        <xdr:cNvSpPr/>
      </xdr:nvSpPr>
      <xdr:spPr>
        <a:xfrm>
          <a:off x="7642035" y="4481158"/>
          <a:ext cx="777240" cy="365760"/>
        </a:xfrm>
        <a:prstGeom prst="rect">
          <a:avLst/>
        </a:prstGeom>
        <a:solidFill>
          <a:srgbClr val="00FFCC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" tIns="0" rIns="45720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d-ID" sz="750" b="0" i="0">
              <a:solidFill>
                <a:srgbClr val="000000"/>
              </a:solidFill>
              <a:effectLst/>
              <a:latin typeface="Cambria" panose="02040503050406030204" pitchFamily="18" charset="0"/>
            </a:rPr>
            <a:t>Pemodelan dan simulasi</a:t>
          </a:r>
          <a:endParaRPr lang="id-ID" sz="750"/>
        </a:p>
      </xdr:txBody>
    </xdr:sp>
    <xdr:clientData/>
  </xdr:twoCellAnchor>
  <xdr:twoCellAnchor>
    <xdr:from>
      <xdr:col>16</xdr:col>
      <xdr:colOff>413579</xdr:colOff>
      <xdr:row>16</xdr:row>
      <xdr:rowOff>181902</xdr:rowOff>
    </xdr:from>
    <xdr:to>
      <xdr:col>17</xdr:col>
      <xdr:colOff>334030</xdr:colOff>
      <xdr:row>19</xdr:row>
      <xdr:rowOff>154268</xdr:rowOff>
    </xdr:to>
    <xdr:cxnSp macro="">
      <xdr:nvCxnSpPr>
        <xdr:cNvPr id="237" name="Straight Arrow Connector 236">
          <a:extLst>
            <a:ext uri="{FF2B5EF4-FFF2-40B4-BE49-F238E27FC236}">
              <a16:creationId xmlns:a16="http://schemas.microsoft.com/office/drawing/2014/main" id="{A48288BF-6768-4EB9-AFA5-469241777DC3}"/>
            </a:ext>
          </a:extLst>
        </xdr:cNvPr>
        <xdr:cNvCxnSpPr>
          <a:cxnSpLocks/>
          <a:stCxn id="247" idx="3"/>
          <a:endCxn id="243" idx="1"/>
        </xdr:cNvCxnSpPr>
      </xdr:nvCxnSpPr>
      <xdr:spPr>
        <a:xfrm>
          <a:off x="10167179" y="3229902"/>
          <a:ext cx="530051" cy="543866"/>
        </a:xfrm>
        <a:prstGeom prst="straightConnector1">
          <a:avLst/>
        </a:prstGeom>
        <a:ln>
          <a:tailEnd type="triangle"/>
        </a:ln>
        <a:effectLst>
          <a:glow rad="50800">
            <a:schemeClr val="bg1"/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516385</xdr:colOff>
      <xdr:row>19</xdr:row>
      <xdr:rowOff>154268</xdr:rowOff>
    </xdr:from>
    <xdr:to>
      <xdr:col>19</xdr:col>
      <xdr:colOff>133216</xdr:colOff>
      <xdr:row>19</xdr:row>
      <xdr:rowOff>154268</xdr:rowOff>
    </xdr:to>
    <xdr:cxnSp macro="">
      <xdr:nvCxnSpPr>
        <xdr:cNvPr id="238" name="Straight Arrow Connector 237">
          <a:extLst>
            <a:ext uri="{FF2B5EF4-FFF2-40B4-BE49-F238E27FC236}">
              <a16:creationId xmlns:a16="http://schemas.microsoft.com/office/drawing/2014/main" id="{673E9B4C-F9E7-44A2-9E0C-F0AFF366CBFF}"/>
            </a:ext>
          </a:extLst>
        </xdr:cNvPr>
        <xdr:cNvCxnSpPr>
          <a:cxnSpLocks/>
          <a:stCxn id="243" idx="3"/>
          <a:endCxn id="217" idx="1"/>
        </xdr:cNvCxnSpPr>
      </xdr:nvCxnSpPr>
      <xdr:spPr>
        <a:xfrm>
          <a:off x="11489185" y="3773768"/>
          <a:ext cx="226431" cy="0"/>
        </a:xfrm>
        <a:prstGeom prst="straightConnector1">
          <a:avLst/>
        </a:prstGeom>
        <a:ln>
          <a:tailEnd type="triangle"/>
        </a:ln>
        <a:effectLst>
          <a:glow rad="50800">
            <a:schemeClr val="bg1"/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413575</xdr:colOff>
      <xdr:row>19</xdr:row>
      <xdr:rowOff>154268</xdr:rowOff>
    </xdr:from>
    <xdr:to>
      <xdr:col>17</xdr:col>
      <xdr:colOff>334030</xdr:colOff>
      <xdr:row>24</xdr:row>
      <xdr:rowOff>92038</xdr:rowOff>
    </xdr:to>
    <xdr:cxnSp macro="">
      <xdr:nvCxnSpPr>
        <xdr:cNvPr id="239" name="Straight Arrow Connector 238">
          <a:extLst>
            <a:ext uri="{FF2B5EF4-FFF2-40B4-BE49-F238E27FC236}">
              <a16:creationId xmlns:a16="http://schemas.microsoft.com/office/drawing/2014/main" id="{3CF0DC98-D81E-421B-95D1-70410F8BD40C}"/>
            </a:ext>
          </a:extLst>
        </xdr:cNvPr>
        <xdr:cNvCxnSpPr>
          <a:cxnSpLocks/>
          <a:stCxn id="242" idx="3"/>
          <a:endCxn id="243" idx="1"/>
        </xdr:cNvCxnSpPr>
      </xdr:nvCxnSpPr>
      <xdr:spPr>
        <a:xfrm flipV="1">
          <a:off x="10167175" y="3773768"/>
          <a:ext cx="530055" cy="890270"/>
        </a:xfrm>
        <a:prstGeom prst="straightConnector1">
          <a:avLst/>
        </a:prstGeom>
        <a:ln>
          <a:tailEnd type="triangle"/>
        </a:ln>
        <a:effectLst>
          <a:glow rad="50800">
            <a:schemeClr val="bg1"/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413577</xdr:colOff>
      <xdr:row>19</xdr:row>
      <xdr:rowOff>154268</xdr:rowOff>
    </xdr:from>
    <xdr:to>
      <xdr:col>17</xdr:col>
      <xdr:colOff>334030</xdr:colOff>
      <xdr:row>21</xdr:row>
      <xdr:rowOff>130702</xdr:rowOff>
    </xdr:to>
    <xdr:cxnSp macro="">
      <xdr:nvCxnSpPr>
        <xdr:cNvPr id="240" name="Straight Arrow Connector 239">
          <a:extLst>
            <a:ext uri="{FF2B5EF4-FFF2-40B4-BE49-F238E27FC236}">
              <a16:creationId xmlns:a16="http://schemas.microsoft.com/office/drawing/2014/main" id="{CF379B2B-8EFB-470F-95E3-1116E991B5E5}"/>
            </a:ext>
          </a:extLst>
        </xdr:cNvPr>
        <xdr:cNvCxnSpPr>
          <a:cxnSpLocks/>
          <a:stCxn id="241" idx="3"/>
          <a:endCxn id="243" idx="1"/>
        </xdr:cNvCxnSpPr>
      </xdr:nvCxnSpPr>
      <xdr:spPr>
        <a:xfrm flipV="1">
          <a:off x="10167177" y="3773768"/>
          <a:ext cx="530053" cy="357434"/>
        </a:xfrm>
        <a:prstGeom prst="straightConnector1">
          <a:avLst/>
        </a:prstGeom>
        <a:ln>
          <a:tailEnd type="triangle"/>
        </a:ln>
        <a:effectLst>
          <a:glow rad="50800">
            <a:schemeClr val="bg1"/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302931</xdr:colOff>
      <xdr:row>20</xdr:row>
      <xdr:rowOff>92602</xdr:rowOff>
    </xdr:from>
    <xdr:to>
      <xdr:col>16</xdr:col>
      <xdr:colOff>413577</xdr:colOff>
      <xdr:row>22</xdr:row>
      <xdr:rowOff>168802</xdr:rowOff>
    </xdr:to>
    <xdr:sp macro="" textlink="">
      <xdr:nvSpPr>
        <xdr:cNvPr id="241" name="Rectangle 240">
          <a:extLst>
            <a:ext uri="{FF2B5EF4-FFF2-40B4-BE49-F238E27FC236}">
              <a16:creationId xmlns:a16="http://schemas.microsoft.com/office/drawing/2014/main" id="{71A53090-0F70-4924-9F92-A83EC7534600}"/>
            </a:ext>
          </a:extLst>
        </xdr:cNvPr>
        <xdr:cNvSpPr/>
      </xdr:nvSpPr>
      <xdr:spPr>
        <a:xfrm>
          <a:off x="8837331" y="3902602"/>
          <a:ext cx="1329846" cy="457200"/>
        </a:xfrm>
        <a:prstGeom prst="rect">
          <a:avLst/>
        </a:prstGeom>
        <a:solidFill>
          <a:srgbClr val="00FFCC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" tIns="0" rIns="45720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91440" indent="-91440">
            <a:buFont typeface="Arial" panose="020B0604020202020204" pitchFamily="34" charset="0"/>
            <a:buChar char="•"/>
          </a:pPr>
          <a:r>
            <a:rPr lang="id-ID" sz="750">
              <a:latin typeface="Cambria" panose="02040503050406030204" pitchFamily="18" charset="0"/>
              <a:ea typeface="Cambria" panose="02040503050406030204" pitchFamily="18" charset="0"/>
            </a:rPr>
            <a:t>Analisis Performansi Jaringan Komputer</a:t>
          </a:r>
        </a:p>
        <a:p>
          <a:pPr marL="91440" indent="-91440">
            <a:buFont typeface="Arial" panose="020B0604020202020204" pitchFamily="34" charset="0"/>
            <a:buChar char="•"/>
          </a:pPr>
          <a:r>
            <a:rPr lang="id-ID" sz="750">
              <a:latin typeface="Cambria" panose="02040503050406030204" pitchFamily="18" charset="0"/>
              <a:ea typeface="Cambria" panose="02040503050406030204" pitchFamily="18" charset="0"/>
            </a:rPr>
            <a:t>Sistem Keamanan Cerdas</a:t>
          </a:r>
        </a:p>
      </xdr:txBody>
    </xdr:sp>
    <xdr:clientData/>
  </xdr:twoCellAnchor>
  <xdr:twoCellAnchor>
    <xdr:from>
      <xdr:col>14</xdr:col>
      <xdr:colOff>302929</xdr:colOff>
      <xdr:row>23</xdr:row>
      <xdr:rowOff>53938</xdr:rowOff>
    </xdr:from>
    <xdr:to>
      <xdr:col>16</xdr:col>
      <xdr:colOff>413575</xdr:colOff>
      <xdr:row>25</xdr:row>
      <xdr:rowOff>130138</xdr:rowOff>
    </xdr:to>
    <xdr:sp macro="" textlink="">
      <xdr:nvSpPr>
        <xdr:cNvPr id="242" name="Rectangle 241">
          <a:extLst>
            <a:ext uri="{FF2B5EF4-FFF2-40B4-BE49-F238E27FC236}">
              <a16:creationId xmlns:a16="http://schemas.microsoft.com/office/drawing/2014/main" id="{3BD891BF-0FCE-4431-B81F-26E74FE65340}"/>
            </a:ext>
          </a:extLst>
        </xdr:cNvPr>
        <xdr:cNvSpPr/>
      </xdr:nvSpPr>
      <xdr:spPr>
        <a:xfrm>
          <a:off x="8837329" y="4435438"/>
          <a:ext cx="1329846" cy="457200"/>
        </a:xfrm>
        <a:prstGeom prst="rect">
          <a:avLst/>
        </a:prstGeom>
        <a:solidFill>
          <a:srgbClr val="00FFCC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" tIns="0" rIns="45720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91440" indent="-91440">
            <a:buFont typeface="Arial" panose="020B0604020202020204" pitchFamily="34" charset="0"/>
            <a:buChar char="•"/>
          </a:pPr>
          <a:r>
            <a:rPr lang="id-ID" sz="750">
              <a:latin typeface="Cambria" panose="02040503050406030204" pitchFamily="18" charset="0"/>
              <a:ea typeface="Cambria" panose="02040503050406030204" pitchFamily="18" charset="0"/>
            </a:rPr>
            <a:t>Visualisasi Data</a:t>
          </a:r>
        </a:p>
        <a:p>
          <a:pPr marL="91440" indent="-91440">
            <a:buFont typeface="Arial" panose="020B0604020202020204" pitchFamily="34" charset="0"/>
            <a:buChar char="•"/>
          </a:pPr>
          <a:r>
            <a:rPr lang="id-ID" sz="750">
              <a:latin typeface="Cambria" panose="02040503050406030204" pitchFamily="18" charset="0"/>
              <a:ea typeface="Cambria" panose="02040503050406030204" pitchFamily="18" charset="0"/>
            </a:rPr>
            <a:t>Metode Numerik untuk Informatika</a:t>
          </a:r>
        </a:p>
      </xdr:txBody>
    </xdr:sp>
    <xdr:clientData/>
  </xdr:twoCellAnchor>
  <xdr:twoCellAnchor>
    <xdr:from>
      <xdr:col>17</xdr:col>
      <xdr:colOff>334030</xdr:colOff>
      <xdr:row>18</xdr:row>
      <xdr:rowOff>87392</xdr:rowOff>
    </xdr:from>
    <xdr:to>
      <xdr:col>18</xdr:col>
      <xdr:colOff>516385</xdr:colOff>
      <xdr:row>21</xdr:row>
      <xdr:rowOff>30644</xdr:rowOff>
    </xdr:to>
    <xdr:sp macro="" textlink="">
      <xdr:nvSpPr>
        <xdr:cNvPr id="243" name="Rectangle 242">
          <a:extLst>
            <a:ext uri="{FF2B5EF4-FFF2-40B4-BE49-F238E27FC236}">
              <a16:creationId xmlns:a16="http://schemas.microsoft.com/office/drawing/2014/main" id="{54FA18CD-A428-4E03-A52F-B578A25AB022}"/>
            </a:ext>
          </a:extLst>
        </xdr:cNvPr>
        <xdr:cNvSpPr/>
      </xdr:nvSpPr>
      <xdr:spPr>
        <a:xfrm>
          <a:off x="10697230" y="3516392"/>
          <a:ext cx="791955" cy="514752"/>
        </a:xfrm>
        <a:prstGeom prst="rect">
          <a:avLst/>
        </a:prstGeom>
        <a:solidFill>
          <a:srgbClr val="00FFCC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" tIns="0" rIns="45720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91440" indent="-91440">
            <a:buFont typeface="Arial" panose="020B0604020202020204" pitchFamily="34" charset="0"/>
            <a:buChar char="•"/>
          </a:pPr>
          <a:r>
            <a:rPr lang="id-ID" sz="750"/>
            <a:t>MK Pilihan 1</a:t>
          </a:r>
        </a:p>
        <a:p>
          <a:pPr marL="91440" indent="-91440">
            <a:buFont typeface="Arial" panose="020B0604020202020204" pitchFamily="34" charset="0"/>
            <a:buChar char="•"/>
          </a:pPr>
          <a:r>
            <a:rPr lang="id-ID" sz="750"/>
            <a:t>MK Pilihan 2</a:t>
          </a:r>
        </a:p>
        <a:p>
          <a:pPr marL="91440" indent="-91440">
            <a:buFont typeface="Arial" panose="020B0604020202020204" pitchFamily="34" charset="0"/>
            <a:buChar char="•"/>
          </a:pPr>
          <a:r>
            <a:rPr lang="id-ID" sz="750"/>
            <a:t>MK Pilihan 3</a:t>
          </a:r>
        </a:p>
      </xdr:txBody>
    </xdr:sp>
    <xdr:clientData/>
  </xdr:twoCellAnchor>
  <xdr:twoCellAnchor>
    <xdr:from>
      <xdr:col>2</xdr:col>
      <xdr:colOff>446359</xdr:colOff>
      <xdr:row>14</xdr:row>
      <xdr:rowOff>132265</xdr:rowOff>
    </xdr:from>
    <xdr:to>
      <xdr:col>4</xdr:col>
      <xdr:colOff>4399</xdr:colOff>
      <xdr:row>16</xdr:row>
      <xdr:rowOff>117025</xdr:rowOff>
    </xdr:to>
    <xdr:sp macro="" textlink="">
      <xdr:nvSpPr>
        <xdr:cNvPr id="244" name="Rectangle 243">
          <a:extLst>
            <a:ext uri="{FF2B5EF4-FFF2-40B4-BE49-F238E27FC236}">
              <a16:creationId xmlns:a16="http://schemas.microsoft.com/office/drawing/2014/main" id="{9F41CA5A-A2C0-49ED-A581-F3B5F0164169}"/>
            </a:ext>
          </a:extLst>
        </xdr:cNvPr>
        <xdr:cNvSpPr/>
      </xdr:nvSpPr>
      <xdr:spPr>
        <a:xfrm>
          <a:off x="1665559" y="2799265"/>
          <a:ext cx="777240" cy="36576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" tIns="0" rIns="45720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d-ID" sz="750" b="0" i="0">
              <a:solidFill>
                <a:srgbClr val="000000"/>
              </a:solidFill>
              <a:effectLst/>
              <a:latin typeface="Cambria" panose="02040503050406030204" pitchFamily="18" charset="0"/>
            </a:rPr>
            <a:t>Analisa Kompleksitas Algoritma</a:t>
          </a:r>
          <a:endParaRPr lang="id-ID" sz="750"/>
        </a:p>
      </xdr:txBody>
    </xdr:sp>
    <xdr:clientData/>
  </xdr:twoCellAnchor>
  <xdr:twoCellAnchor>
    <xdr:from>
      <xdr:col>13</xdr:col>
      <xdr:colOff>494477</xdr:colOff>
      <xdr:row>16</xdr:row>
      <xdr:rowOff>181191</xdr:rowOff>
    </xdr:from>
    <xdr:to>
      <xdr:col>14</xdr:col>
      <xdr:colOff>302933</xdr:colOff>
      <xdr:row>16</xdr:row>
      <xdr:rowOff>181902</xdr:rowOff>
    </xdr:to>
    <xdr:cxnSp macro="">
      <xdr:nvCxnSpPr>
        <xdr:cNvPr id="245" name="Straight Arrow Connector 244">
          <a:extLst>
            <a:ext uri="{FF2B5EF4-FFF2-40B4-BE49-F238E27FC236}">
              <a16:creationId xmlns:a16="http://schemas.microsoft.com/office/drawing/2014/main" id="{CA03601E-62B2-4C79-A5EE-B470DEBC8A2E}"/>
            </a:ext>
          </a:extLst>
        </xdr:cNvPr>
        <xdr:cNvCxnSpPr>
          <a:cxnSpLocks/>
          <a:stCxn id="246" idx="3"/>
          <a:endCxn id="247" idx="1"/>
        </xdr:cNvCxnSpPr>
      </xdr:nvCxnSpPr>
      <xdr:spPr>
        <a:xfrm>
          <a:off x="8419277" y="3229191"/>
          <a:ext cx="418056" cy="711"/>
        </a:xfrm>
        <a:prstGeom prst="straightConnector1">
          <a:avLst/>
        </a:prstGeom>
        <a:ln>
          <a:tailEnd type="triangle"/>
        </a:ln>
        <a:effectLst>
          <a:glow rad="50800">
            <a:schemeClr val="bg1"/>
          </a:glow>
        </a:effectLst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326837</xdr:colOff>
      <xdr:row>15</xdr:row>
      <xdr:rowOff>188811</xdr:rowOff>
    </xdr:from>
    <xdr:to>
      <xdr:col>13</xdr:col>
      <xdr:colOff>494477</xdr:colOff>
      <xdr:row>17</xdr:row>
      <xdr:rowOff>173571</xdr:rowOff>
    </xdr:to>
    <xdr:sp macro="" textlink="">
      <xdr:nvSpPr>
        <xdr:cNvPr id="246" name="Rectangle 245">
          <a:extLst>
            <a:ext uri="{FF2B5EF4-FFF2-40B4-BE49-F238E27FC236}">
              <a16:creationId xmlns:a16="http://schemas.microsoft.com/office/drawing/2014/main" id="{DC037624-2A0A-41C5-91F3-52678206F23F}"/>
            </a:ext>
          </a:extLst>
        </xdr:cNvPr>
        <xdr:cNvSpPr/>
      </xdr:nvSpPr>
      <xdr:spPr>
        <a:xfrm>
          <a:off x="7642037" y="3046311"/>
          <a:ext cx="777240" cy="365760"/>
        </a:xfrm>
        <a:prstGeom prst="rect">
          <a:avLst/>
        </a:prstGeom>
        <a:solidFill>
          <a:srgbClr val="00FFCC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" tIns="0" rIns="45720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id-ID" sz="750" b="0" i="0">
              <a:solidFill>
                <a:srgbClr val="000000"/>
              </a:solidFill>
              <a:effectLst/>
              <a:latin typeface="Cambria" panose="02040503050406030204" pitchFamily="18" charset="0"/>
            </a:rPr>
            <a:t>Representasi Pengetahuan</a:t>
          </a:r>
          <a:endParaRPr lang="id-ID" sz="750"/>
        </a:p>
      </xdr:txBody>
    </xdr:sp>
    <xdr:clientData/>
  </xdr:twoCellAnchor>
  <xdr:twoCellAnchor>
    <xdr:from>
      <xdr:col>14</xdr:col>
      <xdr:colOff>302933</xdr:colOff>
      <xdr:row>14</xdr:row>
      <xdr:rowOff>84359</xdr:rowOff>
    </xdr:from>
    <xdr:to>
      <xdr:col>16</xdr:col>
      <xdr:colOff>413579</xdr:colOff>
      <xdr:row>19</xdr:row>
      <xdr:rowOff>88945</xdr:rowOff>
    </xdr:to>
    <xdr:sp macro="" textlink="">
      <xdr:nvSpPr>
        <xdr:cNvPr id="247" name="Rectangle 246">
          <a:extLst>
            <a:ext uri="{FF2B5EF4-FFF2-40B4-BE49-F238E27FC236}">
              <a16:creationId xmlns:a16="http://schemas.microsoft.com/office/drawing/2014/main" id="{9A3C48B8-1592-4DBD-9577-D6F1807559D0}"/>
            </a:ext>
          </a:extLst>
        </xdr:cNvPr>
        <xdr:cNvSpPr/>
      </xdr:nvSpPr>
      <xdr:spPr>
        <a:xfrm>
          <a:off x="8837333" y="2751359"/>
          <a:ext cx="1329846" cy="957086"/>
        </a:xfrm>
        <a:prstGeom prst="rect">
          <a:avLst/>
        </a:prstGeom>
        <a:solidFill>
          <a:srgbClr val="00FFCC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lIns="45720" tIns="0" rIns="45720" bIns="0" rtlCol="0" anchor="ctr"/>
        <a:lstStyle>
          <a:defPPr>
            <a:defRPr lang="en-US"/>
          </a:defPPr>
          <a:lvl1pPr marL="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457200" rtl="0" eaLnBrk="1" latinLnBrk="0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marL="91440" indent="-91440">
            <a:buFont typeface="Arial" panose="020B0604020202020204" pitchFamily="34" charset="0"/>
            <a:buChar char="•"/>
          </a:pPr>
          <a:r>
            <a:rPr lang="id-ID" sz="750">
              <a:latin typeface="Cambria" panose="02040503050406030204" pitchFamily="18" charset="0"/>
              <a:ea typeface="Cambria" panose="02040503050406030204" pitchFamily="18" charset="0"/>
            </a:rPr>
            <a:t>Pengolahan Citra Digital</a:t>
          </a:r>
        </a:p>
        <a:p>
          <a:pPr marL="91440" indent="-91440">
            <a:buFont typeface="Arial" panose="020B0604020202020204" pitchFamily="34" charset="0"/>
            <a:buChar char="•"/>
          </a:pPr>
          <a:r>
            <a:rPr lang="id-ID" sz="750">
              <a:latin typeface="Cambria" panose="02040503050406030204" pitchFamily="18" charset="0"/>
              <a:ea typeface="Cambria" panose="02040503050406030204" pitchFamily="18" charset="0"/>
            </a:rPr>
            <a:t>Pengolahan Bahasa Alami</a:t>
          </a:r>
        </a:p>
        <a:p>
          <a:pPr marL="91440" indent="-91440">
            <a:buFont typeface="Arial" panose="020B0604020202020204" pitchFamily="34" charset="0"/>
            <a:buChar char="•"/>
          </a:pPr>
          <a:r>
            <a:rPr lang="id-ID" sz="750">
              <a:latin typeface="Cambria" panose="02040503050406030204" pitchFamily="18" charset="0"/>
              <a:ea typeface="Cambria" panose="02040503050406030204" pitchFamily="18" charset="0"/>
            </a:rPr>
            <a:t>Sistem Pemberi Rekomendasi</a:t>
          </a:r>
        </a:p>
        <a:p>
          <a:pPr marL="91440" indent="-91440">
            <a:buFont typeface="Arial" panose="020B0604020202020204" pitchFamily="34" charset="0"/>
            <a:buChar char="•"/>
          </a:pPr>
          <a:r>
            <a:rPr lang="id-ID" sz="750">
              <a:latin typeface="Cambria" panose="02040503050406030204" pitchFamily="18" charset="0"/>
              <a:ea typeface="Cambria" panose="02040503050406030204" pitchFamily="18" charset="0"/>
            </a:rPr>
            <a:t>Penambangan Data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zoomScale="115" zoomScaleNormal="115" workbookViewId="0">
      <pane ySplit="1" topLeftCell="A4" activePane="bottomLeft" state="frozen"/>
      <selection pane="bottomLeft"/>
    </sheetView>
  </sheetViews>
  <sheetFormatPr defaultColWidth="9.125" defaultRowHeight="14.3"/>
  <cols>
    <col min="1" max="1" width="18" style="120" customWidth="1"/>
    <col min="2" max="2" width="68.125" style="121" customWidth="1"/>
    <col min="3" max="3" width="91.875" style="121" customWidth="1"/>
    <col min="4" max="16384" width="9.125" style="113"/>
  </cols>
  <sheetData>
    <row r="1" spans="1:4" ht="18.7" customHeight="1">
      <c r="A1" s="111" t="s">
        <v>359</v>
      </c>
      <c r="B1" s="111" t="s">
        <v>360</v>
      </c>
      <c r="C1" s="111" t="s">
        <v>361</v>
      </c>
      <c r="D1" s="112"/>
    </row>
    <row r="2" spans="1:4">
      <c r="A2" s="126" t="s">
        <v>362</v>
      </c>
      <c r="B2" s="124" t="s">
        <v>363</v>
      </c>
      <c r="C2" s="114" t="s">
        <v>364</v>
      </c>
      <c r="D2" s="112"/>
    </row>
    <row r="3" spans="1:4" ht="18.7" customHeight="1">
      <c r="A3" s="126"/>
      <c r="B3" s="124"/>
      <c r="C3" s="114" t="s">
        <v>365</v>
      </c>
      <c r="D3" s="112"/>
    </row>
    <row r="4" spans="1:4" ht="18.7" customHeight="1">
      <c r="A4" s="126"/>
      <c r="B4" s="124"/>
      <c r="C4" s="114" t="s">
        <v>366</v>
      </c>
      <c r="D4" s="112"/>
    </row>
    <row r="5" spans="1:4" ht="18.7" customHeight="1">
      <c r="A5" s="126"/>
      <c r="B5" s="124"/>
      <c r="C5" s="114" t="s">
        <v>367</v>
      </c>
      <c r="D5" s="112"/>
    </row>
    <row r="6" spans="1:4" ht="18.7" customHeight="1">
      <c r="A6" s="126"/>
      <c r="B6" s="124"/>
      <c r="C6" s="114" t="s">
        <v>368</v>
      </c>
      <c r="D6" s="112"/>
    </row>
    <row r="7" spans="1:4" ht="18.7" customHeight="1">
      <c r="A7" s="115"/>
      <c r="B7" s="116"/>
      <c r="C7" s="115"/>
      <c r="D7" s="112"/>
    </row>
    <row r="8" spans="1:4" ht="21.1" customHeight="1">
      <c r="A8" s="125" t="s">
        <v>328</v>
      </c>
      <c r="B8" s="124" t="s">
        <v>369</v>
      </c>
      <c r="C8" s="114" t="s">
        <v>370</v>
      </c>
      <c r="D8" s="112"/>
    </row>
    <row r="9" spans="1:4" ht="21.1" customHeight="1">
      <c r="A9" s="125"/>
      <c r="B9" s="124"/>
      <c r="C9" s="114" t="s">
        <v>371</v>
      </c>
      <c r="D9" s="112"/>
    </row>
    <row r="10" spans="1:4" ht="61.5" customHeight="1">
      <c r="A10" s="125"/>
      <c r="B10" s="124"/>
      <c r="C10" s="114" t="s">
        <v>372</v>
      </c>
      <c r="D10" s="112"/>
    </row>
    <row r="11" spans="1:4" ht="18.7" customHeight="1">
      <c r="A11" s="115"/>
      <c r="B11" s="116"/>
      <c r="C11" s="115"/>
      <c r="D11" s="112"/>
    </row>
    <row r="12" spans="1:4" ht="21.75" customHeight="1">
      <c r="A12" s="123" t="s">
        <v>373</v>
      </c>
      <c r="B12" s="124" t="s">
        <v>374</v>
      </c>
      <c r="C12" s="114" t="s">
        <v>370</v>
      </c>
      <c r="D12" s="112"/>
    </row>
    <row r="13" spans="1:4" ht="21.75" customHeight="1">
      <c r="A13" s="123"/>
      <c r="B13" s="124"/>
      <c r="C13" s="114" t="s">
        <v>375</v>
      </c>
      <c r="D13" s="112"/>
    </row>
    <row r="14" spans="1:4" ht="21.75" customHeight="1">
      <c r="A14" s="123"/>
      <c r="B14" s="124"/>
      <c r="C14" s="114"/>
      <c r="D14" s="112"/>
    </row>
    <row r="15" spans="1:4" ht="18.7" customHeight="1">
      <c r="A15" s="115"/>
      <c r="B15" s="116"/>
      <c r="C15" s="115"/>
      <c r="D15" s="112"/>
    </row>
    <row r="16" spans="1:4" ht="18.7" customHeight="1">
      <c r="A16" s="125" t="s">
        <v>376</v>
      </c>
      <c r="B16" s="124" t="s">
        <v>377</v>
      </c>
      <c r="C16" s="114" t="s">
        <v>370</v>
      </c>
      <c r="D16" s="112"/>
    </row>
    <row r="17" spans="1:4" ht="36.700000000000003" customHeight="1">
      <c r="A17" s="125"/>
      <c r="B17" s="124"/>
      <c r="C17" s="114" t="s">
        <v>378</v>
      </c>
      <c r="D17" s="112"/>
    </row>
    <row r="18" spans="1:4" ht="36.700000000000003" customHeight="1">
      <c r="A18" s="125"/>
      <c r="B18" s="124"/>
      <c r="C18" s="114" t="s">
        <v>379</v>
      </c>
      <c r="D18" s="112"/>
    </row>
    <row r="19" spans="1:4" ht="36.700000000000003" customHeight="1">
      <c r="A19" s="125"/>
      <c r="B19" s="124"/>
      <c r="C19" s="114" t="s">
        <v>380</v>
      </c>
      <c r="D19" s="112"/>
    </row>
    <row r="20" spans="1:4" ht="18.7" customHeight="1">
      <c r="A20" s="115"/>
      <c r="B20" s="116"/>
      <c r="C20" s="115"/>
      <c r="D20" s="112"/>
    </row>
    <row r="21" spans="1:4" ht="32.950000000000003" customHeight="1">
      <c r="A21" s="126" t="s">
        <v>381</v>
      </c>
      <c r="B21" s="124" t="s">
        <v>382</v>
      </c>
      <c r="C21" s="114" t="s">
        <v>383</v>
      </c>
      <c r="D21" s="112"/>
    </row>
    <row r="22" spans="1:4" ht="32.950000000000003" customHeight="1">
      <c r="A22" s="126"/>
      <c r="B22" s="124"/>
      <c r="C22" s="114" t="s">
        <v>384</v>
      </c>
      <c r="D22" s="112"/>
    </row>
    <row r="23" spans="1:4" ht="32.950000000000003" customHeight="1">
      <c r="A23" s="126"/>
      <c r="B23" s="124"/>
      <c r="C23" s="114" t="s">
        <v>379</v>
      </c>
      <c r="D23" s="112"/>
    </row>
    <row r="24" spans="1:4" ht="18.7" customHeight="1">
      <c r="A24" s="126"/>
      <c r="B24" s="124"/>
      <c r="C24" s="114" t="s">
        <v>385</v>
      </c>
      <c r="D24" s="112"/>
    </row>
    <row r="25" spans="1:4" ht="18.7" customHeight="1">
      <c r="A25" s="115"/>
      <c r="B25" s="116"/>
      <c r="C25" s="115"/>
      <c r="D25" s="112"/>
    </row>
    <row r="26" spans="1:4" ht="18.7" customHeight="1">
      <c r="A26" s="123" t="s">
        <v>386</v>
      </c>
      <c r="B26" s="124" t="s">
        <v>387</v>
      </c>
      <c r="C26" s="114" t="s">
        <v>370</v>
      </c>
      <c r="D26" s="112"/>
    </row>
    <row r="27" spans="1:4" ht="18.7" customHeight="1">
      <c r="A27" s="123"/>
      <c r="B27" s="124"/>
      <c r="C27" s="114"/>
      <c r="D27" s="112"/>
    </row>
    <row r="28" spans="1:4" ht="18.7" customHeight="1">
      <c r="A28" s="115"/>
      <c r="B28" s="116"/>
      <c r="C28" s="115"/>
      <c r="D28" s="112"/>
    </row>
    <row r="29" spans="1:4" ht="18.7" customHeight="1">
      <c r="A29" s="123" t="s">
        <v>388</v>
      </c>
      <c r="B29" s="124" t="s">
        <v>389</v>
      </c>
      <c r="C29" s="114" t="s">
        <v>370</v>
      </c>
      <c r="D29" s="112"/>
    </row>
    <row r="30" spans="1:4" ht="18.7" customHeight="1">
      <c r="A30" s="123"/>
      <c r="B30" s="124"/>
      <c r="C30" s="114"/>
      <c r="D30" s="112"/>
    </row>
    <row r="31" spans="1:4" ht="18.7" customHeight="1">
      <c r="A31" s="117"/>
      <c r="B31" s="116"/>
      <c r="C31" s="116"/>
      <c r="D31" s="112"/>
    </row>
    <row r="32" spans="1:4" ht="18.7" customHeight="1">
      <c r="A32" s="118"/>
      <c r="B32" s="119"/>
      <c r="C32" s="119"/>
      <c r="D32" s="112"/>
    </row>
  </sheetData>
  <sheetProtection sheet="1" objects="1" scenarios="1"/>
  <mergeCells count="14">
    <mergeCell ref="A2:A6"/>
    <mergeCell ref="B2:B6"/>
    <mergeCell ref="A8:A10"/>
    <mergeCell ref="B8:B10"/>
    <mergeCell ref="A12:A14"/>
    <mergeCell ref="B12:B14"/>
    <mergeCell ref="A29:A30"/>
    <mergeCell ref="B29:B30"/>
    <mergeCell ref="A16:A19"/>
    <mergeCell ref="B16:B19"/>
    <mergeCell ref="A21:A24"/>
    <mergeCell ref="B21:B24"/>
    <mergeCell ref="A26:A27"/>
    <mergeCell ref="B26:B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9" tint="0.79998168889431442"/>
  </sheetPr>
  <dimension ref="A1:U78"/>
  <sheetViews>
    <sheetView topLeftCell="B1" zoomScale="70" zoomScaleNormal="130" workbookViewId="0">
      <pane ySplit="5" topLeftCell="A6" activePane="bottomLeft" state="frozen"/>
      <selection pane="bottomLeft" activeCell="H23" sqref="H23"/>
    </sheetView>
  </sheetViews>
  <sheetFormatPr defaultColWidth="8.875" defaultRowHeight="14.3"/>
  <cols>
    <col min="1" max="1" width="9" style="22" customWidth="1"/>
    <col min="2" max="2" width="35.125" style="23" customWidth="1"/>
    <col min="3" max="3" width="4.875" style="24" customWidth="1"/>
    <col min="4" max="5" width="4.875" style="25" customWidth="1"/>
    <col min="6" max="6" width="7.875" style="25" customWidth="1"/>
    <col min="7" max="7" width="7.875" style="25" hidden="1" customWidth="1"/>
    <col min="8" max="8" width="8" style="24" customWidth="1"/>
    <col min="9" max="9" width="9" style="22" customWidth="1"/>
    <col min="10" max="10" width="35.125" style="23" customWidth="1"/>
    <col min="11" max="11" width="4.875" style="24" customWidth="1"/>
    <col min="12" max="13" width="4.875" style="25" customWidth="1"/>
    <col min="14" max="14" width="7.875" style="25" customWidth="1"/>
    <col min="15" max="15" width="7.875" style="25" hidden="1" customWidth="1"/>
    <col min="16" max="16" width="6.375" style="6" customWidth="1"/>
    <col min="17" max="20" width="9.625" style="6" customWidth="1"/>
    <col min="21" max="16384" width="8.875" style="6"/>
  </cols>
  <sheetData>
    <row r="1" spans="1:2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</row>
    <row r="2" spans="1:21" ht="14.95" customHeight="1">
      <c r="A2" s="82" t="s">
        <v>110</v>
      </c>
      <c r="B2" s="103" t="s">
        <v>390</v>
      </c>
      <c r="C2" s="3"/>
      <c r="D2" s="4"/>
      <c r="E2" s="134" t="s">
        <v>109</v>
      </c>
      <c r="F2" s="134"/>
      <c r="G2" s="99"/>
      <c r="H2" s="84">
        <f>SUMIFS(K7:K40,N7:N40,"Lulus")+SUMIFS(C7:C40,F7:F40,"Lulus")</f>
        <v>81</v>
      </c>
      <c r="I2" s="141" t="s">
        <v>316</v>
      </c>
      <c r="J2" s="142"/>
      <c r="K2" s="135" t="s">
        <v>311</v>
      </c>
      <c r="L2" s="136"/>
      <c r="M2" s="137"/>
      <c r="N2" s="143" t="s">
        <v>392</v>
      </c>
      <c r="O2" s="97"/>
      <c r="P2" s="5"/>
      <c r="Q2" s="5"/>
      <c r="R2" s="5"/>
      <c r="S2" s="5"/>
      <c r="T2" s="5"/>
      <c r="U2" s="5"/>
    </row>
    <row r="3" spans="1:21">
      <c r="A3" s="82" t="s">
        <v>293</v>
      </c>
      <c r="B3" s="103">
        <v>1301190425</v>
      </c>
      <c r="C3" s="3"/>
      <c r="D3" s="4"/>
      <c r="E3" s="134" t="s">
        <v>335</v>
      </c>
      <c r="F3" s="134"/>
      <c r="G3" s="99"/>
      <c r="H3" s="98">
        <f>IF(H2=0,0,SUM(G7:G13,G16:G22,G25:G30,O7:O13,O16:O21,O25:O31,G34:G39,O34:O38)/H2)</f>
        <v>3.882716049382716</v>
      </c>
      <c r="I3" s="4"/>
      <c r="J3" s="4"/>
      <c r="K3" s="138"/>
      <c r="L3" s="139"/>
      <c r="M3" s="140"/>
      <c r="N3" s="144"/>
      <c r="O3" s="97"/>
      <c r="P3" s="5"/>
      <c r="Q3" s="5"/>
      <c r="R3" s="5"/>
      <c r="S3" s="5"/>
      <c r="T3" s="5"/>
      <c r="U3" s="5"/>
    </row>
    <row r="4" spans="1:21">
      <c r="A4" s="82" t="s">
        <v>310</v>
      </c>
      <c r="B4" s="103" t="s">
        <v>391</v>
      </c>
      <c r="C4" s="3"/>
      <c r="D4" s="4"/>
      <c r="E4" s="134" t="s">
        <v>111</v>
      </c>
      <c r="F4" s="134"/>
      <c r="G4" s="99"/>
      <c r="H4" s="84">
        <f>144-H2</f>
        <v>63</v>
      </c>
      <c r="I4" s="101" t="s">
        <v>317</v>
      </c>
      <c r="J4" s="70"/>
      <c r="K4" s="3"/>
      <c r="L4" s="4"/>
      <c r="M4" s="4"/>
      <c r="N4" s="4"/>
      <c r="O4" s="4"/>
      <c r="P4" s="5"/>
      <c r="Q4" s="5"/>
      <c r="R4" s="5"/>
      <c r="S4" s="5"/>
      <c r="T4" s="5"/>
      <c r="U4" s="5"/>
    </row>
    <row r="5" spans="1:21">
      <c r="A5" s="1"/>
      <c r="B5" s="101"/>
      <c r="C5" s="3"/>
      <c r="D5" s="4"/>
      <c r="E5" s="4"/>
      <c r="F5" s="4"/>
      <c r="G5" s="4"/>
      <c r="H5" s="3"/>
      <c r="I5" s="70"/>
      <c r="J5" s="101"/>
      <c r="K5" s="3"/>
      <c r="L5" s="4"/>
      <c r="M5" s="4"/>
      <c r="N5" s="4"/>
      <c r="O5" s="4"/>
      <c r="P5" s="5"/>
      <c r="Q5" s="4"/>
      <c r="R5" s="4"/>
      <c r="S5" s="4"/>
      <c r="T5" s="4"/>
      <c r="U5" s="5"/>
    </row>
    <row r="6" spans="1:21" ht="14.95" customHeight="1">
      <c r="A6" s="149" t="s">
        <v>0</v>
      </c>
      <c r="B6" s="149"/>
      <c r="C6" s="100" t="s">
        <v>1</v>
      </c>
      <c r="D6" s="12" t="s">
        <v>106</v>
      </c>
      <c r="E6" s="12" t="s">
        <v>324</v>
      </c>
      <c r="F6" s="12" t="s">
        <v>107</v>
      </c>
      <c r="G6" s="95"/>
      <c r="H6" s="5"/>
      <c r="I6" s="147" t="s">
        <v>2</v>
      </c>
      <c r="J6" s="148"/>
      <c r="K6" s="100" t="s">
        <v>1</v>
      </c>
      <c r="L6" s="12" t="s">
        <v>106</v>
      </c>
      <c r="M6" s="12" t="s">
        <v>324</v>
      </c>
      <c r="N6" s="12" t="s">
        <v>107</v>
      </c>
      <c r="O6" s="95"/>
      <c r="P6" s="5"/>
      <c r="Q6" s="145" t="s">
        <v>295</v>
      </c>
      <c r="R6" s="145"/>
      <c r="S6" s="145"/>
      <c r="T6" s="145"/>
      <c r="U6" s="5"/>
    </row>
    <row r="7" spans="1:21">
      <c r="A7" s="13" t="s">
        <v>3</v>
      </c>
      <c r="B7" s="14" t="s">
        <v>4</v>
      </c>
      <c r="C7" s="84">
        <v>3</v>
      </c>
      <c r="D7" s="15" t="s">
        <v>5</v>
      </c>
      <c r="E7" s="92" t="s">
        <v>393</v>
      </c>
      <c r="F7" s="15" t="str">
        <f>IF(ISBLANK(E7),"Belum",IF(CODE(D7)&gt;=CODE(UPPER(E7)),"Lulus","Ulang"))</f>
        <v>Lulus</v>
      </c>
      <c r="G7" s="96">
        <f>IF(E7="A",4,IF(E7="AB",3.5,IF(E7="B",3,IF(E7="BC",2.5,IF(E7="C",2,IF(E7="D",1,0))))))*C7</f>
        <v>12</v>
      </c>
      <c r="H7" s="5"/>
      <c r="I7" s="13" t="s">
        <v>6</v>
      </c>
      <c r="J7" s="14" t="s">
        <v>7</v>
      </c>
      <c r="K7" s="84">
        <v>3</v>
      </c>
      <c r="L7" s="15" t="s">
        <v>5</v>
      </c>
      <c r="M7" s="92" t="s">
        <v>393</v>
      </c>
      <c r="N7" s="15" t="str">
        <f t="shared" ref="N7:N13" si="0">IF(ISBLANK(M7),"Belum",IF(CODE(L7)&gt;=CODE(UPPER(M7)),"Lulus","Ulang"))</f>
        <v>Lulus</v>
      </c>
      <c r="O7" s="96">
        <f t="shared" ref="O7:O13" si="1">IF(M7="A",4,IF(M7="AB",3.5,IF(M7="B",3,IF(M7="BC",2.5,IF(M7="C",2,IF(M7="D",1,0))))))*K7</f>
        <v>12</v>
      </c>
      <c r="P7" s="5"/>
      <c r="Q7" s="145"/>
      <c r="R7" s="145"/>
      <c r="S7" s="145"/>
      <c r="T7" s="145"/>
      <c r="U7" s="5"/>
    </row>
    <row r="8" spans="1:21">
      <c r="A8" s="13" t="s">
        <v>8</v>
      </c>
      <c r="B8" s="14" t="s">
        <v>9</v>
      </c>
      <c r="C8" s="84">
        <v>2</v>
      </c>
      <c r="D8" s="15" t="s">
        <v>10</v>
      </c>
      <c r="E8" s="92" t="s">
        <v>393</v>
      </c>
      <c r="F8" s="15" t="str">
        <f t="shared" ref="F8:F13" si="2">IF(ISBLANK(E8),"Belum",IF(CODE(D8)&gt;=CODE(UPPER(E8)),"Lulus","Ulang"))</f>
        <v>Lulus</v>
      </c>
      <c r="G8" s="96">
        <f t="shared" ref="G8:G13" si="3">IF(E8="A",4,IF(E8="AB",3.5,IF(E8="B",3,IF(E8="BC",2.5,IF(E8="C",2,IF(E8="D",1,0))))))*C8</f>
        <v>8</v>
      </c>
      <c r="H8" s="5"/>
      <c r="I8" s="13" t="s">
        <v>11</v>
      </c>
      <c r="J8" s="14" t="s">
        <v>12</v>
      </c>
      <c r="K8" s="84">
        <v>3</v>
      </c>
      <c r="L8" s="15" t="s">
        <v>5</v>
      </c>
      <c r="M8" s="92" t="s">
        <v>393</v>
      </c>
      <c r="N8" s="15" t="str">
        <f t="shared" si="0"/>
        <v>Lulus</v>
      </c>
      <c r="O8" s="96">
        <f t="shared" si="1"/>
        <v>12</v>
      </c>
      <c r="P8" s="5"/>
      <c r="Q8" s="133" t="s">
        <v>349</v>
      </c>
      <c r="R8" s="133"/>
      <c r="S8" s="133"/>
      <c r="T8" s="133"/>
      <c r="U8" s="5"/>
    </row>
    <row r="9" spans="1:21">
      <c r="A9" s="13" t="s">
        <v>13</v>
      </c>
      <c r="B9" s="14" t="s">
        <v>14</v>
      </c>
      <c r="C9" s="84">
        <v>2</v>
      </c>
      <c r="D9" s="15" t="s">
        <v>5</v>
      </c>
      <c r="E9" s="92" t="s">
        <v>393</v>
      </c>
      <c r="F9" s="15" t="str">
        <f t="shared" si="2"/>
        <v>Lulus</v>
      </c>
      <c r="G9" s="96">
        <f t="shared" si="3"/>
        <v>8</v>
      </c>
      <c r="H9" s="5"/>
      <c r="I9" s="13" t="s">
        <v>15</v>
      </c>
      <c r="J9" s="14" t="s">
        <v>16</v>
      </c>
      <c r="K9" s="84">
        <v>4</v>
      </c>
      <c r="L9" s="15" t="s">
        <v>5</v>
      </c>
      <c r="M9" s="92" t="s">
        <v>393</v>
      </c>
      <c r="N9" s="15" t="str">
        <f t="shared" si="0"/>
        <v>Lulus</v>
      </c>
      <c r="O9" s="96">
        <f t="shared" si="1"/>
        <v>16</v>
      </c>
      <c r="P9" s="5"/>
      <c r="Q9" s="133"/>
      <c r="R9" s="133"/>
      <c r="S9" s="133"/>
      <c r="T9" s="133"/>
      <c r="U9" s="5"/>
    </row>
    <row r="10" spans="1:21">
      <c r="A10" s="13" t="s">
        <v>17</v>
      </c>
      <c r="B10" s="14" t="s">
        <v>18</v>
      </c>
      <c r="C10" s="84">
        <v>2</v>
      </c>
      <c r="D10" s="15" t="s">
        <v>5</v>
      </c>
      <c r="E10" s="92" t="s">
        <v>393</v>
      </c>
      <c r="F10" s="15" t="str">
        <f t="shared" si="2"/>
        <v>Lulus</v>
      </c>
      <c r="G10" s="96">
        <f t="shared" si="3"/>
        <v>8</v>
      </c>
      <c r="H10" s="5"/>
      <c r="I10" s="13" t="s">
        <v>19</v>
      </c>
      <c r="J10" s="14" t="s">
        <v>20</v>
      </c>
      <c r="K10" s="84">
        <v>2</v>
      </c>
      <c r="L10" s="15" t="s">
        <v>10</v>
      </c>
      <c r="M10" s="92" t="s">
        <v>393</v>
      </c>
      <c r="N10" s="15" t="str">
        <f t="shared" si="0"/>
        <v>Lulus</v>
      </c>
      <c r="O10" s="96">
        <f t="shared" si="1"/>
        <v>8</v>
      </c>
      <c r="P10" s="5"/>
      <c r="Q10" s="133"/>
      <c r="R10" s="133"/>
      <c r="S10" s="133"/>
      <c r="T10" s="133"/>
      <c r="U10" s="5"/>
    </row>
    <row r="11" spans="1:21">
      <c r="A11" s="13" t="s">
        <v>21</v>
      </c>
      <c r="B11" s="14" t="s">
        <v>22</v>
      </c>
      <c r="C11" s="84">
        <v>4</v>
      </c>
      <c r="D11" s="15" t="s">
        <v>5</v>
      </c>
      <c r="E11" s="92" t="s">
        <v>393</v>
      </c>
      <c r="F11" s="15" t="str">
        <f t="shared" si="2"/>
        <v>Lulus</v>
      </c>
      <c r="G11" s="96">
        <f t="shared" si="3"/>
        <v>16</v>
      </c>
      <c r="H11" s="5"/>
      <c r="I11" s="13" t="s">
        <v>23</v>
      </c>
      <c r="J11" s="14" t="s">
        <v>24</v>
      </c>
      <c r="K11" s="84">
        <v>3</v>
      </c>
      <c r="L11" s="15" t="s">
        <v>5</v>
      </c>
      <c r="M11" s="92" t="s">
        <v>393</v>
      </c>
      <c r="N11" s="15" t="str">
        <f t="shared" si="0"/>
        <v>Lulus</v>
      </c>
      <c r="O11" s="96">
        <f t="shared" si="1"/>
        <v>12</v>
      </c>
      <c r="P11" s="5"/>
      <c r="Q11" s="133" t="s">
        <v>321</v>
      </c>
      <c r="R11" s="133"/>
      <c r="S11" s="133"/>
      <c r="T11" s="133"/>
      <c r="U11" s="5"/>
    </row>
    <row r="12" spans="1:21" ht="14.95" customHeight="1">
      <c r="A12" s="13" t="s">
        <v>25</v>
      </c>
      <c r="B12" s="14" t="s">
        <v>26</v>
      </c>
      <c r="C12" s="84">
        <v>3</v>
      </c>
      <c r="D12" s="15" t="s">
        <v>5</v>
      </c>
      <c r="E12" s="92" t="s">
        <v>393</v>
      </c>
      <c r="F12" s="15" t="str">
        <f t="shared" si="2"/>
        <v>Lulus</v>
      </c>
      <c r="G12" s="96">
        <f t="shared" si="3"/>
        <v>12</v>
      </c>
      <c r="H12" s="5"/>
      <c r="I12" s="13" t="s">
        <v>27</v>
      </c>
      <c r="J12" s="14" t="s">
        <v>28</v>
      </c>
      <c r="K12" s="84">
        <v>2</v>
      </c>
      <c r="L12" s="15" t="s">
        <v>5</v>
      </c>
      <c r="M12" s="92" t="s">
        <v>393</v>
      </c>
      <c r="N12" s="15" t="str">
        <f t="shared" si="0"/>
        <v>Lulus</v>
      </c>
      <c r="O12" s="96">
        <f t="shared" si="1"/>
        <v>8</v>
      </c>
      <c r="P12" s="5"/>
      <c r="Q12" s="133"/>
      <c r="R12" s="133"/>
      <c r="S12" s="133"/>
      <c r="T12" s="133"/>
      <c r="U12" s="5"/>
    </row>
    <row r="13" spans="1:21">
      <c r="A13" s="13" t="s">
        <v>29</v>
      </c>
      <c r="B13" s="14" t="s">
        <v>30</v>
      </c>
      <c r="C13" s="84">
        <v>2</v>
      </c>
      <c r="D13" s="15" t="s">
        <v>5</v>
      </c>
      <c r="E13" s="92" t="s">
        <v>393</v>
      </c>
      <c r="F13" s="15" t="str">
        <f t="shared" si="2"/>
        <v>Lulus</v>
      </c>
      <c r="G13" s="96">
        <f t="shared" si="3"/>
        <v>8</v>
      </c>
      <c r="H13" s="5"/>
      <c r="I13" s="13" t="s">
        <v>31</v>
      </c>
      <c r="J13" s="14" t="s">
        <v>32</v>
      </c>
      <c r="K13" s="84">
        <v>3</v>
      </c>
      <c r="L13" s="15" t="s">
        <v>10</v>
      </c>
      <c r="M13" s="92" t="s">
        <v>394</v>
      </c>
      <c r="N13" s="15" t="str">
        <f t="shared" si="0"/>
        <v>Lulus</v>
      </c>
      <c r="O13" s="96">
        <f t="shared" si="1"/>
        <v>10.5</v>
      </c>
      <c r="P13" s="5"/>
      <c r="Q13" s="133"/>
      <c r="R13" s="133"/>
      <c r="S13" s="133"/>
      <c r="T13" s="133"/>
      <c r="U13" s="5"/>
    </row>
    <row r="14" spans="1:21">
      <c r="A14" s="16"/>
      <c r="B14" s="17"/>
      <c r="C14" s="5"/>
      <c r="D14" s="18"/>
      <c r="E14" s="18"/>
      <c r="F14" s="5"/>
      <c r="G14" s="5"/>
      <c r="H14" s="5"/>
      <c r="I14" s="16"/>
      <c r="J14" s="17"/>
      <c r="K14" s="5"/>
      <c r="L14" s="18"/>
      <c r="M14" s="18"/>
      <c r="N14" s="5"/>
      <c r="O14" s="5"/>
      <c r="P14" s="5"/>
      <c r="Q14" s="133" t="s">
        <v>325</v>
      </c>
      <c r="R14" s="133"/>
      <c r="S14" s="133"/>
      <c r="T14" s="133"/>
      <c r="U14" s="5"/>
    </row>
    <row r="15" spans="1:21">
      <c r="A15" s="147" t="s">
        <v>33</v>
      </c>
      <c r="B15" s="148"/>
      <c r="C15" s="100" t="s">
        <v>1</v>
      </c>
      <c r="D15" s="12" t="s">
        <v>106</v>
      </c>
      <c r="E15" s="12" t="s">
        <v>324</v>
      </c>
      <c r="F15" s="12" t="s">
        <v>107</v>
      </c>
      <c r="G15" s="95"/>
      <c r="H15" s="5"/>
      <c r="I15" s="147" t="s">
        <v>34</v>
      </c>
      <c r="J15" s="148"/>
      <c r="K15" s="100" t="s">
        <v>1</v>
      </c>
      <c r="L15" s="12" t="s">
        <v>106</v>
      </c>
      <c r="M15" s="12" t="s">
        <v>324</v>
      </c>
      <c r="N15" s="12" t="s">
        <v>107</v>
      </c>
      <c r="O15" s="95"/>
      <c r="P15" s="5"/>
      <c r="Q15" s="133"/>
      <c r="R15" s="133"/>
      <c r="S15" s="133"/>
      <c r="T15" s="133"/>
      <c r="U15" s="5"/>
    </row>
    <row r="16" spans="1:21">
      <c r="A16" s="13" t="s">
        <v>35</v>
      </c>
      <c r="B16" s="14" t="s">
        <v>36</v>
      </c>
      <c r="C16" s="84">
        <v>3</v>
      </c>
      <c r="D16" s="15" t="s">
        <v>5</v>
      </c>
      <c r="E16" s="92" t="s">
        <v>393</v>
      </c>
      <c r="F16" s="15" t="str">
        <f t="shared" ref="F16:F22" si="4">IF(ISBLANK(E16),"Belum",IF(CODE(D16)&gt;=CODE(UPPER(E16)),"Lulus","Ulang"))</f>
        <v>Lulus</v>
      </c>
      <c r="G16" s="96">
        <f t="shared" ref="G16:G22" si="5">IF(E16="A",4,IF(E16="AB",3.5,IF(E16="B",3,IF(E16="BC",2.5,IF(E16="C",2,IF(E16="D",1,0))))))*C16</f>
        <v>12</v>
      </c>
      <c r="H16" s="5"/>
      <c r="I16" s="13" t="s">
        <v>37</v>
      </c>
      <c r="J16" s="14" t="s">
        <v>38</v>
      </c>
      <c r="K16" s="84">
        <v>4</v>
      </c>
      <c r="L16" s="15" t="s">
        <v>5</v>
      </c>
      <c r="M16" s="92" t="s">
        <v>394</v>
      </c>
      <c r="N16" s="15" t="str">
        <f t="shared" ref="N16:N21" si="6">IF(ISBLANK(M16),"Belum",IF(CODE(L16)&gt;=CODE(UPPER(M16)),"Lulus","Ulang"))</f>
        <v>Lulus</v>
      </c>
      <c r="O16" s="96">
        <f t="shared" ref="O16:O21" si="7">IF(M16="A",4,IF(M16="AB",3.5,IF(M16="B",3,IF(M16="BC",2.5,IF(M16="C",2,IF(M16="D",1,0))))))*K16</f>
        <v>14</v>
      </c>
      <c r="P16" s="5"/>
      <c r="Q16" s="133"/>
      <c r="R16" s="133"/>
      <c r="S16" s="133"/>
      <c r="T16" s="133"/>
      <c r="U16" s="5"/>
    </row>
    <row r="17" spans="1:21">
      <c r="A17" s="13" t="s">
        <v>39</v>
      </c>
      <c r="B17" s="14" t="s">
        <v>40</v>
      </c>
      <c r="C17" s="84">
        <v>3</v>
      </c>
      <c r="D17" s="15" t="s">
        <v>5</v>
      </c>
      <c r="E17" s="92"/>
      <c r="F17" s="15" t="str">
        <f t="shared" si="4"/>
        <v>Belum</v>
      </c>
      <c r="G17" s="96">
        <f t="shared" si="5"/>
        <v>0</v>
      </c>
      <c r="H17" s="5"/>
      <c r="I17" s="13" t="s">
        <v>41</v>
      </c>
      <c r="J17" s="14" t="s">
        <v>42</v>
      </c>
      <c r="K17" s="84">
        <v>3</v>
      </c>
      <c r="L17" s="15" t="s">
        <v>5</v>
      </c>
      <c r="M17" s="92" t="s">
        <v>393</v>
      </c>
      <c r="N17" s="15" t="str">
        <f t="shared" si="6"/>
        <v>Lulus</v>
      </c>
      <c r="O17" s="96">
        <f t="shared" si="7"/>
        <v>12</v>
      </c>
      <c r="P17" s="5"/>
      <c r="Q17" s="133"/>
      <c r="R17" s="133"/>
      <c r="S17" s="133"/>
      <c r="T17" s="133"/>
      <c r="U17" s="5"/>
    </row>
    <row r="18" spans="1:21">
      <c r="A18" s="13" t="s">
        <v>43</v>
      </c>
      <c r="B18" s="14" t="s">
        <v>44</v>
      </c>
      <c r="C18" s="84">
        <v>3</v>
      </c>
      <c r="D18" s="15" t="s">
        <v>5</v>
      </c>
      <c r="E18" s="92" t="s">
        <v>394</v>
      </c>
      <c r="F18" s="15" t="str">
        <f t="shared" si="4"/>
        <v>Lulus</v>
      </c>
      <c r="G18" s="96">
        <f t="shared" si="5"/>
        <v>10.5</v>
      </c>
      <c r="H18" s="5"/>
      <c r="I18" s="13" t="s">
        <v>45</v>
      </c>
      <c r="J18" s="14" t="s">
        <v>46</v>
      </c>
      <c r="K18" s="84">
        <v>3</v>
      </c>
      <c r="L18" s="15" t="s">
        <v>5</v>
      </c>
      <c r="M18" s="92" t="s">
        <v>393</v>
      </c>
      <c r="N18" s="15" t="str">
        <f t="shared" si="6"/>
        <v>Lulus</v>
      </c>
      <c r="O18" s="96">
        <f t="shared" si="7"/>
        <v>12</v>
      </c>
      <c r="P18" s="5"/>
      <c r="Q18" s="133" t="s">
        <v>356</v>
      </c>
      <c r="R18" s="133"/>
      <c r="S18" s="133"/>
      <c r="T18" s="133"/>
      <c r="U18" s="5"/>
    </row>
    <row r="19" spans="1:21">
      <c r="A19" s="13" t="s">
        <v>47</v>
      </c>
      <c r="B19" s="14" t="s">
        <v>48</v>
      </c>
      <c r="C19" s="84">
        <v>3</v>
      </c>
      <c r="D19" s="15" t="s">
        <v>5</v>
      </c>
      <c r="E19" s="92" t="s">
        <v>394</v>
      </c>
      <c r="F19" s="15" t="str">
        <f t="shared" si="4"/>
        <v>Lulus</v>
      </c>
      <c r="G19" s="96">
        <f t="shared" si="5"/>
        <v>10.5</v>
      </c>
      <c r="H19" s="5"/>
      <c r="I19" s="13" t="s">
        <v>49</v>
      </c>
      <c r="J19" s="14" t="s">
        <v>50</v>
      </c>
      <c r="K19" s="84">
        <v>3</v>
      </c>
      <c r="L19" s="15" t="s">
        <v>5</v>
      </c>
      <c r="M19" s="92" t="s">
        <v>394</v>
      </c>
      <c r="N19" s="15" t="str">
        <f t="shared" si="6"/>
        <v>Lulus</v>
      </c>
      <c r="O19" s="96">
        <f t="shared" si="7"/>
        <v>10.5</v>
      </c>
      <c r="P19" s="5"/>
      <c r="Q19" s="133"/>
      <c r="R19" s="133"/>
      <c r="S19" s="133"/>
      <c r="T19" s="133"/>
      <c r="U19" s="5"/>
    </row>
    <row r="20" spans="1:21">
      <c r="A20" s="13" t="s">
        <v>51</v>
      </c>
      <c r="B20" s="14" t="s">
        <v>52</v>
      </c>
      <c r="C20" s="84">
        <v>3</v>
      </c>
      <c r="D20" s="15" t="s">
        <v>5</v>
      </c>
      <c r="E20" s="92"/>
      <c r="F20" s="15" t="str">
        <f t="shared" si="4"/>
        <v>Belum</v>
      </c>
      <c r="G20" s="96">
        <f t="shared" si="5"/>
        <v>0</v>
      </c>
      <c r="H20" s="5"/>
      <c r="I20" s="13" t="s">
        <v>53</v>
      </c>
      <c r="J20" s="14" t="s">
        <v>54</v>
      </c>
      <c r="K20" s="84">
        <v>3</v>
      </c>
      <c r="L20" s="15" t="s">
        <v>5</v>
      </c>
      <c r="M20" s="92"/>
      <c r="N20" s="15" t="str">
        <f t="shared" si="6"/>
        <v>Belum</v>
      </c>
      <c r="O20" s="96">
        <f t="shared" si="7"/>
        <v>0</v>
      </c>
      <c r="P20" s="5"/>
      <c r="Q20" s="133"/>
      <c r="R20" s="133"/>
      <c r="S20" s="133"/>
      <c r="T20" s="133"/>
      <c r="U20" s="5"/>
    </row>
    <row r="21" spans="1:21">
      <c r="A21" s="13" t="s">
        <v>55</v>
      </c>
      <c r="B21" s="14" t="s">
        <v>56</v>
      </c>
      <c r="C21" s="84">
        <v>3</v>
      </c>
      <c r="D21" s="15" t="s">
        <v>5</v>
      </c>
      <c r="E21" s="92" t="s">
        <v>393</v>
      </c>
      <c r="F21" s="15" t="str">
        <f t="shared" si="4"/>
        <v>Lulus</v>
      </c>
      <c r="G21" s="96">
        <f t="shared" si="5"/>
        <v>12</v>
      </c>
      <c r="H21" s="5"/>
      <c r="I21" s="13" t="s">
        <v>57</v>
      </c>
      <c r="J21" s="14" t="s">
        <v>58</v>
      </c>
      <c r="K21" s="84">
        <v>3</v>
      </c>
      <c r="L21" s="15" t="s">
        <v>5</v>
      </c>
      <c r="M21" s="92" t="s">
        <v>393</v>
      </c>
      <c r="N21" s="15" t="str">
        <f t="shared" si="6"/>
        <v>Lulus</v>
      </c>
      <c r="O21" s="96">
        <f t="shared" si="7"/>
        <v>12</v>
      </c>
      <c r="P21" s="5"/>
      <c r="Q21" s="146" t="s">
        <v>350</v>
      </c>
      <c r="R21" s="146"/>
      <c r="S21" s="146"/>
      <c r="T21" s="146"/>
      <c r="U21" s="5"/>
    </row>
    <row r="22" spans="1:21">
      <c r="A22" s="13" t="s">
        <v>59</v>
      </c>
      <c r="B22" s="14" t="s">
        <v>60</v>
      </c>
      <c r="C22" s="84">
        <v>2</v>
      </c>
      <c r="D22" s="15" t="s">
        <v>5</v>
      </c>
      <c r="E22" s="92" t="s">
        <v>393</v>
      </c>
      <c r="F22" s="15" t="str">
        <f t="shared" si="4"/>
        <v>Lulus</v>
      </c>
      <c r="G22" s="96">
        <f t="shared" si="5"/>
        <v>8</v>
      </c>
      <c r="H22" s="5"/>
      <c r="I22" s="13"/>
      <c r="J22" s="14"/>
      <c r="K22" s="84"/>
      <c r="L22" s="15"/>
      <c r="M22" s="15"/>
      <c r="N22" s="15"/>
      <c r="O22" s="96"/>
      <c r="P22" s="5"/>
      <c r="Q22" s="146"/>
      <c r="R22" s="146"/>
      <c r="S22" s="146"/>
      <c r="T22" s="146"/>
      <c r="U22" s="5"/>
    </row>
    <row r="23" spans="1:21">
      <c r="A23" s="16"/>
      <c r="B23" s="17"/>
      <c r="C23" s="5"/>
      <c r="D23" s="18"/>
      <c r="E23" s="18"/>
      <c r="F23" s="18"/>
      <c r="G23" s="18"/>
      <c r="H23" s="5"/>
      <c r="I23" s="16"/>
      <c r="J23" s="17"/>
      <c r="K23" s="5"/>
      <c r="L23" s="18"/>
      <c r="M23" s="18"/>
      <c r="N23" s="18"/>
      <c r="O23" s="18"/>
      <c r="P23" s="5"/>
      <c r="Q23" s="146"/>
      <c r="R23" s="146"/>
      <c r="S23" s="146"/>
      <c r="T23" s="146"/>
      <c r="U23" s="5"/>
    </row>
    <row r="24" spans="1:21">
      <c r="A24" s="147" t="s">
        <v>61</v>
      </c>
      <c r="B24" s="148"/>
      <c r="C24" s="100" t="s">
        <v>1</v>
      </c>
      <c r="D24" s="12" t="s">
        <v>106</v>
      </c>
      <c r="E24" s="12" t="s">
        <v>324</v>
      </c>
      <c r="F24" s="12" t="s">
        <v>107</v>
      </c>
      <c r="G24" s="95"/>
      <c r="H24" s="5"/>
      <c r="I24" s="147" t="s">
        <v>62</v>
      </c>
      <c r="J24" s="148"/>
      <c r="K24" s="100" t="s">
        <v>1</v>
      </c>
      <c r="L24" s="12" t="s">
        <v>106</v>
      </c>
      <c r="M24" s="12" t="s">
        <v>324</v>
      </c>
      <c r="N24" s="12" t="s">
        <v>107</v>
      </c>
      <c r="O24" s="95"/>
      <c r="P24" s="5"/>
      <c r="Q24" s="58"/>
      <c r="R24" s="58"/>
      <c r="S24" s="58"/>
      <c r="T24" s="58"/>
      <c r="U24" s="5"/>
    </row>
    <row r="25" spans="1:21">
      <c r="A25" s="13" t="s">
        <v>63</v>
      </c>
      <c r="B25" s="14" t="s">
        <v>64</v>
      </c>
      <c r="C25" s="84">
        <v>4</v>
      </c>
      <c r="D25" s="15" t="s">
        <v>5</v>
      </c>
      <c r="E25" s="92" t="s">
        <v>393</v>
      </c>
      <c r="F25" s="15" t="str">
        <f t="shared" ref="F25:F30" si="8">IF(ISBLANK(E25),"Belum",IF(CODE(D25)&gt;=CODE(UPPER(E25)),"Lulus","Ulang"))</f>
        <v>Lulus</v>
      </c>
      <c r="G25" s="96">
        <f t="shared" ref="G25:G30" si="9">IF(E25="A",4,IF(E25="AB",3.5,IF(E25="B",3,IF(E25="BC",2.5,IF(E25="C",2,IF(E25="D",1,0))))))*C25</f>
        <v>16</v>
      </c>
      <c r="H25" s="5"/>
      <c r="I25" s="13" t="s">
        <v>65</v>
      </c>
      <c r="J25" s="14" t="s">
        <v>66</v>
      </c>
      <c r="K25" s="84">
        <v>2</v>
      </c>
      <c r="L25" s="15" t="s">
        <v>5</v>
      </c>
      <c r="M25" s="92"/>
      <c r="N25" s="15" t="str">
        <f t="shared" ref="N25:N31" si="10">IF(ISBLANK(M25),"Belum",IF(CODE(L25)&gt;=CODE(UPPER(M25)),"Lulus","Ulang"))</f>
        <v>Belum</v>
      </c>
      <c r="O25" s="96">
        <f t="shared" ref="O25:O31" si="11">IF(M25="A",4,IF(M25="AB",3.5,IF(M25="B",3,IF(M25="BC",2.5,IF(M25="C",2,IF(M25="D",1,0))))))*K25</f>
        <v>0</v>
      </c>
      <c r="P25" s="5"/>
      <c r="Q25" s="58"/>
      <c r="R25" s="58"/>
      <c r="S25" s="58"/>
      <c r="T25" s="58"/>
      <c r="U25" s="5"/>
    </row>
    <row r="26" spans="1:21">
      <c r="A26" s="13" t="s">
        <v>67</v>
      </c>
      <c r="B26" s="14" t="s">
        <v>68</v>
      </c>
      <c r="C26" s="84">
        <v>3</v>
      </c>
      <c r="D26" s="15" t="s">
        <v>5</v>
      </c>
      <c r="E26" s="92" t="s">
        <v>393</v>
      </c>
      <c r="F26" s="15" t="str">
        <f t="shared" si="8"/>
        <v>Lulus</v>
      </c>
      <c r="G26" s="96">
        <f t="shared" si="9"/>
        <v>12</v>
      </c>
      <c r="H26" s="5"/>
      <c r="I26" s="13" t="s">
        <v>69</v>
      </c>
      <c r="J26" s="14" t="s">
        <v>70</v>
      </c>
      <c r="K26" s="84">
        <v>3</v>
      </c>
      <c r="L26" s="15" t="s">
        <v>5</v>
      </c>
      <c r="M26" s="92"/>
      <c r="N26" s="15" t="str">
        <f t="shared" si="10"/>
        <v>Belum</v>
      </c>
      <c r="O26" s="96">
        <f t="shared" si="11"/>
        <v>0</v>
      </c>
      <c r="P26" s="5"/>
      <c r="Q26" s="127" t="s">
        <v>336</v>
      </c>
      <c r="R26" s="128"/>
      <c r="S26" s="128"/>
      <c r="T26" s="129"/>
      <c r="U26" s="5"/>
    </row>
    <row r="27" spans="1:21">
      <c r="A27" s="13" t="s">
        <v>71</v>
      </c>
      <c r="B27" s="14" t="s">
        <v>72</v>
      </c>
      <c r="C27" s="84">
        <v>3</v>
      </c>
      <c r="D27" s="15" t="s">
        <v>5</v>
      </c>
      <c r="E27" s="92"/>
      <c r="F27" s="15" t="str">
        <f t="shared" si="8"/>
        <v>Belum</v>
      </c>
      <c r="G27" s="96">
        <f t="shared" si="9"/>
        <v>0</v>
      </c>
      <c r="H27" s="5"/>
      <c r="I27" s="13" t="s">
        <v>73</v>
      </c>
      <c r="J27" s="14" t="s">
        <v>74</v>
      </c>
      <c r="K27" s="84">
        <v>3</v>
      </c>
      <c r="L27" s="15" t="s">
        <v>5</v>
      </c>
      <c r="M27" s="92"/>
      <c r="N27" s="15" t="str">
        <f t="shared" si="10"/>
        <v>Belum</v>
      </c>
      <c r="O27" s="96">
        <f t="shared" si="11"/>
        <v>0</v>
      </c>
      <c r="P27" s="5"/>
      <c r="Q27" s="130"/>
      <c r="R27" s="131"/>
      <c r="S27" s="131"/>
      <c r="T27" s="132"/>
      <c r="U27" s="5"/>
    </row>
    <row r="28" spans="1:21">
      <c r="A28" s="13" t="s">
        <v>75</v>
      </c>
      <c r="B28" s="14" t="s">
        <v>76</v>
      </c>
      <c r="C28" s="84">
        <v>3</v>
      </c>
      <c r="D28" s="15" t="s">
        <v>5</v>
      </c>
      <c r="E28" s="92"/>
      <c r="F28" s="15" t="str">
        <f t="shared" si="8"/>
        <v>Belum</v>
      </c>
      <c r="G28" s="96">
        <f t="shared" si="9"/>
        <v>0</v>
      </c>
      <c r="H28" s="5"/>
      <c r="I28" s="13" t="s">
        <v>77</v>
      </c>
      <c r="J28" s="14" t="s">
        <v>78</v>
      </c>
      <c r="K28" s="84">
        <v>2</v>
      </c>
      <c r="L28" s="15" t="s">
        <v>5</v>
      </c>
      <c r="M28" s="92"/>
      <c r="N28" s="15" t="str">
        <f t="shared" si="10"/>
        <v>Belum</v>
      </c>
      <c r="O28" s="96">
        <f t="shared" si="11"/>
        <v>0</v>
      </c>
      <c r="P28" s="5"/>
      <c r="Q28" s="4"/>
      <c r="R28" s="4"/>
      <c r="S28" s="4"/>
      <c r="T28" s="4"/>
      <c r="U28" s="5"/>
    </row>
    <row r="29" spans="1:21">
      <c r="A29" s="13" t="s">
        <v>79</v>
      </c>
      <c r="B29" s="14" t="s">
        <v>80</v>
      </c>
      <c r="C29" s="84">
        <v>3</v>
      </c>
      <c r="D29" s="15" t="s">
        <v>5</v>
      </c>
      <c r="E29" s="92" t="s">
        <v>393</v>
      </c>
      <c r="F29" s="15" t="str">
        <f t="shared" si="8"/>
        <v>Lulus</v>
      </c>
      <c r="G29" s="96">
        <f t="shared" si="9"/>
        <v>12</v>
      </c>
      <c r="H29" s="5"/>
      <c r="I29" s="13" t="s">
        <v>81</v>
      </c>
      <c r="J29" s="14" t="s">
        <v>82</v>
      </c>
      <c r="K29" s="84">
        <v>3</v>
      </c>
      <c r="L29" s="15" t="s">
        <v>5</v>
      </c>
      <c r="M29" s="92"/>
      <c r="N29" s="15" t="str">
        <f t="shared" si="10"/>
        <v>Belum</v>
      </c>
      <c r="O29" s="96">
        <f t="shared" si="11"/>
        <v>0</v>
      </c>
      <c r="P29" s="5"/>
      <c r="Q29" s="4"/>
      <c r="R29" s="4"/>
      <c r="S29" s="4"/>
      <c r="T29" s="4"/>
      <c r="U29" s="5"/>
    </row>
    <row r="30" spans="1:21">
      <c r="A30" s="13" t="s">
        <v>83</v>
      </c>
      <c r="B30" s="14" t="s">
        <v>84</v>
      </c>
      <c r="C30" s="84">
        <v>2</v>
      </c>
      <c r="D30" s="15" t="s">
        <v>5</v>
      </c>
      <c r="E30" s="92"/>
      <c r="F30" s="15" t="str">
        <f t="shared" si="8"/>
        <v>Belum</v>
      </c>
      <c r="G30" s="96">
        <f t="shared" si="9"/>
        <v>0</v>
      </c>
      <c r="H30" s="5"/>
      <c r="I30" s="13" t="s">
        <v>196</v>
      </c>
      <c r="J30" s="14" t="s">
        <v>85</v>
      </c>
      <c r="K30" s="84">
        <v>3</v>
      </c>
      <c r="L30" s="15" t="s">
        <v>10</v>
      </c>
      <c r="M30" s="92"/>
      <c r="N30" s="15" t="str">
        <f t="shared" si="10"/>
        <v>Belum</v>
      </c>
      <c r="O30" s="96">
        <f t="shared" si="11"/>
        <v>0</v>
      </c>
      <c r="P30" s="5"/>
      <c r="Q30" s="4"/>
      <c r="R30" s="4"/>
      <c r="S30" s="4"/>
      <c r="T30" s="4"/>
      <c r="U30" s="5"/>
    </row>
    <row r="31" spans="1:21">
      <c r="A31" s="13"/>
      <c r="B31" s="14"/>
      <c r="C31" s="84"/>
      <c r="D31" s="15"/>
      <c r="E31" s="15"/>
      <c r="F31" s="15"/>
      <c r="G31" s="96"/>
      <c r="H31" s="5"/>
      <c r="I31" s="13" t="s">
        <v>86</v>
      </c>
      <c r="J31" s="14" t="s">
        <v>87</v>
      </c>
      <c r="K31" s="84">
        <v>2</v>
      </c>
      <c r="L31" s="15" t="s">
        <v>5</v>
      </c>
      <c r="M31" s="92"/>
      <c r="N31" s="15" t="str">
        <f t="shared" si="10"/>
        <v>Belum</v>
      </c>
      <c r="O31" s="96">
        <f t="shared" si="11"/>
        <v>0</v>
      </c>
      <c r="P31" s="5"/>
      <c r="Q31" s="4"/>
      <c r="R31" s="4"/>
      <c r="S31" s="4"/>
      <c r="T31" s="4"/>
      <c r="U31" s="5"/>
    </row>
    <row r="32" spans="1:21">
      <c r="A32" s="16"/>
      <c r="B32" s="17"/>
      <c r="C32" s="5"/>
      <c r="D32" s="18"/>
      <c r="E32" s="18"/>
      <c r="F32" s="18"/>
      <c r="G32" s="18"/>
      <c r="H32" s="5"/>
      <c r="I32" s="16"/>
      <c r="J32" s="17"/>
      <c r="K32" s="5"/>
      <c r="L32" s="18"/>
      <c r="M32" s="18"/>
      <c r="N32" s="18"/>
      <c r="O32" s="18"/>
      <c r="P32" s="5"/>
      <c r="Q32" s="4"/>
      <c r="R32" s="4"/>
      <c r="S32" s="4"/>
      <c r="T32" s="4"/>
      <c r="U32" s="5"/>
    </row>
    <row r="33" spans="1:21">
      <c r="A33" s="147" t="s">
        <v>88</v>
      </c>
      <c r="B33" s="148"/>
      <c r="C33" s="100" t="s">
        <v>1</v>
      </c>
      <c r="D33" s="12" t="s">
        <v>106</v>
      </c>
      <c r="E33" s="12" t="s">
        <v>324</v>
      </c>
      <c r="F33" s="12" t="s">
        <v>107</v>
      </c>
      <c r="G33" s="95"/>
      <c r="H33" s="5"/>
      <c r="I33" s="147" t="s">
        <v>89</v>
      </c>
      <c r="J33" s="148"/>
      <c r="K33" s="100" t="s">
        <v>1</v>
      </c>
      <c r="L33" s="12" t="s">
        <v>106</v>
      </c>
      <c r="M33" s="12" t="s">
        <v>324</v>
      </c>
      <c r="N33" s="12" t="s">
        <v>107</v>
      </c>
      <c r="O33" s="95"/>
      <c r="P33" s="5"/>
      <c r="Q33" s="4"/>
      <c r="R33" s="4"/>
      <c r="S33" s="4"/>
      <c r="T33" s="4"/>
      <c r="U33" s="5"/>
    </row>
    <row r="34" spans="1:21">
      <c r="A34" s="13" t="s">
        <v>90</v>
      </c>
      <c r="B34" s="14" t="s">
        <v>91</v>
      </c>
      <c r="C34" s="84">
        <v>3</v>
      </c>
      <c r="D34" s="15" t="s">
        <v>10</v>
      </c>
      <c r="E34" s="92" t="s">
        <v>394</v>
      </c>
      <c r="F34" s="15" t="str">
        <f t="shared" ref="F34:F39" si="12">IF(ISBLANK(E34),"Belum",IF(CODE(D34)&gt;=CODE(UPPER(E34)),"Lulus","Ulang"))</f>
        <v>Lulus</v>
      </c>
      <c r="G34" s="96">
        <f t="shared" ref="G34:G39" si="13">IF(E34="A",4,IF(E34="AB",3.5,IF(E34="B",3,IF(E34="BC",2.5,IF(E34="C",2,IF(E34="D",1,0))))))*C34</f>
        <v>10.5</v>
      </c>
      <c r="H34" s="5"/>
      <c r="I34" s="13" t="s">
        <v>92</v>
      </c>
      <c r="J34" s="14" t="s">
        <v>93</v>
      </c>
      <c r="K34" s="84">
        <v>4</v>
      </c>
      <c r="L34" s="15" t="s">
        <v>10</v>
      </c>
      <c r="M34" s="92"/>
      <c r="N34" s="15" t="str">
        <f t="shared" ref="N34:N38" si="14">IF(ISBLANK(M34),"Belum",IF(CODE(L34)&gt;=CODE(UPPER(M34)),"Lulus","Ulang"))</f>
        <v>Belum</v>
      </c>
      <c r="O34" s="96">
        <f t="shared" ref="O34:O38" si="15">IF(M34="A",4,IF(M34="AB",3.5,IF(M34="B",3,IF(M34="BC",2.5,IF(M34="C",2,IF(M34="D",1,0))))))*K34</f>
        <v>0</v>
      </c>
      <c r="P34" s="5"/>
      <c r="Q34" s="4"/>
      <c r="R34" s="4"/>
      <c r="S34" s="4"/>
      <c r="T34" s="4"/>
      <c r="U34" s="5"/>
    </row>
    <row r="35" spans="1:21">
      <c r="A35" s="13" t="s">
        <v>94</v>
      </c>
      <c r="B35" s="14" t="s">
        <v>95</v>
      </c>
      <c r="C35" s="84">
        <v>3</v>
      </c>
      <c r="D35" s="15" t="s">
        <v>10</v>
      </c>
      <c r="E35" s="92"/>
      <c r="F35" s="15" t="str">
        <f t="shared" si="12"/>
        <v>Belum</v>
      </c>
      <c r="G35" s="96">
        <f t="shared" si="13"/>
        <v>0</v>
      </c>
      <c r="H35" s="5"/>
      <c r="I35" s="13" t="s">
        <v>96</v>
      </c>
      <c r="J35" s="14" t="s">
        <v>97</v>
      </c>
      <c r="K35" s="84">
        <v>2</v>
      </c>
      <c r="L35" s="15" t="s">
        <v>10</v>
      </c>
      <c r="M35" s="92"/>
      <c r="N35" s="15" t="str">
        <f t="shared" si="14"/>
        <v>Belum</v>
      </c>
      <c r="O35" s="96">
        <f t="shared" si="15"/>
        <v>0</v>
      </c>
      <c r="P35" s="5"/>
      <c r="Q35" s="4"/>
      <c r="R35" s="4"/>
      <c r="S35" s="4"/>
      <c r="T35" s="4"/>
      <c r="U35" s="5"/>
    </row>
    <row r="36" spans="1:21">
      <c r="A36" s="13" t="s">
        <v>243</v>
      </c>
      <c r="B36" s="14" t="s">
        <v>98</v>
      </c>
      <c r="C36" s="84">
        <v>3</v>
      </c>
      <c r="D36" s="15" t="s">
        <v>10</v>
      </c>
      <c r="E36" s="92"/>
      <c r="F36" s="15" t="str">
        <f t="shared" si="12"/>
        <v>Belum</v>
      </c>
      <c r="G36" s="96">
        <f t="shared" si="13"/>
        <v>0</v>
      </c>
      <c r="H36" s="5"/>
      <c r="I36" s="13" t="s">
        <v>99</v>
      </c>
      <c r="J36" s="14" t="s">
        <v>100</v>
      </c>
      <c r="K36" s="84">
        <v>2</v>
      </c>
      <c r="L36" s="15" t="s">
        <v>10</v>
      </c>
      <c r="M36" s="92"/>
      <c r="N36" s="15" t="str">
        <f t="shared" si="14"/>
        <v>Belum</v>
      </c>
      <c r="O36" s="96">
        <f t="shared" si="15"/>
        <v>0</v>
      </c>
      <c r="P36" s="5"/>
      <c r="Q36" s="4"/>
      <c r="R36" s="4"/>
      <c r="S36" s="4"/>
      <c r="T36" s="4"/>
      <c r="U36" s="5"/>
    </row>
    <row r="37" spans="1:21">
      <c r="A37" s="13" t="s">
        <v>224</v>
      </c>
      <c r="B37" s="14" t="s">
        <v>101</v>
      </c>
      <c r="C37" s="84">
        <v>3</v>
      </c>
      <c r="D37" s="15" t="s">
        <v>10</v>
      </c>
      <c r="E37" s="92"/>
      <c r="F37" s="15" t="str">
        <f t="shared" si="12"/>
        <v>Belum</v>
      </c>
      <c r="G37" s="96">
        <f t="shared" si="13"/>
        <v>0</v>
      </c>
      <c r="H37" s="5"/>
      <c r="I37" s="13" t="s">
        <v>199</v>
      </c>
      <c r="J37" s="14" t="s">
        <v>102</v>
      </c>
      <c r="K37" s="84">
        <v>3</v>
      </c>
      <c r="L37" s="15" t="s">
        <v>10</v>
      </c>
      <c r="M37" s="92"/>
      <c r="N37" s="15" t="str">
        <f t="shared" si="14"/>
        <v>Belum</v>
      </c>
      <c r="O37" s="96">
        <f t="shared" si="15"/>
        <v>0</v>
      </c>
      <c r="P37" s="5"/>
      <c r="Q37" s="4"/>
      <c r="R37" s="4"/>
      <c r="S37" s="4"/>
      <c r="T37" s="4"/>
      <c r="U37" s="5"/>
    </row>
    <row r="38" spans="1:21">
      <c r="A38" s="13" t="s">
        <v>197</v>
      </c>
      <c r="B38" s="14" t="s">
        <v>103</v>
      </c>
      <c r="C38" s="84">
        <v>3</v>
      </c>
      <c r="D38" s="15" t="s">
        <v>10</v>
      </c>
      <c r="E38" s="92"/>
      <c r="F38" s="15" t="str">
        <f t="shared" si="12"/>
        <v>Belum</v>
      </c>
      <c r="G38" s="96">
        <f t="shared" si="13"/>
        <v>0</v>
      </c>
      <c r="H38" s="5"/>
      <c r="I38" s="13" t="s">
        <v>200</v>
      </c>
      <c r="J38" s="14" t="s">
        <v>104</v>
      </c>
      <c r="K38" s="84">
        <v>3</v>
      </c>
      <c r="L38" s="15" t="s">
        <v>10</v>
      </c>
      <c r="M38" s="92"/>
      <c r="N38" s="15" t="str">
        <f t="shared" si="14"/>
        <v>Belum</v>
      </c>
      <c r="O38" s="96">
        <f t="shared" si="15"/>
        <v>0</v>
      </c>
      <c r="P38" s="5"/>
      <c r="Q38" s="4"/>
      <c r="R38" s="4"/>
      <c r="S38" s="4"/>
      <c r="T38" s="4"/>
      <c r="U38" s="5"/>
    </row>
    <row r="39" spans="1:21">
      <c r="A39" s="13" t="s">
        <v>198</v>
      </c>
      <c r="B39" s="14" t="s">
        <v>105</v>
      </c>
      <c r="C39" s="84">
        <v>3</v>
      </c>
      <c r="D39" s="15" t="s">
        <v>10</v>
      </c>
      <c r="E39" s="92"/>
      <c r="F39" s="15" t="str">
        <f t="shared" si="12"/>
        <v>Belum</v>
      </c>
      <c r="G39" s="96">
        <f t="shared" si="13"/>
        <v>0</v>
      </c>
      <c r="H39" s="5"/>
      <c r="I39" s="13"/>
      <c r="J39" s="14"/>
      <c r="K39" s="84"/>
      <c r="L39" s="15"/>
      <c r="M39" s="15"/>
      <c r="N39" s="15"/>
      <c r="O39" s="96"/>
      <c r="P39" s="5"/>
      <c r="Q39" s="4"/>
      <c r="R39" s="4"/>
      <c r="S39" s="4"/>
      <c r="T39" s="4"/>
      <c r="U39" s="5"/>
    </row>
    <row r="40" spans="1:21">
      <c r="A40" s="13"/>
      <c r="B40" s="14"/>
      <c r="C40" s="84"/>
      <c r="D40" s="15"/>
      <c r="E40" s="15"/>
      <c r="F40" s="15"/>
      <c r="G40" s="96"/>
      <c r="H40" s="5"/>
      <c r="I40" s="13"/>
      <c r="J40" s="14"/>
      <c r="K40" s="84"/>
      <c r="L40" s="15"/>
      <c r="M40" s="15"/>
      <c r="N40" s="15"/>
      <c r="O40" s="96"/>
      <c r="P40" s="5"/>
      <c r="Q40" s="4"/>
      <c r="R40" s="4"/>
      <c r="S40" s="4"/>
      <c r="T40" s="4"/>
      <c r="U40" s="5"/>
    </row>
    <row r="41" spans="1:21">
      <c r="A41" s="16"/>
      <c r="B41" s="17"/>
      <c r="C41" s="5"/>
      <c r="D41" s="18"/>
      <c r="E41" s="18"/>
      <c r="F41" s="18"/>
      <c r="G41" s="18"/>
      <c r="H41" s="5"/>
      <c r="I41" s="16"/>
      <c r="J41" s="17"/>
      <c r="K41" s="5"/>
      <c r="L41" s="18"/>
      <c r="M41" s="18"/>
      <c r="N41" s="18"/>
      <c r="O41" s="18"/>
      <c r="P41" s="5"/>
      <c r="Q41" s="4"/>
      <c r="R41" s="4"/>
      <c r="S41" s="4"/>
      <c r="T41" s="4"/>
      <c r="U41" s="5"/>
    </row>
    <row r="42" spans="1:21">
      <c r="A42" s="16"/>
      <c r="B42" s="17"/>
      <c r="C42" s="5"/>
      <c r="D42" s="18"/>
      <c r="E42" s="18"/>
      <c r="F42" s="18"/>
      <c r="G42" s="18"/>
      <c r="H42" s="5"/>
      <c r="I42" s="16"/>
      <c r="J42" s="17"/>
      <c r="K42" s="5"/>
      <c r="L42" s="18"/>
      <c r="M42" s="18"/>
      <c r="N42" s="18"/>
      <c r="O42" s="18"/>
      <c r="P42" s="5"/>
      <c r="Q42" s="4"/>
      <c r="R42" s="4"/>
      <c r="S42" s="4"/>
      <c r="T42" s="4"/>
      <c r="U42" s="5"/>
    </row>
    <row r="43" spans="1:21">
      <c r="A43" s="16"/>
      <c r="B43" s="17"/>
      <c r="C43" s="5"/>
      <c r="D43" s="18"/>
      <c r="E43" s="18"/>
      <c r="F43" s="18"/>
      <c r="G43" s="18"/>
      <c r="H43" s="5"/>
      <c r="I43" s="16"/>
      <c r="J43" s="17"/>
      <c r="K43" s="5"/>
      <c r="L43" s="18"/>
      <c r="M43" s="18"/>
      <c r="N43" s="18"/>
      <c r="O43" s="18"/>
      <c r="P43" s="5"/>
      <c r="Q43" s="5"/>
      <c r="R43" s="5"/>
      <c r="S43" s="5"/>
      <c r="T43" s="5"/>
      <c r="U43" s="5"/>
    </row>
    <row r="44" spans="1:21">
      <c r="A44" s="16"/>
      <c r="B44" s="17"/>
      <c r="C44" s="5"/>
      <c r="D44" s="18"/>
      <c r="E44" s="18"/>
      <c r="F44" s="18"/>
      <c r="G44" s="18"/>
      <c r="H44" s="5"/>
      <c r="I44" s="16"/>
      <c r="J44" s="17"/>
      <c r="K44" s="5"/>
      <c r="L44" s="18"/>
      <c r="M44" s="18"/>
      <c r="N44" s="18"/>
      <c r="O44" s="18"/>
      <c r="P44" s="5"/>
      <c r="Q44" s="5"/>
      <c r="R44" s="5"/>
      <c r="S44" s="5"/>
      <c r="T44" s="5"/>
      <c r="U44" s="5"/>
    </row>
    <row r="45" spans="1:21">
      <c r="A45" s="16"/>
      <c r="B45" s="17"/>
      <c r="C45" s="5"/>
      <c r="D45" s="18"/>
      <c r="E45" s="18"/>
      <c r="F45" s="18"/>
      <c r="G45" s="18"/>
      <c r="H45" s="5"/>
      <c r="I45" s="16"/>
      <c r="J45" s="17"/>
      <c r="K45" s="5"/>
      <c r="L45" s="18"/>
      <c r="M45" s="18"/>
      <c r="N45" s="18"/>
      <c r="O45" s="18"/>
      <c r="P45" s="5"/>
      <c r="Q45" s="5"/>
      <c r="R45" s="5"/>
      <c r="S45" s="5"/>
      <c r="T45" s="5"/>
      <c r="U45" s="5"/>
    </row>
    <row r="46" spans="1:21">
      <c r="A46" s="16"/>
      <c r="B46" s="17"/>
      <c r="C46" s="5"/>
      <c r="D46" s="18"/>
      <c r="E46" s="18"/>
      <c r="F46" s="18"/>
      <c r="G46" s="18"/>
      <c r="H46" s="5"/>
      <c r="I46" s="16"/>
      <c r="J46" s="17"/>
      <c r="K46" s="5"/>
      <c r="L46" s="18"/>
      <c r="M46" s="18"/>
      <c r="N46" s="18"/>
      <c r="O46" s="18"/>
      <c r="P46" s="5"/>
      <c r="Q46" s="5"/>
      <c r="R46" s="5"/>
      <c r="S46" s="5"/>
      <c r="T46" s="5"/>
      <c r="U46" s="5"/>
    </row>
    <row r="47" spans="1:21">
      <c r="A47" s="16"/>
      <c r="B47" s="17"/>
      <c r="C47" s="5"/>
      <c r="D47" s="18"/>
      <c r="E47" s="18"/>
      <c r="F47" s="18"/>
      <c r="G47" s="18"/>
      <c r="H47" s="5"/>
      <c r="I47" s="16"/>
      <c r="J47" s="17"/>
      <c r="K47" s="5"/>
      <c r="L47" s="18"/>
      <c r="M47" s="18"/>
      <c r="N47" s="18"/>
      <c r="O47" s="18"/>
      <c r="P47" s="5"/>
      <c r="Q47" s="5"/>
      <c r="R47" s="5"/>
      <c r="S47" s="5"/>
      <c r="T47" s="5"/>
      <c r="U47" s="5"/>
    </row>
    <row r="48" spans="1:21">
      <c r="A48" s="16"/>
      <c r="B48" s="17"/>
      <c r="C48" s="5"/>
      <c r="D48" s="18"/>
      <c r="E48" s="18"/>
      <c r="F48" s="18"/>
      <c r="G48" s="18"/>
      <c r="H48" s="5"/>
      <c r="I48" s="16"/>
      <c r="J48" s="17"/>
      <c r="K48" s="5"/>
      <c r="L48" s="18"/>
      <c r="M48" s="18"/>
      <c r="N48" s="18"/>
      <c r="O48" s="18"/>
      <c r="P48" s="5"/>
      <c r="Q48" s="5"/>
      <c r="R48" s="5"/>
      <c r="S48" s="5"/>
      <c r="T48" s="5"/>
      <c r="U48" s="5"/>
    </row>
    <row r="49" spans="1:21">
      <c r="A49" s="16"/>
      <c r="B49" s="17"/>
      <c r="C49" s="5"/>
      <c r="D49" s="18"/>
      <c r="E49" s="18"/>
      <c r="F49" s="18"/>
      <c r="G49" s="18"/>
      <c r="H49" s="5"/>
      <c r="I49" s="16"/>
      <c r="J49" s="17"/>
      <c r="K49" s="5"/>
      <c r="L49" s="18"/>
      <c r="M49" s="18"/>
      <c r="N49" s="18"/>
      <c r="O49" s="18"/>
      <c r="P49" s="5"/>
      <c r="Q49" s="5"/>
      <c r="R49" s="5"/>
      <c r="S49" s="5"/>
      <c r="T49" s="5"/>
      <c r="U49" s="5"/>
    </row>
    <row r="50" spans="1:21">
      <c r="A50" s="19"/>
      <c r="B50" s="20"/>
      <c r="C50" s="6"/>
      <c r="D50" s="21"/>
      <c r="E50" s="21"/>
      <c r="F50" s="21"/>
      <c r="G50" s="21"/>
      <c r="H50" s="6"/>
      <c r="I50" s="19"/>
      <c r="J50" s="20"/>
      <c r="K50" s="6"/>
      <c r="L50" s="21"/>
      <c r="M50" s="21"/>
      <c r="N50" s="21"/>
      <c r="O50" s="21"/>
    </row>
    <row r="51" spans="1:21">
      <c r="A51" s="19"/>
      <c r="B51" s="20"/>
      <c r="C51" s="6"/>
      <c r="D51" s="21"/>
      <c r="E51" s="21"/>
      <c r="F51" s="21"/>
      <c r="G51" s="21"/>
      <c r="H51" s="6"/>
      <c r="I51" s="19"/>
      <c r="J51" s="20"/>
      <c r="K51" s="6"/>
      <c r="L51" s="21"/>
      <c r="M51" s="21"/>
      <c r="N51" s="21"/>
      <c r="O51" s="21"/>
    </row>
    <row r="52" spans="1:21">
      <c r="A52" s="19"/>
      <c r="B52" s="20"/>
      <c r="C52" s="6"/>
      <c r="D52" s="21"/>
      <c r="E52" s="21"/>
      <c r="F52" s="21"/>
      <c r="G52" s="21"/>
      <c r="H52" s="6"/>
      <c r="I52" s="19"/>
      <c r="J52" s="20"/>
      <c r="K52" s="6"/>
      <c r="L52" s="21"/>
      <c r="M52" s="21"/>
      <c r="N52" s="21"/>
      <c r="O52" s="21"/>
    </row>
    <row r="53" spans="1:21">
      <c r="A53" s="19"/>
      <c r="B53" s="20"/>
      <c r="C53" s="6"/>
      <c r="D53" s="21"/>
      <c r="E53" s="21"/>
      <c r="F53" s="21"/>
      <c r="G53" s="21"/>
      <c r="H53" s="6"/>
      <c r="I53" s="19"/>
      <c r="J53" s="20"/>
      <c r="K53" s="6"/>
      <c r="L53" s="21"/>
      <c r="M53" s="21"/>
      <c r="N53" s="21"/>
      <c r="O53" s="21"/>
    </row>
    <row r="54" spans="1:21">
      <c r="A54" s="19"/>
      <c r="B54" s="20"/>
      <c r="C54" s="6"/>
      <c r="D54" s="21"/>
      <c r="E54" s="21"/>
      <c r="F54" s="21"/>
      <c r="G54" s="21"/>
      <c r="H54" s="6"/>
      <c r="I54" s="19"/>
      <c r="J54" s="20"/>
      <c r="K54" s="6"/>
      <c r="L54" s="21"/>
      <c r="M54" s="21"/>
      <c r="N54" s="21"/>
      <c r="O54" s="21"/>
    </row>
    <row r="55" spans="1:21">
      <c r="A55" s="19"/>
      <c r="B55" s="20"/>
      <c r="C55" s="6"/>
      <c r="D55" s="21"/>
      <c r="E55" s="21"/>
      <c r="F55" s="21"/>
      <c r="G55" s="21"/>
      <c r="H55" s="6"/>
      <c r="I55" s="19"/>
      <c r="J55" s="20"/>
      <c r="K55" s="6"/>
      <c r="L55" s="21"/>
      <c r="M55" s="21"/>
      <c r="N55" s="21"/>
      <c r="O55" s="21"/>
    </row>
    <row r="56" spans="1:21">
      <c r="A56" s="19"/>
      <c r="B56" s="20"/>
      <c r="C56" s="6"/>
      <c r="D56" s="21"/>
      <c r="E56" s="21"/>
      <c r="F56" s="21"/>
      <c r="G56" s="21"/>
      <c r="H56" s="6"/>
      <c r="I56" s="19"/>
      <c r="J56" s="20"/>
      <c r="K56" s="6"/>
      <c r="L56" s="21"/>
      <c r="M56" s="21"/>
      <c r="N56" s="21"/>
      <c r="O56" s="21"/>
    </row>
    <row r="57" spans="1:21">
      <c r="A57" s="19"/>
      <c r="B57" s="20"/>
      <c r="C57" s="6"/>
      <c r="D57" s="21"/>
      <c r="E57" s="21"/>
      <c r="F57" s="21"/>
      <c r="G57" s="21"/>
      <c r="H57" s="6"/>
      <c r="I57" s="19"/>
      <c r="J57" s="20"/>
      <c r="K57" s="6"/>
      <c r="L57" s="21"/>
      <c r="M57" s="21"/>
      <c r="N57" s="21"/>
      <c r="O57" s="21"/>
    </row>
    <row r="58" spans="1:21">
      <c r="A58" s="19"/>
      <c r="B58" s="20"/>
      <c r="C58" s="6"/>
      <c r="D58" s="21"/>
      <c r="E58" s="21"/>
      <c r="F58" s="21"/>
      <c r="G58" s="21"/>
      <c r="H58" s="6"/>
      <c r="I58" s="19"/>
      <c r="J58" s="20"/>
      <c r="K58" s="6"/>
      <c r="L58" s="21"/>
      <c r="M58" s="21"/>
      <c r="N58" s="21"/>
      <c r="O58" s="21"/>
    </row>
    <row r="59" spans="1:21">
      <c r="A59" s="19"/>
      <c r="B59" s="20"/>
      <c r="C59" s="6"/>
      <c r="D59" s="21"/>
      <c r="E59" s="21"/>
      <c r="F59" s="21"/>
      <c r="G59" s="21"/>
      <c r="H59" s="6"/>
      <c r="I59" s="19"/>
      <c r="J59" s="20"/>
      <c r="K59" s="6"/>
      <c r="L59" s="21"/>
      <c r="M59" s="21"/>
      <c r="N59" s="21"/>
      <c r="O59" s="21"/>
    </row>
    <row r="60" spans="1:21">
      <c r="A60" s="19"/>
      <c r="B60" s="20"/>
      <c r="C60" s="6"/>
      <c r="D60" s="21"/>
      <c r="E60" s="21"/>
      <c r="F60" s="21"/>
      <c r="G60" s="21"/>
      <c r="H60" s="6"/>
      <c r="I60" s="19"/>
      <c r="J60" s="20"/>
      <c r="K60" s="6"/>
      <c r="L60" s="21"/>
      <c r="M60" s="21"/>
      <c r="N60" s="21"/>
      <c r="O60" s="21"/>
    </row>
    <row r="61" spans="1:21">
      <c r="A61" s="19"/>
      <c r="B61" s="20"/>
      <c r="C61" s="6"/>
      <c r="D61" s="21"/>
      <c r="E61" s="21"/>
      <c r="F61" s="21"/>
      <c r="G61" s="21"/>
      <c r="H61" s="6"/>
      <c r="I61" s="19"/>
      <c r="J61" s="20"/>
      <c r="K61" s="6"/>
      <c r="L61" s="21"/>
      <c r="M61" s="21"/>
      <c r="N61" s="21"/>
      <c r="O61" s="21"/>
    </row>
    <row r="62" spans="1:21">
      <c r="A62" s="19"/>
      <c r="B62" s="20"/>
      <c r="C62" s="6"/>
      <c r="D62" s="21"/>
      <c r="E62" s="21"/>
      <c r="F62" s="21"/>
      <c r="G62" s="21"/>
      <c r="H62" s="6"/>
      <c r="I62" s="19"/>
      <c r="J62" s="20"/>
      <c r="K62" s="6"/>
      <c r="L62" s="21"/>
      <c r="M62" s="21"/>
      <c r="N62" s="21"/>
      <c r="O62" s="21"/>
    </row>
    <row r="63" spans="1:21">
      <c r="A63" s="19"/>
      <c r="B63" s="20"/>
      <c r="C63" s="6"/>
      <c r="D63" s="21"/>
      <c r="E63" s="21"/>
      <c r="F63" s="21"/>
      <c r="G63" s="21"/>
      <c r="H63" s="6"/>
      <c r="I63" s="19"/>
      <c r="J63" s="20"/>
      <c r="K63" s="6"/>
      <c r="L63" s="21"/>
      <c r="M63" s="21"/>
      <c r="N63" s="21"/>
      <c r="O63" s="21"/>
    </row>
    <row r="64" spans="1:21">
      <c r="A64" s="19"/>
      <c r="B64" s="20"/>
      <c r="C64" s="6"/>
      <c r="D64" s="21"/>
      <c r="E64" s="21"/>
      <c r="F64" s="21"/>
      <c r="G64" s="21"/>
      <c r="H64" s="6"/>
      <c r="I64" s="19"/>
      <c r="J64" s="20"/>
      <c r="K64" s="6"/>
      <c r="L64" s="21"/>
      <c r="M64" s="21"/>
      <c r="N64" s="21"/>
      <c r="O64" s="21"/>
    </row>
    <row r="65" spans="1:15">
      <c r="A65" s="19"/>
      <c r="B65" s="20"/>
      <c r="C65" s="6"/>
      <c r="D65" s="21"/>
      <c r="E65" s="21"/>
      <c r="F65" s="21"/>
      <c r="G65" s="21"/>
      <c r="H65" s="6"/>
      <c r="I65" s="19"/>
      <c r="J65" s="20"/>
      <c r="K65" s="6"/>
      <c r="L65" s="21"/>
      <c r="M65" s="21"/>
      <c r="N65" s="21"/>
      <c r="O65" s="21"/>
    </row>
    <row r="66" spans="1:15">
      <c r="A66" s="19"/>
      <c r="B66" s="20"/>
      <c r="C66" s="6"/>
      <c r="D66" s="21"/>
      <c r="E66" s="21"/>
      <c r="F66" s="21"/>
      <c r="G66" s="21"/>
      <c r="H66" s="6"/>
      <c r="I66" s="19"/>
      <c r="J66" s="20"/>
      <c r="K66" s="6"/>
      <c r="L66" s="21"/>
      <c r="M66" s="21"/>
      <c r="N66" s="21"/>
      <c r="O66" s="21"/>
    </row>
    <row r="67" spans="1:15">
      <c r="A67" s="19"/>
      <c r="B67" s="20"/>
      <c r="C67" s="6"/>
      <c r="D67" s="21"/>
      <c r="E67" s="21"/>
      <c r="F67" s="21"/>
      <c r="G67" s="21"/>
      <c r="H67" s="6"/>
      <c r="I67" s="19"/>
      <c r="J67" s="20"/>
      <c r="K67" s="6"/>
      <c r="L67" s="21"/>
      <c r="M67" s="21"/>
      <c r="N67" s="21"/>
      <c r="O67" s="21"/>
    </row>
    <row r="68" spans="1:15">
      <c r="A68" s="19"/>
      <c r="B68" s="20"/>
      <c r="C68" s="6"/>
      <c r="D68" s="21"/>
      <c r="E68" s="21"/>
      <c r="F68" s="21"/>
      <c r="G68" s="21"/>
      <c r="H68" s="6"/>
      <c r="I68" s="19"/>
      <c r="J68" s="20"/>
      <c r="K68" s="6"/>
      <c r="L68" s="21"/>
      <c r="M68" s="21"/>
      <c r="N68" s="21"/>
      <c r="O68" s="21"/>
    </row>
    <row r="69" spans="1:15">
      <c r="A69" s="19"/>
      <c r="B69" s="20"/>
      <c r="C69" s="6"/>
      <c r="D69" s="21"/>
      <c r="E69" s="21"/>
      <c r="F69" s="21"/>
      <c r="G69" s="21"/>
      <c r="H69" s="6"/>
      <c r="I69" s="19"/>
      <c r="J69" s="20"/>
      <c r="K69" s="6"/>
      <c r="L69" s="21"/>
      <c r="M69" s="21"/>
      <c r="N69" s="21"/>
      <c r="O69" s="21"/>
    </row>
    <row r="70" spans="1:15">
      <c r="A70" s="19"/>
      <c r="B70" s="20"/>
      <c r="C70" s="6"/>
      <c r="D70" s="21"/>
      <c r="E70" s="21"/>
      <c r="F70" s="21"/>
      <c r="G70" s="21"/>
      <c r="H70" s="6"/>
      <c r="I70" s="19"/>
      <c r="J70" s="20"/>
      <c r="K70" s="6"/>
      <c r="L70" s="21"/>
      <c r="M70" s="21"/>
      <c r="N70" s="21"/>
      <c r="O70" s="21"/>
    </row>
    <row r="71" spans="1:15">
      <c r="A71" s="19"/>
      <c r="B71" s="20"/>
      <c r="C71" s="6"/>
      <c r="D71" s="21"/>
      <c r="E71" s="21"/>
      <c r="F71" s="21"/>
      <c r="G71" s="21"/>
      <c r="H71" s="6"/>
      <c r="I71" s="19"/>
      <c r="J71" s="20"/>
      <c r="K71" s="6"/>
      <c r="L71" s="21"/>
      <c r="M71" s="21"/>
      <c r="N71" s="21"/>
      <c r="O71" s="21"/>
    </row>
    <row r="72" spans="1:15">
      <c r="A72" s="19"/>
      <c r="B72" s="20"/>
      <c r="C72" s="6"/>
      <c r="D72" s="21"/>
      <c r="E72" s="21"/>
      <c r="F72" s="21"/>
      <c r="G72" s="21"/>
      <c r="H72" s="6"/>
      <c r="I72" s="19"/>
      <c r="J72" s="20"/>
      <c r="K72" s="6"/>
      <c r="L72" s="21"/>
      <c r="M72" s="21"/>
      <c r="N72" s="21"/>
      <c r="O72" s="21"/>
    </row>
    <row r="73" spans="1:15">
      <c r="A73" s="19"/>
      <c r="B73" s="20"/>
      <c r="C73" s="6"/>
      <c r="D73" s="21"/>
      <c r="E73" s="21"/>
      <c r="F73" s="21"/>
      <c r="G73" s="21"/>
      <c r="H73" s="6"/>
      <c r="I73" s="19"/>
      <c r="J73" s="20"/>
      <c r="K73" s="6"/>
      <c r="L73" s="21"/>
      <c r="M73" s="21"/>
      <c r="N73" s="21"/>
      <c r="O73" s="21"/>
    </row>
    <row r="74" spans="1:15">
      <c r="A74" s="19"/>
      <c r="B74" s="20"/>
      <c r="C74" s="6"/>
      <c r="D74" s="21"/>
      <c r="E74" s="21"/>
      <c r="F74" s="21"/>
      <c r="G74" s="21"/>
      <c r="H74" s="6"/>
      <c r="I74" s="19"/>
      <c r="J74" s="20"/>
      <c r="K74" s="6"/>
      <c r="L74" s="21"/>
      <c r="M74" s="21"/>
      <c r="N74" s="21"/>
      <c r="O74" s="21"/>
    </row>
    <row r="75" spans="1:15">
      <c r="A75" s="19"/>
      <c r="B75" s="20"/>
      <c r="C75" s="6"/>
      <c r="D75" s="21"/>
      <c r="E75" s="21"/>
      <c r="F75" s="21"/>
      <c r="G75" s="21"/>
      <c r="H75" s="6"/>
      <c r="I75" s="19"/>
      <c r="J75" s="20"/>
      <c r="K75" s="6"/>
      <c r="L75" s="21"/>
      <c r="M75" s="21"/>
      <c r="N75" s="21"/>
      <c r="O75" s="21"/>
    </row>
    <row r="76" spans="1:15">
      <c r="A76" s="19"/>
      <c r="B76" s="20"/>
      <c r="C76" s="6"/>
      <c r="D76" s="21"/>
      <c r="E76" s="21"/>
      <c r="F76" s="21"/>
      <c r="G76" s="21"/>
      <c r="H76" s="6"/>
      <c r="I76" s="19"/>
      <c r="J76" s="20"/>
      <c r="K76" s="6"/>
      <c r="L76" s="21"/>
      <c r="M76" s="21"/>
      <c r="N76" s="21"/>
      <c r="O76" s="21"/>
    </row>
    <row r="77" spans="1:15">
      <c r="A77" s="19"/>
      <c r="B77" s="20"/>
      <c r="C77" s="6"/>
      <c r="D77" s="21"/>
      <c r="E77" s="21"/>
      <c r="F77" s="21"/>
      <c r="G77" s="21"/>
      <c r="H77" s="6"/>
      <c r="I77" s="19"/>
      <c r="J77" s="20"/>
      <c r="K77" s="6"/>
      <c r="L77" s="21"/>
      <c r="M77" s="21"/>
      <c r="N77" s="21"/>
      <c r="O77" s="21"/>
    </row>
    <row r="78" spans="1:15">
      <c r="A78" s="19"/>
      <c r="B78" s="20"/>
      <c r="C78" s="6"/>
      <c r="D78" s="21"/>
      <c r="E78" s="21"/>
      <c r="F78" s="21"/>
      <c r="G78" s="21"/>
      <c r="H78" s="6"/>
      <c r="I78" s="19"/>
      <c r="J78" s="20"/>
      <c r="K78" s="6"/>
      <c r="L78" s="21"/>
      <c r="M78" s="21"/>
      <c r="N78" s="21"/>
      <c r="O78" s="21"/>
    </row>
  </sheetData>
  <sheetProtection sheet="1" objects="1" scenarios="1"/>
  <mergeCells count="21">
    <mergeCell ref="I33:J33"/>
    <mergeCell ref="A33:B33"/>
    <mergeCell ref="A6:B6"/>
    <mergeCell ref="I6:J6"/>
    <mergeCell ref="I15:J15"/>
    <mergeCell ref="A15:B15"/>
    <mergeCell ref="A24:B24"/>
    <mergeCell ref="I24:J24"/>
    <mergeCell ref="Q26:T27"/>
    <mergeCell ref="Q8:T10"/>
    <mergeCell ref="Q11:T13"/>
    <mergeCell ref="Q14:T17"/>
    <mergeCell ref="E2:F2"/>
    <mergeCell ref="E4:F4"/>
    <mergeCell ref="K2:M3"/>
    <mergeCell ref="I2:J2"/>
    <mergeCell ref="N2:N3"/>
    <mergeCell ref="E3:F3"/>
    <mergeCell ref="Q18:T20"/>
    <mergeCell ref="Q6:T7"/>
    <mergeCell ref="Q21:T23"/>
  </mergeCells>
  <conditionalFormatting sqref="F7:G7">
    <cfRule type="containsText" dxfId="220" priority="55" operator="containsText" text="Lulus">
      <formula>NOT(ISERROR(SEARCH("Lulus",F7)))</formula>
    </cfRule>
    <cfRule type="containsText" dxfId="219" priority="56" operator="containsText" text="Ulang">
      <formula>NOT(ISERROR(SEARCH("Ulang",F7)))</formula>
    </cfRule>
    <cfRule type="containsText" dxfId="218" priority="57" operator="containsText" text="Belum">
      <formula>NOT(ISERROR(SEARCH("Belum",F7)))</formula>
    </cfRule>
  </conditionalFormatting>
  <conditionalFormatting sqref="F8:F13">
    <cfRule type="containsText" dxfId="217" priority="46" operator="containsText" text="Lulus">
      <formula>NOT(ISERROR(SEARCH("Lulus",F8)))</formula>
    </cfRule>
    <cfRule type="containsText" dxfId="216" priority="47" operator="containsText" text="Ulang">
      <formula>NOT(ISERROR(SEARCH("Ulang",F8)))</formula>
    </cfRule>
    <cfRule type="containsText" dxfId="215" priority="48" operator="containsText" text="Belum">
      <formula>NOT(ISERROR(SEARCH("Belum",F8)))</formula>
    </cfRule>
  </conditionalFormatting>
  <conditionalFormatting sqref="N7:N13">
    <cfRule type="containsText" dxfId="214" priority="43" operator="containsText" text="Lulus">
      <formula>NOT(ISERROR(SEARCH("Lulus",N7)))</formula>
    </cfRule>
    <cfRule type="containsText" dxfId="213" priority="44" operator="containsText" text="Ulang">
      <formula>NOT(ISERROR(SEARCH("Ulang",N7)))</formula>
    </cfRule>
    <cfRule type="containsText" dxfId="212" priority="45" operator="containsText" text="Belum">
      <formula>NOT(ISERROR(SEARCH("Belum",N7)))</formula>
    </cfRule>
  </conditionalFormatting>
  <conditionalFormatting sqref="N16:N21">
    <cfRule type="containsText" dxfId="211" priority="40" operator="containsText" text="Lulus">
      <formula>NOT(ISERROR(SEARCH("Lulus",N16)))</formula>
    </cfRule>
    <cfRule type="containsText" dxfId="210" priority="41" operator="containsText" text="Ulang">
      <formula>NOT(ISERROR(SEARCH("Ulang",N16)))</formula>
    </cfRule>
    <cfRule type="containsText" dxfId="209" priority="42" operator="containsText" text="Belum">
      <formula>NOT(ISERROR(SEARCH("Belum",N16)))</formula>
    </cfRule>
  </conditionalFormatting>
  <conditionalFormatting sqref="F16:F22">
    <cfRule type="containsText" dxfId="208" priority="37" operator="containsText" text="Lulus">
      <formula>NOT(ISERROR(SEARCH("Lulus",F16)))</formula>
    </cfRule>
    <cfRule type="containsText" dxfId="207" priority="38" operator="containsText" text="Ulang">
      <formula>NOT(ISERROR(SEARCH("Ulang",F16)))</formula>
    </cfRule>
    <cfRule type="containsText" dxfId="206" priority="39" operator="containsText" text="Belum">
      <formula>NOT(ISERROR(SEARCH("Belum",F16)))</formula>
    </cfRule>
  </conditionalFormatting>
  <conditionalFormatting sqref="F25:F30">
    <cfRule type="containsText" dxfId="205" priority="34" operator="containsText" text="Lulus">
      <formula>NOT(ISERROR(SEARCH("Lulus",F25)))</formula>
    </cfRule>
    <cfRule type="containsText" dxfId="204" priority="35" operator="containsText" text="Ulang">
      <formula>NOT(ISERROR(SEARCH("Ulang",F25)))</formula>
    </cfRule>
    <cfRule type="containsText" dxfId="203" priority="36" operator="containsText" text="Belum">
      <formula>NOT(ISERROR(SEARCH("Belum",F25)))</formula>
    </cfRule>
  </conditionalFormatting>
  <conditionalFormatting sqref="N25:N31">
    <cfRule type="containsText" dxfId="202" priority="31" operator="containsText" text="Lulus">
      <formula>NOT(ISERROR(SEARCH("Lulus",N25)))</formula>
    </cfRule>
    <cfRule type="containsText" dxfId="201" priority="32" operator="containsText" text="Ulang">
      <formula>NOT(ISERROR(SEARCH("Ulang",N25)))</formula>
    </cfRule>
    <cfRule type="containsText" dxfId="200" priority="33" operator="containsText" text="Belum">
      <formula>NOT(ISERROR(SEARCH("Belum",N25)))</formula>
    </cfRule>
  </conditionalFormatting>
  <conditionalFormatting sqref="F34:F39">
    <cfRule type="containsText" dxfId="199" priority="28" operator="containsText" text="Lulus">
      <formula>NOT(ISERROR(SEARCH("Lulus",F34)))</formula>
    </cfRule>
    <cfRule type="containsText" dxfId="198" priority="29" operator="containsText" text="Ulang">
      <formula>NOT(ISERROR(SEARCH("Ulang",F34)))</formula>
    </cfRule>
    <cfRule type="containsText" dxfId="197" priority="30" operator="containsText" text="Belum">
      <formula>NOT(ISERROR(SEARCH("Belum",F34)))</formula>
    </cfRule>
  </conditionalFormatting>
  <conditionalFormatting sqref="N34:N38">
    <cfRule type="containsText" dxfId="196" priority="25" operator="containsText" text="Lulus">
      <formula>NOT(ISERROR(SEARCH("Lulus",N34)))</formula>
    </cfRule>
    <cfRule type="containsText" dxfId="195" priority="26" operator="containsText" text="Ulang">
      <formula>NOT(ISERROR(SEARCH("Ulang",N34)))</formula>
    </cfRule>
    <cfRule type="containsText" dxfId="194" priority="27" operator="containsText" text="Belum">
      <formula>NOT(ISERROR(SEARCH("Belum",N34)))</formula>
    </cfRule>
  </conditionalFormatting>
  <conditionalFormatting sqref="G8:G13">
    <cfRule type="containsText" dxfId="193" priority="22" operator="containsText" text="Lulus">
      <formula>NOT(ISERROR(SEARCH("Lulus",G8)))</formula>
    </cfRule>
    <cfRule type="containsText" dxfId="192" priority="23" operator="containsText" text="Ulang">
      <formula>NOT(ISERROR(SEARCH("Ulang",G8)))</formula>
    </cfRule>
    <cfRule type="containsText" dxfId="191" priority="24" operator="containsText" text="Belum">
      <formula>NOT(ISERROR(SEARCH("Belum",G8)))</formula>
    </cfRule>
  </conditionalFormatting>
  <conditionalFormatting sqref="G16:G22">
    <cfRule type="containsText" dxfId="190" priority="19" operator="containsText" text="Lulus">
      <formula>NOT(ISERROR(SEARCH("Lulus",G16)))</formula>
    </cfRule>
    <cfRule type="containsText" dxfId="189" priority="20" operator="containsText" text="Ulang">
      <formula>NOT(ISERROR(SEARCH("Ulang",G16)))</formula>
    </cfRule>
    <cfRule type="containsText" dxfId="188" priority="21" operator="containsText" text="Belum">
      <formula>NOT(ISERROR(SEARCH("Belum",G16)))</formula>
    </cfRule>
  </conditionalFormatting>
  <conditionalFormatting sqref="G25:G30">
    <cfRule type="containsText" dxfId="187" priority="16" operator="containsText" text="Lulus">
      <formula>NOT(ISERROR(SEARCH("Lulus",G25)))</formula>
    </cfRule>
    <cfRule type="containsText" dxfId="186" priority="17" operator="containsText" text="Ulang">
      <formula>NOT(ISERROR(SEARCH("Ulang",G25)))</formula>
    </cfRule>
    <cfRule type="containsText" dxfId="185" priority="18" operator="containsText" text="Belum">
      <formula>NOT(ISERROR(SEARCH("Belum",G25)))</formula>
    </cfRule>
  </conditionalFormatting>
  <conditionalFormatting sqref="O25:O31">
    <cfRule type="containsText" dxfId="184" priority="13" operator="containsText" text="Lulus">
      <formula>NOT(ISERROR(SEARCH("Lulus",O25)))</formula>
    </cfRule>
    <cfRule type="containsText" dxfId="183" priority="14" operator="containsText" text="Ulang">
      <formula>NOT(ISERROR(SEARCH("Ulang",O25)))</formula>
    </cfRule>
    <cfRule type="containsText" dxfId="182" priority="15" operator="containsText" text="Belum">
      <formula>NOT(ISERROR(SEARCH("Belum",O25)))</formula>
    </cfRule>
  </conditionalFormatting>
  <conditionalFormatting sqref="O16:O21">
    <cfRule type="containsText" dxfId="181" priority="10" operator="containsText" text="Lulus">
      <formula>NOT(ISERROR(SEARCH("Lulus",O16)))</formula>
    </cfRule>
    <cfRule type="containsText" dxfId="180" priority="11" operator="containsText" text="Ulang">
      <formula>NOT(ISERROR(SEARCH("Ulang",O16)))</formula>
    </cfRule>
    <cfRule type="containsText" dxfId="179" priority="12" operator="containsText" text="Belum">
      <formula>NOT(ISERROR(SEARCH("Belum",O16)))</formula>
    </cfRule>
  </conditionalFormatting>
  <conditionalFormatting sqref="O7:O13">
    <cfRule type="containsText" dxfId="178" priority="7" operator="containsText" text="Lulus">
      <formula>NOT(ISERROR(SEARCH("Lulus",O7)))</formula>
    </cfRule>
    <cfRule type="containsText" dxfId="177" priority="8" operator="containsText" text="Ulang">
      <formula>NOT(ISERROR(SEARCH("Ulang",O7)))</formula>
    </cfRule>
    <cfRule type="containsText" dxfId="176" priority="9" operator="containsText" text="Belum">
      <formula>NOT(ISERROR(SEARCH("Belum",O7)))</formula>
    </cfRule>
  </conditionalFormatting>
  <conditionalFormatting sqref="G34:G39">
    <cfRule type="containsText" dxfId="175" priority="4" operator="containsText" text="Lulus">
      <formula>NOT(ISERROR(SEARCH("Lulus",G34)))</formula>
    </cfRule>
    <cfRule type="containsText" dxfId="174" priority="5" operator="containsText" text="Ulang">
      <formula>NOT(ISERROR(SEARCH("Ulang",G34)))</formula>
    </cfRule>
    <cfRule type="containsText" dxfId="173" priority="6" operator="containsText" text="Belum">
      <formula>NOT(ISERROR(SEARCH("Belum",G34)))</formula>
    </cfRule>
  </conditionalFormatting>
  <conditionalFormatting sqref="O34:O38">
    <cfRule type="containsText" dxfId="172" priority="1" operator="containsText" text="Lulus">
      <formula>NOT(ISERROR(SEARCH("Lulus",O34)))</formula>
    </cfRule>
    <cfRule type="containsText" dxfId="171" priority="2" operator="containsText" text="Ulang">
      <formula>NOT(ISERROR(SEARCH("Ulang",O34)))</formula>
    </cfRule>
    <cfRule type="containsText" dxfId="170" priority="3" operator="containsText" text="Belum">
      <formula>NOT(ISERROR(SEARCH("Belum",O34)))</formula>
    </cfRule>
  </conditionalFormatting>
  <dataValidations count="1">
    <dataValidation type="list" allowBlank="1" showInputMessage="1" showErrorMessage="1" sqref="E7:E13 M7:M13 M16:M21 E16:E22 E25:E30 M25:M31 E34:E39 M34:M38">
      <formula1>"A, AB, B, BC, C, D, E, a, ab, b, bc, c, d, e"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7" tint="0.79998168889431442"/>
  </sheetPr>
  <dimension ref="A1:S78"/>
  <sheetViews>
    <sheetView zoomScale="89" zoomScaleNormal="130" workbookViewId="0">
      <pane ySplit="5" topLeftCell="A8" activePane="bottomLeft" state="frozen"/>
      <selection pane="bottomLeft" activeCell="I27" sqref="I27"/>
    </sheetView>
  </sheetViews>
  <sheetFormatPr defaultColWidth="8.875" defaultRowHeight="14.3"/>
  <cols>
    <col min="1" max="1" width="9" style="22" customWidth="1"/>
    <col min="2" max="2" width="35.125" style="23" customWidth="1"/>
    <col min="3" max="3" width="4.875" style="24" customWidth="1"/>
    <col min="4" max="4" width="4.875" style="25" customWidth="1"/>
    <col min="5" max="5" width="12.625" style="25" customWidth="1"/>
    <col min="6" max="6" width="3.375" style="67" hidden="1" customWidth="1"/>
    <col min="7" max="7" width="8" style="24" customWidth="1"/>
    <col min="8" max="8" width="9" style="22" customWidth="1"/>
    <col min="9" max="9" width="35.125" style="23" customWidth="1"/>
    <col min="10" max="10" width="4.875" style="24" customWidth="1"/>
    <col min="11" max="11" width="4.875" style="25" customWidth="1"/>
    <col min="12" max="12" width="12.625" style="25" customWidth="1"/>
    <col min="13" max="13" width="3.375" style="72" hidden="1" customWidth="1"/>
    <col min="14" max="14" width="6.375" style="6" customWidth="1"/>
    <col min="15" max="16" width="9.625" style="6" customWidth="1"/>
    <col min="17" max="17" width="12.875" style="6" customWidth="1"/>
    <col min="18" max="18" width="6.25" style="6" customWidth="1"/>
    <col min="19" max="16384" width="8.875" style="6"/>
  </cols>
  <sheetData>
    <row r="1" spans="1:19">
      <c r="A1" s="4"/>
      <c r="B1" s="4"/>
      <c r="C1" s="4"/>
      <c r="D1" s="4"/>
      <c r="E1" s="4"/>
      <c r="F1" s="63"/>
      <c r="G1" s="4"/>
      <c r="H1" s="4"/>
      <c r="I1" s="4"/>
      <c r="J1" s="4"/>
      <c r="K1" s="4"/>
      <c r="L1" s="4"/>
      <c r="M1" s="63"/>
      <c r="N1" s="4"/>
      <c r="O1" s="4"/>
      <c r="P1" s="4"/>
      <c r="Q1" s="4"/>
      <c r="R1" s="4"/>
      <c r="S1" s="4"/>
    </row>
    <row r="2" spans="1:19">
      <c r="A2" s="82" t="s">
        <v>110</v>
      </c>
      <c r="B2" s="8" t="str">
        <f>'Status Kelulusan'!B2</f>
        <v>MUHAMMAD RIFQI ARRAHIM NATADIKARTA</v>
      </c>
      <c r="C2" s="3"/>
      <c r="D2" s="4"/>
      <c r="E2" s="9" t="s">
        <v>109</v>
      </c>
      <c r="F2" s="64"/>
      <c r="G2" s="62">
        <f>'Status Kelulusan'!H2+R33</f>
        <v>82</v>
      </c>
      <c r="H2" s="141" t="s">
        <v>345</v>
      </c>
      <c r="I2" s="165"/>
      <c r="J2" s="164" t="s">
        <v>108</v>
      </c>
      <c r="K2" s="164"/>
      <c r="L2" s="62">
        <f>IF(ISBLANK(B3),"",2000+LEFT(RIGHT(B3,6),2))</f>
        <v>2019</v>
      </c>
      <c r="M2" s="71"/>
      <c r="N2" s="5"/>
      <c r="O2" s="5"/>
      <c r="P2" s="5"/>
      <c r="Q2" s="5"/>
      <c r="R2" s="5"/>
      <c r="S2" s="5"/>
    </row>
    <row r="3" spans="1:19">
      <c r="A3" s="82" t="s">
        <v>293</v>
      </c>
      <c r="B3" s="8">
        <f>'Status Kelulusan'!B3</f>
        <v>1301190425</v>
      </c>
      <c r="C3" s="3"/>
      <c r="D3" s="4"/>
      <c r="E3" s="9" t="s">
        <v>111</v>
      </c>
      <c r="F3" s="64"/>
      <c r="G3" s="109">
        <f>144-G2</f>
        <v>62</v>
      </c>
      <c r="H3" s="141"/>
      <c r="I3" s="165"/>
      <c r="J3" s="5"/>
      <c r="K3" s="5"/>
      <c r="L3" s="5"/>
      <c r="M3" s="71"/>
      <c r="N3" s="5"/>
      <c r="O3" s="5"/>
      <c r="P3" s="5"/>
      <c r="Q3" s="5"/>
      <c r="R3" s="5"/>
      <c r="S3" s="5"/>
    </row>
    <row r="4" spans="1:19">
      <c r="A4" s="82" t="s">
        <v>310</v>
      </c>
      <c r="B4" s="8" t="str">
        <f>'Status Kelulusan'!B4</f>
        <v>IF4308</v>
      </c>
      <c r="C4" s="3"/>
      <c r="D4" s="4"/>
      <c r="E4" s="9" t="s">
        <v>296</v>
      </c>
      <c r="F4" s="64"/>
      <c r="G4" s="62">
        <f ca="1">SUMIFS(J7:J40,L7:L40,"Lulus")+SUMIFS(C7:C40,E7:E40,"Lulus")</f>
        <v>79</v>
      </c>
      <c r="H4" s="141" t="s">
        <v>358</v>
      </c>
      <c r="I4" s="142"/>
      <c r="J4" s="3"/>
      <c r="K4" s="4"/>
      <c r="L4" s="4"/>
      <c r="M4" s="71"/>
      <c r="N4" s="5"/>
      <c r="O4" s="5"/>
      <c r="P4" s="5"/>
      <c r="Q4" s="5"/>
      <c r="R4" s="5"/>
      <c r="S4" s="5"/>
    </row>
    <row r="5" spans="1:19">
      <c r="A5" s="1"/>
      <c r="B5" s="2"/>
      <c r="C5" s="3"/>
      <c r="D5" s="4"/>
      <c r="E5" s="4"/>
      <c r="F5" s="63"/>
      <c r="G5" s="3"/>
      <c r="H5" s="3"/>
      <c r="I5" s="3"/>
      <c r="J5" s="3"/>
      <c r="K5" s="4"/>
      <c r="L5" s="4"/>
      <c r="M5" s="71"/>
      <c r="N5" s="5"/>
      <c r="O5" s="4"/>
      <c r="P5" s="4"/>
      <c r="Q5" s="4"/>
      <c r="R5" s="4"/>
      <c r="S5" s="5"/>
    </row>
    <row r="6" spans="1:19">
      <c r="A6" s="149" t="s">
        <v>0</v>
      </c>
      <c r="B6" s="149"/>
      <c r="C6" s="11" t="s">
        <v>1</v>
      </c>
      <c r="D6" s="12" t="s">
        <v>106</v>
      </c>
      <c r="E6" s="12" t="s">
        <v>107</v>
      </c>
      <c r="F6" s="71"/>
      <c r="G6" s="3"/>
      <c r="H6" s="147" t="s">
        <v>2</v>
      </c>
      <c r="I6" s="148"/>
      <c r="J6" s="11" t="s">
        <v>1</v>
      </c>
      <c r="K6" s="12" t="s">
        <v>106</v>
      </c>
      <c r="L6" s="12" t="s">
        <v>107</v>
      </c>
      <c r="M6" s="71"/>
      <c r="N6" s="3"/>
      <c r="O6" s="145" t="s">
        <v>295</v>
      </c>
      <c r="P6" s="145"/>
      <c r="Q6" s="145"/>
      <c r="R6" s="145"/>
      <c r="S6" s="5"/>
    </row>
    <row r="7" spans="1:19">
      <c r="A7" s="13" t="s">
        <v>118</v>
      </c>
      <c r="B7" s="14" t="s">
        <v>9</v>
      </c>
      <c r="C7" s="10">
        <v>2</v>
      </c>
      <c r="D7" s="15" t="s">
        <v>10</v>
      </c>
      <c r="E7" s="15" t="str" cm="1">
        <f t="array" aca="1" ref="E7" ca="1">INDIRECT(VLOOKUP(A7,Ekuivalensi!$E$2:$I$55,5,FALSE))</f>
        <v>Lulus</v>
      </c>
      <c r="F7" s="71">
        <v>1</v>
      </c>
      <c r="G7" s="3"/>
      <c r="H7" s="13" t="s">
        <v>126</v>
      </c>
      <c r="I7" s="14" t="s">
        <v>125</v>
      </c>
      <c r="J7" s="10">
        <v>2</v>
      </c>
      <c r="K7" s="15" t="s">
        <v>10</v>
      </c>
      <c r="L7" s="15" t="str" cm="1">
        <f t="array" aca="1" ref="L7" ca="1">INDIRECT(VLOOKUP(H7,Ekuivalensi!$E$2:$I$55,5,FALSE))</f>
        <v>Lulus</v>
      </c>
      <c r="M7" s="71">
        <v>8</v>
      </c>
      <c r="N7" s="3"/>
      <c r="O7" s="145"/>
      <c r="P7" s="145"/>
      <c r="Q7" s="145"/>
      <c r="R7" s="145"/>
      <c r="S7" s="5"/>
    </row>
    <row r="8" spans="1:19" ht="14.95" customHeight="1">
      <c r="A8" s="13" t="s">
        <v>119</v>
      </c>
      <c r="B8" s="14" t="s">
        <v>112</v>
      </c>
      <c r="C8" s="10">
        <v>2</v>
      </c>
      <c r="D8" s="15" t="s">
        <v>10</v>
      </c>
      <c r="E8" s="15" t="str" cm="1">
        <f t="array" aca="1" ref="E8" ca="1">INDIRECT(VLOOKUP(A8,Ekuivalensi!$E$2:$I$55,5,FALSE))</f>
        <v>Lulus</v>
      </c>
      <c r="F8" s="71">
        <v>2</v>
      </c>
      <c r="G8" s="3"/>
      <c r="H8" s="13" t="s">
        <v>128</v>
      </c>
      <c r="I8" s="14" t="s">
        <v>127</v>
      </c>
      <c r="J8" s="10">
        <v>2</v>
      </c>
      <c r="K8" s="15" t="s">
        <v>5</v>
      </c>
      <c r="L8" s="15" t="str" cm="1">
        <f t="array" aca="1" ref="L8" ca="1">INDIRECT(VLOOKUP(H8,Ekuivalensi!$E$2:$I$55,5,FALSE))</f>
        <v>Lulus</v>
      </c>
      <c r="M8" s="71">
        <v>9</v>
      </c>
      <c r="N8" s="3"/>
      <c r="O8" s="133" t="s">
        <v>352</v>
      </c>
      <c r="P8" s="133"/>
      <c r="Q8" s="133"/>
      <c r="R8" s="133"/>
      <c r="S8" s="5"/>
    </row>
    <row r="9" spans="1:19">
      <c r="A9" s="13" t="s">
        <v>120</v>
      </c>
      <c r="B9" s="14" t="s">
        <v>113</v>
      </c>
      <c r="C9" s="10">
        <v>3</v>
      </c>
      <c r="D9" s="15" t="s">
        <v>5</v>
      </c>
      <c r="E9" s="15" t="str" cm="1">
        <f t="array" aca="1" ref="E9" ca="1">INDIRECT(VLOOKUP(A9,Ekuivalensi!$E$2:$I$55,5,FALSE))</f>
        <v>Lulus</v>
      </c>
      <c r="F9" s="71">
        <v>3</v>
      </c>
      <c r="G9" s="3"/>
      <c r="H9" s="13" t="s">
        <v>130</v>
      </c>
      <c r="I9" s="14" t="s">
        <v>129</v>
      </c>
      <c r="J9" s="10">
        <v>4</v>
      </c>
      <c r="K9" s="15" t="s">
        <v>5</v>
      </c>
      <c r="L9" s="15" t="str" cm="1">
        <f t="array" aca="1" ref="L9" ca="1">INDIRECT(VLOOKUP(H9,Ekuivalensi!$E$2:$I$55,5,FALSE))</f>
        <v>Lulus</v>
      </c>
      <c r="M9" s="71">
        <v>10</v>
      </c>
      <c r="N9" s="3"/>
      <c r="O9" s="133"/>
      <c r="P9" s="133"/>
      <c r="Q9" s="133"/>
      <c r="R9" s="133"/>
      <c r="S9" s="5"/>
    </row>
    <row r="10" spans="1:19">
      <c r="A10" s="13" t="s">
        <v>121</v>
      </c>
      <c r="B10" s="14" t="s">
        <v>114</v>
      </c>
      <c r="C10" s="10">
        <v>3</v>
      </c>
      <c r="D10" s="15" t="s">
        <v>5</v>
      </c>
      <c r="E10" s="15" t="str" cm="1">
        <f t="array" aca="1" ref="E10" ca="1">INDIRECT(VLOOKUP(A10,Ekuivalensi!$E$2:$I$55,5,FALSE))</f>
        <v>Lulus</v>
      </c>
      <c r="F10" s="71">
        <v>4</v>
      </c>
      <c r="G10" s="3"/>
      <c r="H10" s="13" t="s">
        <v>132</v>
      </c>
      <c r="I10" s="14" t="s">
        <v>131</v>
      </c>
      <c r="J10" s="10">
        <v>3</v>
      </c>
      <c r="K10" s="15" t="s">
        <v>5</v>
      </c>
      <c r="L10" s="15" t="str" cm="1">
        <f t="array" aca="1" ref="L10" ca="1">INDIRECT(VLOOKUP(H10,Ekuivalensi!$E$2:$I$55,5,FALSE))</f>
        <v>Lulus</v>
      </c>
      <c r="M10" s="71">
        <v>11</v>
      </c>
      <c r="N10" s="3"/>
      <c r="O10" s="133"/>
      <c r="P10" s="133"/>
      <c r="Q10" s="133"/>
      <c r="R10" s="133"/>
      <c r="S10" s="5"/>
    </row>
    <row r="11" spans="1:19" ht="14.95" customHeight="1">
      <c r="A11" s="13" t="s">
        <v>122</v>
      </c>
      <c r="B11" s="14" t="s">
        <v>115</v>
      </c>
      <c r="C11" s="10">
        <v>2</v>
      </c>
      <c r="D11" s="15" t="s">
        <v>5</v>
      </c>
      <c r="E11" s="15" t="str" cm="1">
        <f t="array" aca="1" ref="E11" ca="1">IF(L2=2019,"Belum",INDIRECT(VLOOKUP(A11,Ekuivalensi!$E$2:$I$55,5,FALSE)))</f>
        <v>Belum</v>
      </c>
      <c r="F11" s="71">
        <v>5</v>
      </c>
      <c r="G11" s="3"/>
      <c r="H11" s="13" t="s">
        <v>134</v>
      </c>
      <c r="I11" s="14" t="s">
        <v>133</v>
      </c>
      <c r="J11" s="10">
        <v>3</v>
      </c>
      <c r="K11" s="15" t="s">
        <v>5</v>
      </c>
      <c r="L11" s="15" t="str" cm="1">
        <f t="array" aca="1" ref="L11" ca="1">INDIRECT(VLOOKUP(H11,Ekuivalensi!$E$2:$I$55,5,FALSE))</f>
        <v>Lulus</v>
      </c>
      <c r="M11" s="71">
        <v>12</v>
      </c>
      <c r="N11" s="3"/>
      <c r="O11" s="133"/>
      <c r="P11" s="133"/>
      <c r="Q11" s="133"/>
      <c r="R11" s="133"/>
      <c r="S11" s="5"/>
    </row>
    <row r="12" spans="1:19">
      <c r="A12" s="13" t="s">
        <v>123</v>
      </c>
      <c r="B12" s="14" t="s">
        <v>116</v>
      </c>
      <c r="C12" s="10">
        <v>3</v>
      </c>
      <c r="D12" s="15" t="s">
        <v>5</v>
      </c>
      <c r="E12" s="15" t="str" cm="1">
        <f t="array" aca="1" ref="E12" ca="1">INDIRECT(VLOOKUP(A12,Ekuivalensi!$E$2:$I$55,5,FALSE))</f>
        <v>Lulus</v>
      </c>
      <c r="F12" s="71">
        <v>6</v>
      </c>
      <c r="G12" s="3"/>
      <c r="H12" s="13" t="s">
        <v>135</v>
      </c>
      <c r="I12" s="14" t="s">
        <v>56</v>
      </c>
      <c r="J12" s="10">
        <v>3</v>
      </c>
      <c r="K12" s="15" t="s">
        <v>5</v>
      </c>
      <c r="L12" s="15" t="str" cm="1">
        <f t="array" aca="1" ref="L12" ca="1">INDIRECT(VLOOKUP(H12,Ekuivalensi!$E$2:$I$55,5,FALSE))</f>
        <v>Lulus</v>
      </c>
      <c r="M12" s="71">
        <v>13</v>
      </c>
      <c r="N12" s="3"/>
      <c r="O12" s="133" t="s">
        <v>297</v>
      </c>
      <c r="P12" s="133"/>
      <c r="Q12" s="133"/>
      <c r="R12" s="133"/>
      <c r="S12" s="5"/>
    </row>
    <row r="13" spans="1:19">
      <c r="A13" s="13" t="s">
        <v>124</v>
      </c>
      <c r="B13" s="14" t="s">
        <v>117</v>
      </c>
      <c r="C13" s="10">
        <v>3</v>
      </c>
      <c r="D13" s="15" t="s">
        <v>5</v>
      </c>
      <c r="E13" s="15" t="str" cm="1">
        <f t="array" aca="1" ref="E13" ca="1">INDIRECT(VLOOKUP(A13,Ekuivalensi!$E$2:$I$55,5,FALSE))</f>
        <v>Lulus</v>
      </c>
      <c r="F13" s="71">
        <v>7</v>
      </c>
      <c r="G13" s="3"/>
      <c r="H13" s="13" t="s">
        <v>136</v>
      </c>
      <c r="I13" s="14" t="s">
        <v>48</v>
      </c>
      <c r="J13" s="10">
        <v>3</v>
      </c>
      <c r="K13" s="15" t="s">
        <v>5</v>
      </c>
      <c r="L13" s="15" t="str" cm="1">
        <f t="array" aca="1" ref="L13" ca="1">INDIRECT(VLOOKUP(H13,Ekuivalensi!$E$2:$I$55,5,FALSE))</f>
        <v>Lulus</v>
      </c>
      <c r="M13" s="71">
        <v>14</v>
      </c>
      <c r="N13" s="3"/>
      <c r="O13" s="133"/>
      <c r="P13" s="133"/>
      <c r="Q13" s="133"/>
      <c r="R13" s="133"/>
      <c r="S13" s="5"/>
    </row>
    <row r="14" spans="1:19" ht="14.95" customHeight="1">
      <c r="A14" s="16"/>
      <c r="B14" s="17"/>
      <c r="C14" s="5"/>
      <c r="D14" s="18"/>
      <c r="E14" s="5"/>
      <c r="F14" s="71"/>
      <c r="G14" s="3"/>
      <c r="H14" s="16"/>
      <c r="I14" s="17"/>
      <c r="J14" s="5"/>
      <c r="K14" s="18"/>
      <c r="L14" s="5"/>
      <c r="M14" s="71"/>
      <c r="N14" s="3"/>
      <c r="O14" s="133"/>
      <c r="P14" s="133"/>
      <c r="Q14" s="133"/>
      <c r="R14" s="133"/>
      <c r="S14" s="5"/>
    </row>
    <row r="15" spans="1:19">
      <c r="A15" s="147" t="s">
        <v>33</v>
      </c>
      <c r="B15" s="148"/>
      <c r="C15" s="11" t="s">
        <v>1</v>
      </c>
      <c r="D15" s="12" t="s">
        <v>106</v>
      </c>
      <c r="E15" s="12" t="s">
        <v>107</v>
      </c>
      <c r="F15" s="71"/>
      <c r="G15" s="3"/>
      <c r="H15" s="147" t="s">
        <v>34</v>
      </c>
      <c r="I15" s="148"/>
      <c r="J15" s="11" t="s">
        <v>1</v>
      </c>
      <c r="K15" s="12" t="s">
        <v>106</v>
      </c>
      <c r="L15" s="12" t="s">
        <v>107</v>
      </c>
      <c r="M15" s="71"/>
      <c r="N15" s="3"/>
      <c r="O15" s="133" t="s">
        <v>298</v>
      </c>
      <c r="P15" s="133"/>
      <c r="Q15" s="133"/>
      <c r="R15" s="133"/>
      <c r="S15" s="5"/>
    </row>
    <row r="16" spans="1:19">
      <c r="A16" s="13" t="s">
        <v>137</v>
      </c>
      <c r="B16" s="14" t="s">
        <v>58</v>
      </c>
      <c r="C16" s="10">
        <v>3</v>
      </c>
      <c r="D16" s="15" t="s">
        <v>5</v>
      </c>
      <c r="E16" s="15" t="str" cm="1">
        <f t="array" aca="1" ref="E16" ca="1">INDIRECT(VLOOKUP(A16,Ekuivalensi!$E$2:$I$55,5,FALSE))</f>
        <v>Lulus</v>
      </c>
      <c r="F16" s="71">
        <v>15</v>
      </c>
      <c r="G16" s="3"/>
      <c r="H16" s="13" t="s">
        <v>148</v>
      </c>
      <c r="I16" s="14" t="s">
        <v>147</v>
      </c>
      <c r="J16" s="10">
        <v>2</v>
      </c>
      <c r="K16" s="15" t="s">
        <v>10</v>
      </c>
      <c r="L16" s="15" t="str" cm="1">
        <f t="array" aca="1" ref="L16" ca="1">INDIRECT(VLOOKUP(H16,Ekuivalensi!$E$2:$I$55,5,FALSE))</f>
        <v>Lulus</v>
      </c>
      <c r="M16" s="89">
        <v>22</v>
      </c>
      <c r="N16" s="3"/>
      <c r="O16" s="133"/>
      <c r="P16" s="133"/>
      <c r="Q16" s="133"/>
      <c r="R16" s="133"/>
      <c r="S16" s="5"/>
    </row>
    <row r="17" spans="1:19">
      <c r="A17" s="13" t="s">
        <v>138</v>
      </c>
      <c r="B17" s="14" t="s">
        <v>16</v>
      </c>
      <c r="C17" s="10">
        <v>4</v>
      </c>
      <c r="D17" s="15" t="s">
        <v>5</v>
      </c>
      <c r="E17" s="15" t="str" cm="1">
        <f t="array" aca="1" ref="E17" ca="1">INDIRECT(VLOOKUP(A17,Ekuivalensi!$E$2:$I$55,5,FALSE))</f>
        <v>Lulus</v>
      </c>
      <c r="F17" s="71">
        <v>16</v>
      </c>
      <c r="G17" s="3"/>
      <c r="H17" s="13" t="s">
        <v>150</v>
      </c>
      <c r="I17" s="14" t="s">
        <v>149</v>
      </c>
      <c r="J17" s="10">
        <v>3</v>
      </c>
      <c r="K17" s="15" t="s">
        <v>5</v>
      </c>
      <c r="L17" s="15" t="str" cm="1">
        <f t="array" aca="1" ref="L17" ca="1">INDIRECT(VLOOKUP(H17,Ekuivalensi!$E$2:$I$55,5,FALSE))</f>
        <v>Lulus</v>
      </c>
      <c r="M17" s="89">
        <v>23</v>
      </c>
      <c r="N17" s="3"/>
      <c r="O17" s="133"/>
      <c r="P17" s="133"/>
      <c r="Q17" s="133"/>
      <c r="R17" s="133"/>
      <c r="S17" s="5"/>
    </row>
    <row r="18" spans="1:19" ht="14.95" customHeight="1">
      <c r="A18" s="13" t="s">
        <v>140</v>
      </c>
      <c r="B18" s="14" t="s">
        <v>139</v>
      </c>
      <c r="C18" s="10">
        <v>2</v>
      </c>
      <c r="D18" s="15" t="s">
        <v>5</v>
      </c>
      <c r="E18" s="15" t="str" cm="1">
        <f t="array" aca="1" ref="E18" ca="1">INDIRECT(VLOOKUP(A18,Ekuivalensi!$E$2:$I$55,5,FALSE))</f>
        <v>Lulus</v>
      </c>
      <c r="F18" s="71">
        <v>17</v>
      </c>
      <c r="G18" s="3"/>
      <c r="H18" s="13" t="s">
        <v>152</v>
      </c>
      <c r="I18" s="14" t="s">
        <v>151</v>
      </c>
      <c r="J18" s="10">
        <v>2</v>
      </c>
      <c r="K18" s="15" t="s">
        <v>5</v>
      </c>
      <c r="L18" s="15" t="str" cm="1">
        <f t="array" aca="1" ref="L18" ca="1">INDIRECT(VLOOKUP(H18,Ekuivalensi!$E$2:$I$55,5,FALSE))</f>
        <v>Lulus</v>
      </c>
      <c r="M18" s="73">
        <f>IF(L2=2019,20,24)</f>
        <v>20</v>
      </c>
      <c r="N18" s="3"/>
      <c r="O18" s="155" t="s">
        <v>351</v>
      </c>
      <c r="P18" s="156"/>
      <c r="Q18" s="156"/>
      <c r="R18" s="157"/>
      <c r="S18" s="5"/>
    </row>
    <row r="19" spans="1:19">
      <c r="A19" s="13" t="s">
        <v>141</v>
      </c>
      <c r="B19" s="14" t="s">
        <v>24</v>
      </c>
      <c r="C19" s="10">
        <v>3</v>
      </c>
      <c r="D19" s="15" t="s">
        <v>5</v>
      </c>
      <c r="E19" s="15" t="str" cm="1">
        <f t="array" aca="1" ref="E19" ca="1">INDIRECT(VLOOKUP(A19,Ekuivalensi!$E$2:$I$55,5,FALSE))</f>
        <v>Lulus</v>
      </c>
      <c r="F19" s="71">
        <v>18</v>
      </c>
      <c r="G19" s="3"/>
      <c r="H19" s="13" t="s">
        <v>153</v>
      </c>
      <c r="I19" s="14" t="s">
        <v>64</v>
      </c>
      <c r="J19" s="10">
        <v>4</v>
      </c>
      <c r="K19" s="15" t="s">
        <v>5</v>
      </c>
      <c r="L19" s="15" t="str" cm="1">
        <f t="array" aca="1" ref="L19" ca="1">INDIRECT(VLOOKUP(H19,Ekuivalensi!$E$2:$I$55,5,FALSE))</f>
        <v>Lulus</v>
      </c>
      <c r="M19" s="89">
        <v>25</v>
      </c>
      <c r="N19" s="3"/>
      <c r="O19" s="158"/>
      <c r="P19" s="159"/>
      <c r="Q19" s="159"/>
      <c r="R19" s="160"/>
      <c r="S19" s="5"/>
    </row>
    <row r="20" spans="1:19">
      <c r="A20" s="13" t="s">
        <v>143</v>
      </c>
      <c r="B20" s="14" t="s">
        <v>142</v>
      </c>
      <c r="C20" s="10">
        <v>2</v>
      </c>
      <c r="D20" s="15" t="s">
        <v>5</v>
      </c>
      <c r="E20" s="15" t="str" cm="1">
        <f t="array" aca="1" ref="E20" ca="1">INDIRECT(VLOOKUP(A20,Ekuivalensi!$E$2:$I$55,5,FALSE))</f>
        <v>Lulus</v>
      </c>
      <c r="F20" s="71">
        <v>19</v>
      </c>
      <c r="G20" s="3"/>
      <c r="H20" s="13" t="s">
        <v>155</v>
      </c>
      <c r="I20" s="14" t="s">
        <v>154</v>
      </c>
      <c r="J20" s="10">
        <v>3</v>
      </c>
      <c r="K20" s="15" t="s">
        <v>5</v>
      </c>
      <c r="L20" s="15" t="str" cm="1">
        <f t="array" aca="1" ref="L20" ca="1">INDIRECT(VLOOKUP(H20,Ekuivalensi!$E$2:$I$55,5,FALSE))</f>
        <v>Lulus</v>
      </c>
      <c r="M20" s="71">
        <v>26</v>
      </c>
      <c r="N20" s="3"/>
      <c r="O20" s="158"/>
      <c r="P20" s="159"/>
      <c r="Q20" s="159"/>
      <c r="R20" s="160"/>
      <c r="S20" s="5"/>
    </row>
    <row r="21" spans="1:19">
      <c r="A21" s="13" t="s">
        <v>144</v>
      </c>
      <c r="B21" s="14" t="s">
        <v>42</v>
      </c>
      <c r="C21" s="10">
        <v>3</v>
      </c>
      <c r="D21" s="15" t="s">
        <v>5</v>
      </c>
      <c r="E21" s="15" t="str" cm="1">
        <f t="array" aca="1" ref="E21" ca="1">INDIRECT(VLOOKUP(A21,Ekuivalensi!$E$2:$I$55,5,FALSE))</f>
        <v>Lulus</v>
      </c>
      <c r="F21" s="73">
        <f>IF(L2=2019,24,20)</f>
        <v>24</v>
      </c>
      <c r="G21" s="3"/>
      <c r="H21" s="13" t="s">
        <v>157</v>
      </c>
      <c r="I21" s="14" t="s">
        <v>156</v>
      </c>
      <c r="J21" s="10">
        <v>3</v>
      </c>
      <c r="K21" s="15" t="s">
        <v>5</v>
      </c>
      <c r="L21" s="15" t="str" cm="1">
        <f t="array" aca="1" ref="L21" ca="1">INDIRECT(VLOOKUP(H21,Ekuivalensi!$E$2:$I$55,5,FALSE))</f>
        <v>Lulus</v>
      </c>
      <c r="M21" s="71">
        <v>27</v>
      </c>
      <c r="N21" s="3"/>
      <c r="O21" s="158"/>
      <c r="P21" s="159"/>
      <c r="Q21" s="159"/>
      <c r="R21" s="160"/>
      <c r="S21" s="5"/>
    </row>
    <row r="22" spans="1:19">
      <c r="A22" s="13" t="s">
        <v>146</v>
      </c>
      <c r="B22" s="14" t="s">
        <v>145</v>
      </c>
      <c r="C22" s="10">
        <v>3</v>
      </c>
      <c r="D22" s="15" t="s">
        <v>5</v>
      </c>
      <c r="E22" s="15" t="str" cm="1">
        <f t="array" aca="1" ref="E22" ca="1">INDIRECT(VLOOKUP(A22,Ekuivalensi!$E$2:$I$55,5,FALSE))</f>
        <v>Lulus</v>
      </c>
      <c r="F22" s="71">
        <v>21</v>
      </c>
      <c r="G22" s="3"/>
      <c r="H22" s="13" t="s">
        <v>159</v>
      </c>
      <c r="I22" s="14" t="s">
        <v>158</v>
      </c>
      <c r="J22" s="10">
        <v>3</v>
      </c>
      <c r="K22" s="15" t="s">
        <v>5</v>
      </c>
      <c r="L22" s="15" t="str" cm="1">
        <f t="array" aca="1" ref="L22" ca="1">INDIRECT(VLOOKUP(H22,Ekuivalensi!$E$2:$I$55,5,FALSE))</f>
        <v>Lulus</v>
      </c>
      <c r="M22" s="89">
        <v>28</v>
      </c>
      <c r="N22" s="3"/>
      <c r="O22" s="158"/>
      <c r="P22" s="159"/>
      <c r="Q22" s="159"/>
      <c r="R22" s="160"/>
      <c r="S22" s="5"/>
    </row>
    <row r="23" spans="1:19">
      <c r="A23" s="16"/>
      <c r="B23" s="17"/>
      <c r="C23" s="5"/>
      <c r="D23" s="18"/>
      <c r="E23" s="18"/>
      <c r="F23" s="71"/>
      <c r="G23" s="3"/>
      <c r="H23" s="16"/>
      <c r="I23" s="17"/>
      <c r="J23" s="5"/>
      <c r="K23" s="18"/>
      <c r="L23" s="18"/>
      <c r="M23" s="71"/>
      <c r="N23" s="3"/>
      <c r="O23" s="158"/>
      <c r="P23" s="159"/>
      <c r="Q23" s="159"/>
      <c r="R23" s="160"/>
      <c r="S23" s="5"/>
    </row>
    <row r="24" spans="1:19">
      <c r="A24" s="147" t="s">
        <v>61</v>
      </c>
      <c r="B24" s="148"/>
      <c r="C24" s="11" t="s">
        <v>1</v>
      </c>
      <c r="D24" s="12" t="s">
        <v>106</v>
      </c>
      <c r="E24" s="12" t="s">
        <v>107</v>
      </c>
      <c r="F24" s="71"/>
      <c r="G24" s="3"/>
      <c r="H24" s="147" t="s">
        <v>62</v>
      </c>
      <c r="I24" s="148"/>
      <c r="J24" s="11" t="s">
        <v>1</v>
      </c>
      <c r="K24" s="12" t="s">
        <v>106</v>
      </c>
      <c r="L24" s="12" t="s">
        <v>107</v>
      </c>
      <c r="M24" s="71"/>
      <c r="N24" s="3"/>
      <c r="O24" s="158"/>
      <c r="P24" s="159"/>
      <c r="Q24" s="159"/>
      <c r="R24" s="160"/>
      <c r="S24" s="5"/>
    </row>
    <row r="25" spans="1:19">
      <c r="A25" s="13" t="s">
        <v>160</v>
      </c>
      <c r="B25" s="14" t="s">
        <v>100</v>
      </c>
      <c r="C25" s="10">
        <v>2</v>
      </c>
      <c r="D25" s="15" t="s">
        <v>5</v>
      </c>
      <c r="E25" s="15" t="str" cm="1">
        <f t="array" aca="1" ref="E25" ca="1">INDIRECT(VLOOKUP(A25,Ekuivalensi!$E$2:$I$55,5,FALSE))</f>
        <v>Belum</v>
      </c>
      <c r="F25" s="71">
        <v>29</v>
      </c>
      <c r="G25" s="3"/>
      <c r="H25" s="13" t="s">
        <v>171</v>
      </c>
      <c r="I25" s="14" t="s">
        <v>170</v>
      </c>
      <c r="J25" s="10">
        <v>3</v>
      </c>
      <c r="K25" s="15" t="s">
        <v>5</v>
      </c>
      <c r="L25" s="15" t="str" cm="1">
        <f t="array" aca="1" ref="L25" ca="1">INDIRECT(VLOOKUP(H25,Ekuivalensi!$E$2:$I$55,5,FALSE))</f>
        <v>Belum</v>
      </c>
      <c r="M25" s="71">
        <v>36</v>
      </c>
      <c r="N25" s="3"/>
      <c r="O25" s="161"/>
      <c r="P25" s="162"/>
      <c r="Q25" s="162"/>
      <c r="R25" s="163"/>
      <c r="S25" s="5"/>
    </row>
    <row r="26" spans="1:19">
      <c r="A26" s="13" t="s">
        <v>162</v>
      </c>
      <c r="B26" s="14" t="s">
        <v>161</v>
      </c>
      <c r="C26" s="10">
        <v>3</v>
      </c>
      <c r="D26" s="15" t="s">
        <v>5</v>
      </c>
      <c r="E26" s="15" t="str" cm="1">
        <f t="array" aca="1" ref="E26" ca="1">INDIRECT(VLOOKUP(A26,Ekuivalensi!$E$2:$I$55,5,FALSE))</f>
        <v>Belum</v>
      </c>
      <c r="F26" s="71">
        <v>30</v>
      </c>
      <c r="G26" s="3"/>
      <c r="H26" s="13" t="s">
        <v>173</v>
      </c>
      <c r="I26" s="14" t="s">
        <v>172</v>
      </c>
      <c r="J26" s="10">
        <v>4</v>
      </c>
      <c r="K26" s="15" t="s">
        <v>5</v>
      </c>
      <c r="L26" s="15" t="str" cm="1">
        <f t="array" aca="1" ref="L26" ca="1">INDIRECT(VLOOKUP(H26,Ekuivalensi!$E$2:$I$55,5,FALSE))</f>
        <v>Belum</v>
      </c>
      <c r="M26" s="71">
        <v>37</v>
      </c>
      <c r="N26" s="3"/>
      <c r="O26" s="5"/>
      <c r="P26" s="5"/>
      <c r="Q26" s="5"/>
      <c r="R26" s="5"/>
      <c r="S26" s="5"/>
    </row>
    <row r="27" spans="1:19">
      <c r="A27" s="13" t="s">
        <v>164</v>
      </c>
      <c r="B27" s="14" t="s">
        <v>163</v>
      </c>
      <c r="C27" s="10">
        <v>4</v>
      </c>
      <c r="D27" s="15" t="s">
        <v>5</v>
      </c>
      <c r="E27" s="15" t="str" cm="1">
        <f t="array" aca="1" ref="E27" ca="1">INDIRECT(VLOOKUP(A27,Ekuivalensi!$E$2:$I$55,5,FALSE))</f>
        <v>Belum</v>
      </c>
      <c r="F27" s="71">
        <v>31</v>
      </c>
      <c r="G27" s="3"/>
      <c r="H27" s="13" t="s">
        <v>175</v>
      </c>
      <c r="I27" s="14" t="s">
        <v>174</v>
      </c>
      <c r="J27" s="10">
        <v>3</v>
      </c>
      <c r="K27" s="15" t="s">
        <v>5</v>
      </c>
      <c r="L27" s="15" t="str" cm="1">
        <f t="array" aca="1" ref="L27" ca="1">INDIRECT(VLOOKUP(H27,Ekuivalensi!$E$2:$I$55,5,FALSE))</f>
        <v>Lulus</v>
      </c>
      <c r="M27" s="71">
        <v>38</v>
      </c>
      <c r="N27" s="3"/>
      <c r="O27" s="145" t="s">
        <v>346</v>
      </c>
      <c r="P27" s="145"/>
      <c r="Q27" s="145"/>
      <c r="R27" s="145"/>
      <c r="S27" s="5"/>
    </row>
    <row r="28" spans="1:19">
      <c r="A28" s="13" t="s">
        <v>165</v>
      </c>
      <c r="B28" s="14" t="s">
        <v>82</v>
      </c>
      <c r="C28" s="10">
        <v>3</v>
      </c>
      <c r="D28" s="15" t="s">
        <v>5</v>
      </c>
      <c r="E28" s="15" t="str" cm="1">
        <f t="array" aca="1" ref="E28" ca="1">INDIRECT(VLOOKUP(A28,Ekuivalensi!$E$2:$I$55,5,FALSE))</f>
        <v>Belum</v>
      </c>
      <c r="F28" s="71">
        <f>IF(L2=2018,40,32)</f>
        <v>32</v>
      </c>
      <c r="G28" s="3"/>
      <c r="H28" s="13" t="s">
        <v>177</v>
      </c>
      <c r="I28" s="14" t="s">
        <v>176</v>
      </c>
      <c r="J28" s="10">
        <v>4</v>
      </c>
      <c r="K28" s="15" t="s">
        <v>5</v>
      </c>
      <c r="L28" s="15" t="str" cm="1">
        <f t="array" aca="1" ref="L28" ca="1">INDIRECT(VLOOKUP(H28,Ekuivalensi!$E$2:$I$55,5,FALSE))</f>
        <v>Belum</v>
      </c>
      <c r="M28" s="71">
        <v>39</v>
      </c>
      <c r="N28" s="3"/>
      <c r="O28" s="145"/>
      <c r="P28" s="145"/>
      <c r="Q28" s="145"/>
      <c r="R28" s="145"/>
      <c r="S28" s="5"/>
    </row>
    <row r="29" spans="1:19">
      <c r="A29" s="13" t="s">
        <v>166</v>
      </c>
      <c r="B29" s="14" t="s">
        <v>74</v>
      </c>
      <c r="C29" s="10">
        <v>4</v>
      </c>
      <c r="D29" s="15" t="s">
        <v>5</v>
      </c>
      <c r="E29" s="15" t="str" cm="1">
        <f t="array" aca="1" ref="E29" ca="1">INDIRECT(VLOOKUP(A29,Ekuivalensi!$E$2:$I$55,5,FALSE))</f>
        <v>Belum</v>
      </c>
      <c r="F29" s="73">
        <f>IF(L2=2018,35,33)</f>
        <v>33</v>
      </c>
      <c r="G29" s="3"/>
      <c r="H29" s="13" t="s">
        <v>179</v>
      </c>
      <c r="I29" s="14" t="s">
        <v>178</v>
      </c>
      <c r="J29" s="10">
        <v>2</v>
      </c>
      <c r="K29" s="15" t="s">
        <v>5</v>
      </c>
      <c r="L29" s="15" t="str" cm="1">
        <f t="array" aca="1" ref="L29" ca="1">INDIRECT(VLOOKUP(H29,Ekuivalensi!$E$2:$I$55,5,FALSE))</f>
        <v>Belum</v>
      </c>
      <c r="M29" s="73">
        <f>IF(L2=2017,46,IF(L2=2018,32,40))</f>
        <v>40</v>
      </c>
      <c r="N29" s="3"/>
      <c r="O29" s="61" t="str">
        <f>IF(R29="","","FUH1G3")</f>
        <v/>
      </c>
      <c r="P29" s="150" t="str">
        <f>IF(R29="","","Fisika Dasar")</f>
        <v/>
      </c>
      <c r="Q29" s="151"/>
      <c r="R29" s="60" t="str">
        <f>IF('Status Kelulusan'!F20="Lulus",3,"")</f>
        <v/>
      </c>
      <c r="S29" s="5"/>
    </row>
    <row r="30" spans="1:19">
      <c r="A30" s="13" t="s">
        <v>168</v>
      </c>
      <c r="B30" s="14" t="s">
        <v>167</v>
      </c>
      <c r="C30" s="10">
        <v>3</v>
      </c>
      <c r="D30" s="15" t="s">
        <v>5</v>
      </c>
      <c r="E30" s="15" t="s">
        <v>323</v>
      </c>
      <c r="F30" s="71">
        <v>34</v>
      </c>
      <c r="G30" s="3"/>
      <c r="H30" s="74" t="s">
        <v>181</v>
      </c>
      <c r="I30" s="75" t="s">
        <v>180</v>
      </c>
      <c r="J30" s="76">
        <v>3</v>
      </c>
      <c r="K30" s="77" t="s">
        <v>10</v>
      </c>
      <c r="L30" s="15" t="str" cm="1">
        <f t="array" aca="1" ref="L30" ca="1">INDIRECT(VLOOKUP(H30,Ekuivalensi!$E$2:$I$55,5,FALSE))</f>
        <v>Belum</v>
      </c>
      <c r="M30" s="71">
        <v>41</v>
      </c>
      <c r="N30" s="3"/>
      <c r="O30" s="61" t="str">
        <f>IF(R30="","","CSH2H3")</f>
        <v>CSH2H3</v>
      </c>
      <c r="P30" s="150" t="str">
        <f>IF(R30="","","Model Bisnis Digital")</f>
        <v>Model Bisnis Digital</v>
      </c>
      <c r="Q30" s="151"/>
      <c r="R30" s="60">
        <f>IF('Status Kelulusan'!N19="Lulus",3,"")</f>
        <v>3</v>
      </c>
      <c r="S30" s="5"/>
    </row>
    <row r="31" spans="1:19">
      <c r="A31" s="13" t="s">
        <v>169</v>
      </c>
      <c r="B31" s="14" t="s">
        <v>347</v>
      </c>
      <c r="C31" s="10">
        <v>1</v>
      </c>
      <c r="D31" s="15" t="s">
        <v>5</v>
      </c>
      <c r="E31" s="15" t="str" cm="1">
        <f t="array" aca="1" ref="E31" ca="1">INDIRECT(VLOOKUP(A31,Ekuivalensi!$E$2:$I$55,5,FALSE))</f>
        <v>Belum</v>
      </c>
      <c r="F31" s="73">
        <f>IF(L2=2017,45,IF(L2=2018,33,35))</f>
        <v>35</v>
      </c>
      <c r="G31" s="3"/>
      <c r="H31" s="13"/>
      <c r="I31" s="14"/>
      <c r="J31" s="10"/>
      <c r="K31" s="15"/>
      <c r="L31" s="15"/>
      <c r="M31" s="71"/>
      <c r="N31" s="3"/>
      <c r="O31" s="61" t="str">
        <f>IF(R31="","","CSH3G2")</f>
        <v/>
      </c>
      <c r="P31" s="150" t="str">
        <f>IF(R31="","","Konsep Teknologi")</f>
        <v/>
      </c>
      <c r="Q31" s="151"/>
      <c r="R31" s="60" t="str">
        <f>IF('Status Kelulusan'!F30="Lulus",2,"")</f>
        <v/>
      </c>
      <c r="S31" s="5"/>
    </row>
    <row r="32" spans="1:19">
      <c r="A32" s="16"/>
      <c r="B32" s="17"/>
      <c r="C32" s="5"/>
      <c r="D32" s="18"/>
      <c r="E32" s="18"/>
      <c r="F32" s="71"/>
      <c r="G32" s="3"/>
      <c r="H32" s="16"/>
      <c r="I32" s="17"/>
      <c r="J32" s="5"/>
      <c r="K32" s="18"/>
      <c r="L32" s="18"/>
      <c r="M32" s="71"/>
      <c r="N32" s="3"/>
      <c r="O32" s="61" t="str">
        <f>IF(R32="","","CSH3I3")</f>
        <v/>
      </c>
      <c r="P32" s="150" t="str">
        <f>IF(R32="","","Sistem Informasi")</f>
        <v/>
      </c>
      <c r="Q32" s="151"/>
      <c r="R32" s="60" t="str">
        <f>IF('Status Kelulusan'!N26="Lulus",3,"")</f>
        <v/>
      </c>
      <c r="S32" s="5"/>
    </row>
    <row r="33" spans="1:19">
      <c r="A33" s="147" t="s">
        <v>88</v>
      </c>
      <c r="B33" s="148"/>
      <c r="C33" s="11" t="s">
        <v>1</v>
      </c>
      <c r="D33" s="12" t="s">
        <v>106</v>
      </c>
      <c r="E33" s="12" t="s">
        <v>107</v>
      </c>
      <c r="F33" s="71"/>
      <c r="G33" s="3"/>
      <c r="H33" s="147" t="s">
        <v>89</v>
      </c>
      <c r="I33" s="148"/>
      <c r="J33" s="11" t="s">
        <v>1</v>
      </c>
      <c r="K33" s="12" t="s">
        <v>106</v>
      </c>
      <c r="L33" s="12" t="s">
        <v>107</v>
      </c>
      <c r="M33" s="71"/>
      <c r="N33" s="3"/>
      <c r="O33" s="152" t="str">
        <f>IF(L2=2019,"CII-1E3","")</f>
        <v>CII-1E3</v>
      </c>
      <c r="P33" s="153" t="str">
        <f>IF(L2=2019,"Tambahan Materi HEI untuk ank 2019","")</f>
        <v>Tambahan Materi HEI untuk ank 2019</v>
      </c>
      <c r="Q33" s="153"/>
      <c r="R33" s="154">
        <f>IF(L2=2019,1,0)</f>
        <v>1</v>
      </c>
      <c r="S33" s="5"/>
    </row>
    <row r="34" spans="1:19">
      <c r="A34" s="13" t="s">
        <v>182</v>
      </c>
      <c r="B34" s="14" t="s">
        <v>95</v>
      </c>
      <c r="C34" s="10">
        <v>2</v>
      </c>
      <c r="D34" s="15" t="s">
        <v>10</v>
      </c>
      <c r="E34" s="15" t="str" cm="1">
        <f t="array" aca="1" ref="E34" ca="1">INDIRECT(VLOOKUP(A34,Ekuivalensi!$E$2:$I$55,5,FALSE))</f>
        <v>Belum</v>
      </c>
      <c r="F34" s="71">
        <f>42</f>
        <v>42</v>
      </c>
      <c r="G34" s="3"/>
      <c r="H34" s="13" t="s">
        <v>189</v>
      </c>
      <c r="I34" s="14" t="s">
        <v>93</v>
      </c>
      <c r="J34" s="10">
        <v>4</v>
      </c>
      <c r="K34" s="15" t="s">
        <v>10</v>
      </c>
      <c r="L34" s="15" t="str" cm="1">
        <f t="array" aca="1" ref="L34" ca="1">INDIRECT(VLOOKUP(H34,Ekuivalensi!$E$2:$I$55,5,FALSE))</f>
        <v>Belum</v>
      </c>
      <c r="M34" s="73">
        <f ca="1">IF(G2&gt;G4,49,50)</f>
        <v>49</v>
      </c>
      <c r="N34" s="3"/>
      <c r="O34" s="152"/>
      <c r="P34" s="153"/>
      <c r="Q34" s="153"/>
      <c r="R34" s="154"/>
      <c r="S34" s="5"/>
    </row>
    <row r="35" spans="1:19">
      <c r="A35" s="13" t="s">
        <v>183</v>
      </c>
      <c r="B35" s="14" t="s">
        <v>87</v>
      </c>
      <c r="C35" s="10">
        <v>3</v>
      </c>
      <c r="D35" s="15" t="s">
        <v>5</v>
      </c>
      <c r="E35" s="15" t="str" cm="1">
        <f t="array" aca="1" ref="E35" ca="1">INDIRECT(VLOOKUP(A35,Ekuivalensi!$E$2:$I$55,5,FALSE))</f>
        <v>Belum</v>
      </c>
      <c r="F35" s="71">
        <v>43</v>
      </c>
      <c r="G35" s="3"/>
      <c r="H35" s="78" t="s">
        <v>194</v>
      </c>
      <c r="I35" s="8" t="s">
        <v>190</v>
      </c>
      <c r="J35" s="62">
        <v>3</v>
      </c>
      <c r="K35" s="79" t="s">
        <v>10</v>
      </c>
      <c r="L35" s="15" t="str" cm="1">
        <f t="array" aca="1" ref="L35" ca="1">INDIRECT(VLOOKUP(H35,Ekuivalensi!$E$2:$I$55,5,FALSE))</f>
        <v>Belum</v>
      </c>
      <c r="M35" s="71">
        <v>48</v>
      </c>
      <c r="N35" s="3"/>
      <c r="O35" s="5"/>
      <c r="P35" s="5"/>
      <c r="Q35" s="5"/>
      <c r="R35" s="5"/>
      <c r="S35" s="5"/>
    </row>
    <row r="36" spans="1:19">
      <c r="A36" s="13" t="s">
        <v>185</v>
      </c>
      <c r="B36" s="14" t="s">
        <v>184</v>
      </c>
      <c r="C36" s="10">
        <v>3</v>
      </c>
      <c r="D36" s="15" t="s">
        <v>10</v>
      </c>
      <c r="E36" s="15" t="str" cm="1">
        <f t="array" aca="1" ref="E36" ca="1">INDIRECT(VLOOKUP(A36,Ekuivalensi!$E$2:$I$55,5,FALSE))</f>
        <v>Belum</v>
      </c>
      <c r="F36" s="71">
        <v>44</v>
      </c>
      <c r="G36" s="3"/>
      <c r="H36" s="78" t="s">
        <v>195</v>
      </c>
      <c r="I36" s="8" t="s">
        <v>191</v>
      </c>
      <c r="J36" s="62">
        <v>3</v>
      </c>
      <c r="K36" s="79" t="s">
        <v>10</v>
      </c>
      <c r="L36" s="15" t="str" cm="1">
        <f t="array" aca="1" ref="L36" ca="1">INDIRECT(VLOOKUP(H36,Ekuivalensi!$E$2:$I$55,5,FALSE))</f>
        <v>Belum</v>
      </c>
      <c r="M36" s="73">
        <f ca="1">IF(G2&gt;G4,50,49)</f>
        <v>50</v>
      </c>
      <c r="N36" s="3"/>
      <c r="O36" s="5"/>
      <c r="P36" s="5"/>
      <c r="Q36" s="5"/>
      <c r="R36" s="5"/>
      <c r="S36" s="5"/>
    </row>
    <row r="37" spans="1:19">
      <c r="A37" s="13" t="s">
        <v>186</v>
      </c>
      <c r="B37" s="14" t="s">
        <v>326</v>
      </c>
      <c r="C37" s="10">
        <v>3</v>
      </c>
      <c r="D37" s="15" t="s">
        <v>10</v>
      </c>
      <c r="E37" s="15" t="str" cm="1">
        <f t="array" aca="1" ref="E37" ca="1">INDIRECT(VLOOKUP(A37,Ekuivalensi!$E$2:$I$55,5,FALSE))</f>
        <v>Belum</v>
      </c>
      <c r="F37" s="73">
        <f>IF(L2=2017,35,45)</f>
        <v>45</v>
      </c>
      <c r="G37" s="3"/>
      <c r="H37" s="13"/>
      <c r="I37" s="14"/>
      <c r="J37" s="10"/>
      <c r="K37" s="15"/>
      <c r="L37" s="15"/>
      <c r="M37" s="71"/>
      <c r="N37" s="3"/>
      <c r="O37" s="145" t="s">
        <v>332</v>
      </c>
      <c r="P37" s="145"/>
      <c r="Q37" s="145"/>
      <c r="R37" s="145"/>
      <c r="S37" s="5"/>
    </row>
    <row r="38" spans="1:19">
      <c r="A38" s="74" t="s">
        <v>192</v>
      </c>
      <c r="B38" s="75" t="s">
        <v>187</v>
      </c>
      <c r="C38" s="76">
        <v>3</v>
      </c>
      <c r="D38" s="77" t="s">
        <v>10</v>
      </c>
      <c r="E38" s="15" t="str" cm="1">
        <f t="array" aca="1" ref="E38" ca="1">INDIRECT(VLOOKUP(A38,Ekuivalensi!$E$2:$I$55,5,FALSE))</f>
        <v>Belum</v>
      </c>
      <c r="F38" s="89">
        <f>IF(L2=2017,40,46)</f>
        <v>46</v>
      </c>
      <c r="G38" s="3"/>
      <c r="H38" s="13"/>
      <c r="I38" s="14"/>
      <c r="J38" s="10"/>
      <c r="K38" s="15"/>
      <c r="L38" s="15"/>
      <c r="M38" s="71"/>
      <c r="N38" s="3"/>
      <c r="O38" s="145"/>
      <c r="P38" s="145"/>
      <c r="Q38" s="145"/>
      <c r="R38" s="145"/>
      <c r="S38" s="5"/>
    </row>
    <row r="39" spans="1:19">
      <c r="A39" s="78" t="s">
        <v>193</v>
      </c>
      <c r="B39" s="8" t="s">
        <v>188</v>
      </c>
      <c r="C39" s="62">
        <v>3</v>
      </c>
      <c r="D39" s="79" t="s">
        <v>10</v>
      </c>
      <c r="E39" s="15" t="str">
        <f>IF('Status Kelulusan'!$N$25="Belum",'Status Kelulusan'!$F$39,'Status Kelulusan'!$N$25)</f>
        <v>Belum</v>
      </c>
      <c r="F39" s="71">
        <v>47</v>
      </c>
      <c r="G39" s="3"/>
      <c r="H39" s="13"/>
      <c r="I39" s="14"/>
      <c r="J39" s="10"/>
      <c r="K39" s="15"/>
      <c r="L39" s="15"/>
      <c r="M39" s="71"/>
      <c r="N39" s="3"/>
      <c r="O39" s="18"/>
      <c r="P39" s="18"/>
      <c r="Q39" s="18"/>
      <c r="R39" s="18"/>
      <c r="S39" s="5"/>
    </row>
    <row r="40" spans="1:19">
      <c r="A40" s="13"/>
      <c r="B40" s="14"/>
      <c r="C40" s="10"/>
      <c r="D40" s="15"/>
      <c r="E40" s="15"/>
      <c r="F40" s="71"/>
      <c r="G40" s="3"/>
      <c r="H40" s="13"/>
      <c r="I40" s="14"/>
      <c r="J40" s="10"/>
      <c r="K40" s="15"/>
      <c r="L40" s="15"/>
      <c r="M40" s="71"/>
      <c r="N40" s="3"/>
      <c r="O40" s="18"/>
      <c r="P40" s="18"/>
      <c r="Q40" s="18"/>
      <c r="R40" s="18"/>
      <c r="S40" s="5"/>
    </row>
    <row r="41" spans="1:19">
      <c r="A41" s="16"/>
      <c r="B41" s="17"/>
      <c r="C41" s="5"/>
      <c r="D41" s="18"/>
      <c r="E41" s="18"/>
      <c r="F41" s="65"/>
      <c r="G41" s="5"/>
      <c r="H41" s="16"/>
      <c r="I41" s="17"/>
      <c r="J41" s="5"/>
      <c r="K41" s="18"/>
      <c r="L41" s="18"/>
      <c r="M41" s="71"/>
      <c r="N41" s="5"/>
      <c r="O41" s="18"/>
      <c r="P41" s="18"/>
      <c r="Q41" s="18"/>
      <c r="R41" s="18"/>
      <c r="S41" s="5"/>
    </row>
    <row r="42" spans="1:19">
      <c r="A42" s="16"/>
      <c r="B42" s="17"/>
      <c r="C42" s="5"/>
      <c r="D42" s="18"/>
      <c r="E42" s="18"/>
      <c r="F42" s="65"/>
      <c r="G42" s="5"/>
      <c r="H42" s="16"/>
      <c r="I42" s="17"/>
      <c r="J42" s="5"/>
      <c r="K42" s="18"/>
      <c r="L42" s="18"/>
      <c r="M42" s="71"/>
      <c r="N42" s="5"/>
      <c r="O42" s="18"/>
      <c r="P42" s="18"/>
      <c r="Q42" s="18"/>
      <c r="R42" s="18"/>
      <c r="S42" s="5"/>
    </row>
    <row r="43" spans="1:19">
      <c r="A43" s="16"/>
      <c r="B43" s="17"/>
      <c r="C43" s="5"/>
      <c r="D43" s="18"/>
      <c r="E43" s="18"/>
      <c r="F43" s="65"/>
      <c r="G43" s="5"/>
      <c r="H43" s="3"/>
      <c r="I43" s="3"/>
      <c r="J43" s="5"/>
      <c r="K43" s="18"/>
      <c r="L43" s="18"/>
      <c r="M43" s="71"/>
      <c r="N43" s="5"/>
      <c r="O43" s="18"/>
      <c r="P43" s="18"/>
      <c r="Q43" s="18"/>
      <c r="R43" s="18"/>
      <c r="S43" s="5"/>
    </row>
    <row r="44" spans="1:19">
      <c r="A44" s="16"/>
      <c r="B44" s="17"/>
      <c r="C44" s="5"/>
      <c r="D44" s="18"/>
      <c r="E44" s="18"/>
      <c r="F44" s="65"/>
      <c r="G44" s="5"/>
      <c r="H44" s="3"/>
      <c r="I44" s="3"/>
      <c r="J44" s="5"/>
      <c r="K44" s="18"/>
      <c r="L44" s="18"/>
      <c r="M44" s="71"/>
      <c r="N44" s="5"/>
      <c r="O44" s="18"/>
      <c r="P44" s="18"/>
      <c r="Q44" s="18"/>
      <c r="R44" s="18"/>
      <c r="S44" s="5"/>
    </row>
    <row r="45" spans="1:19">
      <c r="A45" s="16"/>
      <c r="B45" s="17"/>
      <c r="C45" s="5"/>
      <c r="D45" s="18"/>
      <c r="E45" s="18"/>
      <c r="F45" s="65"/>
      <c r="G45" s="5"/>
      <c r="H45" s="3"/>
      <c r="I45" s="3"/>
      <c r="J45" s="5"/>
      <c r="K45" s="18"/>
      <c r="L45" s="18"/>
      <c r="M45" s="71"/>
      <c r="N45" s="5"/>
      <c r="O45" s="18"/>
      <c r="P45" s="18"/>
      <c r="Q45" s="18"/>
      <c r="R45" s="18"/>
      <c r="S45" s="5"/>
    </row>
    <row r="46" spans="1:19">
      <c r="A46" s="16"/>
      <c r="B46" s="17"/>
      <c r="C46" s="5"/>
      <c r="D46" s="18"/>
      <c r="E46" s="18"/>
      <c r="F46" s="65"/>
      <c r="G46" s="5"/>
      <c r="H46" s="16"/>
      <c r="I46" s="17"/>
      <c r="J46" s="5"/>
      <c r="K46" s="18"/>
      <c r="L46" s="18"/>
      <c r="M46" s="71"/>
      <c r="N46" s="5"/>
      <c r="O46" s="18"/>
      <c r="P46" s="18"/>
      <c r="Q46" s="18"/>
      <c r="R46" s="18"/>
      <c r="S46" s="5"/>
    </row>
    <row r="47" spans="1:19">
      <c r="A47" s="16"/>
      <c r="B47" s="17"/>
      <c r="C47" s="5"/>
      <c r="D47" s="18"/>
      <c r="E47" s="18"/>
      <c r="F47" s="65"/>
      <c r="G47" s="5"/>
      <c r="H47" s="16"/>
      <c r="I47" s="17"/>
      <c r="J47" s="5"/>
      <c r="K47" s="18"/>
      <c r="L47" s="18"/>
      <c r="M47" s="71"/>
      <c r="N47" s="5"/>
      <c r="O47" s="5"/>
      <c r="P47" s="5"/>
      <c r="Q47" s="5"/>
      <c r="R47" s="5"/>
      <c r="S47" s="5"/>
    </row>
    <row r="48" spans="1:19">
      <c r="A48" s="16"/>
      <c r="B48" s="17"/>
      <c r="C48" s="5"/>
      <c r="D48" s="18"/>
      <c r="E48" s="18"/>
      <c r="F48" s="65"/>
      <c r="G48" s="5"/>
      <c r="H48" s="16"/>
      <c r="I48" s="17"/>
      <c r="J48" s="5"/>
      <c r="K48" s="18"/>
      <c r="L48" s="18"/>
      <c r="M48" s="71"/>
      <c r="N48" s="5"/>
      <c r="O48" s="5"/>
      <c r="P48" s="5"/>
      <c r="Q48" s="5"/>
      <c r="R48" s="5"/>
      <c r="S48" s="5"/>
    </row>
    <row r="49" spans="1:19">
      <c r="A49" s="16"/>
      <c r="B49" s="17"/>
      <c r="C49" s="5"/>
      <c r="D49" s="18"/>
      <c r="E49" s="18"/>
      <c r="F49" s="65"/>
      <c r="G49" s="5"/>
      <c r="H49" s="16"/>
      <c r="I49" s="17"/>
      <c r="J49" s="5"/>
      <c r="K49" s="18"/>
      <c r="L49" s="18"/>
      <c r="M49" s="71"/>
      <c r="N49" s="5"/>
      <c r="O49" s="5"/>
      <c r="P49" s="5"/>
      <c r="Q49" s="5"/>
      <c r="R49" s="5"/>
      <c r="S49" s="5"/>
    </row>
    <row r="50" spans="1:19">
      <c r="A50" s="19"/>
      <c r="B50" s="20"/>
      <c r="C50" s="6"/>
      <c r="D50" s="21"/>
      <c r="E50" s="21"/>
      <c r="F50" s="66"/>
      <c r="G50" s="6"/>
      <c r="H50" s="19"/>
      <c r="I50" s="20"/>
      <c r="J50" s="6"/>
      <c r="K50" s="21"/>
      <c r="L50" s="21"/>
    </row>
    <row r="51" spans="1:19">
      <c r="A51" s="19"/>
      <c r="B51" s="20"/>
      <c r="C51" s="6"/>
      <c r="D51" s="21"/>
      <c r="E51" s="21"/>
      <c r="F51" s="66"/>
      <c r="G51" s="6"/>
      <c r="H51" s="19"/>
      <c r="I51" s="20"/>
      <c r="J51" s="6"/>
      <c r="K51" s="21"/>
      <c r="L51" s="21"/>
    </row>
    <row r="52" spans="1:19">
      <c r="A52" s="19"/>
      <c r="B52" s="20"/>
      <c r="C52" s="6"/>
      <c r="D52" s="21"/>
      <c r="E52" s="21"/>
      <c r="F52" s="66"/>
      <c r="G52" s="6"/>
      <c r="H52" s="19"/>
      <c r="I52" s="20"/>
      <c r="J52" s="6"/>
      <c r="K52" s="21"/>
      <c r="L52" s="21"/>
    </row>
    <row r="53" spans="1:19">
      <c r="A53" s="19"/>
      <c r="B53" s="20"/>
      <c r="C53" s="6"/>
      <c r="D53" s="21"/>
      <c r="E53" s="21"/>
      <c r="F53" s="66"/>
      <c r="G53" s="6"/>
      <c r="H53" s="19"/>
      <c r="I53" s="20"/>
      <c r="J53" s="6"/>
      <c r="K53" s="21"/>
      <c r="L53" s="21"/>
    </row>
    <row r="54" spans="1:19">
      <c r="A54" s="19"/>
      <c r="B54" s="20"/>
      <c r="C54" s="6"/>
      <c r="D54" s="21"/>
      <c r="E54" s="21"/>
      <c r="F54" s="66"/>
      <c r="G54" s="6"/>
      <c r="H54" s="19"/>
      <c r="I54" s="20"/>
      <c r="J54" s="6"/>
      <c r="K54" s="21"/>
      <c r="L54" s="21"/>
    </row>
    <row r="55" spans="1:19">
      <c r="A55" s="19"/>
      <c r="B55" s="20"/>
      <c r="C55" s="6"/>
      <c r="D55" s="21"/>
      <c r="E55" s="21"/>
      <c r="F55" s="66"/>
      <c r="G55" s="6"/>
      <c r="H55" s="19"/>
      <c r="I55" s="20"/>
      <c r="J55" s="6"/>
      <c r="K55" s="21"/>
      <c r="L55" s="21"/>
    </row>
    <row r="56" spans="1:19">
      <c r="A56" s="19"/>
      <c r="B56" s="20"/>
      <c r="C56" s="6"/>
      <c r="D56" s="21"/>
      <c r="E56" s="21"/>
      <c r="F56" s="66"/>
      <c r="G56" s="6"/>
      <c r="H56" s="19"/>
      <c r="I56" s="20"/>
      <c r="J56" s="6"/>
      <c r="K56" s="21"/>
      <c r="L56" s="21"/>
    </row>
    <row r="57" spans="1:19">
      <c r="A57" s="19"/>
      <c r="B57" s="20"/>
      <c r="C57" s="6"/>
      <c r="D57" s="21"/>
      <c r="E57" s="21"/>
      <c r="F57" s="66"/>
      <c r="G57" s="6"/>
      <c r="H57" s="19"/>
      <c r="I57" s="20"/>
      <c r="J57" s="6"/>
      <c r="K57" s="21"/>
      <c r="L57" s="21"/>
    </row>
    <row r="58" spans="1:19">
      <c r="A58" s="19"/>
      <c r="B58" s="20"/>
      <c r="C58" s="6"/>
      <c r="D58" s="21"/>
      <c r="E58" s="21"/>
      <c r="F58" s="66"/>
      <c r="G58" s="6"/>
      <c r="H58" s="19"/>
      <c r="I58" s="20"/>
      <c r="J58" s="6"/>
      <c r="K58" s="21"/>
      <c r="L58" s="21"/>
    </row>
    <row r="59" spans="1:19">
      <c r="A59" s="19"/>
      <c r="B59" s="20"/>
      <c r="C59" s="6"/>
      <c r="D59" s="21"/>
      <c r="E59" s="21"/>
      <c r="F59" s="66"/>
      <c r="G59" s="6"/>
      <c r="H59" s="19"/>
      <c r="I59" s="20"/>
      <c r="J59" s="6"/>
      <c r="K59" s="21"/>
      <c r="L59" s="21"/>
    </row>
    <row r="60" spans="1:19">
      <c r="A60" s="19"/>
      <c r="B60" s="20"/>
      <c r="C60" s="6"/>
      <c r="D60" s="21"/>
      <c r="E60" s="21"/>
      <c r="F60" s="66"/>
      <c r="G60" s="6"/>
      <c r="H60" s="19"/>
      <c r="I60" s="20"/>
      <c r="J60" s="6"/>
      <c r="K60" s="21"/>
      <c r="L60" s="21"/>
    </row>
    <row r="61" spans="1:19">
      <c r="A61" s="19"/>
      <c r="B61" s="20"/>
      <c r="C61" s="6"/>
      <c r="D61" s="21"/>
      <c r="E61" s="21"/>
      <c r="F61" s="66"/>
      <c r="G61" s="6"/>
      <c r="H61" s="19"/>
      <c r="I61" s="20"/>
      <c r="J61" s="6"/>
      <c r="K61" s="21"/>
      <c r="L61" s="21"/>
    </row>
    <row r="62" spans="1:19">
      <c r="A62" s="19"/>
      <c r="B62" s="20"/>
      <c r="C62" s="6"/>
      <c r="D62" s="21"/>
      <c r="E62" s="21"/>
      <c r="F62" s="66"/>
      <c r="G62" s="6"/>
      <c r="H62" s="19"/>
      <c r="I62" s="20"/>
      <c r="J62" s="6"/>
      <c r="K62" s="21"/>
      <c r="L62" s="21"/>
    </row>
    <row r="63" spans="1:19">
      <c r="A63" s="19"/>
      <c r="B63" s="20"/>
      <c r="C63" s="6"/>
      <c r="D63" s="21"/>
      <c r="E63" s="21"/>
      <c r="F63" s="66"/>
      <c r="G63" s="6"/>
      <c r="H63" s="19"/>
      <c r="I63" s="20"/>
      <c r="J63" s="6"/>
      <c r="K63" s="21"/>
      <c r="L63" s="21"/>
    </row>
    <row r="64" spans="1:19">
      <c r="A64" s="19"/>
      <c r="B64" s="20"/>
      <c r="C64" s="6"/>
      <c r="D64" s="21"/>
      <c r="E64" s="21"/>
      <c r="F64" s="66"/>
      <c r="G64" s="6"/>
      <c r="H64" s="19"/>
      <c r="I64" s="20"/>
      <c r="J64" s="6"/>
      <c r="K64" s="21"/>
      <c r="L64" s="21"/>
    </row>
    <row r="65" spans="1:12">
      <c r="A65" s="19"/>
      <c r="B65" s="20"/>
      <c r="C65" s="6"/>
      <c r="D65" s="21"/>
      <c r="E65" s="21"/>
      <c r="F65" s="66"/>
      <c r="G65" s="6"/>
      <c r="H65" s="19"/>
      <c r="I65" s="20"/>
      <c r="J65" s="6"/>
      <c r="K65" s="21"/>
      <c r="L65" s="21"/>
    </row>
    <row r="66" spans="1:12">
      <c r="A66" s="19"/>
      <c r="B66" s="20"/>
      <c r="C66" s="6"/>
      <c r="D66" s="21"/>
      <c r="E66" s="21"/>
      <c r="F66" s="66"/>
      <c r="G66" s="6"/>
      <c r="H66" s="19"/>
      <c r="I66" s="20"/>
      <c r="J66" s="6"/>
      <c r="K66" s="21"/>
      <c r="L66" s="21"/>
    </row>
    <row r="67" spans="1:12">
      <c r="A67" s="19"/>
      <c r="B67" s="20"/>
      <c r="C67" s="6"/>
      <c r="D67" s="21"/>
      <c r="E67" s="21"/>
      <c r="F67" s="66"/>
      <c r="G67" s="6"/>
      <c r="H67" s="19"/>
      <c r="I67" s="20"/>
      <c r="J67" s="6"/>
      <c r="K67" s="21"/>
      <c r="L67" s="21"/>
    </row>
    <row r="68" spans="1:12">
      <c r="A68" s="19"/>
      <c r="B68" s="20"/>
      <c r="C68" s="6"/>
      <c r="D68" s="21"/>
      <c r="E68" s="21"/>
      <c r="F68" s="66"/>
      <c r="G68" s="6"/>
      <c r="H68" s="19"/>
      <c r="I68" s="20"/>
      <c r="J68" s="6"/>
      <c r="K68" s="21"/>
      <c r="L68" s="21"/>
    </row>
    <row r="69" spans="1:12">
      <c r="A69" s="19"/>
      <c r="B69" s="20"/>
      <c r="C69" s="6"/>
      <c r="D69" s="21"/>
      <c r="E69" s="21"/>
      <c r="F69" s="66"/>
      <c r="G69" s="6"/>
      <c r="H69" s="19"/>
      <c r="I69" s="20"/>
      <c r="J69" s="6"/>
      <c r="K69" s="21"/>
      <c r="L69" s="21"/>
    </row>
    <row r="70" spans="1:12">
      <c r="A70" s="19"/>
      <c r="B70" s="20"/>
      <c r="C70" s="6"/>
      <c r="D70" s="21"/>
      <c r="E70" s="21"/>
      <c r="F70" s="66"/>
      <c r="G70" s="6"/>
      <c r="H70" s="19"/>
      <c r="I70" s="20"/>
      <c r="J70" s="6"/>
      <c r="K70" s="21"/>
      <c r="L70" s="21"/>
    </row>
    <row r="71" spans="1:12">
      <c r="A71" s="19"/>
      <c r="B71" s="20"/>
      <c r="C71" s="6"/>
      <c r="D71" s="21"/>
      <c r="E71" s="21"/>
      <c r="F71" s="66"/>
      <c r="G71" s="6"/>
      <c r="H71" s="19"/>
      <c r="I71" s="20"/>
      <c r="J71" s="6"/>
      <c r="K71" s="21"/>
      <c r="L71" s="21"/>
    </row>
    <row r="72" spans="1:12">
      <c r="A72" s="19"/>
      <c r="B72" s="20"/>
      <c r="C72" s="6"/>
      <c r="D72" s="21"/>
      <c r="E72" s="21"/>
      <c r="F72" s="66"/>
      <c r="G72" s="6"/>
      <c r="H72" s="19"/>
      <c r="I72" s="20"/>
      <c r="J72" s="6"/>
      <c r="K72" s="21"/>
      <c r="L72" s="21"/>
    </row>
    <row r="73" spans="1:12">
      <c r="A73" s="19"/>
      <c r="B73" s="20"/>
      <c r="C73" s="6"/>
      <c r="D73" s="21"/>
      <c r="E73" s="21"/>
      <c r="F73" s="66"/>
      <c r="G73" s="6"/>
      <c r="H73" s="19"/>
      <c r="I73" s="20"/>
      <c r="J73" s="6"/>
      <c r="K73" s="21"/>
      <c r="L73" s="21"/>
    </row>
    <row r="74" spans="1:12">
      <c r="A74" s="19"/>
      <c r="B74" s="20"/>
      <c r="C74" s="6"/>
      <c r="D74" s="21"/>
      <c r="E74" s="21"/>
      <c r="F74" s="66"/>
      <c r="G74" s="6"/>
      <c r="H74" s="19"/>
      <c r="I74" s="20"/>
      <c r="J74" s="6"/>
      <c r="K74" s="21"/>
      <c r="L74" s="21"/>
    </row>
    <row r="75" spans="1:12">
      <c r="A75" s="19"/>
      <c r="B75" s="20"/>
      <c r="C75" s="6"/>
      <c r="D75" s="21"/>
      <c r="E75" s="21"/>
      <c r="F75" s="66"/>
      <c r="G75" s="6"/>
      <c r="H75" s="19"/>
      <c r="I75" s="20"/>
      <c r="J75" s="6"/>
      <c r="K75" s="21"/>
      <c r="L75" s="21"/>
    </row>
    <row r="76" spans="1:12">
      <c r="A76" s="19"/>
      <c r="B76" s="20"/>
      <c r="C76" s="6"/>
      <c r="D76" s="21"/>
      <c r="E76" s="21"/>
      <c r="F76" s="66"/>
      <c r="G76" s="6"/>
      <c r="H76" s="19"/>
      <c r="I76" s="20"/>
      <c r="J76" s="6"/>
      <c r="K76" s="21"/>
      <c r="L76" s="21"/>
    </row>
    <row r="77" spans="1:12">
      <c r="A77" s="19"/>
      <c r="B77" s="20"/>
      <c r="C77" s="6"/>
      <c r="D77" s="21"/>
      <c r="E77" s="21"/>
      <c r="F77" s="66"/>
      <c r="G77" s="6"/>
      <c r="H77" s="19"/>
      <c r="I77" s="20"/>
      <c r="J77" s="6"/>
      <c r="K77" s="21"/>
      <c r="L77" s="21"/>
    </row>
    <row r="78" spans="1:12">
      <c r="A78" s="19"/>
      <c r="B78" s="20"/>
      <c r="C78" s="6"/>
      <c r="D78" s="21"/>
      <c r="E78" s="21"/>
      <c r="F78" s="66"/>
      <c r="G78" s="6"/>
      <c r="H78" s="19"/>
      <c r="I78" s="20"/>
      <c r="J78" s="6"/>
      <c r="K78" s="21"/>
      <c r="L78" s="21"/>
    </row>
  </sheetData>
  <sheetProtection sheet="1" objects="1" scenarios="1"/>
  <mergeCells count="25">
    <mergeCell ref="J2:K2"/>
    <mergeCell ref="A33:B33"/>
    <mergeCell ref="H33:I33"/>
    <mergeCell ref="A6:B6"/>
    <mergeCell ref="H6:I6"/>
    <mergeCell ref="A15:B15"/>
    <mergeCell ref="H15:I15"/>
    <mergeCell ref="A24:B24"/>
    <mergeCell ref="H24:I24"/>
    <mergeCell ref="H2:I3"/>
    <mergeCell ref="O37:R38"/>
    <mergeCell ref="H4:I4"/>
    <mergeCell ref="P29:Q29"/>
    <mergeCell ref="O33:O34"/>
    <mergeCell ref="P33:Q34"/>
    <mergeCell ref="R33:R34"/>
    <mergeCell ref="O6:R7"/>
    <mergeCell ref="P30:Q30"/>
    <mergeCell ref="P31:Q31"/>
    <mergeCell ref="P32:Q32"/>
    <mergeCell ref="O27:R28"/>
    <mergeCell ref="O8:R11"/>
    <mergeCell ref="O12:R14"/>
    <mergeCell ref="O15:R17"/>
    <mergeCell ref="O18:R25"/>
  </mergeCells>
  <conditionalFormatting sqref="E6:E40 L6:L40">
    <cfRule type="containsText" dxfId="169" priority="7" operator="containsText" text="Lulus">
      <formula>NOT(ISERROR(SEARCH("Lulus",E6)))</formula>
    </cfRule>
    <cfRule type="containsText" dxfId="168" priority="8" operator="containsText" text="Ulang">
      <formula>NOT(ISERROR(SEARCH("Ulang",E6)))</formula>
    </cfRule>
    <cfRule type="containsText" dxfId="167" priority="9" operator="containsText" text="Belum">
      <formula>NOT(ISERROR(SEARCH("Belum",E6)))</formula>
    </cfRule>
  </conditionalFormatting>
  <pageMargins left="0.7" right="0.7" top="0.75" bottom="0.75" header="0.3" footer="0.3"/>
  <pageSetup orientation="portrait" r:id="rId1"/>
  <ignoredErrors>
    <ignoredError sqref="E11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:M75"/>
  <sheetViews>
    <sheetView zoomScale="63" zoomScaleNormal="130" workbookViewId="0">
      <pane ySplit="5" topLeftCell="A6" activePane="bottomLeft" state="frozen"/>
      <selection pane="bottomLeft" activeCell="A2" sqref="A2"/>
    </sheetView>
  </sheetViews>
  <sheetFormatPr defaultRowHeight="14.3"/>
  <cols>
    <col min="1" max="1" width="9" style="22" customWidth="1"/>
    <col min="2" max="2" width="47" style="23" customWidth="1"/>
    <col min="3" max="3" width="4.875" style="24" customWidth="1"/>
    <col min="4" max="4" width="8" style="24" customWidth="1"/>
    <col min="5" max="5" width="9" style="22" customWidth="1"/>
    <col min="6" max="6" width="47" style="23" customWidth="1"/>
    <col min="7" max="7" width="4.875" style="24" customWidth="1"/>
    <col min="8" max="8" width="6.375" style="6" customWidth="1"/>
    <col min="9" max="10" width="9.625" style="6" customWidth="1"/>
    <col min="11" max="11" width="12.875" style="6" customWidth="1"/>
    <col min="12" max="12" width="6.25" style="6" customWidth="1"/>
    <col min="13" max="13" width="9.125" style="6"/>
  </cols>
  <sheetData>
    <row r="1" spans="1:13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>
      <c r="A2" s="82" t="s">
        <v>110</v>
      </c>
      <c r="B2" s="8" t="str">
        <f>'Status Kelulusan'!B2</f>
        <v>MUHAMMAD RIFQI ARRAHIM NATADIKARTA</v>
      </c>
      <c r="C2" s="3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>
      <c r="A3" s="82" t="s">
        <v>293</v>
      </c>
      <c r="B3" s="8">
        <f>'Status Kelulusan'!B3</f>
        <v>1301190425</v>
      </c>
      <c r="C3" s="3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>
      <c r="A4" s="82" t="s">
        <v>310</v>
      </c>
      <c r="B4" s="8" t="str">
        <f>'Status Kelulusan'!B4</f>
        <v>IF4308</v>
      </c>
      <c r="C4" s="3"/>
      <c r="D4" s="5"/>
      <c r="E4" s="5"/>
      <c r="F4" s="5"/>
      <c r="G4" s="5"/>
      <c r="H4" s="5"/>
      <c r="I4" s="5"/>
      <c r="J4" s="5"/>
      <c r="K4" s="5"/>
      <c r="L4" s="5"/>
      <c r="M4" s="5"/>
    </row>
    <row r="5" spans="1:13">
      <c r="A5" s="1"/>
      <c r="B5" s="90"/>
      <c r="C5" s="3"/>
      <c r="D5" s="3"/>
      <c r="E5" s="70"/>
      <c r="F5" s="90"/>
      <c r="G5" s="3"/>
      <c r="H5" s="5"/>
      <c r="I5" s="4"/>
      <c r="J5" s="4"/>
      <c r="K5" s="4"/>
      <c r="L5" s="4"/>
      <c r="M5" s="5"/>
    </row>
    <row r="6" spans="1:13">
      <c r="A6" s="185" t="s">
        <v>0</v>
      </c>
      <c r="B6" s="186"/>
      <c r="C6" s="186"/>
      <c r="D6" s="186"/>
      <c r="E6" s="186"/>
      <c r="F6" s="187"/>
      <c r="G6" s="104" t="s">
        <v>1</v>
      </c>
      <c r="H6" s="3"/>
      <c r="I6" s="145" t="s">
        <v>295</v>
      </c>
      <c r="J6" s="145"/>
      <c r="K6" s="145"/>
      <c r="L6" s="145"/>
      <c r="M6" s="5"/>
    </row>
    <row r="7" spans="1:13" ht="14.95" customHeight="1">
      <c r="A7" s="183" t="s">
        <v>124</v>
      </c>
      <c r="B7" s="181" t="s">
        <v>348</v>
      </c>
      <c r="C7" s="181"/>
      <c r="D7" s="181"/>
      <c r="E7" s="181"/>
      <c r="F7" s="181"/>
      <c r="G7" s="182">
        <v>3</v>
      </c>
      <c r="H7" s="3"/>
      <c r="I7" s="145"/>
      <c r="J7" s="145"/>
      <c r="K7" s="145"/>
      <c r="L7" s="145"/>
      <c r="M7" s="5"/>
    </row>
    <row r="8" spans="1:13" ht="14.95" customHeight="1">
      <c r="A8" s="183"/>
      <c r="B8" s="181"/>
      <c r="C8" s="181"/>
      <c r="D8" s="181"/>
      <c r="E8" s="181"/>
      <c r="F8" s="181"/>
      <c r="G8" s="182"/>
      <c r="H8" s="3"/>
      <c r="I8" s="133" t="s">
        <v>353</v>
      </c>
      <c r="J8" s="133"/>
      <c r="K8" s="133"/>
      <c r="L8" s="133"/>
      <c r="M8" s="5"/>
    </row>
    <row r="9" spans="1:13">
      <c r="A9" s="183"/>
      <c r="B9" s="181"/>
      <c r="C9" s="181"/>
      <c r="D9" s="181"/>
      <c r="E9" s="181"/>
      <c r="F9" s="181"/>
      <c r="G9" s="182"/>
      <c r="H9" s="3"/>
      <c r="I9" s="133"/>
      <c r="J9" s="133"/>
      <c r="K9" s="133"/>
      <c r="L9" s="133"/>
      <c r="M9" s="5"/>
    </row>
    <row r="10" spans="1:13" ht="14.95" customHeight="1">
      <c r="A10" s="183"/>
      <c r="B10" s="181"/>
      <c r="C10" s="181"/>
      <c r="D10" s="181"/>
      <c r="E10" s="181"/>
      <c r="F10" s="181"/>
      <c r="G10" s="182"/>
      <c r="H10" s="3"/>
      <c r="I10" s="133"/>
      <c r="J10" s="133"/>
      <c r="K10" s="133"/>
      <c r="L10" s="133"/>
      <c r="M10" s="5"/>
    </row>
    <row r="11" spans="1:13">
      <c r="A11" s="94"/>
      <c r="B11" s="184"/>
      <c r="C11" s="184"/>
      <c r="D11" s="184"/>
      <c r="E11" s="184"/>
      <c r="F11" s="184"/>
      <c r="G11" s="94"/>
      <c r="H11" s="3"/>
      <c r="I11" s="133"/>
      <c r="J11" s="133"/>
      <c r="K11" s="133"/>
      <c r="L11" s="133"/>
      <c r="M11" s="5"/>
    </row>
    <row r="12" spans="1:13">
      <c r="A12" s="5"/>
      <c r="B12" s="5"/>
      <c r="C12" s="5"/>
      <c r="D12" s="5"/>
      <c r="E12" s="5"/>
      <c r="F12" s="5"/>
      <c r="G12" s="5"/>
      <c r="H12" s="3"/>
      <c r="I12" s="133"/>
      <c r="J12" s="133"/>
      <c r="K12" s="133"/>
      <c r="L12" s="133"/>
      <c r="M12" s="5"/>
    </row>
    <row r="13" spans="1:13">
      <c r="A13" s="147" t="s">
        <v>33</v>
      </c>
      <c r="B13" s="148"/>
      <c r="C13" s="91" t="s">
        <v>1</v>
      </c>
      <c r="D13" s="3"/>
      <c r="E13" s="147" t="s">
        <v>34</v>
      </c>
      <c r="F13" s="148"/>
      <c r="G13" s="91" t="s">
        <v>1</v>
      </c>
      <c r="H13" s="3"/>
      <c r="I13" s="133"/>
      <c r="J13" s="133"/>
      <c r="K13" s="133"/>
      <c r="L13" s="133"/>
      <c r="M13" s="5"/>
    </row>
    <row r="14" spans="1:13">
      <c r="A14" s="179" t="s">
        <v>138</v>
      </c>
      <c r="B14" s="177" t="s">
        <v>343</v>
      </c>
      <c r="C14" s="172">
        <v>4</v>
      </c>
      <c r="D14" s="3"/>
      <c r="E14" s="13" t="s">
        <v>148</v>
      </c>
      <c r="F14" s="14" t="s">
        <v>147</v>
      </c>
      <c r="G14" s="84">
        <v>2</v>
      </c>
      <c r="H14" s="3"/>
      <c r="I14" s="133"/>
      <c r="J14" s="133"/>
      <c r="K14" s="133"/>
      <c r="L14" s="133"/>
      <c r="M14" s="5"/>
    </row>
    <row r="15" spans="1:13" ht="14.95" customHeight="1">
      <c r="A15" s="180"/>
      <c r="B15" s="178"/>
      <c r="C15" s="173"/>
      <c r="D15" s="3"/>
      <c r="E15" s="13" t="s">
        <v>152</v>
      </c>
      <c r="F15" s="14" t="s">
        <v>151</v>
      </c>
      <c r="G15" s="84">
        <v>2</v>
      </c>
      <c r="H15" s="3"/>
      <c r="I15" s="133" t="s">
        <v>297</v>
      </c>
      <c r="J15" s="133"/>
      <c r="K15" s="133"/>
      <c r="L15" s="133"/>
      <c r="M15" s="5"/>
    </row>
    <row r="16" spans="1:13">
      <c r="A16" s="13" t="s">
        <v>146</v>
      </c>
      <c r="B16" s="14" t="s">
        <v>145</v>
      </c>
      <c r="C16" s="84">
        <v>3</v>
      </c>
      <c r="D16" s="5"/>
      <c r="E16" s="13" t="s">
        <v>157</v>
      </c>
      <c r="F16" s="14" t="s">
        <v>156</v>
      </c>
      <c r="G16" s="84">
        <v>3</v>
      </c>
      <c r="H16" s="3"/>
      <c r="I16" s="133"/>
      <c r="J16" s="133"/>
      <c r="K16" s="133"/>
      <c r="L16" s="133"/>
      <c r="M16" s="5"/>
    </row>
    <row r="17" spans="1:13">
      <c r="A17" s="14"/>
      <c r="B17" s="14"/>
      <c r="C17" s="14"/>
      <c r="D17" s="5"/>
      <c r="E17" s="166" t="s">
        <v>155</v>
      </c>
      <c r="F17" s="175" t="s">
        <v>342</v>
      </c>
      <c r="G17" s="172">
        <v>3</v>
      </c>
      <c r="H17" s="3"/>
      <c r="I17" s="133"/>
      <c r="J17" s="133"/>
      <c r="K17" s="133"/>
      <c r="L17" s="133"/>
      <c r="M17" s="5"/>
    </row>
    <row r="18" spans="1:13">
      <c r="A18" s="13"/>
      <c r="B18" s="14"/>
      <c r="C18" s="84"/>
      <c r="D18" s="3"/>
      <c r="E18" s="168"/>
      <c r="F18" s="176"/>
      <c r="G18" s="174"/>
      <c r="H18" s="3"/>
      <c r="I18" s="5"/>
      <c r="J18" s="5"/>
      <c r="K18" s="5"/>
      <c r="L18" s="5"/>
      <c r="M18" s="5"/>
    </row>
    <row r="19" spans="1:13">
      <c r="A19" s="3"/>
      <c r="B19" s="3"/>
      <c r="C19" s="3"/>
      <c r="D19" s="3"/>
      <c r="E19" s="3"/>
      <c r="F19" s="3"/>
      <c r="G19" s="3"/>
      <c r="H19" s="3"/>
      <c r="I19" s="145" t="s">
        <v>333</v>
      </c>
      <c r="J19" s="145"/>
      <c r="K19" s="145"/>
      <c r="L19" s="145"/>
      <c r="M19" s="5"/>
    </row>
    <row r="20" spans="1:13" ht="14.95" customHeight="1">
      <c r="A20" s="147" t="s">
        <v>61</v>
      </c>
      <c r="B20" s="148"/>
      <c r="C20" s="91" t="s">
        <v>1</v>
      </c>
      <c r="D20" s="3"/>
      <c r="E20" s="147" t="s">
        <v>62</v>
      </c>
      <c r="F20" s="148"/>
      <c r="G20" s="91" t="s">
        <v>1</v>
      </c>
      <c r="H20" s="5"/>
      <c r="I20" s="145"/>
      <c r="J20" s="145"/>
      <c r="K20" s="145"/>
      <c r="L20" s="145"/>
      <c r="M20" s="5"/>
    </row>
    <row r="21" spans="1:13">
      <c r="A21" s="13" t="s">
        <v>160</v>
      </c>
      <c r="B21" s="14" t="s">
        <v>100</v>
      </c>
      <c r="C21" s="84">
        <v>2</v>
      </c>
      <c r="D21" s="3"/>
      <c r="E21" s="13" t="s">
        <v>171</v>
      </c>
      <c r="F21" s="14" t="s">
        <v>170</v>
      </c>
      <c r="G21" s="84">
        <v>3</v>
      </c>
      <c r="H21" s="5"/>
      <c r="I21" s="5"/>
      <c r="J21" s="5"/>
      <c r="K21" s="5"/>
      <c r="L21" s="5"/>
      <c r="M21" s="5"/>
    </row>
    <row r="22" spans="1:13" ht="14.95" customHeight="1">
      <c r="A22" s="13" t="s">
        <v>168</v>
      </c>
      <c r="B22" s="14" t="s">
        <v>167</v>
      </c>
      <c r="C22" s="84">
        <v>3</v>
      </c>
      <c r="D22" s="3"/>
      <c r="E22" s="13" t="s">
        <v>179</v>
      </c>
      <c r="F22" s="14" t="s">
        <v>178</v>
      </c>
      <c r="G22" s="84">
        <v>2</v>
      </c>
      <c r="H22" s="5"/>
      <c r="I22" s="5"/>
      <c r="J22" s="5"/>
      <c r="K22" s="5"/>
      <c r="L22" s="5"/>
      <c r="M22" s="5"/>
    </row>
    <row r="23" spans="1:13" ht="14.95" customHeight="1">
      <c r="A23" s="13" t="s">
        <v>169</v>
      </c>
      <c r="B23" s="14" t="s">
        <v>347</v>
      </c>
      <c r="C23" s="84">
        <v>1</v>
      </c>
      <c r="D23" s="3"/>
      <c r="E23" s="13" t="s">
        <v>175</v>
      </c>
      <c r="F23" s="14" t="s">
        <v>174</v>
      </c>
      <c r="G23" s="84">
        <v>3</v>
      </c>
      <c r="H23" s="5"/>
      <c r="I23" s="5"/>
      <c r="J23" s="5"/>
      <c r="K23" s="5"/>
      <c r="L23" s="5"/>
      <c r="M23" s="5"/>
    </row>
    <row r="24" spans="1:13">
      <c r="A24" s="183" t="s">
        <v>165</v>
      </c>
      <c r="B24" s="188" t="s">
        <v>341</v>
      </c>
      <c r="C24" s="182">
        <v>3</v>
      </c>
      <c r="D24" s="3"/>
      <c r="E24" s="84"/>
      <c r="F24" s="84"/>
      <c r="G24" s="84"/>
      <c r="H24" s="5"/>
      <c r="I24" s="5"/>
      <c r="J24" s="5"/>
      <c r="K24" s="5"/>
      <c r="L24" s="5"/>
      <c r="M24" s="5"/>
    </row>
    <row r="25" spans="1:13">
      <c r="A25" s="183"/>
      <c r="B25" s="188"/>
      <c r="C25" s="182"/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>
      <c r="A27" s="147" t="s">
        <v>330</v>
      </c>
      <c r="B27" s="148"/>
      <c r="C27" s="91" t="s">
        <v>1</v>
      </c>
      <c r="D27" s="5"/>
      <c r="E27" s="147" t="s">
        <v>330</v>
      </c>
      <c r="F27" s="148"/>
      <c r="G27" s="91" t="s">
        <v>1</v>
      </c>
      <c r="H27" s="5"/>
      <c r="I27" s="5"/>
      <c r="J27" s="5"/>
      <c r="K27" s="5"/>
      <c r="L27" s="5"/>
      <c r="M27" s="5"/>
    </row>
    <row r="28" spans="1:13">
      <c r="A28" s="166" t="s">
        <v>331</v>
      </c>
      <c r="B28" s="169" t="s">
        <v>337</v>
      </c>
      <c r="C28" s="172">
        <v>3</v>
      </c>
      <c r="D28" s="5"/>
      <c r="E28" s="166" t="s">
        <v>189</v>
      </c>
      <c r="F28" s="177" t="s">
        <v>344</v>
      </c>
      <c r="G28" s="172">
        <v>4</v>
      </c>
      <c r="H28" s="5"/>
      <c r="I28" s="5"/>
      <c r="J28" s="5"/>
      <c r="K28" s="5"/>
      <c r="L28" s="5"/>
      <c r="M28" s="5"/>
    </row>
    <row r="29" spans="1:13">
      <c r="A29" s="167"/>
      <c r="B29" s="170"/>
      <c r="C29" s="173"/>
      <c r="D29" s="5"/>
      <c r="E29" s="168"/>
      <c r="F29" s="178"/>
      <c r="G29" s="174"/>
      <c r="H29" s="5"/>
      <c r="I29" s="5"/>
      <c r="J29" s="5"/>
      <c r="K29" s="5"/>
      <c r="L29" s="5"/>
      <c r="M29" s="5"/>
    </row>
    <row r="30" spans="1:13">
      <c r="A30" s="167"/>
      <c r="B30" s="170"/>
      <c r="C30" s="173"/>
      <c r="D30" s="5"/>
      <c r="E30" s="105"/>
      <c r="F30" s="105"/>
      <c r="G30" s="105"/>
      <c r="H30" s="5"/>
      <c r="I30" s="5"/>
      <c r="J30" s="5"/>
      <c r="K30" s="5"/>
      <c r="L30" s="5"/>
      <c r="M30" s="5"/>
    </row>
    <row r="31" spans="1:13">
      <c r="A31" s="168"/>
      <c r="B31" s="171"/>
      <c r="C31" s="174"/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>
      <c r="A32" s="166" t="s">
        <v>331</v>
      </c>
      <c r="B32" s="169" t="s">
        <v>338</v>
      </c>
      <c r="C32" s="172">
        <v>3</v>
      </c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13">
      <c r="A33" s="167"/>
      <c r="B33" s="170"/>
      <c r="C33" s="173"/>
      <c r="D33" s="5"/>
      <c r="E33" s="5"/>
      <c r="F33" s="5"/>
      <c r="G33" s="5"/>
      <c r="H33" s="5"/>
      <c r="I33" s="5"/>
      <c r="J33" s="5"/>
      <c r="K33" s="5"/>
      <c r="L33" s="5"/>
      <c r="M33" s="5"/>
    </row>
    <row r="34" spans="1:13">
      <c r="A34" s="167"/>
      <c r="B34" s="170"/>
      <c r="C34" s="173"/>
      <c r="D34" s="5"/>
      <c r="E34" s="5"/>
      <c r="F34" s="5"/>
      <c r="G34" s="5"/>
      <c r="H34" s="5"/>
      <c r="I34" s="5"/>
      <c r="J34" s="5"/>
      <c r="K34" s="5"/>
      <c r="L34" s="5"/>
      <c r="M34" s="5"/>
    </row>
    <row r="35" spans="1:13">
      <c r="A35" s="168"/>
      <c r="B35" s="171"/>
      <c r="C35" s="174"/>
      <c r="D35" s="5"/>
      <c r="E35" s="5"/>
      <c r="F35" s="5"/>
      <c r="G35" s="5"/>
      <c r="H35" s="5"/>
      <c r="I35" s="5"/>
      <c r="J35" s="5"/>
      <c r="K35" s="5"/>
      <c r="L35" s="5"/>
      <c r="M35" s="5"/>
    </row>
    <row r="36" spans="1:13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</row>
    <row r="37" spans="1:13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18"/>
      <c r="M37" s="5"/>
    </row>
    <row r="38" spans="1:13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18"/>
      <c r="M38" s="5"/>
    </row>
    <row r="39" spans="1:13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18"/>
      <c r="M39" s="5"/>
    </row>
    <row r="40" spans="1:1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18"/>
      <c r="M40" s="5"/>
    </row>
    <row r="41" spans="1:1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18"/>
      <c r="M41" s="5"/>
    </row>
    <row r="42" spans="1:13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18"/>
      <c r="M42" s="5"/>
    </row>
    <row r="43" spans="1:13">
      <c r="A43" s="5"/>
      <c r="B43" s="5"/>
      <c r="C43" s="5"/>
      <c r="D43" s="5"/>
      <c r="E43" s="5"/>
      <c r="F43" s="5"/>
      <c r="G43" s="5"/>
      <c r="H43" s="5"/>
      <c r="I43" s="18"/>
      <c r="J43" s="18"/>
      <c r="K43" s="18"/>
      <c r="L43" s="18"/>
      <c r="M43" s="5"/>
    </row>
    <row r="44" spans="1:13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</row>
    <row r="45" spans="1:13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</row>
    <row r="46" spans="1:13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</row>
    <row r="63" spans="1:7">
      <c r="A63" s="19"/>
      <c r="B63" s="20"/>
      <c r="C63" s="6"/>
      <c r="D63" s="6"/>
      <c r="E63" s="19"/>
      <c r="F63" s="20"/>
      <c r="G63" s="6"/>
    </row>
    <row r="64" spans="1:7">
      <c r="A64" s="19"/>
      <c r="B64" s="20"/>
      <c r="C64" s="6"/>
      <c r="D64" s="6"/>
      <c r="E64" s="19"/>
      <c r="F64" s="20"/>
      <c r="G64" s="6"/>
    </row>
    <row r="65" spans="1:7">
      <c r="A65" s="19"/>
      <c r="B65" s="20"/>
      <c r="C65" s="6"/>
      <c r="D65" s="6"/>
      <c r="E65" s="19"/>
      <c r="F65" s="20"/>
      <c r="G65" s="6"/>
    </row>
    <row r="66" spans="1:7">
      <c r="A66" s="19"/>
      <c r="B66" s="20"/>
      <c r="C66" s="6"/>
      <c r="D66" s="6"/>
      <c r="E66" s="19"/>
      <c r="F66" s="20"/>
      <c r="G66" s="6"/>
    </row>
    <row r="67" spans="1:7">
      <c r="A67" s="19"/>
      <c r="B67" s="20"/>
      <c r="C67" s="6"/>
      <c r="D67" s="6"/>
      <c r="E67" s="19"/>
      <c r="F67" s="20"/>
      <c r="G67" s="6"/>
    </row>
    <row r="68" spans="1:7">
      <c r="A68" s="19"/>
      <c r="B68" s="20"/>
      <c r="C68" s="6"/>
      <c r="D68" s="6"/>
      <c r="E68" s="19"/>
      <c r="F68" s="20"/>
      <c r="G68" s="6"/>
    </row>
    <row r="69" spans="1:7">
      <c r="A69" s="19"/>
      <c r="B69" s="20"/>
      <c r="C69" s="6"/>
      <c r="D69" s="6"/>
      <c r="E69" s="19"/>
      <c r="F69" s="20"/>
      <c r="G69" s="6"/>
    </row>
    <row r="70" spans="1:7">
      <c r="A70" s="19"/>
      <c r="B70" s="20"/>
      <c r="C70" s="6"/>
      <c r="D70" s="6"/>
      <c r="E70" s="19"/>
      <c r="F70" s="20"/>
      <c r="G70" s="6"/>
    </row>
    <row r="71" spans="1:7">
      <c r="A71" s="19"/>
      <c r="B71" s="20"/>
      <c r="C71" s="6"/>
      <c r="D71" s="6"/>
      <c r="E71" s="19"/>
      <c r="F71" s="20"/>
      <c r="G71" s="6"/>
    </row>
    <row r="72" spans="1:7">
      <c r="A72" s="19"/>
      <c r="B72" s="20"/>
      <c r="C72" s="6"/>
      <c r="D72" s="6"/>
      <c r="E72" s="19"/>
      <c r="F72" s="20"/>
      <c r="G72" s="6"/>
    </row>
    <row r="73" spans="1:7">
      <c r="A73" s="19"/>
      <c r="B73" s="20"/>
      <c r="C73" s="6"/>
      <c r="D73" s="6"/>
      <c r="E73" s="19"/>
      <c r="F73" s="20"/>
      <c r="G73" s="6"/>
    </row>
    <row r="74" spans="1:7">
      <c r="A74" s="19"/>
      <c r="B74" s="20"/>
      <c r="C74" s="6"/>
      <c r="D74" s="6"/>
      <c r="E74" s="19"/>
      <c r="F74" s="20"/>
      <c r="G74" s="6"/>
    </row>
    <row r="75" spans="1:7">
      <c r="A75" s="19"/>
      <c r="B75" s="20"/>
      <c r="C75" s="6"/>
      <c r="D75" s="6"/>
      <c r="E75" s="19"/>
      <c r="F75" s="20"/>
      <c r="G75" s="6"/>
    </row>
  </sheetData>
  <sheetProtection sheet="1" objects="1" scenarios="1"/>
  <mergeCells count="33">
    <mergeCell ref="G28:G29"/>
    <mergeCell ref="I19:L20"/>
    <mergeCell ref="I15:L17"/>
    <mergeCell ref="G17:G18"/>
    <mergeCell ref="A24:A25"/>
    <mergeCell ref="B24:B25"/>
    <mergeCell ref="C24:C25"/>
    <mergeCell ref="I6:L7"/>
    <mergeCell ref="C14:C15"/>
    <mergeCell ref="I8:L14"/>
    <mergeCell ref="A14:A15"/>
    <mergeCell ref="B14:B15"/>
    <mergeCell ref="A13:B13"/>
    <mergeCell ref="E13:F13"/>
    <mergeCell ref="B7:F10"/>
    <mergeCell ref="G7:G10"/>
    <mergeCell ref="A7:A10"/>
    <mergeCell ref="B11:F11"/>
    <mergeCell ref="A6:F6"/>
    <mergeCell ref="A32:A35"/>
    <mergeCell ref="B32:B35"/>
    <mergeCell ref="C32:C35"/>
    <mergeCell ref="F17:F18"/>
    <mergeCell ref="E17:E18"/>
    <mergeCell ref="A20:B20"/>
    <mergeCell ref="E20:F20"/>
    <mergeCell ref="A27:B27"/>
    <mergeCell ref="B28:B31"/>
    <mergeCell ref="A28:A31"/>
    <mergeCell ref="C28:C31"/>
    <mergeCell ref="E27:F27"/>
    <mergeCell ref="E28:E29"/>
    <mergeCell ref="F28:F2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7" tint="0.79998168889431442"/>
  </sheetPr>
  <dimension ref="A1:AM56"/>
  <sheetViews>
    <sheetView zoomScale="79" zoomScaleNormal="130" workbookViewId="0">
      <pane xSplit="12" ySplit="5" topLeftCell="M6" activePane="bottomRight" state="frozen"/>
      <selection pane="topRight" activeCell="M1" sqref="M1"/>
      <selection pane="bottomLeft" activeCell="A6" sqref="A6"/>
      <selection pane="bottomRight" activeCell="H9" sqref="H9"/>
    </sheetView>
  </sheetViews>
  <sheetFormatPr defaultColWidth="8.875" defaultRowHeight="14.3"/>
  <cols>
    <col min="1" max="1" width="9" style="54" customWidth="1"/>
    <col min="2" max="2" width="35.125" style="55" customWidth="1"/>
    <col min="3" max="3" width="4.875" style="56" customWidth="1"/>
    <col min="4" max="4" width="5.625" style="56" hidden="1" customWidth="1"/>
    <col min="5" max="5" width="12.25" style="56" customWidth="1"/>
    <col min="6" max="6" width="8" style="57" customWidth="1"/>
    <col min="7" max="7" width="9" style="56" customWidth="1"/>
    <col min="8" max="8" width="35.125" style="54" customWidth="1"/>
    <col min="9" max="9" width="4.875" style="55" customWidth="1"/>
    <col min="10" max="10" width="5.625" style="55" hidden="1" customWidth="1"/>
    <col min="11" max="11" width="12.25" style="55" customWidth="1"/>
    <col min="12" max="12" width="6.375" style="38" customWidth="1"/>
    <col min="13" max="15" width="9.625" style="38" customWidth="1"/>
    <col min="16" max="16" width="11" style="38" customWidth="1"/>
    <col min="17" max="17" width="4.75" style="38" customWidth="1"/>
    <col min="18" max="18" width="9.125" style="6" customWidth="1"/>
    <col min="19" max="19" width="32.375" style="6" customWidth="1"/>
    <col min="20" max="20" width="4.875" style="6" customWidth="1"/>
    <col min="21" max="21" width="4.75" style="6" customWidth="1"/>
    <col min="22" max="24" width="8.875" style="38"/>
    <col min="25" max="25" width="8.875" style="38" hidden="1" customWidth="1"/>
    <col min="26" max="27" width="6.25" style="57" hidden="1" customWidth="1"/>
    <col min="28" max="28" width="4.875" style="57" hidden="1" customWidth="1"/>
    <col min="29" max="29" width="6.25" style="57" hidden="1" customWidth="1"/>
    <col min="30" max="30" width="6.25" style="38" hidden="1" customWidth="1"/>
    <col min="31" max="31" width="32.625" style="38" hidden="1" customWidth="1"/>
    <col min="32" max="32" width="4.875" style="57" hidden="1" customWidth="1"/>
    <col min="33" max="33" width="3.375" style="57" hidden="1" customWidth="1"/>
    <col min="34" max="34" width="4.625" style="57" customWidth="1"/>
    <col min="35" max="35" width="6.25" style="57" hidden="1" customWidth="1"/>
    <col min="36" max="36" width="8.875" style="38" hidden="1" customWidth="1"/>
    <col min="37" max="37" width="30.25" style="38" hidden="1" customWidth="1"/>
    <col min="38" max="39" width="8.875" style="38" hidden="1" customWidth="1"/>
    <col min="40" max="16384" width="8.875" style="38"/>
  </cols>
  <sheetData>
    <row r="1" spans="1:39">
      <c r="A1" s="36"/>
      <c r="B1" s="36"/>
      <c r="C1" s="36"/>
      <c r="D1" s="36"/>
      <c r="E1" s="36"/>
      <c r="F1" s="36"/>
      <c r="G1" s="36"/>
      <c r="H1" s="36"/>
      <c r="I1" s="36"/>
      <c r="J1" s="36"/>
      <c r="K1" s="36"/>
      <c r="L1" s="37"/>
      <c r="M1" s="37"/>
      <c r="N1" s="37"/>
      <c r="O1" s="37"/>
      <c r="P1" s="37"/>
      <c r="Q1" s="37"/>
      <c r="R1" s="5"/>
      <c r="S1" s="5"/>
      <c r="T1" s="5"/>
      <c r="U1" s="5"/>
      <c r="V1" s="37"/>
    </row>
    <row r="2" spans="1:39">
      <c r="A2" s="82" t="s">
        <v>110</v>
      </c>
      <c r="B2" s="39" t="str">
        <f>'Status Kelulusan'!B2</f>
        <v>MUHAMMAD RIFQI ARRAHIM NATADIKARTA</v>
      </c>
      <c r="C2" s="40"/>
      <c r="D2" s="40"/>
      <c r="E2" s="43" t="s">
        <v>109</v>
      </c>
      <c r="F2" s="88">
        <f>'Kurikulum 2020'!G2</f>
        <v>82</v>
      </c>
      <c r="G2" s="40"/>
      <c r="H2" s="43" t="s">
        <v>245</v>
      </c>
      <c r="I2" s="189">
        <f ca="1">SUM(C7:C39,I7:I39)-IF(AND($F$4&lt;=2017,$A$7="CII-1E3"),3,0)</f>
        <v>65</v>
      </c>
      <c r="J2" s="190"/>
      <c r="K2" s="191"/>
      <c r="L2" s="36"/>
      <c r="M2" s="193" t="str">
        <f ca="1">IF(B2&lt;&gt;0,IF(I3&gt;=3,"Terdapat kelebihan SKS.
Tidak perlu mengambil MK Pilihan 3",IF(I3&lt;0,"SKS kurang. Cek ekuivalensi. Jika sudah benar, maka perlu menambah 1 mata kuliah pilihan untuk memenuhi SKS","")),"")</f>
        <v>Terdapat kelebihan SKS.
Tidak perlu mengambil MK Pilihan 3</v>
      </c>
      <c r="N2" s="193"/>
      <c r="O2" s="193"/>
      <c r="P2" s="193"/>
      <c r="Q2" s="36"/>
      <c r="R2" s="5"/>
      <c r="S2" s="5"/>
      <c r="T2" s="5"/>
      <c r="U2" s="5"/>
      <c r="V2" s="36"/>
    </row>
    <row r="3" spans="1:39">
      <c r="A3" s="82" t="s">
        <v>293</v>
      </c>
      <c r="B3" s="39">
        <f>'Status Kelulusan'!B3</f>
        <v>1301190425</v>
      </c>
      <c r="C3" s="40"/>
      <c r="D3" s="40"/>
      <c r="E3" s="43" t="s">
        <v>111</v>
      </c>
      <c r="F3" s="110">
        <f>'Kurikulum 2020'!G3</f>
        <v>62</v>
      </c>
      <c r="G3" s="36"/>
      <c r="H3" s="43" t="s">
        <v>246</v>
      </c>
      <c r="I3" s="192">
        <f ca="1">I2-F3</f>
        <v>3</v>
      </c>
      <c r="J3" s="192"/>
      <c r="K3" s="192"/>
      <c r="L3" s="36"/>
      <c r="M3" s="193"/>
      <c r="N3" s="193"/>
      <c r="O3" s="193"/>
      <c r="P3" s="193"/>
      <c r="Q3" s="36"/>
      <c r="R3" s="5"/>
      <c r="S3" s="5"/>
      <c r="T3" s="5"/>
      <c r="U3" s="5"/>
      <c r="V3" s="36"/>
    </row>
    <row r="4" spans="1:39">
      <c r="A4" s="82" t="s">
        <v>310</v>
      </c>
      <c r="B4" s="8" t="str">
        <f>'Status Kelulusan'!B4</f>
        <v>IF4308</v>
      </c>
      <c r="C4" s="40"/>
      <c r="D4" s="40"/>
      <c r="E4" s="43" t="s">
        <v>108</v>
      </c>
      <c r="F4" s="88">
        <f>'Kurikulum 2020'!L2</f>
        <v>2019</v>
      </c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5"/>
      <c r="S4" s="5"/>
      <c r="T4" s="5"/>
      <c r="U4" s="5"/>
      <c r="V4" s="36"/>
    </row>
    <row r="5" spans="1:39">
      <c r="A5" s="44"/>
      <c r="B5" s="42"/>
      <c r="C5" s="40"/>
      <c r="D5" s="40"/>
      <c r="E5" s="40"/>
      <c r="F5" s="37"/>
      <c r="G5" s="40"/>
      <c r="H5" s="41"/>
      <c r="I5" s="42"/>
      <c r="J5" s="42"/>
      <c r="K5" s="42"/>
      <c r="L5" s="36"/>
      <c r="M5" s="37"/>
      <c r="N5" s="37"/>
      <c r="O5" s="37"/>
      <c r="P5" s="37"/>
      <c r="Q5" s="36"/>
      <c r="R5" s="5"/>
      <c r="S5" s="5"/>
      <c r="T5" s="5"/>
      <c r="U5" s="5"/>
      <c r="V5" s="36"/>
      <c r="Y5" s="57" t="s">
        <v>302</v>
      </c>
      <c r="Z5" s="57" t="s">
        <v>300</v>
      </c>
      <c r="AA5" s="57" t="s">
        <v>301</v>
      </c>
      <c r="AC5" s="57" t="s">
        <v>304</v>
      </c>
      <c r="AD5" s="194" t="s">
        <v>244</v>
      </c>
      <c r="AE5" s="194"/>
      <c r="AF5" s="68" t="s">
        <v>1</v>
      </c>
      <c r="AG5" s="68" t="s">
        <v>303</v>
      </c>
      <c r="AI5" s="57" t="s">
        <v>304</v>
      </c>
      <c r="AJ5" s="194" t="s">
        <v>255</v>
      </c>
      <c r="AK5" s="194"/>
      <c r="AL5" s="68" t="s">
        <v>1</v>
      </c>
      <c r="AM5" s="68" t="s">
        <v>303</v>
      </c>
    </row>
    <row r="6" spans="1:39">
      <c r="A6" s="194" t="s">
        <v>244</v>
      </c>
      <c r="B6" s="194"/>
      <c r="C6" s="68" t="s">
        <v>1</v>
      </c>
      <c r="D6" s="68">
        <f ca="1">MIN(D7:D39,J7:J39)</f>
        <v>5</v>
      </c>
      <c r="E6" s="68" t="s">
        <v>247</v>
      </c>
      <c r="F6" s="36"/>
      <c r="G6" s="194" t="s">
        <v>255</v>
      </c>
      <c r="H6" s="194"/>
      <c r="I6" s="68" t="s">
        <v>1</v>
      </c>
      <c r="J6" s="68"/>
      <c r="K6" s="68" t="s">
        <v>247</v>
      </c>
      <c r="L6" s="36"/>
      <c r="M6" s="145" t="s">
        <v>295</v>
      </c>
      <c r="N6" s="145"/>
      <c r="O6" s="145"/>
      <c r="P6" s="145"/>
      <c r="Q6" s="36"/>
      <c r="R6" s="149" t="s">
        <v>308</v>
      </c>
      <c r="S6" s="149"/>
      <c r="T6" s="195" t="s">
        <v>1</v>
      </c>
      <c r="U6" s="5"/>
      <c r="V6" s="36"/>
      <c r="Y6" s="57"/>
      <c r="Z6" s="57" t="str">
        <f>IF(OR('Kurikulum 2020'!E6="Belum",'Kurikulum 2020'!E6="Ulang"),MAX(Z$2:Z5)+1,"")</f>
        <v/>
      </c>
      <c r="AA6" s="57" t="str">
        <f>IF(OR('Kurikulum 2020'!L6="Belum",'Kurikulum 2020'!L6="Ulang"),MAX(AA$2:AA5)+1,"")</f>
        <v/>
      </c>
    </row>
    <row r="7" spans="1:39">
      <c r="A7" s="45" t="str">
        <f ca="1">IF(ISNA(VLOOKUP(Y7,$AC$7:$AG$39,2,FALSE)),"",VLOOKUP(Y7,$AC$7:$AG$39,2,FALSE))</f>
        <v>CII-1C2</v>
      </c>
      <c r="B7" s="46" t="str">
        <f ca="1">IF(ISNA(VLOOKUP(Y7,$AC$7:$AG$39,3,FALSE)),"",VLOOKUP(Y7,$AC$7:$AG$39,3,FALSE))</f>
        <v>Statistika</v>
      </c>
      <c r="C7" s="69">
        <f ca="1">IF(A7="","",VALUE(RIGHT(A7,1)))</f>
        <v>2</v>
      </c>
      <c r="D7" s="69">
        <f ca="1">IF(ISNA(VLOOKUP(Y7,$AC$7:$AG$39,5,FALSE)),"",VLOOKUP(Y7,$AC$7:$AG$39,5,FALSE))</f>
        <v>5</v>
      </c>
      <c r="E7" s="47">
        <f ca="1">IF(D7="","",D7-$D$6+1)</f>
        <v>1</v>
      </c>
      <c r="F7" s="36"/>
      <c r="G7" s="45" t="str">
        <f ca="1">IF(ISNA(VLOOKUP(Y7,$AI$7:$AM$39,2,FALSE)),"",VLOOKUP(Y7,$AI$7:$AM$39,2,FALSE))</f>
        <v>CII-3G3</v>
      </c>
      <c r="H7" s="46" t="str">
        <f ca="1">IF(ISNA(VLOOKUP(Y7,$AI$7:$AM$39,3,FALSE)),"",VLOOKUP(Y7,$AI$7:$AM$39,3,FALSE))</f>
        <v>Manajemen Proyek</v>
      </c>
      <c r="I7" s="87">
        <f ca="1">IF(G7="","",VALUE(RIGHT(G7,1)))</f>
        <v>3</v>
      </c>
      <c r="J7" s="69">
        <f ca="1">IF(ISNA(VLOOKUP(Y7,$AI$7:$AM$39,5,FALSE)),"",VLOOKUP(Y7,$AI$7:$AM$39,5,FALSE))</f>
        <v>36</v>
      </c>
      <c r="K7" s="47">
        <f ca="1">IF(J7="","",J7-$D$6+1)</f>
        <v>32</v>
      </c>
      <c r="L7" s="36"/>
      <c r="M7" s="145"/>
      <c r="N7" s="145"/>
      <c r="O7" s="145"/>
      <c r="P7" s="145"/>
      <c r="Q7" s="36"/>
      <c r="R7" s="149"/>
      <c r="S7" s="149"/>
      <c r="T7" s="196"/>
      <c r="U7" s="5"/>
      <c r="V7" s="36"/>
      <c r="Y7" s="57">
        <v>1</v>
      </c>
      <c r="Z7" s="57" t="str">
        <f ca="1">IF(OR('Kurikulum 2020'!E7="Belum",'Kurikulum 2020'!E7="Ulang"),MAX(Z$2:Z6)+1,"")</f>
        <v/>
      </c>
      <c r="AA7" s="57" t="str">
        <f ca="1">IF(OR('Kurikulum 2020'!L7="Belum",'Kurikulum 2020'!L7="Ulang"),MAX(AA$2:AA6)+1,"")</f>
        <v/>
      </c>
      <c r="AC7" s="57">
        <f t="shared" ref="AC7:AC39" ca="1" si="0">IF(AG7="","",_xlfn.RANK.EQ(AG7,$AG$7:$AG$39,1))</f>
        <v>1</v>
      </c>
      <c r="AD7" s="38" t="str">
        <f ca="1">IFERROR(INDEX('Kurikulum 2020'!A:A,MATCH(ROW()-ROW($X$2)-4,Z:Z,0)),"")</f>
        <v>CII-1C2</v>
      </c>
      <c r="AE7" s="38" t="str">
        <f ca="1">IFERROR(INDEX('Kurikulum 2020'!B:B,MATCH(ROW()-ROW($X$2)-4,Z:Z,0)),"")</f>
        <v>Statistika</v>
      </c>
      <c r="AF7" s="57">
        <f ca="1">IFERROR(INDEX('Kurikulum 2020'!C:C,MATCH(ROW()-ROW($X$2)-4,Z:Z,0)),"")</f>
        <v>2</v>
      </c>
      <c r="AG7" s="57">
        <f ca="1">IFERROR(INDEX('Kurikulum 2020'!F:F,MATCH(ROW()-ROW($X$2)-4,Z:Z,0)),"")</f>
        <v>5</v>
      </c>
      <c r="AI7" s="57">
        <f ca="1">IF(AM7="","",_xlfn.RANK.EQ(AM7,$AM$7:$AM$39,1))</f>
        <v>1</v>
      </c>
      <c r="AJ7" s="38" t="str">
        <f ca="1">IFERROR(INDEX('Kurikulum 2020'!H:H,MATCH(ROW()-ROW($X$2)-4,AA:AA,0)),"")</f>
        <v>CII-3G3</v>
      </c>
      <c r="AK7" s="38" t="str">
        <f ca="1">IFERROR(INDEX('Kurikulum 2020'!I:I,MATCH(ROW()-ROW($X$2)-4,AA:AA,0)),"")</f>
        <v>Manajemen Proyek</v>
      </c>
      <c r="AL7" s="38">
        <f ca="1">IFERROR(INDEX('Kurikulum 2020'!J:J,MATCH(ROW()-ROW($X$2)-4,AA:AA,0)),"")</f>
        <v>3</v>
      </c>
      <c r="AM7" s="38">
        <f ca="1">IFERROR(INDEX('Kurikulum 2020'!M:M,MATCH(ROW()-ROW($X$2)-4,AA:AA,0)),"")</f>
        <v>36</v>
      </c>
    </row>
    <row r="8" spans="1:39" ht="14.95" customHeight="1">
      <c r="A8" s="45" t="str">
        <f t="shared" ref="A8:A39" ca="1" si="1">IF(ISNA(VLOOKUP(Y8,$AC$7:$AG$39,2,FALSE)),"",VLOOKUP(Y8,$AC$7:$AG$39,2,FALSE))</f>
        <v>UWI-3A2</v>
      </c>
      <c r="B8" s="46" t="str">
        <f t="shared" ref="B8:B39" ca="1" si="2">IF(ISNA(VLOOKUP(Y8,$AC$7:$AG$39,3,FALSE)),"",VLOOKUP(Y8,$AC$7:$AG$39,3,FALSE))</f>
        <v>Kewirausahaan</v>
      </c>
      <c r="C8" s="87">
        <f t="shared" ref="C8:C39" ca="1" si="3">IF(A8="","",VALUE(RIGHT(A8,1)))</f>
        <v>2</v>
      </c>
      <c r="D8" s="69">
        <f t="shared" ref="D8:D39" ca="1" si="4">IF(ISNA(VLOOKUP(Y8,$AC$7:$AG$39,5,FALSE)),"",VLOOKUP(Y8,$AC$7:$AG$39,5,FALSE))</f>
        <v>29</v>
      </c>
      <c r="E8" s="47">
        <f t="shared" ref="E8:E39" ca="1" si="5">IF(D8="","",D8-$D$6+1)</f>
        <v>25</v>
      </c>
      <c r="F8" s="36"/>
      <c r="G8" s="45" t="str">
        <f t="shared" ref="G8:G39" ca="1" si="6">IF(ISNA(VLOOKUP(Y8,$AI$7:$AM$39,2,FALSE)),"",VLOOKUP(Y8,$AI$7:$AM$39,2,FALSE))</f>
        <v>CII-3H4</v>
      </c>
      <c r="H8" s="46" t="str">
        <f t="shared" ref="H8:H39" ca="1" si="7">IF(ISNA(VLOOKUP(Y8,$AI$7:$AM$39,3,FALSE)),"",VLOOKUP(Y8,$AI$7:$AM$39,3,FALSE))</f>
        <v>Aplikasi Berbasis Platform</v>
      </c>
      <c r="I8" s="87">
        <f t="shared" ref="I8:I39" ca="1" si="8">IF(G8="","",VALUE(RIGHT(G8,1)))</f>
        <v>4</v>
      </c>
      <c r="J8" s="69">
        <f t="shared" ref="J8:J39" ca="1" si="9">IF(ISNA(VLOOKUP(Y8,$AI$7:$AM$39,5,FALSE)),"",VLOOKUP(Y8,$AI$7:$AM$39,5,FALSE))</f>
        <v>37</v>
      </c>
      <c r="K8" s="47">
        <f t="shared" ref="K8:K39" ca="1" si="10">IF(J8="","",J8-$D$6+1)</f>
        <v>33</v>
      </c>
      <c r="L8" s="36"/>
      <c r="M8" s="133" t="s">
        <v>354</v>
      </c>
      <c r="N8" s="133"/>
      <c r="O8" s="133"/>
      <c r="P8" s="133"/>
      <c r="Q8" s="36"/>
      <c r="R8" s="13" t="s">
        <v>135</v>
      </c>
      <c r="S8" s="14" t="s">
        <v>56</v>
      </c>
      <c r="T8" s="34">
        <v>3</v>
      </c>
      <c r="U8" s="5"/>
      <c r="V8" s="36"/>
      <c r="Y8" s="57">
        <v>2</v>
      </c>
      <c r="Z8" s="57" t="str">
        <f ca="1">IF(OR('Kurikulum 2020'!E8="Belum",'Kurikulum 2020'!E8="Ulang"),MAX(Z$2:Z7)+1,"")</f>
        <v/>
      </c>
      <c r="AA8" s="57" t="str">
        <f ca="1">IF(OR('Kurikulum 2020'!L8="Belum",'Kurikulum 2020'!L8="Ulang"),MAX(AA$2:AA7)+1,"")</f>
        <v/>
      </c>
      <c r="AC8" s="57">
        <f t="shared" ca="1" si="0"/>
        <v>2</v>
      </c>
      <c r="AD8" s="38" t="str">
        <f ca="1">IFERROR(INDEX('Kurikulum 2020'!A:A,MATCH(ROW()-ROW($X$2)-4,Z:Z,0)),"")</f>
        <v>UWI-3A2</v>
      </c>
      <c r="AE8" s="38" t="str">
        <f ca="1">IFERROR(INDEX('Kurikulum 2020'!B:B,MATCH(ROW()-ROW($X$2)-4,Z:Z,0)),"")</f>
        <v>Kewirausahaan</v>
      </c>
      <c r="AF8" s="57">
        <f ca="1">IFERROR(INDEX('Kurikulum 2020'!C:C,MATCH(ROW()-ROW($X$2)-4,Z:Z,0)),"")</f>
        <v>2</v>
      </c>
      <c r="AG8" s="57">
        <f ca="1">IFERROR(INDEX('Kurikulum 2020'!F:F,MATCH(ROW()-ROW($X$2)-4,Z:Z,0)),"")</f>
        <v>29</v>
      </c>
      <c r="AI8" s="57">
        <f t="shared" ref="AI8:AI39" ca="1" si="11">IF(AM8="","",_xlfn.RANK.EQ(AM8,$AM$7:$AM$39,1))</f>
        <v>2</v>
      </c>
      <c r="AJ8" s="38" t="str">
        <f ca="1">IFERROR(INDEX('Kurikulum 2020'!H:H,MATCH(ROW()-ROW($X$2)-4,AA:AA,0)),"")</f>
        <v>CII-3H4</v>
      </c>
      <c r="AK8" s="38" t="str">
        <f ca="1">IFERROR(INDEX('Kurikulum 2020'!I:I,MATCH(ROW()-ROW($X$2)-4,AA:AA,0)),"")</f>
        <v>Aplikasi Berbasis Platform</v>
      </c>
      <c r="AL8" s="38">
        <f ca="1">IFERROR(INDEX('Kurikulum 2020'!J:J,MATCH(ROW()-ROW($X$2)-4,AA:AA,0)),"")</f>
        <v>4</v>
      </c>
      <c r="AM8" s="38">
        <f ca="1">IFERROR(INDEX('Kurikulum 2020'!M:M,MATCH(ROW()-ROW($X$2)-4,AA:AA,0)),"")</f>
        <v>37</v>
      </c>
    </row>
    <row r="9" spans="1:39">
      <c r="A9" s="45" t="str">
        <f t="shared" ca="1" si="1"/>
        <v>CII-3A3</v>
      </c>
      <c r="B9" s="46" t="str">
        <f t="shared" ca="1" si="2"/>
        <v>Interaksi Manusia Komputer</v>
      </c>
      <c r="C9" s="87">
        <f t="shared" ca="1" si="3"/>
        <v>3</v>
      </c>
      <c r="D9" s="69">
        <f t="shared" ca="1" si="4"/>
        <v>30</v>
      </c>
      <c r="E9" s="47">
        <f t="shared" ca="1" si="5"/>
        <v>26</v>
      </c>
      <c r="F9" s="36"/>
      <c r="G9" s="45" t="str">
        <f t="shared" ca="1" si="6"/>
        <v>CII-3J4</v>
      </c>
      <c r="H9" s="46" t="str">
        <f t="shared" ca="1" si="7"/>
        <v>RPL: Desain dan Implementasi</v>
      </c>
      <c r="I9" s="87">
        <f t="shared" ca="1" si="8"/>
        <v>4</v>
      </c>
      <c r="J9" s="69">
        <f t="shared" ca="1" si="9"/>
        <v>39</v>
      </c>
      <c r="K9" s="47">
        <f t="shared" ca="1" si="10"/>
        <v>35</v>
      </c>
      <c r="L9" s="36"/>
      <c r="M9" s="133"/>
      <c r="N9" s="133"/>
      <c r="O9" s="133"/>
      <c r="P9" s="133"/>
      <c r="Q9" s="36"/>
      <c r="R9" s="13" t="s">
        <v>136</v>
      </c>
      <c r="S9" s="14" t="s">
        <v>48</v>
      </c>
      <c r="T9" s="34">
        <v>3</v>
      </c>
      <c r="U9" s="5"/>
      <c r="V9" s="36"/>
      <c r="Y9" s="57">
        <v>3</v>
      </c>
      <c r="Z9" s="57" t="str">
        <f ca="1">IF(OR('Kurikulum 2020'!E9="Belum",'Kurikulum 2020'!E9="Ulang"),MAX(Z$2:Z8)+1,"")</f>
        <v/>
      </c>
      <c r="AA9" s="57" t="str">
        <f ca="1">IF(OR('Kurikulum 2020'!L9="Belum",'Kurikulum 2020'!L9="Ulang"),MAX(AA$2:AA8)+1,"")</f>
        <v/>
      </c>
      <c r="AC9" s="57">
        <f t="shared" ca="1" si="0"/>
        <v>3</v>
      </c>
      <c r="AD9" s="38" t="str">
        <f ca="1">IFERROR(INDEX('Kurikulum 2020'!A:A,MATCH(ROW()-ROW($X$2)-4,Z:Z,0)),"")</f>
        <v>CII-3A3</v>
      </c>
      <c r="AE9" s="38" t="str">
        <f ca="1">IFERROR(INDEX('Kurikulum 2020'!B:B,MATCH(ROW()-ROW($X$2)-4,Z:Z,0)),"")</f>
        <v>Interaksi Manusia Komputer</v>
      </c>
      <c r="AF9" s="57">
        <f ca="1">IFERROR(INDEX('Kurikulum 2020'!C:C,MATCH(ROW()-ROW($X$2)-4,Z:Z,0)),"")</f>
        <v>3</v>
      </c>
      <c r="AG9" s="57">
        <f ca="1">IFERROR(INDEX('Kurikulum 2020'!F:F,MATCH(ROW()-ROW($X$2)-4,Z:Z,0)),"")</f>
        <v>30</v>
      </c>
      <c r="AI9" s="57">
        <f t="shared" ca="1" si="11"/>
        <v>3</v>
      </c>
      <c r="AJ9" s="38" t="str">
        <f ca="1">IFERROR(INDEX('Kurikulum 2020'!H:H,MATCH(ROW()-ROW($X$2)-4,AA:AA,0)),"")</f>
        <v>CII-3J4</v>
      </c>
      <c r="AK9" s="38" t="str">
        <f ca="1">IFERROR(INDEX('Kurikulum 2020'!I:I,MATCH(ROW()-ROW($X$2)-4,AA:AA,0)),"")</f>
        <v>RPL: Desain dan Implementasi</v>
      </c>
      <c r="AL9" s="38">
        <f ca="1">IFERROR(INDEX('Kurikulum 2020'!J:J,MATCH(ROW()-ROW($X$2)-4,AA:AA,0)),"")</f>
        <v>4</v>
      </c>
      <c r="AM9" s="38">
        <f ca="1">IFERROR(INDEX('Kurikulum 2020'!M:M,MATCH(ROW()-ROW($X$2)-4,AA:AA,0)),"")</f>
        <v>39</v>
      </c>
    </row>
    <row r="10" spans="1:39">
      <c r="A10" s="45" t="str">
        <f t="shared" ca="1" si="1"/>
        <v>CII-3B4</v>
      </c>
      <c r="B10" s="46" t="str">
        <f t="shared" ca="1" si="2"/>
        <v>Pemrograman Berorientasi Objek</v>
      </c>
      <c r="C10" s="87">
        <f t="shared" ca="1" si="3"/>
        <v>4</v>
      </c>
      <c r="D10" s="69">
        <f t="shared" ca="1" si="4"/>
        <v>31</v>
      </c>
      <c r="E10" s="47">
        <f t="shared" ca="1" si="5"/>
        <v>27</v>
      </c>
      <c r="F10" s="36"/>
      <c r="G10" s="45" t="str">
        <f t="shared" ca="1" si="6"/>
        <v>CII-3K2</v>
      </c>
      <c r="H10" s="46" t="str">
        <f t="shared" ca="1" si="7"/>
        <v>Sosio-Informatik dan Keprofesian</v>
      </c>
      <c r="I10" s="87">
        <f t="shared" ca="1" si="8"/>
        <v>2</v>
      </c>
      <c r="J10" s="69">
        <f t="shared" ca="1" si="9"/>
        <v>40</v>
      </c>
      <c r="K10" s="47">
        <f t="shared" ca="1" si="10"/>
        <v>36</v>
      </c>
      <c r="L10" s="36"/>
      <c r="M10" s="133"/>
      <c r="N10" s="133"/>
      <c r="O10" s="133"/>
      <c r="P10" s="133"/>
      <c r="Q10" s="36"/>
      <c r="R10" s="13" t="s">
        <v>144</v>
      </c>
      <c r="S10" s="14" t="s">
        <v>42</v>
      </c>
      <c r="T10" s="34">
        <v>3</v>
      </c>
      <c r="U10" s="5"/>
      <c r="V10" s="36"/>
      <c r="Y10" s="57">
        <v>4</v>
      </c>
      <c r="Z10" s="57" t="str">
        <f ca="1">IF(OR('Kurikulum 2020'!E10="Belum",'Kurikulum 2020'!E10="Ulang"),MAX(Z$2:Z9)+1,"")</f>
        <v/>
      </c>
      <c r="AA10" s="57" t="str">
        <f ca="1">IF(OR('Kurikulum 2020'!L10="Belum",'Kurikulum 2020'!L10="Ulang"),MAX(AA$2:AA9)+1,"")</f>
        <v/>
      </c>
      <c r="AC10" s="57">
        <f t="shared" ca="1" si="0"/>
        <v>4</v>
      </c>
      <c r="AD10" s="38" t="str">
        <f ca="1">IFERROR(INDEX('Kurikulum 2020'!A:A,MATCH(ROW()-ROW($X$2)-4,Z:Z,0)),"")</f>
        <v>CII-3B4</v>
      </c>
      <c r="AE10" s="38" t="str">
        <f ca="1">IFERROR(INDEX('Kurikulum 2020'!B:B,MATCH(ROW()-ROW($X$2)-4,Z:Z,0)),"")</f>
        <v>Pemrograman Berorientasi Objek</v>
      </c>
      <c r="AF10" s="57">
        <f ca="1">IFERROR(INDEX('Kurikulum 2020'!C:C,MATCH(ROW()-ROW($X$2)-4,Z:Z,0)),"")</f>
        <v>4</v>
      </c>
      <c r="AG10" s="57">
        <f ca="1">IFERROR(INDEX('Kurikulum 2020'!F:F,MATCH(ROW()-ROW($X$2)-4,Z:Z,0)),"")</f>
        <v>31</v>
      </c>
      <c r="AI10" s="57">
        <f t="shared" ca="1" si="11"/>
        <v>4</v>
      </c>
      <c r="AJ10" s="38" t="str">
        <f ca="1">IFERROR(INDEX('Kurikulum 2020'!H:H,MATCH(ROW()-ROW($X$2)-4,AA:AA,0)),"")</f>
        <v>CII-3K2</v>
      </c>
      <c r="AK10" s="38" t="str">
        <f ca="1">IFERROR(INDEX('Kurikulum 2020'!I:I,MATCH(ROW()-ROW($X$2)-4,AA:AA,0)),"")</f>
        <v>Sosio-Informatik dan Keprofesian</v>
      </c>
      <c r="AL10" s="38">
        <f ca="1">IFERROR(INDEX('Kurikulum 2020'!J:J,MATCH(ROW()-ROW($X$2)-4,AA:AA,0)),"")</f>
        <v>2</v>
      </c>
      <c r="AM10" s="38">
        <f ca="1">IFERROR(INDEX('Kurikulum 2020'!M:M,MATCH(ROW()-ROW($X$2)-4,AA:AA,0)),"")</f>
        <v>40</v>
      </c>
    </row>
    <row r="11" spans="1:39">
      <c r="A11" s="45" t="str">
        <f t="shared" ca="1" si="1"/>
        <v>CII-3C3</v>
      </c>
      <c r="B11" s="46" t="str">
        <f t="shared" ca="1" si="2"/>
        <v>Pembelajaran Mesin</v>
      </c>
      <c r="C11" s="87">
        <f t="shared" ca="1" si="3"/>
        <v>3</v>
      </c>
      <c r="D11" s="69">
        <f t="shared" ca="1" si="4"/>
        <v>32</v>
      </c>
      <c r="E11" s="47">
        <f t="shared" ca="1" si="5"/>
        <v>28</v>
      </c>
      <c r="F11" s="36"/>
      <c r="G11" s="45" t="str">
        <f t="shared" ca="1" si="6"/>
        <v>CII-3_3</v>
      </c>
      <c r="H11" s="46" t="str">
        <f t="shared" ca="1" si="7"/>
        <v>MK Pilihan Peminatan 1</v>
      </c>
      <c r="I11" s="87">
        <f t="shared" ca="1" si="8"/>
        <v>3</v>
      </c>
      <c r="J11" s="69">
        <f t="shared" ca="1" si="9"/>
        <v>41</v>
      </c>
      <c r="K11" s="47">
        <f t="shared" ca="1" si="10"/>
        <v>37</v>
      </c>
      <c r="L11" s="36"/>
      <c r="M11" s="133"/>
      <c r="N11" s="133"/>
      <c r="O11" s="133"/>
      <c r="P11" s="133"/>
      <c r="Q11" s="36"/>
      <c r="R11" s="13" t="s">
        <v>150</v>
      </c>
      <c r="S11" s="14" t="s">
        <v>149</v>
      </c>
      <c r="T11" s="34">
        <v>3</v>
      </c>
      <c r="U11" s="5"/>
      <c r="V11" s="36"/>
      <c r="Y11" s="57">
        <v>5</v>
      </c>
      <c r="Z11" s="57">
        <f ca="1">IF(OR('Kurikulum 2020'!E11="Belum",'Kurikulum 2020'!E11="Ulang"),MAX(Z$2:Z10)+1,"")</f>
        <v>1</v>
      </c>
      <c r="AA11" s="57" t="str">
        <f ca="1">IF(OR('Kurikulum 2020'!L11="Belum",'Kurikulum 2020'!L11="Ulang"),MAX(AA$2:AA10)+1,"")</f>
        <v/>
      </c>
      <c r="AC11" s="57">
        <f t="shared" ca="1" si="0"/>
        <v>5</v>
      </c>
      <c r="AD11" s="38" t="str">
        <f ca="1">IFERROR(INDEX('Kurikulum 2020'!A:A,MATCH(ROW()-ROW($X$2)-4,Z:Z,0)),"")</f>
        <v>CII-3C3</v>
      </c>
      <c r="AE11" s="38" t="str">
        <f ca="1">IFERROR(INDEX('Kurikulum 2020'!B:B,MATCH(ROW()-ROW($X$2)-4,Z:Z,0)),"")</f>
        <v>Pembelajaran Mesin</v>
      </c>
      <c r="AF11" s="57">
        <f ca="1">IFERROR(INDEX('Kurikulum 2020'!C:C,MATCH(ROW()-ROW($X$2)-4,Z:Z,0)),"")</f>
        <v>3</v>
      </c>
      <c r="AG11" s="57">
        <f ca="1">IFERROR(INDEX('Kurikulum 2020'!F:F,MATCH(ROW()-ROW($X$2)-4,Z:Z,0)),"")</f>
        <v>32</v>
      </c>
      <c r="AI11" s="57">
        <f t="shared" ca="1" si="11"/>
        <v>5</v>
      </c>
      <c r="AJ11" s="38" t="str">
        <f ca="1">IFERROR(INDEX('Kurikulum 2020'!H:H,MATCH(ROW()-ROW($X$2)-4,AA:AA,0)),"")</f>
        <v>CII-3_3</v>
      </c>
      <c r="AK11" s="38" t="str">
        <f ca="1">IFERROR(INDEX('Kurikulum 2020'!I:I,MATCH(ROW()-ROW($X$2)-4,AA:AA,0)),"")</f>
        <v>MK Pilihan Peminatan 1</v>
      </c>
      <c r="AL11" s="38">
        <f ca="1">IFERROR(INDEX('Kurikulum 2020'!J:J,MATCH(ROW()-ROW($X$2)-4,AA:AA,0)),"")</f>
        <v>3</v>
      </c>
      <c r="AM11" s="38">
        <f ca="1">IFERROR(INDEX('Kurikulum 2020'!M:M,MATCH(ROW()-ROW($X$2)-4,AA:AA,0)),"")</f>
        <v>41</v>
      </c>
    </row>
    <row r="12" spans="1:39">
      <c r="A12" s="45" t="str">
        <f t="shared" ca="1" si="1"/>
        <v>CII-3D4</v>
      </c>
      <c r="B12" s="46" t="str">
        <f t="shared" ca="1" si="2"/>
        <v>Sistem Paralel dan Terdistribusi</v>
      </c>
      <c r="C12" s="87">
        <f t="shared" ca="1" si="3"/>
        <v>4</v>
      </c>
      <c r="D12" s="69">
        <f t="shared" ca="1" si="4"/>
        <v>33</v>
      </c>
      <c r="E12" s="47">
        <f t="shared" ca="1" si="5"/>
        <v>29</v>
      </c>
      <c r="F12" s="36"/>
      <c r="G12" s="45" t="str">
        <f t="shared" ca="1" si="6"/>
        <v>CII-4[3]3</v>
      </c>
      <c r="H12" s="46" t="str">
        <f t="shared" ca="1" si="7"/>
        <v>MK Pilihan 2</v>
      </c>
      <c r="I12" s="87">
        <f t="shared" ca="1" si="8"/>
        <v>3</v>
      </c>
      <c r="J12" s="69">
        <f t="shared" ca="1" si="9"/>
        <v>48</v>
      </c>
      <c r="K12" s="47">
        <f t="shared" ca="1" si="10"/>
        <v>44</v>
      </c>
      <c r="L12" s="36"/>
      <c r="M12" s="133"/>
      <c r="N12" s="133"/>
      <c r="O12" s="133"/>
      <c r="P12" s="133"/>
      <c r="Q12" s="36"/>
      <c r="R12" s="13" t="s">
        <v>152</v>
      </c>
      <c r="S12" s="14" t="s">
        <v>151</v>
      </c>
      <c r="T12" s="34">
        <v>2</v>
      </c>
      <c r="U12" s="5"/>
      <c r="V12" s="36"/>
      <c r="Y12" s="57">
        <v>6</v>
      </c>
      <c r="Z12" s="57" t="str">
        <f ca="1">IF(OR('Kurikulum 2020'!E12="Belum",'Kurikulum 2020'!E12="Ulang"),MAX(Z$2:Z11)+1,"")</f>
        <v/>
      </c>
      <c r="AA12" s="57" t="str">
        <f ca="1">IF(OR('Kurikulum 2020'!L12="Belum",'Kurikulum 2020'!L12="Ulang"),MAX(AA$2:AA11)+1,"")</f>
        <v/>
      </c>
      <c r="AC12" s="57">
        <f t="shared" ca="1" si="0"/>
        <v>6</v>
      </c>
      <c r="AD12" s="38" t="str">
        <f ca="1">IFERROR(INDEX('Kurikulum 2020'!A:A,MATCH(ROW()-ROW($X$2)-4,Z:Z,0)),"")</f>
        <v>CII-3D4</v>
      </c>
      <c r="AE12" s="38" t="str">
        <f ca="1">IFERROR(INDEX('Kurikulum 2020'!B:B,MATCH(ROW()-ROW($X$2)-4,Z:Z,0)),"")</f>
        <v>Sistem Paralel dan Terdistribusi</v>
      </c>
      <c r="AF12" s="57">
        <f ca="1">IFERROR(INDEX('Kurikulum 2020'!C:C,MATCH(ROW()-ROW($X$2)-4,Z:Z,0)),"")</f>
        <v>4</v>
      </c>
      <c r="AG12" s="57">
        <f ca="1">IFERROR(INDEX('Kurikulum 2020'!F:F,MATCH(ROW()-ROW($X$2)-4,Z:Z,0)),"")</f>
        <v>33</v>
      </c>
      <c r="AI12" s="57">
        <f t="shared" ca="1" si="11"/>
        <v>7</v>
      </c>
      <c r="AJ12" s="38" t="str">
        <f ca="1">IFERROR(INDEX('Kurikulum 2020'!H:H,MATCH(ROW()-ROW($X$2)-4,AA:AA,0)),"")</f>
        <v>CII-4E4</v>
      </c>
      <c r="AK12" s="38" t="str">
        <f ca="1">IFERROR(INDEX('Kurikulum 2020'!I:I,MATCH(ROW()-ROW($X$2)-4,AA:AA,0)),"")</f>
        <v>Tugas Akhir</v>
      </c>
      <c r="AL12" s="38">
        <f ca="1">IFERROR(INDEX('Kurikulum 2020'!J:J,MATCH(ROW()-ROW($X$2)-4,AA:AA,0)),"")</f>
        <v>4</v>
      </c>
      <c r="AM12" s="38">
        <f ca="1">IFERROR(INDEX('Kurikulum 2020'!M:M,MATCH(ROW()-ROW($X$2)-4,AA:AA,0)),"")</f>
        <v>49</v>
      </c>
    </row>
    <row r="13" spans="1:39">
      <c r="A13" s="45" t="str">
        <f t="shared" ca="1" si="1"/>
        <v>CII-3E3</v>
      </c>
      <c r="B13" s="46" t="str">
        <f t="shared" ca="1" si="2"/>
        <v>Keamanan Siber</v>
      </c>
      <c r="C13" s="87">
        <f t="shared" ca="1" si="3"/>
        <v>3</v>
      </c>
      <c r="D13" s="69">
        <f t="shared" ca="1" si="4"/>
        <v>34</v>
      </c>
      <c r="E13" s="47">
        <f t="shared" ca="1" si="5"/>
        <v>30</v>
      </c>
      <c r="F13" s="36"/>
      <c r="G13" s="45" t="str">
        <f t="shared" ca="1" si="6"/>
        <v>CII-4E4</v>
      </c>
      <c r="H13" s="46" t="str">
        <f t="shared" ca="1" si="7"/>
        <v>Tugas Akhir</v>
      </c>
      <c r="I13" s="87">
        <f t="shared" ca="1" si="8"/>
        <v>4</v>
      </c>
      <c r="J13" s="69">
        <f t="shared" ca="1" si="9"/>
        <v>49</v>
      </c>
      <c r="K13" s="47">
        <f t="shared" ca="1" si="10"/>
        <v>45</v>
      </c>
      <c r="L13" s="36"/>
      <c r="M13" s="133" t="s">
        <v>297</v>
      </c>
      <c r="N13" s="133"/>
      <c r="O13" s="133"/>
      <c r="P13" s="133"/>
      <c r="Q13" s="36"/>
      <c r="R13" s="13" t="s">
        <v>153</v>
      </c>
      <c r="S13" s="14" t="s">
        <v>64</v>
      </c>
      <c r="T13" s="34">
        <v>4</v>
      </c>
      <c r="U13" s="5"/>
      <c r="V13" s="36"/>
      <c r="Y13" s="57">
        <v>7</v>
      </c>
      <c r="Z13" s="57" t="str">
        <f ca="1">IF(OR('Kurikulum 2020'!E13="Belum",'Kurikulum 2020'!E13="Ulang"),MAX(Z$2:Z12)+1,"")</f>
        <v/>
      </c>
      <c r="AA13" s="57" t="str">
        <f ca="1">IF(OR('Kurikulum 2020'!L13="Belum",'Kurikulum 2020'!L13="Ulang"),MAX(AA$2:AA12)+1,"")</f>
        <v/>
      </c>
      <c r="AC13" s="57">
        <f t="shared" ca="1" si="0"/>
        <v>7</v>
      </c>
      <c r="AD13" s="38" t="str">
        <f ca="1">IFERROR(INDEX('Kurikulum 2020'!A:A,MATCH(ROW()-ROW($X$2)-4,Z:Z,0)),"")</f>
        <v>CII-3E3</v>
      </c>
      <c r="AE13" s="38" t="str">
        <f ca="1">IFERROR(INDEX('Kurikulum 2020'!B:B,MATCH(ROW()-ROW($X$2)-4,Z:Z,0)),"")</f>
        <v>Keamanan Siber</v>
      </c>
      <c r="AF13" s="57">
        <f ca="1">IFERROR(INDEX('Kurikulum 2020'!C:C,MATCH(ROW()-ROW($X$2)-4,Z:Z,0)),"")</f>
        <v>3</v>
      </c>
      <c r="AG13" s="57">
        <f ca="1">IFERROR(INDEX('Kurikulum 2020'!F:F,MATCH(ROW()-ROW($X$2)-4,Z:Z,0)),"")</f>
        <v>34</v>
      </c>
      <c r="AI13" s="57">
        <f t="shared" ca="1" si="11"/>
        <v>6</v>
      </c>
      <c r="AJ13" s="38" t="str">
        <f ca="1">IFERROR(INDEX('Kurikulum 2020'!H:H,MATCH(ROW()-ROW($X$2)-4,AA:AA,0)),"")</f>
        <v>CII-4[3]3</v>
      </c>
      <c r="AK13" s="38" t="str">
        <f ca="1">IFERROR(INDEX('Kurikulum 2020'!I:I,MATCH(ROW()-ROW($X$2)-4,AA:AA,0)),"")</f>
        <v>MK Pilihan 2</v>
      </c>
      <c r="AL13" s="38">
        <f ca="1">IFERROR(INDEX('Kurikulum 2020'!J:J,MATCH(ROW()-ROW($X$2)-4,AA:AA,0)),"")</f>
        <v>3</v>
      </c>
      <c r="AM13" s="38">
        <f ca="1">IFERROR(INDEX('Kurikulum 2020'!M:M,MATCH(ROW()-ROW($X$2)-4,AA:AA,0)),"")</f>
        <v>48</v>
      </c>
    </row>
    <row r="14" spans="1:39">
      <c r="A14" s="45" t="str">
        <f t="shared" ca="1" si="1"/>
        <v>CII-3F1</v>
      </c>
      <c r="B14" s="46" t="str">
        <f t="shared" ca="1" si="2"/>
        <v>Informatika untuk Masyarakat</v>
      </c>
      <c r="C14" s="87">
        <f t="shared" ca="1" si="3"/>
        <v>1</v>
      </c>
      <c r="D14" s="69">
        <f t="shared" ca="1" si="4"/>
        <v>35</v>
      </c>
      <c r="E14" s="47">
        <f t="shared" ca="1" si="5"/>
        <v>31</v>
      </c>
      <c r="F14" s="36"/>
      <c r="G14" s="45" t="str">
        <f t="shared" ca="1" si="6"/>
        <v>CII-4[4]3</v>
      </c>
      <c r="H14" s="46" t="str">
        <f t="shared" ca="1" si="7"/>
        <v>MK Pilihan 3</v>
      </c>
      <c r="I14" s="87">
        <f t="shared" ca="1" si="8"/>
        <v>3</v>
      </c>
      <c r="J14" s="69">
        <f t="shared" ca="1" si="9"/>
        <v>50</v>
      </c>
      <c r="K14" s="47">
        <f t="shared" ca="1" si="10"/>
        <v>46</v>
      </c>
      <c r="L14" s="36"/>
      <c r="M14" s="133"/>
      <c r="N14" s="133"/>
      <c r="O14" s="133"/>
      <c r="P14" s="133"/>
      <c r="Q14" s="36"/>
      <c r="R14" s="13" t="s">
        <v>159</v>
      </c>
      <c r="S14" s="14" t="s">
        <v>158</v>
      </c>
      <c r="T14" s="34">
        <v>3</v>
      </c>
      <c r="U14" s="5"/>
      <c r="V14" s="36"/>
      <c r="Y14" s="57">
        <v>8</v>
      </c>
      <c r="Z14" s="57" t="str">
        <f>IF(OR('Kurikulum 2020'!E14="Belum",'Kurikulum 2020'!E14="Ulang"),MAX(Z$2:Z13)+1,"")</f>
        <v/>
      </c>
      <c r="AA14" s="57" t="str">
        <f>IF(OR('Kurikulum 2020'!L14="Belum",'Kurikulum 2020'!L14="Ulang"),MAX(AA$2:AA13)+1,"")</f>
        <v/>
      </c>
      <c r="AC14" s="57">
        <f t="shared" ca="1" si="0"/>
        <v>8</v>
      </c>
      <c r="AD14" s="38" t="str">
        <f ca="1">IFERROR(INDEX('Kurikulum 2020'!A:A,MATCH(ROW()-ROW($X$2)-4,Z:Z,0)),"")</f>
        <v>CII-3F1</v>
      </c>
      <c r="AE14" s="38" t="str">
        <f ca="1">IFERROR(INDEX('Kurikulum 2020'!B:B,MATCH(ROW()-ROW($X$2)-4,Z:Z,0)),"")</f>
        <v>Informatika untuk Masyarakat</v>
      </c>
      <c r="AF14" s="57">
        <f ca="1">IFERROR(INDEX('Kurikulum 2020'!C:C,MATCH(ROW()-ROW($X$2)-4,Z:Z,0)),"")</f>
        <v>1</v>
      </c>
      <c r="AG14" s="57">
        <f ca="1">IFERROR(INDEX('Kurikulum 2020'!F:F,MATCH(ROW()-ROW($X$2)-4,Z:Z,0)),"")</f>
        <v>35</v>
      </c>
      <c r="AI14" s="57">
        <f t="shared" ca="1" si="11"/>
        <v>8</v>
      </c>
      <c r="AJ14" s="38" t="str">
        <f ca="1">IFERROR(INDEX('Kurikulum 2020'!H:H,MATCH(ROW()-ROW($X$2)-4,AA:AA,0)),"")</f>
        <v>CII-4[4]3</v>
      </c>
      <c r="AK14" s="38" t="str">
        <f ca="1">IFERROR(INDEX('Kurikulum 2020'!I:I,MATCH(ROW()-ROW($X$2)-4,AA:AA,0)),"")</f>
        <v>MK Pilihan 3</v>
      </c>
      <c r="AL14" s="38">
        <f ca="1">IFERROR(INDEX('Kurikulum 2020'!J:J,MATCH(ROW()-ROW($X$2)-4,AA:AA,0)),"")</f>
        <v>3</v>
      </c>
      <c r="AM14" s="38">
        <f ca="1">IFERROR(INDEX('Kurikulum 2020'!M:M,MATCH(ROW()-ROW($X$2)-4,AA:AA,0)),"")</f>
        <v>50</v>
      </c>
    </row>
    <row r="15" spans="1:39">
      <c r="A15" s="45" t="str">
        <f t="shared" ca="1" si="1"/>
        <v>CII-4A2</v>
      </c>
      <c r="B15" s="46" t="str">
        <f t="shared" ca="1" si="2"/>
        <v>Penulisan Proposal</v>
      </c>
      <c r="C15" s="87">
        <f t="shared" ca="1" si="3"/>
        <v>2</v>
      </c>
      <c r="D15" s="69">
        <f t="shared" ca="1" si="4"/>
        <v>42</v>
      </c>
      <c r="E15" s="47">
        <f t="shared" ca="1" si="5"/>
        <v>38</v>
      </c>
      <c r="F15" s="36"/>
      <c r="G15" s="45" t="str">
        <f t="shared" ca="1" si="6"/>
        <v/>
      </c>
      <c r="H15" s="46" t="str">
        <f t="shared" ca="1" si="7"/>
        <v/>
      </c>
      <c r="I15" s="87" t="str">
        <f t="shared" ca="1" si="8"/>
        <v/>
      </c>
      <c r="J15" s="69" t="str">
        <f t="shared" ca="1" si="9"/>
        <v/>
      </c>
      <c r="K15" s="47" t="str">
        <f t="shared" ca="1" si="10"/>
        <v/>
      </c>
      <c r="L15" s="36"/>
      <c r="M15" s="133"/>
      <c r="N15" s="133"/>
      <c r="O15" s="133"/>
      <c r="P15" s="133"/>
      <c r="Q15" s="36"/>
      <c r="R15" s="13" t="s">
        <v>165</v>
      </c>
      <c r="S15" s="14" t="s">
        <v>82</v>
      </c>
      <c r="T15" s="34">
        <v>3</v>
      </c>
      <c r="U15" s="5"/>
      <c r="V15" s="36"/>
      <c r="Y15" s="57">
        <v>9</v>
      </c>
      <c r="Z15" s="57" t="str">
        <f>IF(OR('Kurikulum 2020'!E15="Belum",'Kurikulum 2020'!E15="Ulang"),MAX(Z$2:Z14)+1,"")</f>
        <v/>
      </c>
      <c r="AA15" s="57" t="str">
        <f>IF(OR('Kurikulum 2020'!L15="Belum",'Kurikulum 2020'!L15="Ulang"),MAX(AA$2:AA14)+1,"")</f>
        <v/>
      </c>
      <c r="AC15" s="57">
        <f t="shared" ca="1" si="0"/>
        <v>9</v>
      </c>
      <c r="AD15" s="38" t="str">
        <f ca="1">IFERROR(INDEX('Kurikulum 2020'!A:A,MATCH(ROW()-ROW($X$2)-4,Z:Z,0)),"")</f>
        <v>CII-4A2</v>
      </c>
      <c r="AE15" s="38" t="str">
        <f ca="1">IFERROR(INDEX('Kurikulum 2020'!B:B,MATCH(ROW()-ROW($X$2)-4,Z:Z,0)),"")</f>
        <v>Penulisan Proposal</v>
      </c>
      <c r="AF15" s="57">
        <f ca="1">IFERROR(INDEX('Kurikulum 2020'!C:C,MATCH(ROW()-ROW($X$2)-4,Z:Z,0)),"")</f>
        <v>2</v>
      </c>
      <c r="AG15" s="57">
        <f ca="1">IFERROR(INDEX('Kurikulum 2020'!F:F,MATCH(ROW()-ROW($X$2)-4,Z:Z,0)),"")</f>
        <v>42</v>
      </c>
      <c r="AI15" s="57" t="str">
        <f t="shared" ca="1" si="11"/>
        <v/>
      </c>
      <c r="AJ15" s="38" t="str">
        <f ca="1">IFERROR(INDEX('Kurikulum 2020'!H:H,MATCH(ROW()-ROW($X$2)-4,AA:AA,0)),"")</f>
        <v/>
      </c>
      <c r="AK15" s="38" t="str">
        <f ca="1">IFERROR(INDEX('Kurikulum 2020'!I:I,MATCH(ROW()-ROW($X$2)-4,AA:AA,0)),"")</f>
        <v/>
      </c>
      <c r="AL15" s="38" t="str">
        <f ca="1">IFERROR(INDEX('Kurikulum 2020'!J:J,MATCH(ROW()-ROW($X$2)-4,AA:AA,0)),"")</f>
        <v/>
      </c>
      <c r="AM15" s="38" t="str">
        <f ca="1">IFERROR(INDEX('Kurikulum 2020'!M:M,MATCH(ROW()-ROW($X$2)-4,AA:AA,0)),"")</f>
        <v/>
      </c>
    </row>
    <row r="16" spans="1:39" ht="14.95" customHeight="1">
      <c r="A16" s="45" t="str">
        <f t="shared" ca="1" si="1"/>
        <v>CII-4B3</v>
      </c>
      <c r="B16" s="46" t="str">
        <f t="shared" ca="1" si="2"/>
        <v>Kerja Praktik</v>
      </c>
      <c r="C16" s="87">
        <f t="shared" ca="1" si="3"/>
        <v>3</v>
      </c>
      <c r="D16" s="69">
        <f t="shared" ca="1" si="4"/>
        <v>43</v>
      </c>
      <c r="E16" s="47">
        <f t="shared" ca="1" si="5"/>
        <v>39</v>
      </c>
      <c r="F16" s="36"/>
      <c r="G16" s="45" t="str">
        <f t="shared" ca="1" si="6"/>
        <v/>
      </c>
      <c r="H16" s="46" t="str">
        <f t="shared" ca="1" si="7"/>
        <v/>
      </c>
      <c r="I16" s="87" t="str">
        <f t="shared" ca="1" si="8"/>
        <v/>
      </c>
      <c r="J16" s="69" t="str">
        <f t="shared" ca="1" si="9"/>
        <v/>
      </c>
      <c r="K16" s="47" t="str">
        <f t="shared" ca="1" si="10"/>
        <v/>
      </c>
      <c r="L16" s="36"/>
      <c r="M16" s="155" t="s">
        <v>322</v>
      </c>
      <c r="N16" s="156"/>
      <c r="O16" s="156"/>
      <c r="P16" s="157"/>
      <c r="Q16" s="36"/>
      <c r="R16" s="13" t="s">
        <v>166</v>
      </c>
      <c r="S16" s="14" t="s">
        <v>74</v>
      </c>
      <c r="T16" s="34">
        <v>4</v>
      </c>
      <c r="U16" s="5"/>
      <c r="V16" s="36"/>
      <c r="Y16" s="57">
        <v>10</v>
      </c>
      <c r="Z16" s="57" t="str">
        <f ca="1">IF(OR('Kurikulum 2020'!E16="Belum",'Kurikulum 2020'!E16="Ulang"),MAX(Z$2:Z15)+1,"")</f>
        <v/>
      </c>
      <c r="AA16" s="57" t="str">
        <f ca="1">IF(OR('Kurikulum 2020'!L16="Belum",'Kurikulum 2020'!L16="Ulang"),MAX(AA$2:AA15)+1,"")</f>
        <v/>
      </c>
      <c r="AC16" s="57">
        <f t="shared" ca="1" si="0"/>
        <v>10</v>
      </c>
      <c r="AD16" s="38" t="str">
        <f ca="1">IFERROR(INDEX('Kurikulum 2020'!A:A,MATCH(ROW()-ROW($X$2)-4,Z:Z,0)),"")</f>
        <v>CII-4B3</v>
      </c>
      <c r="AE16" s="38" t="str">
        <f ca="1">IFERROR(INDEX('Kurikulum 2020'!B:B,MATCH(ROW()-ROW($X$2)-4,Z:Z,0)),"")</f>
        <v>Kerja Praktik</v>
      </c>
      <c r="AF16" s="57">
        <f ca="1">IFERROR(INDEX('Kurikulum 2020'!C:C,MATCH(ROW()-ROW($X$2)-4,Z:Z,0)),"")</f>
        <v>3</v>
      </c>
      <c r="AG16" s="57">
        <f ca="1">IFERROR(INDEX('Kurikulum 2020'!F:F,MATCH(ROW()-ROW($X$2)-4,Z:Z,0)),"")</f>
        <v>43</v>
      </c>
      <c r="AI16" s="57" t="str">
        <f t="shared" ca="1" si="11"/>
        <v/>
      </c>
      <c r="AJ16" s="38" t="str">
        <f ca="1">IFERROR(INDEX('Kurikulum 2020'!H:H,MATCH(ROW()-ROW($X$2)-4,AA:AA,0)),"")</f>
        <v/>
      </c>
      <c r="AK16" s="38" t="str">
        <f ca="1">IFERROR(INDEX('Kurikulum 2020'!I:I,MATCH(ROW()-ROW($X$2)-4,AA:AA,0)),"")</f>
        <v/>
      </c>
      <c r="AL16" s="38" t="str">
        <f ca="1">IFERROR(INDEX('Kurikulum 2020'!J:J,MATCH(ROW()-ROW($X$2)-4,AA:AA,0)),"")</f>
        <v/>
      </c>
      <c r="AM16" s="38" t="str">
        <f ca="1">IFERROR(INDEX('Kurikulum 2020'!M:M,MATCH(ROW()-ROW($X$2)-4,AA:AA,0)),"")</f>
        <v/>
      </c>
    </row>
    <row r="17" spans="1:39">
      <c r="A17" s="45" t="str">
        <f t="shared" ca="1" si="1"/>
        <v>CII-4C3</v>
      </c>
      <c r="B17" s="46" t="str">
        <f t="shared" ca="1" si="2"/>
        <v>Tata Tulis Ilmiah</v>
      </c>
      <c r="C17" s="87">
        <f t="shared" ca="1" si="3"/>
        <v>3</v>
      </c>
      <c r="D17" s="69">
        <f t="shared" ca="1" si="4"/>
        <v>44</v>
      </c>
      <c r="E17" s="47">
        <f t="shared" ca="1" si="5"/>
        <v>40</v>
      </c>
      <c r="F17" s="36"/>
      <c r="G17" s="45" t="str">
        <f t="shared" ca="1" si="6"/>
        <v/>
      </c>
      <c r="H17" s="46" t="str">
        <f t="shared" ca="1" si="7"/>
        <v/>
      </c>
      <c r="I17" s="87" t="str">
        <f t="shared" ca="1" si="8"/>
        <v/>
      </c>
      <c r="J17" s="69" t="str">
        <f t="shared" ca="1" si="9"/>
        <v/>
      </c>
      <c r="K17" s="47" t="str">
        <f t="shared" ca="1" si="10"/>
        <v/>
      </c>
      <c r="L17" s="36"/>
      <c r="M17" s="158"/>
      <c r="N17" s="159"/>
      <c r="O17" s="159"/>
      <c r="P17" s="160"/>
      <c r="Q17" s="36"/>
      <c r="R17" s="13" t="s">
        <v>168</v>
      </c>
      <c r="S17" s="14" t="s">
        <v>167</v>
      </c>
      <c r="T17" s="34">
        <v>3</v>
      </c>
      <c r="U17" s="5"/>
      <c r="V17" s="36"/>
      <c r="Y17" s="57">
        <v>11</v>
      </c>
      <c r="Z17" s="57" t="str">
        <f ca="1">IF(OR('Kurikulum 2020'!E17="Belum",'Kurikulum 2020'!E17="Ulang"),MAX(Z$2:Z16)+1,"")</f>
        <v/>
      </c>
      <c r="AA17" s="57" t="str">
        <f ca="1">IF(OR('Kurikulum 2020'!L17="Belum",'Kurikulum 2020'!L17="Ulang"),MAX(AA$2:AA16)+1,"")</f>
        <v/>
      </c>
      <c r="AC17" s="57">
        <f t="shared" ca="1" si="0"/>
        <v>11</v>
      </c>
      <c r="AD17" s="38" t="str">
        <f ca="1">IFERROR(INDEX('Kurikulum 2020'!A:A,MATCH(ROW()-ROW($X$2)-4,Z:Z,0)),"")</f>
        <v>CII-4C3</v>
      </c>
      <c r="AE17" s="38" t="str">
        <f ca="1">IFERROR(INDEX('Kurikulum 2020'!B:B,MATCH(ROW()-ROW($X$2)-4,Z:Z,0)),"")</f>
        <v>Tata Tulis Ilmiah</v>
      </c>
      <c r="AF17" s="57">
        <f ca="1">IFERROR(INDEX('Kurikulum 2020'!C:C,MATCH(ROW()-ROW($X$2)-4,Z:Z,0)),"")</f>
        <v>3</v>
      </c>
      <c r="AG17" s="57">
        <f ca="1">IFERROR(INDEX('Kurikulum 2020'!F:F,MATCH(ROW()-ROW($X$2)-4,Z:Z,0)),"")</f>
        <v>44</v>
      </c>
      <c r="AI17" s="57" t="str">
        <f t="shared" ca="1" si="11"/>
        <v/>
      </c>
      <c r="AJ17" s="38" t="str">
        <f ca="1">IFERROR(INDEX('Kurikulum 2020'!H:H,MATCH(ROW()-ROW($X$2)-4,AA:AA,0)),"")</f>
        <v/>
      </c>
      <c r="AK17" s="38" t="str">
        <f ca="1">IFERROR(INDEX('Kurikulum 2020'!I:I,MATCH(ROW()-ROW($X$2)-4,AA:AA,0)),"")</f>
        <v/>
      </c>
      <c r="AL17" s="38" t="str">
        <f ca="1">IFERROR(INDEX('Kurikulum 2020'!J:J,MATCH(ROW()-ROW($X$2)-4,AA:AA,0)),"")</f>
        <v/>
      </c>
      <c r="AM17" s="38" t="str">
        <f ca="1">IFERROR(INDEX('Kurikulum 2020'!M:M,MATCH(ROW()-ROW($X$2)-4,AA:AA,0)),"")</f>
        <v/>
      </c>
    </row>
    <row r="18" spans="1:39">
      <c r="A18" s="45" t="str">
        <f t="shared" ca="1" si="1"/>
        <v>CII-4D3</v>
      </c>
      <c r="B18" s="46" t="str">
        <f t="shared" ca="1" si="2"/>
        <v>Bahasa Inggris untuk Karier</v>
      </c>
      <c r="C18" s="87">
        <f t="shared" ca="1" si="3"/>
        <v>3</v>
      </c>
      <c r="D18" s="69">
        <f t="shared" ca="1" si="4"/>
        <v>45</v>
      </c>
      <c r="E18" s="47">
        <f t="shared" ca="1" si="5"/>
        <v>41</v>
      </c>
      <c r="F18" s="36"/>
      <c r="G18" s="45" t="str">
        <f t="shared" ca="1" si="6"/>
        <v/>
      </c>
      <c r="H18" s="46" t="str">
        <f t="shared" ca="1" si="7"/>
        <v/>
      </c>
      <c r="I18" s="87" t="str">
        <f t="shared" ca="1" si="8"/>
        <v/>
      </c>
      <c r="J18" s="69" t="str">
        <f t="shared" ca="1" si="9"/>
        <v/>
      </c>
      <c r="K18" s="47" t="str">
        <f t="shared" ca="1" si="10"/>
        <v/>
      </c>
      <c r="L18" s="36"/>
      <c r="M18" s="158"/>
      <c r="N18" s="159"/>
      <c r="O18" s="159"/>
      <c r="P18" s="160"/>
      <c r="Q18" s="36"/>
      <c r="R18" s="13" t="s">
        <v>169</v>
      </c>
      <c r="S18" s="14" t="s">
        <v>347</v>
      </c>
      <c r="T18" s="34">
        <v>1</v>
      </c>
      <c r="U18" s="5"/>
      <c r="V18" s="36"/>
      <c r="Y18" s="57">
        <v>12</v>
      </c>
      <c r="Z18" s="57" t="str">
        <f ca="1">IF(OR('Kurikulum 2020'!E18="Belum",'Kurikulum 2020'!E18="Ulang"),MAX(Z$2:Z17)+1,"")</f>
        <v/>
      </c>
      <c r="AA18" s="57" t="str">
        <f ca="1">IF(OR('Kurikulum 2020'!L18="Belum",'Kurikulum 2020'!L18="Ulang"),MAX(AA$2:AA17)+1,"")</f>
        <v/>
      </c>
      <c r="AC18" s="57">
        <f t="shared" ca="1" si="0"/>
        <v>12</v>
      </c>
      <c r="AD18" s="38" t="str">
        <f ca="1">IFERROR(INDEX('Kurikulum 2020'!A:A,MATCH(ROW()-ROW($X$2)-4,Z:Z,0)),"")</f>
        <v>CII-4D3</v>
      </c>
      <c r="AE18" s="38" t="str">
        <f ca="1">IFERROR(INDEX('Kurikulum 2020'!B:B,MATCH(ROW()-ROW($X$2)-4,Z:Z,0)),"")</f>
        <v>Bahasa Inggris untuk Karier</v>
      </c>
      <c r="AF18" s="57">
        <f ca="1">IFERROR(INDEX('Kurikulum 2020'!C:C,MATCH(ROW()-ROW($X$2)-4,Z:Z,0)),"")</f>
        <v>3</v>
      </c>
      <c r="AG18" s="57">
        <f ca="1">IFERROR(INDEX('Kurikulum 2020'!F:F,MATCH(ROW()-ROW($X$2)-4,Z:Z,0)),"")</f>
        <v>45</v>
      </c>
      <c r="AI18" s="57" t="str">
        <f t="shared" ca="1" si="11"/>
        <v/>
      </c>
      <c r="AJ18" s="38" t="str">
        <f ca="1">IFERROR(INDEX('Kurikulum 2020'!H:H,MATCH(ROW()-ROW($X$2)-4,AA:AA,0)),"")</f>
        <v/>
      </c>
      <c r="AK18" s="38" t="str">
        <f ca="1">IFERROR(INDEX('Kurikulum 2020'!I:I,MATCH(ROW()-ROW($X$2)-4,AA:AA,0)),"")</f>
        <v/>
      </c>
      <c r="AL18" s="38" t="str">
        <f ca="1">IFERROR(INDEX('Kurikulum 2020'!J:J,MATCH(ROW()-ROW($X$2)-4,AA:AA,0)),"")</f>
        <v/>
      </c>
      <c r="AM18" s="38" t="str">
        <f ca="1">IFERROR(INDEX('Kurikulum 2020'!M:M,MATCH(ROW()-ROW($X$2)-4,AA:AA,0)),"")</f>
        <v/>
      </c>
    </row>
    <row r="19" spans="1:39">
      <c r="A19" s="45" t="str">
        <f t="shared" ca="1" si="1"/>
        <v>CII-4[1]3</v>
      </c>
      <c r="B19" s="46" t="str">
        <f t="shared" ca="1" si="2"/>
        <v>Mk Pilihan Peminatan 2</v>
      </c>
      <c r="C19" s="87">
        <f t="shared" ca="1" si="3"/>
        <v>3</v>
      </c>
      <c r="D19" s="69">
        <f t="shared" ca="1" si="4"/>
        <v>46</v>
      </c>
      <c r="E19" s="47">
        <f t="shared" ca="1" si="5"/>
        <v>42</v>
      </c>
      <c r="F19" s="36"/>
      <c r="G19" s="45" t="str">
        <f t="shared" ca="1" si="6"/>
        <v/>
      </c>
      <c r="H19" s="46" t="str">
        <f t="shared" ca="1" si="7"/>
        <v/>
      </c>
      <c r="I19" s="87" t="str">
        <f t="shared" ca="1" si="8"/>
        <v/>
      </c>
      <c r="J19" s="69" t="str">
        <f t="shared" ca="1" si="9"/>
        <v/>
      </c>
      <c r="K19" s="47" t="str">
        <f t="shared" ca="1" si="10"/>
        <v/>
      </c>
      <c r="L19" s="36"/>
      <c r="M19" s="158"/>
      <c r="N19" s="159"/>
      <c r="O19" s="159"/>
      <c r="P19" s="160"/>
      <c r="Q19" s="36"/>
      <c r="R19" s="13" t="s">
        <v>171</v>
      </c>
      <c r="S19" s="14" t="s">
        <v>170</v>
      </c>
      <c r="T19" s="34">
        <v>3</v>
      </c>
      <c r="U19" s="5"/>
      <c r="V19" s="36"/>
      <c r="Y19" s="57">
        <v>13</v>
      </c>
      <c r="Z19" s="57" t="str">
        <f ca="1">IF(OR('Kurikulum 2020'!E19="Belum",'Kurikulum 2020'!E19="Ulang"),MAX(Z$2:Z18)+1,"")</f>
        <v/>
      </c>
      <c r="AA19" s="57" t="str">
        <f ca="1">IF(OR('Kurikulum 2020'!L19="Belum",'Kurikulum 2020'!L19="Ulang"),MAX(AA$2:AA18)+1,"")</f>
        <v/>
      </c>
      <c r="AC19" s="57">
        <f t="shared" ca="1" si="0"/>
        <v>13</v>
      </c>
      <c r="AD19" s="38" t="str">
        <f ca="1">IFERROR(INDEX('Kurikulum 2020'!A:A,MATCH(ROW()-ROW($X$2)-4,Z:Z,0)),"")</f>
        <v>CII-4[1]3</v>
      </c>
      <c r="AE19" s="38" t="str">
        <f ca="1">IFERROR(INDEX('Kurikulum 2020'!B:B,MATCH(ROW()-ROW($X$2)-4,Z:Z,0)),"")</f>
        <v>Mk Pilihan Peminatan 2</v>
      </c>
      <c r="AF19" s="57">
        <f ca="1">IFERROR(INDEX('Kurikulum 2020'!C:C,MATCH(ROW()-ROW($X$2)-4,Z:Z,0)),"")</f>
        <v>3</v>
      </c>
      <c r="AG19" s="57">
        <f ca="1">IFERROR(INDEX('Kurikulum 2020'!F:F,MATCH(ROW()-ROW($X$2)-4,Z:Z,0)),"")</f>
        <v>46</v>
      </c>
      <c r="AI19" s="57" t="str">
        <f t="shared" ca="1" si="11"/>
        <v/>
      </c>
      <c r="AJ19" s="38" t="str">
        <f ca="1">IFERROR(INDEX('Kurikulum 2020'!H:H,MATCH(ROW()-ROW($X$2)-4,AA:AA,0)),"")</f>
        <v/>
      </c>
      <c r="AK19" s="38" t="str">
        <f ca="1">IFERROR(INDEX('Kurikulum 2020'!I:I,MATCH(ROW()-ROW($X$2)-4,AA:AA,0)),"")</f>
        <v/>
      </c>
      <c r="AL19" s="38" t="str">
        <f ca="1">IFERROR(INDEX('Kurikulum 2020'!J:J,MATCH(ROW()-ROW($X$2)-4,AA:AA,0)),"")</f>
        <v/>
      </c>
      <c r="AM19" s="38" t="str">
        <f ca="1">IFERROR(INDEX('Kurikulum 2020'!M:M,MATCH(ROW()-ROW($X$2)-4,AA:AA,0)),"")</f>
        <v/>
      </c>
    </row>
    <row r="20" spans="1:39">
      <c r="A20" s="45" t="str">
        <f t="shared" ca="1" si="1"/>
        <v>CII-4[2]3</v>
      </c>
      <c r="B20" s="46" t="str">
        <f t="shared" ca="1" si="2"/>
        <v>MK Pilihan 1</v>
      </c>
      <c r="C20" s="87">
        <f t="shared" ca="1" si="3"/>
        <v>3</v>
      </c>
      <c r="D20" s="69">
        <f t="shared" ca="1" si="4"/>
        <v>47</v>
      </c>
      <c r="E20" s="47">
        <f t="shared" ca="1" si="5"/>
        <v>43</v>
      </c>
      <c r="F20" s="36"/>
      <c r="G20" s="45" t="str">
        <f t="shared" ca="1" si="6"/>
        <v/>
      </c>
      <c r="H20" s="46" t="str">
        <f t="shared" ca="1" si="7"/>
        <v/>
      </c>
      <c r="I20" s="87" t="str">
        <f t="shared" ca="1" si="8"/>
        <v/>
      </c>
      <c r="J20" s="69" t="str">
        <f t="shared" ca="1" si="9"/>
        <v/>
      </c>
      <c r="K20" s="47" t="str">
        <f t="shared" ca="1" si="10"/>
        <v/>
      </c>
      <c r="L20" s="36"/>
      <c r="M20" s="161"/>
      <c r="N20" s="162"/>
      <c r="O20" s="162"/>
      <c r="P20" s="163"/>
      <c r="Q20" s="36"/>
      <c r="R20" s="13" t="s">
        <v>179</v>
      </c>
      <c r="S20" s="14" t="s">
        <v>178</v>
      </c>
      <c r="T20" s="34">
        <v>2</v>
      </c>
      <c r="U20" s="5"/>
      <c r="V20" s="36"/>
      <c r="Y20" s="57">
        <v>14</v>
      </c>
      <c r="Z20" s="57" t="str">
        <f ca="1">IF(OR('Kurikulum 2020'!E20="Belum",'Kurikulum 2020'!E20="Ulang"),MAX(Z$2:Z19)+1,"")</f>
        <v/>
      </c>
      <c r="AA20" s="57" t="str">
        <f ca="1">IF(OR('Kurikulum 2020'!L20="Belum",'Kurikulum 2020'!L20="Ulang"),MAX(AA$2:AA19)+1,"")</f>
        <v/>
      </c>
      <c r="AC20" s="57">
        <f t="shared" ca="1" si="0"/>
        <v>14</v>
      </c>
      <c r="AD20" s="38" t="str">
        <f ca="1">IFERROR(INDEX('Kurikulum 2020'!A:A,MATCH(ROW()-ROW($X$2)-4,Z:Z,0)),"")</f>
        <v>CII-4[2]3</v>
      </c>
      <c r="AE20" s="38" t="str">
        <f ca="1">IFERROR(INDEX('Kurikulum 2020'!B:B,MATCH(ROW()-ROW($X$2)-4,Z:Z,0)),"")</f>
        <v>MK Pilihan 1</v>
      </c>
      <c r="AF20" s="57">
        <f ca="1">IFERROR(INDEX('Kurikulum 2020'!C:C,MATCH(ROW()-ROW($X$2)-4,Z:Z,0)),"")</f>
        <v>3</v>
      </c>
      <c r="AG20" s="57">
        <f ca="1">IFERROR(INDEX('Kurikulum 2020'!F:F,MATCH(ROW()-ROW($X$2)-4,Z:Z,0)),"")</f>
        <v>47</v>
      </c>
      <c r="AI20" s="57" t="str">
        <f t="shared" ca="1" si="11"/>
        <v/>
      </c>
      <c r="AJ20" s="38" t="str">
        <f ca="1">IFERROR(INDEX('Kurikulum 2020'!H:H,MATCH(ROW()-ROW($X$2)-4,AA:AA,0)),"")</f>
        <v/>
      </c>
      <c r="AK20" s="38" t="str">
        <f ca="1">IFERROR(INDEX('Kurikulum 2020'!I:I,MATCH(ROW()-ROW($X$2)-4,AA:AA,0)),"")</f>
        <v/>
      </c>
      <c r="AL20" s="38" t="str">
        <f ca="1">IFERROR(INDEX('Kurikulum 2020'!J:J,MATCH(ROW()-ROW($X$2)-4,AA:AA,0)),"")</f>
        <v/>
      </c>
      <c r="AM20" s="38" t="str">
        <f ca="1">IFERROR(INDEX('Kurikulum 2020'!M:M,MATCH(ROW()-ROW($X$2)-4,AA:AA,0)),"")</f>
        <v/>
      </c>
    </row>
    <row r="21" spans="1:39" ht="14.95" customHeight="1">
      <c r="A21" s="45" t="str">
        <f t="shared" ca="1" si="1"/>
        <v/>
      </c>
      <c r="B21" s="46" t="str">
        <f t="shared" ca="1" si="2"/>
        <v/>
      </c>
      <c r="C21" s="87" t="str">
        <f t="shared" ca="1" si="3"/>
        <v/>
      </c>
      <c r="D21" s="69" t="str">
        <f t="shared" ca="1" si="4"/>
        <v/>
      </c>
      <c r="E21" s="47" t="str">
        <f t="shared" ca="1" si="5"/>
        <v/>
      </c>
      <c r="F21" s="36"/>
      <c r="G21" s="45" t="str">
        <f t="shared" ca="1" si="6"/>
        <v/>
      </c>
      <c r="H21" s="46" t="str">
        <f t="shared" ca="1" si="7"/>
        <v/>
      </c>
      <c r="I21" s="87" t="str">
        <f t="shared" ca="1" si="8"/>
        <v/>
      </c>
      <c r="J21" s="69" t="str">
        <f t="shared" ca="1" si="9"/>
        <v/>
      </c>
      <c r="K21" s="47" t="str">
        <f t="shared" ca="1" si="10"/>
        <v/>
      </c>
      <c r="L21" s="36"/>
      <c r="M21" s="133" t="s">
        <v>319</v>
      </c>
      <c r="N21" s="133"/>
      <c r="O21" s="133"/>
      <c r="P21" s="133"/>
      <c r="Q21" s="36"/>
      <c r="R21" s="13" t="s">
        <v>185</v>
      </c>
      <c r="S21" s="14" t="s">
        <v>184</v>
      </c>
      <c r="T21" s="34">
        <v>3</v>
      </c>
      <c r="U21" s="5"/>
      <c r="V21" s="36"/>
      <c r="Y21" s="57">
        <v>15</v>
      </c>
      <c r="Z21" s="57" t="str">
        <f ca="1">IF(OR('Kurikulum 2020'!E21="Belum",'Kurikulum 2020'!E21="Ulang"),MAX(Z$2:Z20)+1,"")</f>
        <v/>
      </c>
      <c r="AA21" s="57" t="str">
        <f ca="1">IF(OR('Kurikulum 2020'!L21="Belum",'Kurikulum 2020'!L21="Ulang"),MAX(AA$2:AA20)+1,"")</f>
        <v/>
      </c>
      <c r="AC21" s="57" t="str">
        <f t="shared" ca="1" si="0"/>
        <v/>
      </c>
      <c r="AD21" s="38" t="str">
        <f ca="1">IFERROR(INDEX('Kurikulum 2020'!A:A,MATCH(ROW()-ROW($X$2)-4,Z:Z,0)),"")</f>
        <v/>
      </c>
      <c r="AE21" s="38" t="str">
        <f ca="1">IFERROR(INDEX('Kurikulum 2020'!B:B,MATCH(ROW()-ROW($X$2)-4,Z:Z,0)),"")</f>
        <v/>
      </c>
      <c r="AF21" s="57" t="str">
        <f ca="1">IFERROR(INDEX('Kurikulum 2020'!C:C,MATCH(ROW()-ROW($X$2)-4,Z:Z,0)),"")</f>
        <v/>
      </c>
      <c r="AG21" s="57" t="str">
        <f ca="1">IFERROR(INDEX('Kurikulum 2020'!F:F,MATCH(ROW()-ROW($X$2)-4,Z:Z,0)),"")</f>
        <v/>
      </c>
      <c r="AI21" s="57" t="str">
        <f t="shared" ca="1" si="11"/>
        <v/>
      </c>
      <c r="AJ21" s="38" t="str">
        <f ca="1">IFERROR(INDEX('Kurikulum 2020'!H:H,MATCH(ROW()-ROW($X$2)-4,AA:AA,0)),"")</f>
        <v/>
      </c>
      <c r="AK21" s="38" t="str">
        <f ca="1">IFERROR(INDEX('Kurikulum 2020'!I:I,MATCH(ROW()-ROW($X$2)-4,AA:AA,0)),"")</f>
        <v/>
      </c>
      <c r="AL21" s="38" t="str">
        <f ca="1">IFERROR(INDEX('Kurikulum 2020'!J:J,MATCH(ROW()-ROW($X$2)-4,AA:AA,0)),"")</f>
        <v/>
      </c>
      <c r="AM21" s="38" t="str">
        <f ca="1">IFERROR(INDEX('Kurikulum 2020'!M:M,MATCH(ROW()-ROW($X$2)-4,AA:AA,0)),"")</f>
        <v/>
      </c>
    </row>
    <row r="22" spans="1:39" ht="14.95" customHeight="1">
      <c r="A22" s="45" t="str">
        <f t="shared" ca="1" si="1"/>
        <v/>
      </c>
      <c r="B22" s="46" t="str">
        <f t="shared" ca="1" si="2"/>
        <v/>
      </c>
      <c r="C22" s="87" t="str">
        <f t="shared" ca="1" si="3"/>
        <v/>
      </c>
      <c r="D22" s="69" t="str">
        <f t="shared" ca="1" si="4"/>
        <v/>
      </c>
      <c r="E22" s="47" t="str">
        <f t="shared" ca="1" si="5"/>
        <v/>
      </c>
      <c r="F22" s="36"/>
      <c r="G22" s="45" t="str">
        <f t="shared" ca="1" si="6"/>
        <v/>
      </c>
      <c r="H22" s="46" t="str">
        <f t="shared" ca="1" si="7"/>
        <v/>
      </c>
      <c r="I22" s="87" t="str">
        <f t="shared" ca="1" si="8"/>
        <v/>
      </c>
      <c r="J22" s="69" t="str">
        <f t="shared" ca="1" si="9"/>
        <v/>
      </c>
      <c r="K22" s="47" t="str">
        <f t="shared" ca="1" si="10"/>
        <v/>
      </c>
      <c r="L22" s="36"/>
      <c r="M22" s="133"/>
      <c r="N22" s="133"/>
      <c r="O22" s="133"/>
      <c r="P22" s="133"/>
      <c r="Q22" s="36"/>
      <c r="R22" s="5"/>
      <c r="S22" s="5"/>
      <c r="T22" s="5"/>
      <c r="U22" s="5"/>
      <c r="V22" s="36"/>
      <c r="Y22" s="57">
        <v>16</v>
      </c>
      <c r="Z22" s="57" t="str">
        <f ca="1">IF(OR('Kurikulum 2020'!E22="Belum",'Kurikulum 2020'!E22="Ulang"),MAX(Z$2:Z21)+1,"")</f>
        <v/>
      </c>
      <c r="AA22" s="57" t="str">
        <f ca="1">IF(OR('Kurikulum 2020'!L22="Belum",'Kurikulum 2020'!L22="Ulang"),MAX(AA$2:AA21)+1,"")</f>
        <v/>
      </c>
      <c r="AC22" s="57" t="str">
        <f t="shared" ca="1" si="0"/>
        <v/>
      </c>
      <c r="AD22" s="38" t="str">
        <f ca="1">IFERROR(INDEX('Kurikulum 2020'!A:A,MATCH(ROW()-ROW($X$2)-4,Z:Z,0)),"")</f>
        <v/>
      </c>
      <c r="AE22" s="38" t="str">
        <f ca="1">IFERROR(INDEX('Kurikulum 2020'!B:B,MATCH(ROW()-ROW($X$2)-4,Z:Z,0)),"")</f>
        <v/>
      </c>
      <c r="AF22" s="57" t="str">
        <f ca="1">IFERROR(INDEX('Kurikulum 2020'!C:C,MATCH(ROW()-ROW($X$2)-4,Z:Z,0)),"")</f>
        <v/>
      </c>
      <c r="AG22" s="57" t="str">
        <f ca="1">IFERROR(INDEX('Kurikulum 2020'!F:F,MATCH(ROW()-ROW($X$2)-4,Z:Z,0)),"")</f>
        <v/>
      </c>
      <c r="AI22" s="57" t="str">
        <f t="shared" ca="1" si="11"/>
        <v/>
      </c>
      <c r="AJ22" s="38" t="str">
        <f ca="1">IFERROR(INDEX('Kurikulum 2020'!H:H,MATCH(ROW()-ROW($X$2)-4,AA:AA,0)),"")</f>
        <v/>
      </c>
      <c r="AK22" s="38" t="str">
        <f ca="1">IFERROR(INDEX('Kurikulum 2020'!I:I,MATCH(ROW()-ROW($X$2)-4,AA:AA,0)),"")</f>
        <v/>
      </c>
      <c r="AL22" s="38" t="str">
        <f ca="1">IFERROR(INDEX('Kurikulum 2020'!J:J,MATCH(ROW()-ROW($X$2)-4,AA:AA,0)),"")</f>
        <v/>
      </c>
      <c r="AM22" s="38" t="str">
        <f ca="1">IFERROR(INDEX('Kurikulum 2020'!M:M,MATCH(ROW()-ROW($X$2)-4,AA:AA,0)),"")</f>
        <v/>
      </c>
    </row>
    <row r="23" spans="1:39">
      <c r="A23" s="45" t="str">
        <f t="shared" ca="1" si="1"/>
        <v/>
      </c>
      <c r="B23" s="46" t="str">
        <f t="shared" ca="1" si="2"/>
        <v/>
      </c>
      <c r="C23" s="87" t="str">
        <f t="shared" ca="1" si="3"/>
        <v/>
      </c>
      <c r="D23" s="69" t="str">
        <f t="shared" ca="1" si="4"/>
        <v/>
      </c>
      <c r="E23" s="47" t="str">
        <f t="shared" ca="1" si="5"/>
        <v/>
      </c>
      <c r="F23" s="36"/>
      <c r="G23" s="45" t="str">
        <f t="shared" ca="1" si="6"/>
        <v/>
      </c>
      <c r="H23" s="46" t="str">
        <f t="shared" ca="1" si="7"/>
        <v/>
      </c>
      <c r="I23" s="87" t="str">
        <f t="shared" ca="1" si="8"/>
        <v/>
      </c>
      <c r="J23" s="69" t="str">
        <f t="shared" ca="1" si="9"/>
        <v/>
      </c>
      <c r="K23" s="47" t="str">
        <f t="shared" ca="1" si="10"/>
        <v/>
      </c>
      <c r="L23" s="36"/>
      <c r="M23" s="133"/>
      <c r="N23" s="133"/>
      <c r="O23" s="133"/>
      <c r="P23" s="133"/>
      <c r="Q23" s="36"/>
      <c r="R23" s="5"/>
      <c r="S23" s="5"/>
      <c r="T23" s="5"/>
      <c r="U23" s="5"/>
      <c r="V23" s="36"/>
      <c r="Y23" s="57">
        <v>17</v>
      </c>
      <c r="Z23" s="57" t="str">
        <f>IF(OR('Kurikulum 2020'!E23="Belum",'Kurikulum 2020'!E23="Ulang"),MAX(Z$2:Z22)+1,"")</f>
        <v/>
      </c>
      <c r="AA23" s="57" t="str">
        <f>IF(OR('Kurikulum 2020'!L23="Belum",'Kurikulum 2020'!L23="Ulang"),MAX(AA$2:AA22)+1,"")</f>
        <v/>
      </c>
      <c r="AC23" s="57" t="str">
        <f t="shared" ca="1" si="0"/>
        <v/>
      </c>
      <c r="AD23" s="38" t="str">
        <f ca="1">IFERROR(INDEX('Kurikulum 2020'!A:A,MATCH(ROW()-ROW($X$2)-4,Z:Z,0)),"")</f>
        <v/>
      </c>
      <c r="AE23" s="38" t="str">
        <f ca="1">IFERROR(INDEX('Kurikulum 2020'!B:B,MATCH(ROW()-ROW($X$2)-4,Z:Z,0)),"")</f>
        <v/>
      </c>
      <c r="AF23" s="57" t="str">
        <f ca="1">IFERROR(INDEX('Kurikulum 2020'!C:C,MATCH(ROW()-ROW($X$2)-4,Z:Z,0)),"")</f>
        <v/>
      </c>
      <c r="AG23" s="57" t="str">
        <f ca="1">IFERROR(INDEX('Kurikulum 2020'!F:F,MATCH(ROW()-ROW($X$2)-4,Z:Z,0)),"")</f>
        <v/>
      </c>
      <c r="AI23" s="57" t="str">
        <f t="shared" ca="1" si="11"/>
        <v/>
      </c>
      <c r="AJ23" s="38" t="str">
        <f ca="1">IFERROR(INDEX('Kurikulum 2020'!H:H,MATCH(ROW()-ROW($X$2)-4,AA:AA,0)),"")</f>
        <v/>
      </c>
      <c r="AK23" s="38" t="str">
        <f ca="1">IFERROR(INDEX('Kurikulum 2020'!I:I,MATCH(ROW()-ROW($X$2)-4,AA:AA,0)),"")</f>
        <v/>
      </c>
      <c r="AL23" s="38" t="str">
        <f ca="1">IFERROR(INDEX('Kurikulum 2020'!J:J,MATCH(ROW()-ROW($X$2)-4,AA:AA,0)),"")</f>
        <v/>
      </c>
      <c r="AM23" s="38" t="str">
        <f ca="1">IFERROR(INDEX('Kurikulum 2020'!M:M,MATCH(ROW()-ROW($X$2)-4,AA:AA,0)),"")</f>
        <v/>
      </c>
    </row>
    <row r="24" spans="1:39">
      <c r="A24" s="45" t="str">
        <f t="shared" ca="1" si="1"/>
        <v/>
      </c>
      <c r="B24" s="46" t="str">
        <f t="shared" ca="1" si="2"/>
        <v/>
      </c>
      <c r="C24" s="87" t="str">
        <f t="shared" ca="1" si="3"/>
        <v/>
      </c>
      <c r="D24" s="69" t="str">
        <f t="shared" ca="1" si="4"/>
        <v/>
      </c>
      <c r="E24" s="47" t="str">
        <f t="shared" ca="1" si="5"/>
        <v/>
      </c>
      <c r="F24" s="36"/>
      <c r="G24" s="45" t="str">
        <f t="shared" ca="1" si="6"/>
        <v/>
      </c>
      <c r="H24" s="46" t="str">
        <f t="shared" ca="1" si="7"/>
        <v/>
      </c>
      <c r="I24" s="87" t="str">
        <f t="shared" ca="1" si="8"/>
        <v/>
      </c>
      <c r="J24" s="69" t="str">
        <f t="shared" ca="1" si="9"/>
        <v/>
      </c>
      <c r="K24" s="47" t="str">
        <f t="shared" ca="1" si="10"/>
        <v/>
      </c>
      <c r="L24" s="36"/>
      <c r="M24" s="133"/>
      <c r="N24" s="133"/>
      <c r="O24" s="133"/>
      <c r="P24" s="133"/>
      <c r="Q24" s="36"/>
      <c r="R24" s="5"/>
      <c r="S24" s="5"/>
      <c r="T24" s="5"/>
      <c r="U24" s="5"/>
      <c r="V24" s="36"/>
      <c r="Y24" s="57">
        <v>18</v>
      </c>
      <c r="Z24" s="57" t="str">
        <f>IF(OR('Kurikulum 2020'!E24="Belum",'Kurikulum 2020'!E24="Ulang"),MAX(Z$2:Z23)+1,"")</f>
        <v/>
      </c>
      <c r="AA24" s="57" t="str">
        <f>IF(OR('Kurikulum 2020'!L24="Belum",'Kurikulum 2020'!L24="Ulang"),MAX(AA$2:AA23)+1,"")</f>
        <v/>
      </c>
      <c r="AC24" s="57" t="str">
        <f t="shared" ca="1" si="0"/>
        <v/>
      </c>
      <c r="AD24" s="38" t="str">
        <f ca="1">IFERROR(INDEX('Kurikulum 2020'!A:A,MATCH(ROW()-ROW($X$2)-4,Z:Z,0)),"")</f>
        <v/>
      </c>
      <c r="AE24" s="38" t="str">
        <f ca="1">IFERROR(INDEX('Kurikulum 2020'!B:B,MATCH(ROW()-ROW($X$2)-4,Z:Z,0)),"")</f>
        <v/>
      </c>
      <c r="AF24" s="57" t="str">
        <f ca="1">IFERROR(INDEX('Kurikulum 2020'!C:C,MATCH(ROW()-ROW($X$2)-4,Z:Z,0)),"")</f>
        <v/>
      </c>
      <c r="AG24" s="57" t="str">
        <f ca="1">IFERROR(INDEX('Kurikulum 2020'!F:F,MATCH(ROW()-ROW($X$2)-4,Z:Z,0)),"")</f>
        <v/>
      </c>
      <c r="AI24" s="57" t="str">
        <f t="shared" ca="1" si="11"/>
        <v/>
      </c>
      <c r="AJ24" s="38" t="str">
        <f ca="1">IFERROR(INDEX('Kurikulum 2020'!H:H,MATCH(ROW()-ROW($X$2)-4,AA:AA,0)),"")</f>
        <v/>
      </c>
      <c r="AK24" s="38" t="str">
        <f ca="1">IFERROR(INDEX('Kurikulum 2020'!I:I,MATCH(ROW()-ROW($X$2)-4,AA:AA,0)),"")</f>
        <v/>
      </c>
      <c r="AL24" s="38" t="str">
        <f ca="1">IFERROR(INDEX('Kurikulum 2020'!J:J,MATCH(ROW()-ROW($X$2)-4,AA:AA,0)),"")</f>
        <v/>
      </c>
      <c r="AM24" s="38" t="str">
        <f ca="1">IFERROR(INDEX('Kurikulum 2020'!M:M,MATCH(ROW()-ROW($X$2)-4,AA:AA,0)),"")</f>
        <v/>
      </c>
    </row>
    <row r="25" spans="1:39">
      <c r="A25" s="45" t="str">
        <f t="shared" ca="1" si="1"/>
        <v/>
      </c>
      <c r="B25" s="46" t="str">
        <f t="shared" ca="1" si="2"/>
        <v/>
      </c>
      <c r="C25" s="87" t="str">
        <f t="shared" ca="1" si="3"/>
        <v/>
      </c>
      <c r="D25" s="69" t="str">
        <f t="shared" ca="1" si="4"/>
        <v/>
      </c>
      <c r="E25" s="47" t="str">
        <f t="shared" ca="1" si="5"/>
        <v/>
      </c>
      <c r="F25" s="36"/>
      <c r="G25" s="45" t="str">
        <f t="shared" ca="1" si="6"/>
        <v/>
      </c>
      <c r="H25" s="46" t="str">
        <f t="shared" ca="1" si="7"/>
        <v/>
      </c>
      <c r="I25" s="87" t="str">
        <f t="shared" ca="1" si="8"/>
        <v/>
      </c>
      <c r="J25" s="69" t="str">
        <f t="shared" ca="1" si="9"/>
        <v/>
      </c>
      <c r="K25" s="47" t="str">
        <f t="shared" ca="1" si="10"/>
        <v/>
      </c>
      <c r="L25" s="36"/>
      <c r="M25" s="133" t="s">
        <v>305</v>
      </c>
      <c r="N25" s="133"/>
      <c r="O25" s="133"/>
      <c r="P25" s="133"/>
      <c r="Q25" s="36"/>
      <c r="R25" s="5"/>
      <c r="S25" s="5"/>
      <c r="T25" s="5"/>
      <c r="U25" s="5"/>
      <c r="V25" s="36"/>
      <c r="Y25" s="57">
        <v>19</v>
      </c>
      <c r="Z25" s="57">
        <f ca="1">IF(OR('Kurikulum 2020'!E25="Belum",'Kurikulum 2020'!E25="Ulang"),MAX(Z$2:Z24)+1,"")</f>
        <v>2</v>
      </c>
      <c r="AA25" s="57">
        <f ca="1">IF(OR('Kurikulum 2020'!L25="Belum",'Kurikulum 2020'!L25="Ulang"),MAX(AA$2:AA24)+1,"")</f>
        <v>1</v>
      </c>
      <c r="AC25" s="57" t="str">
        <f t="shared" ca="1" si="0"/>
        <v/>
      </c>
      <c r="AD25" s="38" t="str">
        <f ca="1">IFERROR(INDEX('Kurikulum 2020'!A:A,MATCH(ROW()-ROW($X$2)-4,Z:Z,0)),"")</f>
        <v/>
      </c>
      <c r="AE25" s="38" t="str">
        <f ca="1">IFERROR(INDEX('Kurikulum 2020'!B:B,MATCH(ROW()-ROW($X$2)-4,Z:Z,0)),"")</f>
        <v/>
      </c>
      <c r="AF25" s="57" t="str">
        <f ca="1">IFERROR(INDEX('Kurikulum 2020'!C:C,MATCH(ROW()-ROW($X$2)-4,Z:Z,0)),"")</f>
        <v/>
      </c>
      <c r="AG25" s="57" t="str">
        <f ca="1">IFERROR(INDEX('Kurikulum 2020'!F:F,MATCH(ROW()-ROW($X$2)-4,Z:Z,0)),"")</f>
        <v/>
      </c>
      <c r="AI25" s="57" t="str">
        <f t="shared" ca="1" si="11"/>
        <v/>
      </c>
      <c r="AJ25" s="38" t="str">
        <f ca="1">IFERROR(INDEX('Kurikulum 2020'!H:H,MATCH(ROW()-ROW($X$2)-4,AA:AA,0)),"")</f>
        <v/>
      </c>
      <c r="AK25" s="38" t="str">
        <f ca="1">IFERROR(INDEX('Kurikulum 2020'!I:I,MATCH(ROW()-ROW($X$2)-4,AA:AA,0)),"")</f>
        <v/>
      </c>
      <c r="AL25" s="38" t="str">
        <f ca="1">IFERROR(INDEX('Kurikulum 2020'!J:J,MATCH(ROW()-ROW($X$2)-4,AA:AA,0)),"")</f>
        <v/>
      </c>
      <c r="AM25" s="38" t="str">
        <f ca="1">IFERROR(INDEX('Kurikulum 2020'!M:M,MATCH(ROW()-ROW($X$2)-4,AA:AA,0)),"")</f>
        <v/>
      </c>
    </row>
    <row r="26" spans="1:39">
      <c r="A26" s="45" t="str">
        <f t="shared" ca="1" si="1"/>
        <v/>
      </c>
      <c r="B26" s="46" t="str">
        <f t="shared" ca="1" si="2"/>
        <v/>
      </c>
      <c r="C26" s="87" t="str">
        <f t="shared" ca="1" si="3"/>
        <v/>
      </c>
      <c r="D26" s="69" t="str">
        <f t="shared" ca="1" si="4"/>
        <v/>
      </c>
      <c r="E26" s="47" t="str">
        <f t="shared" ca="1" si="5"/>
        <v/>
      </c>
      <c r="F26" s="36"/>
      <c r="G26" s="45" t="str">
        <f t="shared" ca="1" si="6"/>
        <v/>
      </c>
      <c r="H26" s="46" t="str">
        <f t="shared" ca="1" si="7"/>
        <v/>
      </c>
      <c r="I26" s="87" t="str">
        <f t="shared" ca="1" si="8"/>
        <v/>
      </c>
      <c r="J26" s="69" t="str">
        <f t="shared" ca="1" si="9"/>
        <v/>
      </c>
      <c r="K26" s="47" t="str">
        <f t="shared" ca="1" si="10"/>
        <v/>
      </c>
      <c r="L26" s="36"/>
      <c r="M26" s="133"/>
      <c r="N26" s="133"/>
      <c r="O26" s="133"/>
      <c r="P26" s="133"/>
      <c r="Q26" s="36"/>
      <c r="R26" s="5"/>
      <c r="S26" s="5"/>
      <c r="T26" s="5"/>
      <c r="U26" s="5"/>
      <c r="V26" s="36"/>
      <c r="Y26" s="57">
        <v>20</v>
      </c>
      <c r="Z26" s="57">
        <f ca="1">IF(OR('Kurikulum 2020'!E26="Belum",'Kurikulum 2020'!E26="Ulang"),MAX(Z$2:Z25)+1,"")</f>
        <v>3</v>
      </c>
      <c r="AA26" s="57">
        <f ca="1">IF(OR('Kurikulum 2020'!L26="Belum",'Kurikulum 2020'!L26="Ulang"),MAX(AA$2:AA25)+1,"")</f>
        <v>2</v>
      </c>
      <c r="AC26" s="57" t="str">
        <f t="shared" ca="1" si="0"/>
        <v/>
      </c>
      <c r="AD26" s="38" t="str">
        <f ca="1">IFERROR(INDEX('Kurikulum 2020'!A:A,MATCH(ROW()-ROW($X$2)-4,Z:Z,0)),"")</f>
        <v/>
      </c>
      <c r="AE26" s="38" t="str">
        <f ca="1">IFERROR(INDEX('Kurikulum 2020'!B:B,MATCH(ROW()-ROW($X$2)-4,Z:Z,0)),"")</f>
        <v/>
      </c>
      <c r="AF26" s="57" t="str">
        <f ca="1">IFERROR(INDEX('Kurikulum 2020'!C:C,MATCH(ROW()-ROW($X$2)-4,Z:Z,0)),"")</f>
        <v/>
      </c>
      <c r="AG26" s="57" t="str">
        <f ca="1">IFERROR(INDEX('Kurikulum 2020'!F:F,MATCH(ROW()-ROW($X$2)-4,Z:Z,0)),"")</f>
        <v/>
      </c>
      <c r="AI26" s="57" t="str">
        <f t="shared" ca="1" si="11"/>
        <v/>
      </c>
      <c r="AJ26" s="38" t="str">
        <f ca="1">IFERROR(INDEX('Kurikulum 2020'!H:H,MATCH(ROW()-ROW($X$2)-4,AA:AA,0)),"")</f>
        <v/>
      </c>
      <c r="AK26" s="38" t="str">
        <f ca="1">IFERROR(INDEX('Kurikulum 2020'!I:I,MATCH(ROW()-ROW($X$2)-4,AA:AA,0)),"")</f>
        <v/>
      </c>
      <c r="AL26" s="38" t="str">
        <f ca="1">IFERROR(INDEX('Kurikulum 2020'!J:J,MATCH(ROW()-ROW($X$2)-4,AA:AA,0)),"")</f>
        <v/>
      </c>
      <c r="AM26" s="38" t="str">
        <f ca="1">IFERROR(INDEX('Kurikulum 2020'!M:M,MATCH(ROW()-ROW($X$2)-4,AA:AA,0)),"")</f>
        <v/>
      </c>
    </row>
    <row r="27" spans="1:39">
      <c r="A27" s="45" t="str">
        <f t="shared" ca="1" si="1"/>
        <v/>
      </c>
      <c r="B27" s="46" t="str">
        <f t="shared" ca="1" si="2"/>
        <v/>
      </c>
      <c r="C27" s="87" t="str">
        <f t="shared" ca="1" si="3"/>
        <v/>
      </c>
      <c r="D27" s="69" t="str">
        <f t="shared" ca="1" si="4"/>
        <v/>
      </c>
      <c r="E27" s="47" t="str">
        <f t="shared" ca="1" si="5"/>
        <v/>
      </c>
      <c r="F27" s="36"/>
      <c r="G27" s="45" t="str">
        <f t="shared" ca="1" si="6"/>
        <v/>
      </c>
      <c r="H27" s="46" t="str">
        <f t="shared" ca="1" si="7"/>
        <v/>
      </c>
      <c r="I27" s="87" t="str">
        <f t="shared" ca="1" si="8"/>
        <v/>
      </c>
      <c r="J27" s="69" t="str">
        <f t="shared" ca="1" si="9"/>
        <v/>
      </c>
      <c r="K27" s="47" t="str">
        <f t="shared" ca="1" si="10"/>
        <v/>
      </c>
      <c r="L27" s="36"/>
      <c r="M27" s="133"/>
      <c r="N27" s="133"/>
      <c r="O27" s="133"/>
      <c r="P27" s="133"/>
      <c r="Q27" s="36"/>
      <c r="R27" s="5"/>
      <c r="S27" s="5"/>
      <c r="T27" s="5"/>
      <c r="U27" s="5"/>
      <c r="V27" s="36"/>
      <c r="Y27" s="57">
        <v>21</v>
      </c>
      <c r="Z27" s="57">
        <f ca="1">IF(OR('Kurikulum 2020'!E27="Belum",'Kurikulum 2020'!E27="Ulang"),MAX(Z$2:Z26)+1,"")</f>
        <v>4</v>
      </c>
      <c r="AA27" s="57" t="str">
        <f ca="1">IF(OR('Kurikulum 2020'!L27="Belum",'Kurikulum 2020'!L27="Ulang"),MAX(AA$2:AA26)+1,"")</f>
        <v/>
      </c>
      <c r="AC27" s="57" t="str">
        <f t="shared" ca="1" si="0"/>
        <v/>
      </c>
      <c r="AD27" s="38" t="str">
        <f ca="1">IFERROR(INDEX('Kurikulum 2020'!A:A,MATCH(ROW()-ROW($X$2)-4,Z:Z,0)),"")</f>
        <v/>
      </c>
      <c r="AE27" s="38" t="str">
        <f ca="1">IFERROR(INDEX('Kurikulum 2020'!B:B,MATCH(ROW()-ROW($X$2)-4,Z:Z,0)),"")</f>
        <v/>
      </c>
      <c r="AF27" s="57" t="str">
        <f ca="1">IFERROR(INDEX('Kurikulum 2020'!C:C,MATCH(ROW()-ROW($X$2)-4,Z:Z,0)),"")</f>
        <v/>
      </c>
      <c r="AG27" s="57" t="str">
        <f ca="1">IFERROR(INDEX('Kurikulum 2020'!F:F,MATCH(ROW()-ROW($X$2)-4,Z:Z,0)),"")</f>
        <v/>
      </c>
      <c r="AI27" s="57" t="str">
        <f t="shared" ca="1" si="11"/>
        <v/>
      </c>
      <c r="AJ27" s="38" t="str">
        <f ca="1">IFERROR(INDEX('Kurikulum 2020'!H:H,MATCH(ROW()-ROW($X$2)-4,AA:AA,0)),"")</f>
        <v/>
      </c>
      <c r="AK27" s="38" t="str">
        <f ca="1">IFERROR(INDEX('Kurikulum 2020'!I:I,MATCH(ROW()-ROW($X$2)-4,AA:AA,0)),"")</f>
        <v/>
      </c>
      <c r="AL27" s="38" t="str">
        <f ca="1">IFERROR(INDEX('Kurikulum 2020'!J:J,MATCH(ROW()-ROW($X$2)-4,AA:AA,0)),"")</f>
        <v/>
      </c>
      <c r="AM27" s="38" t="str">
        <f ca="1">IFERROR(INDEX('Kurikulum 2020'!M:M,MATCH(ROW()-ROW($X$2)-4,AA:AA,0)),"")</f>
        <v/>
      </c>
    </row>
    <row r="28" spans="1:39">
      <c r="A28" s="45" t="str">
        <f t="shared" ca="1" si="1"/>
        <v/>
      </c>
      <c r="B28" s="46" t="str">
        <f t="shared" ca="1" si="2"/>
        <v/>
      </c>
      <c r="C28" s="87" t="str">
        <f t="shared" ca="1" si="3"/>
        <v/>
      </c>
      <c r="D28" s="69" t="str">
        <f t="shared" ca="1" si="4"/>
        <v/>
      </c>
      <c r="E28" s="47" t="str">
        <f t="shared" ca="1" si="5"/>
        <v/>
      </c>
      <c r="F28" s="36"/>
      <c r="G28" s="45" t="str">
        <f t="shared" ca="1" si="6"/>
        <v/>
      </c>
      <c r="H28" s="46" t="str">
        <f t="shared" ca="1" si="7"/>
        <v/>
      </c>
      <c r="I28" s="87" t="str">
        <f t="shared" ca="1" si="8"/>
        <v/>
      </c>
      <c r="J28" s="69" t="str">
        <f t="shared" ca="1" si="9"/>
        <v/>
      </c>
      <c r="K28" s="47" t="str">
        <f t="shared" ca="1" si="10"/>
        <v/>
      </c>
      <c r="L28" s="36"/>
      <c r="M28" s="133"/>
      <c r="N28" s="133"/>
      <c r="O28" s="133"/>
      <c r="P28" s="133"/>
      <c r="Q28" s="36"/>
      <c r="R28" s="5"/>
      <c r="S28" s="5"/>
      <c r="T28" s="5"/>
      <c r="U28" s="5"/>
      <c r="V28" s="36"/>
      <c r="Y28" s="57">
        <v>22</v>
      </c>
      <c r="Z28" s="57">
        <f ca="1">IF(OR('Kurikulum 2020'!E28="Belum",'Kurikulum 2020'!E28="Ulang"),MAX(Z$2:Z27)+1,"")</f>
        <v>5</v>
      </c>
      <c r="AA28" s="57">
        <f ca="1">IF(OR('Kurikulum 2020'!L28="Belum",'Kurikulum 2020'!L28="Ulang"),MAX(AA$2:AA27)+1,"")</f>
        <v>3</v>
      </c>
      <c r="AC28" s="57" t="str">
        <f t="shared" ca="1" si="0"/>
        <v/>
      </c>
      <c r="AD28" s="38" t="str">
        <f ca="1">IFERROR(INDEX('Kurikulum 2020'!A:A,MATCH(ROW()-ROW($X$2)-4,Z:Z,0)),"")</f>
        <v/>
      </c>
      <c r="AE28" s="38" t="str">
        <f ca="1">IFERROR(INDEX('Kurikulum 2020'!B:B,MATCH(ROW()-ROW($X$2)-4,Z:Z,0)),"")</f>
        <v/>
      </c>
      <c r="AF28" s="57" t="str">
        <f ca="1">IFERROR(INDEX('Kurikulum 2020'!C:C,MATCH(ROW()-ROW($X$2)-4,Z:Z,0)),"")</f>
        <v/>
      </c>
      <c r="AG28" s="57" t="str">
        <f ca="1">IFERROR(INDEX('Kurikulum 2020'!F:F,MATCH(ROW()-ROW($X$2)-4,Z:Z,0)),"")</f>
        <v/>
      </c>
      <c r="AI28" s="57" t="str">
        <f t="shared" ca="1" si="11"/>
        <v/>
      </c>
      <c r="AJ28" s="38" t="str">
        <f ca="1">IFERROR(INDEX('Kurikulum 2020'!H:H,MATCH(ROW()-ROW($X$2)-4,AA:AA,0)),"")</f>
        <v/>
      </c>
      <c r="AK28" s="38" t="str">
        <f ca="1">IFERROR(INDEX('Kurikulum 2020'!I:I,MATCH(ROW()-ROW($X$2)-4,AA:AA,0)),"")</f>
        <v/>
      </c>
      <c r="AL28" s="38" t="str">
        <f ca="1">IFERROR(INDEX('Kurikulum 2020'!J:J,MATCH(ROW()-ROW($X$2)-4,AA:AA,0)),"")</f>
        <v/>
      </c>
      <c r="AM28" s="38" t="str">
        <f ca="1">IFERROR(INDEX('Kurikulum 2020'!M:M,MATCH(ROW()-ROW($X$2)-4,AA:AA,0)),"")</f>
        <v/>
      </c>
    </row>
    <row r="29" spans="1:39">
      <c r="A29" s="45" t="str">
        <f t="shared" ca="1" si="1"/>
        <v/>
      </c>
      <c r="B29" s="46" t="str">
        <f t="shared" ca="1" si="2"/>
        <v/>
      </c>
      <c r="C29" s="87" t="str">
        <f t="shared" ca="1" si="3"/>
        <v/>
      </c>
      <c r="D29" s="69" t="str">
        <f t="shared" ca="1" si="4"/>
        <v/>
      </c>
      <c r="E29" s="47" t="str">
        <f t="shared" ca="1" si="5"/>
        <v/>
      </c>
      <c r="F29" s="36"/>
      <c r="G29" s="45" t="str">
        <f t="shared" ca="1" si="6"/>
        <v/>
      </c>
      <c r="H29" s="46" t="str">
        <f t="shared" ca="1" si="7"/>
        <v/>
      </c>
      <c r="I29" s="87" t="str">
        <f t="shared" ca="1" si="8"/>
        <v/>
      </c>
      <c r="J29" s="69" t="str">
        <f t="shared" ca="1" si="9"/>
        <v/>
      </c>
      <c r="K29" s="47" t="str">
        <f t="shared" ca="1" si="10"/>
        <v/>
      </c>
      <c r="L29" s="36"/>
      <c r="M29" s="133"/>
      <c r="N29" s="133"/>
      <c r="O29" s="133"/>
      <c r="P29" s="133"/>
      <c r="Q29" s="36"/>
      <c r="R29" s="5"/>
      <c r="S29" s="5"/>
      <c r="T29" s="5"/>
      <c r="U29" s="5"/>
      <c r="V29" s="36"/>
      <c r="Y29" s="57">
        <v>23</v>
      </c>
      <c r="Z29" s="57">
        <f ca="1">IF(OR('Kurikulum 2020'!E29="Belum",'Kurikulum 2020'!E29="Ulang"),MAX(Z$2:Z28)+1,"")</f>
        <v>6</v>
      </c>
      <c r="AA29" s="57">
        <f ca="1">IF(OR('Kurikulum 2020'!L29="Belum",'Kurikulum 2020'!L29="Ulang"),MAX(AA$2:AA28)+1,"")</f>
        <v>4</v>
      </c>
      <c r="AC29" s="57" t="str">
        <f t="shared" ca="1" si="0"/>
        <v/>
      </c>
      <c r="AD29" s="38" t="str">
        <f ca="1">IFERROR(INDEX('Kurikulum 2020'!A:A,MATCH(ROW()-ROW($X$2)-4,Z:Z,0)),"")</f>
        <v/>
      </c>
      <c r="AE29" s="38" t="str">
        <f ca="1">IFERROR(INDEX('Kurikulum 2020'!B:B,MATCH(ROW()-ROW($X$2)-4,Z:Z,0)),"")</f>
        <v/>
      </c>
      <c r="AF29" s="57" t="str">
        <f ca="1">IFERROR(INDEX('Kurikulum 2020'!C:C,MATCH(ROW()-ROW($X$2)-4,Z:Z,0)),"")</f>
        <v/>
      </c>
      <c r="AG29" s="57" t="str">
        <f ca="1">IFERROR(INDEX('Kurikulum 2020'!F:F,MATCH(ROW()-ROW($X$2)-4,Z:Z,0)),"")</f>
        <v/>
      </c>
      <c r="AI29" s="57" t="str">
        <f t="shared" ca="1" si="11"/>
        <v/>
      </c>
      <c r="AJ29" s="38" t="str">
        <f ca="1">IFERROR(INDEX('Kurikulum 2020'!H:H,MATCH(ROW()-ROW($X$2)-4,AA:AA,0)),"")</f>
        <v/>
      </c>
      <c r="AK29" s="38" t="str">
        <f ca="1">IFERROR(INDEX('Kurikulum 2020'!I:I,MATCH(ROW()-ROW($X$2)-4,AA:AA,0)),"")</f>
        <v/>
      </c>
      <c r="AL29" s="38" t="str">
        <f ca="1">IFERROR(INDEX('Kurikulum 2020'!J:J,MATCH(ROW()-ROW($X$2)-4,AA:AA,0)),"")</f>
        <v/>
      </c>
      <c r="AM29" s="38" t="str">
        <f ca="1">IFERROR(INDEX('Kurikulum 2020'!M:M,MATCH(ROW()-ROW($X$2)-4,AA:AA,0)),"")</f>
        <v/>
      </c>
    </row>
    <row r="30" spans="1:39">
      <c r="A30" s="45" t="str">
        <f t="shared" ca="1" si="1"/>
        <v/>
      </c>
      <c r="B30" s="46" t="str">
        <f t="shared" ca="1" si="2"/>
        <v/>
      </c>
      <c r="C30" s="87" t="str">
        <f t="shared" ca="1" si="3"/>
        <v/>
      </c>
      <c r="D30" s="69" t="str">
        <f t="shared" ca="1" si="4"/>
        <v/>
      </c>
      <c r="E30" s="47" t="str">
        <f t="shared" ca="1" si="5"/>
        <v/>
      </c>
      <c r="F30" s="36"/>
      <c r="G30" s="45" t="str">
        <f t="shared" ca="1" si="6"/>
        <v/>
      </c>
      <c r="H30" s="46" t="str">
        <f t="shared" ca="1" si="7"/>
        <v/>
      </c>
      <c r="I30" s="87" t="str">
        <f t="shared" ca="1" si="8"/>
        <v/>
      </c>
      <c r="J30" s="69" t="str">
        <f t="shared" ca="1" si="9"/>
        <v/>
      </c>
      <c r="K30" s="47" t="str">
        <f t="shared" ca="1" si="10"/>
        <v/>
      </c>
      <c r="L30" s="36"/>
      <c r="M30" s="59"/>
      <c r="N30" s="59"/>
      <c r="O30" s="59"/>
      <c r="P30" s="59"/>
      <c r="Q30" s="36"/>
      <c r="R30" s="36"/>
      <c r="S30" s="36"/>
      <c r="T30" s="5"/>
      <c r="U30" s="5"/>
      <c r="V30" s="36"/>
      <c r="Y30" s="57">
        <v>24</v>
      </c>
      <c r="Z30" s="57">
        <f ca="1">IF(OR('Kurikulum 2020'!E30="Belum",'Kurikulum 2020'!E30="Ulang"),MAX(Z$2:Z29)+1,"")</f>
        <v>7</v>
      </c>
      <c r="AA30" s="57">
        <f ca="1">IF(OR('Kurikulum 2020'!L30="Belum",'Kurikulum 2020'!L30="Ulang"),MAX(AA$2:AA29)+1,"")</f>
        <v>5</v>
      </c>
      <c r="AC30" s="57" t="str">
        <f t="shared" ca="1" si="0"/>
        <v/>
      </c>
      <c r="AD30" s="38" t="str">
        <f ca="1">IFERROR(INDEX('Kurikulum 2020'!A:A,MATCH(ROW()-ROW($X$2)-4,Z:Z,0)),"")</f>
        <v/>
      </c>
      <c r="AE30" s="38" t="str">
        <f ca="1">IFERROR(INDEX('Kurikulum 2020'!B:B,MATCH(ROW()-ROW($X$2)-4,Z:Z,0)),"")</f>
        <v/>
      </c>
      <c r="AF30" s="57" t="str">
        <f ca="1">IFERROR(INDEX('Kurikulum 2020'!C:C,MATCH(ROW()-ROW($X$2)-4,Z:Z,0)),"")</f>
        <v/>
      </c>
      <c r="AG30" s="57" t="str">
        <f ca="1">IFERROR(INDEX('Kurikulum 2020'!F:F,MATCH(ROW()-ROW($X$2)-4,Z:Z,0)),"")</f>
        <v/>
      </c>
      <c r="AI30" s="57" t="str">
        <f t="shared" ca="1" si="11"/>
        <v/>
      </c>
      <c r="AJ30" s="38" t="str">
        <f ca="1">IFERROR(INDEX('Kurikulum 2020'!H:H,MATCH(ROW()-ROW($X$2)-4,AA:AA,0)),"")</f>
        <v/>
      </c>
      <c r="AK30" s="38" t="str">
        <f ca="1">IFERROR(INDEX('Kurikulum 2020'!I:I,MATCH(ROW()-ROW($X$2)-4,AA:AA,0)),"")</f>
        <v/>
      </c>
      <c r="AL30" s="38" t="str">
        <f ca="1">IFERROR(INDEX('Kurikulum 2020'!J:J,MATCH(ROW()-ROW($X$2)-4,AA:AA,0)),"")</f>
        <v/>
      </c>
      <c r="AM30" s="38" t="str">
        <f ca="1">IFERROR(INDEX('Kurikulum 2020'!M:M,MATCH(ROW()-ROW($X$2)-4,AA:AA,0)),"")</f>
        <v/>
      </c>
    </row>
    <row r="31" spans="1:39">
      <c r="A31" s="45" t="str">
        <f t="shared" ca="1" si="1"/>
        <v/>
      </c>
      <c r="B31" s="46" t="str">
        <f t="shared" ca="1" si="2"/>
        <v/>
      </c>
      <c r="C31" s="87" t="str">
        <f t="shared" ca="1" si="3"/>
        <v/>
      </c>
      <c r="D31" s="69" t="str">
        <f t="shared" ca="1" si="4"/>
        <v/>
      </c>
      <c r="E31" s="47" t="str">
        <f t="shared" ca="1" si="5"/>
        <v/>
      </c>
      <c r="F31" s="36"/>
      <c r="G31" s="45" t="str">
        <f t="shared" ca="1" si="6"/>
        <v/>
      </c>
      <c r="H31" s="46" t="str">
        <f t="shared" ca="1" si="7"/>
        <v/>
      </c>
      <c r="I31" s="87" t="str">
        <f t="shared" ca="1" si="8"/>
        <v/>
      </c>
      <c r="J31" s="69" t="str">
        <f t="shared" ca="1" si="9"/>
        <v/>
      </c>
      <c r="K31" s="47" t="str">
        <f t="shared" ca="1" si="10"/>
        <v/>
      </c>
      <c r="L31" s="36"/>
      <c r="M31" s="59"/>
      <c r="N31" s="59"/>
      <c r="O31" s="59"/>
      <c r="P31" s="59"/>
      <c r="Q31" s="36"/>
      <c r="R31" s="36"/>
      <c r="S31" s="36"/>
      <c r="T31" s="5"/>
      <c r="U31" s="5"/>
      <c r="V31" s="36"/>
      <c r="Y31" s="57">
        <v>25</v>
      </c>
      <c r="Z31" s="57">
        <f ca="1">IF(OR('Kurikulum 2020'!E31="Belum",'Kurikulum 2020'!E31="Ulang"),MAX(Z$2:Z30)+1,"")</f>
        <v>8</v>
      </c>
      <c r="AA31" s="57" t="str">
        <f>IF(OR('Kurikulum 2020'!L31="Belum",'Kurikulum 2020'!L31="Ulang"),MAX(AA$2:AA30)+1,"")</f>
        <v/>
      </c>
      <c r="AC31" s="57" t="str">
        <f t="shared" ca="1" si="0"/>
        <v/>
      </c>
      <c r="AD31" s="38" t="str">
        <f ca="1">IFERROR(INDEX('Kurikulum 2020'!A:A,MATCH(ROW()-ROW($X$2)-4,Z:Z,0)),"")</f>
        <v/>
      </c>
      <c r="AE31" s="38" t="str">
        <f ca="1">IFERROR(INDEX('Kurikulum 2020'!B:B,MATCH(ROW()-ROW($X$2)-4,Z:Z,0)),"")</f>
        <v/>
      </c>
      <c r="AF31" s="57" t="str">
        <f ca="1">IFERROR(INDEX('Kurikulum 2020'!C:C,MATCH(ROW()-ROW($X$2)-4,Z:Z,0)),"")</f>
        <v/>
      </c>
      <c r="AG31" s="57" t="str">
        <f ca="1">IFERROR(INDEX('Kurikulum 2020'!F:F,MATCH(ROW()-ROW($X$2)-4,Z:Z,0)),"")</f>
        <v/>
      </c>
      <c r="AI31" s="57" t="str">
        <f t="shared" ca="1" si="11"/>
        <v/>
      </c>
      <c r="AJ31" s="38" t="str">
        <f ca="1">IFERROR(INDEX('Kurikulum 2020'!H:H,MATCH(ROW()-ROW($X$2)-4,AA:AA,0)),"")</f>
        <v/>
      </c>
      <c r="AK31" s="38" t="str">
        <f ca="1">IFERROR(INDEX('Kurikulum 2020'!I:I,MATCH(ROW()-ROW($X$2)-4,AA:AA,0)),"")</f>
        <v/>
      </c>
      <c r="AL31" s="38" t="str">
        <f ca="1">IFERROR(INDEX('Kurikulum 2020'!J:J,MATCH(ROW()-ROW($X$2)-4,AA:AA,0)),"")</f>
        <v/>
      </c>
      <c r="AM31" s="38" t="str">
        <f ca="1">IFERROR(INDEX('Kurikulum 2020'!M:M,MATCH(ROW()-ROW($X$2)-4,AA:AA,0)),"")</f>
        <v/>
      </c>
    </row>
    <row r="32" spans="1:39">
      <c r="A32" s="45" t="str">
        <f t="shared" ca="1" si="1"/>
        <v/>
      </c>
      <c r="B32" s="46" t="str">
        <f t="shared" ca="1" si="2"/>
        <v/>
      </c>
      <c r="C32" s="87" t="str">
        <f t="shared" ca="1" si="3"/>
        <v/>
      </c>
      <c r="D32" s="69" t="str">
        <f t="shared" ca="1" si="4"/>
        <v/>
      </c>
      <c r="E32" s="47" t="str">
        <f t="shared" ca="1" si="5"/>
        <v/>
      </c>
      <c r="F32" s="36"/>
      <c r="G32" s="45" t="str">
        <f t="shared" ca="1" si="6"/>
        <v/>
      </c>
      <c r="H32" s="46" t="str">
        <f t="shared" ca="1" si="7"/>
        <v/>
      </c>
      <c r="I32" s="87" t="str">
        <f t="shared" ca="1" si="8"/>
        <v/>
      </c>
      <c r="J32" s="69" t="str">
        <f t="shared" ca="1" si="9"/>
        <v/>
      </c>
      <c r="K32" s="47" t="str">
        <f t="shared" ca="1" si="10"/>
        <v/>
      </c>
      <c r="L32" s="36"/>
      <c r="M32" s="145" t="s">
        <v>334</v>
      </c>
      <c r="N32" s="145"/>
      <c r="O32" s="145"/>
      <c r="P32" s="145"/>
      <c r="Q32" s="36"/>
      <c r="R32" s="36"/>
      <c r="S32" s="36"/>
      <c r="T32" s="5"/>
      <c r="U32" s="5"/>
      <c r="V32" s="36"/>
      <c r="Y32" s="57">
        <v>26</v>
      </c>
      <c r="Z32" s="57" t="str">
        <f>IF(OR('Kurikulum 2020'!E32="Belum",'Kurikulum 2020'!E32="Ulang"),MAX(Z$2:Z31)+1,"")</f>
        <v/>
      </c>
      <c r="AA32" s="57" t="str">
        <f>IF(OR('Kurikulum 2020'!L32="Belum",'Kurikulum 2020'!L32="Ulang"),MAX(AA$2:AA31)+1,"")</f>
        <v/>
      </c>
      <c r="AC32" s="57" t="str">
        <f t="shared" ca="1" si="0"/>
        <v/>
      </c>
      <c r="AD32" s="38" t="str">
        <f ca="1">IFERROR(INDEX('Kurikulum 2020'!A:A,MATCH(ROW()-ROW($X$2)-4,Z:Z,0)),"")</f>
        <v/>
      </c>
      <c r="AE32" s="38" t="str">
        <f ca="1">IFERROR(INDEX('Kurikulum 2020'!B:B,MATCH(ROW()-ROW($X$2)-4,Z:Z,0)),"")</f>
        <v/>
      </c>
      <c r="AF32" s="57" t="str">
        <f ca="1">IFERROR(INDEX('Kurikulum 2020'!C:C,MATCH(ROW()-ROW($X$2)-4,Z:Z,0)),"")</f>
        <v/>
      </c>
      <c r="AG32" s="57" t="str">
        <f ca="1">IFERROR(INDEX('Kurikulum 2020'!F:F,MATCH(ROW()-ROW($X$2)-4,Z:Z,0)),"")</f>
        <v/>
      </c>
      <c r="AI32" s="57" t="str">
        <f t="shared" ca="1" si="11"/>
        <v/>
      </c>
      <c r="AJ32" s="38" t="str">
        <f ca="1">IFERROR(INDEX('Kurikulum 2020'!H:H,MATCH(ROW()-ROW($X$2)-4,AA:AA,0)),"")</f>
        <v/>
      </c>
      <c r="AK32" s="38" t="str">
        <f ca="1">IFERROR(INDEX('Kurikulum 2020'!I:I,MATCH(ROW()-ROW($X$2)-4,AA:AA,0)),"")</f>
        <v/>
      </c>
      <c r="AL32" s="38" t="str">
        <f ca="1">IFERROR(INDEX('Kurikulum 2020'!J:J,MATCH(ROW()-ROW($X$2)-4,AA:AA,0)),"")</f>
        <v/>
      </c>
      <c r="AM32" s="38" t="str">
        <f ca="1">IFERROR(INDEX('Kurikulum 2020'!M:M,MATCH(ROW()-ROW($X$2)-4,AA:AA,0)),"")</f>
        <v/>
      </c>
    </row>
    <row r="33" spans="1:39">
      <c r="A33" s="45" t="str">
        <f t="shared" ca="1" si="1"/>
        <v/>
      </c>
      <c r="B33" s="46" t="str">
        <f t="shared" ca="1" si="2"/>
        <v/>
      </c>
      <c r="C33" s="87" t="str">
        <f t="shared" ca="1" si="3"/>
        <v/>
      </c>
      <c r="D33" s="69" t="str">
        <f t="shared" ca="1" si="4"/>
        <v/>
      </c>
      <c r="E33" s="47" t="str">
        <f t="shared" ca="1" si="5"/>
        <v/>
      </c>
      <c r="F33" s="36"/>
      <c r="G33" s="45" t="str">
        <f t="shared" ca="1" si="6"/>
        <v/>
      </c>
      <c r="H33" s="46" t="str">
        <f t="shared" ca="1" si="7"/>
        <v/>
      </c>
      <c r="I33" s="87" t="str">
        <f t="shared" ca="1" si="8"/>
        <v/>
      </c>
      <c r="J33" s="69" t="str">
        <f t="shared" ca="1" si="9"/>
        <v/>
      </c>
      <c r="K33" s="47" t="str">
        <f t="shared" ca="1" si="10"/>
        <v/>
      </c>
      <c r="L33" s="36"/>
      <c r="M33" s="145"/>
      <c r="N33" s="145"/>
      <c r="O33" s="145"/>
      <c r="P33" s="145"/>
      <c r="Q33" s="36"/>
      <c r="R33" s="36"/>
      <c r="S33" s="36"/>
      <c r="T33" s="5"/>
      <c r="U33" s="5"/>
      <c r="V33" s="36"/>
      <c r="Y33" s="57">
        <v>27</v>
      </c>
      <c r="Z33" s="57" t="str">
        <f>IF(OR('Kurikulum 2020'!E33="Belum",'Kurikulum 2020'!E33="Ulang"),MAX(Z$2:Z32)+1,"")</f>
        <v/>
      </c>
      <c r="AA33" s="57" t="str">
        <f>IF(OR('Kurikulum 2020'!L33="Belum",'Kurikulum 2020'!L33="Ulang"),MAX(AA$2:AA32)+1,"")</f>
        <v/>
      </c>
      <c r="AC33" s="57" t="str">
        <f t="shared" ca="1" si="0"/>
        <v/>
      </c>
      <c r="AD33" s="38" t="str">
        <f ca="1">IFERROR(INDEX('Kurikulum 2020'!A:A,MATCH(ROW()-ROW($X$2)-4,Z:Z,0)),"")</f>
        <v/>
      </c>
      <c r="AE33" s="38" t="str">
        <f ca="1">IFERROR(INDEX('Kurikulum 2020'!B:B,MATCH(ROW()-ROW($X$2)-4,Z:Z,0)),"")</f>
        <v/>
      </c>
      <c r="AF33" s="57" t="str">
        <f ca="1">IFERROR(INDEX('Kurikulum 2020'!C:C,MATCH(ROW()-ROW($X$2)-4,Z:Z,0)),"")</f>
        <v/>
      </c>
      <c r="AG33" s="57" t="str">
        <f ca="1">IFERROR(INDEX('Kurikulum 2020'!F:F,MATCH(ROW()-ROW($X$2)-4,Z:Z,0)),"")</f>
        <v/>
      </c>
      <c r="AI33" s="57" t="str">
        <f t="shared" ca="1" si="11"/>
        <v/>
      </c>
      <c r="AJ33" s="38" t="str">
        <f ca="1">IFERROR(INDEX('Kurikulum 2020'!H:H,MATCH(ROW()-ROW($X$2)-4,AA:AA,0)),"")</f>
        <v/>
      </c>
      <c r="AK33" s="38" t="str">
        <f ca="1">IFERROR(INDEX('Kurikulum 2020'!I:I,MATCH(ROW()-ROW($X$2)-4,AA:AA,0)),"")</f>
        <v/>
      </c>
      <c r="AL33" s="38" t="str">
        <f ca="1">IFERROR(INDEX('Kurikulum 2020'!J:J,MATCH(ROW()-ROW($X$2)-4,AA:AA,0)),"")</f>
        <v/>
      </c>
      <c r="AM33" s="38" t="str">
        <f ca="1">IFERROR(INDEX('Kurikulum 2020'!M:M,MATCH(ROW()-ROW($X$2)-4,AA:AA,0)),"")</f>
        <v/>
      </c>
    </row>
    <row r="34" spans="1:39">
      <c r="A34" s="45" t="str">
        <f t="shared" ca="1" si="1"/>
        <v/>
      </c>
      <c r="B34" s="46" t="str">
        <f t="shared" ca="1" si="2"/>
        <v/>
      </c>
      <c r="C34" s="87" t="str">
        <f t="shared" ca="1" si="3"/>
        <v/>
      </c>
      <c r="D34" s="69" t="str">
        <f t="shared" ca="1" si="4"/>
        <v/>
      </c>
      <c r="E34" s="69" t="str">
        <f t="shared" ca="1" si="5"/>
        <v/>
      </c>
      <c r="F34" s="36"/>
      <c r="G34" s="45" t="str">
        <f t="shared" ca="1" si="6"/>
        <v/>
      </c>
      <c r="H34" s="46" t="str">
        <f t="shared" ca="1" si="7"/>
        <v/>
      </c>
      <c r="I34" s="87" t="str">
        <f t="shared" ca="1" si="8"/>
        <v/>
      </c>
      <c r="J34" s="69" t="str">
        <f t="shared" ca="1" si="9"/>
        <v/>
      </c>
      <c r="K34" s="47" t="str">
        <f t="shared" ca="1" si="10"/>
        <v/>
      </c>
      <c r="L34" s="36"/>
      <c r="M34" s="36"/>
      <c r="N34" s="36"/>
      <c r="O34" s="36"/>
      <c r="P34" s="36"/>
      <c r="Q34" s="36"/>
      <c r="R34" s="5"/>
      <c r="S34" s="5"/>
      <c r="T34" s="5"/>
      <c r="U34" s="5"/>
      <c r="V34" s="36"/>
      <c r="Y34" s="57">
        <v>28</v>
      </c>
      <c r="Z34" s="57">
        <f ca="1">IF(OR('Kurikulum 2020'!E34="Belum",'Kurikulum 2020'!E34="Ulang"),MAX(Z$2:Z33)+1,"")</f>
        <v>9</v>
      </c>
      <c r="AA34" s="57">
        <f ca="1">IF(OR('Kurikulum 2020'!L34="Belum",'Kurikulum 2020'!L34="Ulang"),MAX(AA$2:AA33)+1,"")</f>
        <v>6</v>
      </c>
      <c r="AC34" s="57" t="str">
        <f t="shared" ca="1" si="0"/>
        <v/>
      </c>
      <c r="AD34" s="38" t="str">
        <f ca="1">IFERROR(INDEX('Kurikulum 2020'!A:A,MATCH(ROW()-ROW($X$2)-4,Z:Z,0)),"")</f>
        <v/>
      </c>
      <c r="AE34" s="38" t="str">
        <f ca="1">IFERROR(INDEX('Kurikulum 2020'!B:B,MATCH(ROW()-ROW($X$2)-4,Z:Z,0)),"")</f>
        <v/>
      </c>
      <c r="AF34" s="57" t="str">
        <f ca="1">IFERROR(INDEX('Kurikulum 2020'!C:C,MATCH(ROW()-ROW($X$2)-4,Z:Z,0)),"")</f>
        <v/>
      </c>
      <c r="AG34" s="57" t="str">
        <f ca="1">IFERROR(INDEX('Kurikulum 2020'!F:F,MATCH(ROW()-ROW($X$2)-4,Z:Z,0)),"")</f>
        <v/>
      </c>
      <c r="AI34" s="57" t="str">
        <f t="shared" ca="1" si="11"/>
        <v/>
      </c>
      <c r="AJ34" s="38" t="str">
        <f ca="1">IFERROR(INDEX('Kurikulum 2020'!H:H,MATCH(ROW()-ROW($X$2)-4,AA:AA,0)),"")</f>
        <v/>
      </c>
      <c r="AK34" s="38" t="str">
        <f ca="1">IFERROR(INDEX('Kurikulum 2020'!I:I,MATCH(ROW()-ROW($X$2)-4,AA:AA,0)),"")</f>
        <v/>
      </c>
      <c r="AL34" s="38" t="str">
        <f ca="1">IFERROR(INDEX('Kurikulum 2020'!J:J,MATCH(ROW()-ROW($X$2)-4,AA:AA,0)),"")</f>
        <v/>
      </c>
      <c r="AM34" s="38" t="str">
        <f ca="1">IFERROR(INDEX('Kurikulum 2020'!M:M,MATCH(ROW()-ROW($X$2)-4,AA:AA,0)),"")</f>
        <v/>
      </c>
    </row>
    <row r="35" spans="1:39">
      <c r="A35" s="45" t="str">
        <f t="shared" ca="1" si="1"/>
        <v/>
      </c>
      <c r="B35" s="46" t="str">
        <f t="shared" ca="1" si="2"/>
        <v/>
      </c>
      <c r="C35" s="87" t="str">
        <f t="shared" ca="1" si="3"/>
        <v/>
      </c>
      <c r="D35" s="69" t="str">
        <f t="shared" ca="1" si="4"/>
        <v/>
      </c>
      <c r="E35" s="69" t="str">
        <f t="shared" ca="1" si="5"/>
        <v/>
      </c>
      <c r="F35" s="36"/>
      <c r="G35" s="45" t="str">
        <f t="shared" ca="1" si="6"/>
        <v/>
      </c>
      <c r="H35" s="46" t="str">
        <f t="shared" ca="1" si="7"/>
        <v/>
      </c>
      <c r="I35" s="87" t="str">
        <f t="shared" ca="1" si="8"/>
        <v/>
      </c>
      <c r="J35" s="69" t="str">
        <f t="shared" ca="1" si="9"/>
        <v/>
      </c>
      <c r="K35" s="47" t="str">
        <f t="shared" ca="1" si="10"/>
        <v/>
      </c>
      <c r="L35" s="36"/>
      <c r="M35" s="36"/>
      <c r="N35" s="36"/>
      <c r="O35" s="36"/>
      <c r="P35" s="36"/>
      <c r="Q35" s="36"/>
      <c r="R35" s="5"/>
      <c r="S35" s="5"/>
      <c r="T35" s="5"/>
      <c r="U35" s="5"/>
      <c r="V35" s="36"/>
      <c r="Y35" s="57">
        <v>29</v>
      </c>
      <c r="Z35" s="57">
        <f ca="1">IF(OR('Kurikulum 2020'!E35="Belum",'Kurikulum 2020'!E35="Ulang"),MAX(Z$2:Z34)+1,"")</f>
        <v>10</v>
      </c>
      <c r="AA35" s="57">
        <f ca="1">IF(OR('Kurikulum 2020'!L35="Belum",'Kurikulum 2020'!L35="Ulang"),MAX(AA$2:AA34)+1,"")</f>
        <v>7</v>
      </c>
      <c r="AC35" s="57" t="str">
        <f t="shared" ca="1" si="0"/>
        <v/>
      </c>
      <c r="AD35" s="38" t="str">
        <f ca="1">IFERROR(INDEX('Kurikulum 2020'!A:A,MATCH(ROW()-ROW($X$2)-4,Z:Z,0)),"")</f>
        <v/>
      </c>
      <c r="AE35" s="38" t="str">
        <f ca="1">IFERROR(INDEX('Kurikulum 2020'!B:B,MATCH(ROW()-ROW($X$2)-4,Z:Z,0)),"")</f>
        <v/>
      </c>
      <c r="AF35" s="57" t="str">
        <f ca="1">IFERROR(INDEX('Kurikulum 2020'!C:C,MATCH(ROW()-ROW($X$2)-4,Z:Z,0)),"")</f>
        <v/>
      </c>
      <c r="AG35" s="57" t="str">
        <f ca="1">IFERROR(INDEX('Kurikulum 2020'!F:F,MATCH(ROW()-ROW($X$2)-4,Z:Z,0)),"")</f>
        <v/>
      </c>
      <c r="AI35" s="57" t="str">
        <f t="shared" ca="1" si="11"/>
        <v/>
      </c>
      <c r="AJ35" s="38" t="str">
        <f ca="1">IFERROR(INDEX('Kurikulum 2020'!H:H,MATCH(ROW()-ROW($X$2)-4,AA:AA,0)),"")</f>
        <v/>
      </c>
      <c r="AK35" s="38" t="str">
        <f ca="1">IFERROR(INDEX('Kurikulum 2020'!I:I,MATCH(ROW()-ROW($X$2)-4,AA:AA,0)),"")</f>
        <v/>
      </c>
      <c r="AL35" s="38" t="str">
        <f ca="1">IFERROR(INDEX('Kurikulum 2020'!J:J,MATCH(ROW()-ROW($X$2)-4,AA:AA,0)),"")</f>
        <v/>
      </c>
      <c r="AM35" s="38" t="str">
        <f ca="1">IFERROR(INDEX('Kurikulum 2020'!M:M,MATCH(ROW()-ROW($X$2)-4,AA:AA,0)),"")</f>
        <v/>
      </c>
    </row>
    <row r="36" spans="1:39">
      <c r="A36" s="45" t="str">
        <f t="shared" ca="1" si="1"/>
        <v/>
      </c>
      <c r="B36" s="46" t="str">
        <f t="shared" ca="1" si="2"/>
        <v/>
      </c>
      <c r="C36" s="87" t="str">
        <f t="shared" ca="1" si="3"/>
        <v/>
      </c>
      <c r="D36" s="69" t="str">
        <f t="shared" ca="1" si="4"/>
        <v/>
      </c>
      <c r="E36" s="69" t="str">
        <f t="shared" ca="1" si="5"/>
        <v/>
      </c>
      <c r="F36" s="36"/>
      <c r="G36" s="45" t="str">
        <f t="shared" ca="1" si="6"/>
        <v/>
      </c>
      <c r="H36" s="46" t="str">
        <f t="shared" ca="1" si="7"/>
        <v/>
      </c>
      <c r="I36" s="87" t="str">
        <f t="shared" ca="1" si="8"/>
        <v/>
      </c>
      <c r="J36" s="69" t="str">
        <f t="shared" ca="1" si="9"/>
        <v/>
      </c>
      <c r="K36" s="47" t="str">
        <f t="shared" ca="1" si="10"/>
        <v/>
      </c>
      <c r="L36" s="36"/>
      <c r="M36" s="36"/>
      <c r="N36" s="36"/>
      <c r="O36" s="36"/>
      <c r="P36" s="36"/>
      <c r="Q36" s="5"/>
      <c r="R36" s="5"/>
      <c r="S36" s="5"/>
      <c r="T36" s="5"/>
      <c r="U36" s="5"/>
      <c r="V36" s="36"/>
      <c r="Y36" s="57">
        <v>30</v>
      </c>
      <c r="Z36" s="57">
        <f ca="1">IF(OR('Kurikulum 2020'!E36="Belum",'Kurikulum 2020'!E36="Ulang"),MAX(Z$2:Z35)+1,"")</f>
        <v>11</v>
      </c>
      <c r="AA36" s="57">
        <f ca="1">IF(OR('Kurikulum 2020'!L36="Belum",'Kurikulum 2020'!L36="Ulang"),MAX(AA$2:AA35)+1,"")</f>
        <v>8</v>
      </c>
      <c r="AC36" s="57" t="str">
        <f t="shared" ca="1" si="0"/>
        <v/>
      </c>
      <c r="AD36" s="38" t="str">
        <f ca="1">IFERROR(INDEX('Kurikulum 2020'!A:A,MATCH(ROW()-ROW($X$2)-4,Z:Z,0)),"")</f>
        <v/>
      </c>
      <c r="AE36" s="38" t="str">
        <f ca="1">IFERROR(INDEX('Kurikulum 2020'!B:B,MATCH(ROW()-ROW($X$2)-4,Z:Z,0)),"")</f>
        <v/>
      </c>
      <c r="AF36" s="57" t="str">
        <f ca="1">IFERROR(INDEX('Kurikulum 2020'!C:C,MATCH(ROW()-ROW($X$2)-4,Z:Z,0)),"")</f>
        <v/>
      </c>
      <c r="AG36" s="57" t="str">
        <f ca="1">IFERROR(INDEX('Kurikulum 2020'!F:F,MATCH(ROW()-ROW($X$2)-4,Z:Z,0)),"")</f>
        <v/>
      </c>
      <c r="AI36" s="57" t="str">
        <f t="shared" ca="1" si="11"/>
        <v/>
      </c>
      <c r="AJ36" s="38" t="str">
        <f ca="1">IFERROR(INDEX('Kurikulum 2020'!H:H,MATCH(ROW()-ROW($X$2)-4,AA:AA,0)),"")</f>
        <v/>
      </c>
      <c r="AK36" s="38" t="str">
        <f ca="1">IFERROR(INDEX('Kurikulum 2020'!I:I,MATCH(ROW()-ROW($X$2)-4,AA:AA,0)),"")</f>
        <v/>
      </c>
      <c r="AL36" s="38" t="str">
        <f ca="1">IFERROR(INDEX('Kurikulum 2020'!J:J,MATCH(ROW()-ROW($X$2)-4,AA:AA,0)),"")</f>
        <v/>
      </c>
      <c r="AM36" s="38" t="str">
        <f ca="1">IFERROR(INDEX('Kurikulum 2020'!M:M,MATCH(ROW()-ROW($X$2)-4,AA:AA,0)),"")</f>
        <v/>
      </c>
    </row>
    <row r="37" spans="1:39">
      <c r="A37" s="45" t="str">
        <f t="shared" ca="1" si="1"/>
        <v/>
      </c>
      <c r="B37" s="46" t="str">
        <f t="shared" ca="1" si="2"/>
        <v/>
      </c>
      <c r="C37" s="87" t="str">
        <f t="shared" ca="1" si="3"/>
        <v/>
      </c>
      <c r="D37" s="69" t="str">
        <f t="shared" ca="1" si="4"/>
        <v/>
      </c>
      <c r="E37" s="69" t="str">
        <f t="shared" ca="1" si="5"/>
        <v/>
      </c>
      <c r="F37" s="36"/>
      <c r="G37" s="45" t="str">
        <f t="shared" ca="1" si="6"/>
        <v/>
      </c>
      <c r="H37" s="46" t="str">
        <f t="shared" ca="1" si="7"/>
        <v/>
      </c>
      <c r="I37" s="87" t="str">
        <f t="shared" ca="1" si="8"/>
        <v/>
      </c>
      <c r="J37" s="69" t="str">
        <f t="shared" ca="1" si="9"/>
        <v/>
      </c>
      <c r="K37" s="47" t="str">
        <f t="shared" ca="1" si="10"/>
        <v/>
      </c>
      <c r="L37" s="36"/>
      <c r="M37" s="36"/>
      <c r="N37" s="36"/>
      <c r="O37" s="36"/>
      <c r="P37" s="36"/>
      <c r="Q37" s="5"/>
      <c r="R37" s="5"/>
      <c r="S37" s="5"/>
      <c r="T37" s="5"/>
      <c r="U37" s="5"/>
      <c r="V37" s="36"/>
      <c r="Y37" s="57">
        <v>31</v>
      </c>
      <c r="Z37" s="57">
        <f ca="1">IF(OR('Kurikulum 2020'!E37="Belum",'Kurikulum 2020'!E37="Ulang"),MAX(Z$2:Z36)+1,"")</f>
        <v>12</v>
      </c>
      <c r="AA37" s="57" t="str">
        <f>IF(OR('Kurikulum 2020'!L37="Belum",'Kurikulum 2020'!L37="Ulang"),MAX(AA$2:AA36)+1,"")</f>
        <v/>
      </c>
      <c r="AC37" s="57" t="str">
        <f t="shared" ca="1" si="0"/>
        <v/>
      </c>
      <c r="AD37" s="38" t="str">
        <f ca="1">IFERROR(INDEX('Kurikulum 2020'!A:A,MATCH(ROW()-ROW($X$2)-4,Z:Z,0)),"")</f>
        <v/>
      </c>
      <c r="AE37" s="38" t="str">
        <f ca="1">IFERROR(INDEX('Kurikulum 2020'!B:B,MATCH(ROW()-ROW($X$2)-4,Z:Z,0)),"")</f>
        <v/>
      </c>
      <c r="AF37" s="57" t="str">
        <f ca="1">IFERROR(INDEX('Kurikulum 2020'!C:C,MATCH(ROW()-ROW($X$2)-4,Z:Z,0)),"")</f>
        <v/>
      </c>
      <c r="AG37" s="57" t="str">
        <f ca="1">IFERROR(INDEX('Kurikulum 2020'!F:F,MATCH(ROW()-ROW($X$2)-4,Z:Z,0)),"")</f>
        <v/>
      </c>
      <c r="AI37" s="57" t="str">
        <f t="shared" ca="1" si="11"/>
        <v/>
      </c>
      <c r="AJ37" s="38" t="str">
        <f ca="1">IFERROR(INDEX('Kurikulum 2020'!H:H,MATCH(ROW()-ROW($X$2)-4,AA:AA,0)),"")</f>
        <v/>
      </c>
      <c r="AK37" s="38" t="str">
        <f ca="1">IFERROR(INDEX('Kurikulum 2020'!I:I,MATCH(ROW()-ROW($X$2)-4,AA:AA,0)),"")</f>
        <v/>
      </c>
      <c r="AL37" s="38" t="str">
        <f ca="1">IFERROR(INDEX('Kurikulum 2020'!J:J,MATCH(ROW()-ROW($X$2)-4,AA:AA,0)),"")</f>
        <v/>
      </c>
      <c r="AM37" s="38" t="str">
        <f ca="1">IFERROR(INDEX('Kurikulum 2020'!M:M,MATCH(ROW()-ROW($X$2)-4,AA:AA,0)),"")</f>
        <v/>
      </c>
    </row>
    <row r="38" spans="1:39">
      <c r="A38" s="45" t="str">
        <f t="shared" ca="1" si="1"/>
        <v/>
      </c>
      <c r="B38" s="46" t="str">
        <f t="shared" ca="1" si="2"/>
        <v/>
      </c>
      <c r="C38" s="87" t="str">
        <f t="shared" ca="1" si="3"/>
        <v/>
      </c>
      <c r="D38" s="69" t="str">
        <f t="shared" ca="1" si="4"/>
        <v/>
      </c>
      <c r="E38" s="69" t="str">
        <f t="shared" ca="1" si="5"/>
        <v/>
      </c>
      <c r="F38" s="36"/>
      <c r="G38" s="45" t="str">
        <f t="shared" ca="1" si="6"/>
        <v/>
      </c>
      <c r="H38" s="46" t="str">
        <f t="shared" ca="1" si="7"/>
        <v/>
      </c>
      <c r="I38" s="87" t="str">
        <f t="shared" ca="1" si="8"/>
        <v/>
      </c>
      <c r="J38" s="69" t="str">
        <f t="shared" ca="1" si="9"/>
        <v/>
      </c>
      <c r="K38" s="47" t="str">
        <f t="shared" ca="1" si="10"/>
        <v/>
      </c>
      <c r="L38" s="36"/>
      <c r="M38" s="36"/>
      <c r="N38" s="36"/>
      <c r="O38" s="36"/>
      <c r="P38" s="36"/>
      <c r="Q38" s="5"/>
      <c r="R38" s="5"/>
      <c r="S38" s="5"/>
      <c r="T38" s="5"/>
      <c r="U38" s="5"/>
      <c r="V38" s="36"/>
      <c r="Y38" s="57">
        <v>32</v>
      </c>
      <c r="Z38" s="57">
        <f ca="1">IF(OR('Kurikulum 2020'!E38="Belum",'Kurikulum 2020'!E38="Ulang"),MAX(Z$2:Z37)+1,"")</f>
        <v>13</v>
      </c>
      <c r="AA38" s="57" t="str">
        <f>IF(OR('Kurikulum 2020'!L38="Belum",'Kurikulum 2020'!L38="Ulang"),MAX(AA$2:AA37)+1,"")</f>
        <v/>
      </c>
      <c r="AC38" s="57" t="str">
        <f t="shared" ca="1" si="0"/>
        <v/>
      </c>
      <c r="AD38" s="38" t="str">
        <f ca="1">IFERROR(INDEX('Kurikulum 2020'!A:A,MATCH(ROW()-ROW($X$2)-4,Z:Z,0)),"")</f>
        <v/>
      </c>
      <c r="AE38" s="38" t="str">
        <f ca="1">IFERROR(INDEX('Kurikulum 2020'!B:B,MATCH(ROW()-ROW($X$2)-4,Z:Z,0)),"")</f>
        <v/>
      </c>
      <c r="AF38" s="57" t="str">
        <f ca="1">IFERROR(INDEX('Kurikulum 2020'!C:C,MATCH(ROW()-ROW($X$2)-4,Z:Z,0)),"")</f>
        <v/>
      </c>
      <c r="AG38" s="57" t="str">
        <f ca="1">IFERROR(INDEX('Kurikulum 2020'!F:F,MATCH(ROW()-ROW($X$2)-4,Z:Z,0)),"")</f>
        <v/>
      </c>
      <c r="AI38" s="57" t="str">
        <f t="shared" ca="1" si="11"/>
        <v/>
      </c>
      <c r="AJ38" s="38" t="str">
        <f ca="1">IFERROR(INDEX('Kurikulum 2020'!H:H,MATCH(ROW()-ROW($X$2)-4,AA:AA,0)),"")</f>
        <v/>
      </c>
      <c r="AK38" s="38" t="str">
        <f ca="1">IFERROR(INDEX('Kurikulum 2020'!I:I,MATCH(ROW()-ROW($X$2)-4,AA:AA,0)),"")</f>
        <v/>
      </c>
      <c r="AL38" s="38" t="str">
        <f ca="1">IFERROR(INDEX('Kurikulum 2020'!J:J,MATCH(ROW()-ROW($X$2)-4,AA:AA,0)),"")</f>
        <v/>
      </c>
      <c r="AM38" s="38" t="str">
        <f ca="1">IFERROR(INDEX('Kurikulum 2020'!M:M,MATCH(ROW()-ROW($X$2)-4,AA:AA,0)),"")</f>
        <v/>
      </c>
    </row>
    <row r="39" spans="1:39">
      <c r="A39" s="45" t="str">
        <f t="shared" ca="1" si="1"/>
        <v/>
      </c>
      <c r="B39" s="46" t="str">
        <f t="shared" ca="1" si="2"/>
        <v/>
      </c>
      <c r="C39" s="87" t="str">
        <f t="shared" ca="1" si="3"/>
        <v/>
      </c>
      <c r="D39" s="69" t="str">
        <f t="shared" ca="1" si="4"/>
        <v/>
      </c>
      <c r="E39" s="69" t="str">
        <f t="shared" ca="1" si="5"/>
        <v/>
      </c>
      <c r="F39" s="36"/>
      <c r="G39" s="45" t="str">
        <f t="shared" ca="1" si="6"/>
        <v/>
      </c>
      <c r="H39" s="46" t="str">
        <f t="shared" ca="1" si="7"/>
        <v/>
      </c>
      <c r="I39" s="87" t="str">
        <f t="shared" ca="1" si="8"/>
        <v/>
      </c>
      <c r="J39" s="69" t="str">
        <f t="shared" ca="1" si="9"/>
        <v/>
      </c>
      <c r="K39" s="47" t="str">
        <f t="shared" ca="1" si="10"/>
        <v/>
      </c>
      <c r="L39" s="36"/>
      <c r="M39" s="36"/>
      <c r="N39" s="36"/>
      <c r="O39" s="36"/>
      <c r="P39" s="36"/>
      <c r="Q39" s="5"/>
      <c r="R39" s="5"/>
      <c r="S39" s="5"/>
      <c r="T39" s="5"/>
      <c r="U39" s="5"/>
      <c r="V39" s="36"/>
      <c r="Y39" s="57">
        <v>33</v>
      </c>
      <c r="Z39" s="57">
        <f ca="1">IF(OR('Kurikulum 2020'!E39="Belum",'Kurikulum 2020'!E39="Ulang"),MAX(Z$2:Z38)+1,"")</f>
        <v>14</v>
      </c>
      <c r="AA39" s="57" t="str">
        <f>IF(OR('Kurikulum 2020'!L39="Belum",'Kurikulum 2020'!L39="Ulang"),MAX(AA$2:AA38)+1,"")</f>
        <v/>
      </c>
      <c r="AC39" s="57" t="str">
        <f t="shared" ca="1" si="0"/>
        <v/>
      </c>
      <c r="AD39" s="38" t="str">
        <f ca="1">IFERROR(INDEX('Kurikulum 2020'!A:A,MATCH(ROW()-ROW($X$2)-4,Z:Z,0)),"")</f>
        <v/>
      </c>
      <c r="AE39" s="38" t="str">
        <f ca="1">IFERROR(INDEX('Kurikulum 2020'!B:B,MATCH(ROW()-ROW($X$2)-4,Z:Z,0)),"")</f>
        <v/>
      </c>
      <c r="AF39" s="57" t="str">
        <f ca="1">IFERROR(INDEX('Kurikulum 2020'!C:C,MATCH(ROW()-ROW($X$2)-4,Z:Z,0)),"")</f>
        <v/>
      </c>
      <c r="AG39" s="57" t="str">
        <f ca="1">IFERROR(INDEX('Kurikulum 2020'!F:F,MATCH(ROW()-ROW($X$2)-4,Z:Z,0)),"")</f>
        <v/>
      </c>
      <c r="AI39" s="57" t="str">
        <f t="shared" ca="1" si="11"/>
        <v/>
      </c>
      <c r="AJ39" s="38" t="str">
        <f ca="1">IFERROR(INDEX('Kurikulum 2020'!H:H,MATCH(ROW()-ROW($X$2)-4,AA:AA,0)),"")</f>
        <v/>
      </c>
      <c r="AK39" s="38" t="str">
        <f ca="1">IFERROR(INDEX('Kurikulum 2020'!I:I,MATCH(ROW()-ROW($X$2)-4,AA:AA,0)),"")</f>
        <v/>
      </c>
      <c r="AL39" s="38" t="str">
        <f ca="1">IFERROR(INDEX('Kurikulum 2020'!J:J,MATCH(ROW()-ROW($X$2)-4,AA:AA,0)),"")</f>
        <v/>
      </c>
      <c r="AM39" s="38" t="str">
        <f ca="1">IFERROR(INDEX('Kurikulum 2020'!M:M,MATCH(ROW()-ROW($X$2)-4,AA:AA,0)),"")</f>
        <v/>
      </c>
    </row>
    <row r="40" spans="1:39">
      <c r="A40" s="48"/>
      <c r="B40" s="49"/>
      <c r="C40" s="36"/>
      <c r="D40" s="36"/>
      <c r="E40" s="36"/>
      <c r="F40" s="50"/>
      <c r="G40" s="36"/>
      <c r="H40" s="48"/>
      <c r="I40" s="49"/>
      <c r="J40" s="49"/>
      <c r="K40" s="49"/>
      <c r="L40" s="36"/>
      <c r="M40" s="36"/>
      <c r="N40" s="36"/>
      <c r="O40" s="36"/>
      <c r="P40" s="36"/>
      <c r="Q40" s="5"/>
      <c r="R40" s="5"/>
      <c r="S40" s="5"/>
      <c r="T40" s="5"/>
      <c r="U40" s="5"/>
      <c r="V40" s="36"/>
    </row>
    <row r="41" spans="1:39">
      <c r="A41" s="48"/>
      <c r="B41" s="49"/>
      <c r="C41" s="36"/>
      <c r="D41" s="36"/>
      <c r="E41" s="36"/>
      <c r="F41" s="50"/>
      <c r="G41" s="36"/>
      <c r="H41" s="48"/>
      <c r="I41" s="49"/>
      <c r="J41" s="49"/>
      <c r="K41" s="49"/>
      <c r="L41" s="36"/>
      <c r="M41" s="36"/>
      <c r="N41" s="36"/>
      <c r="O41" s="36"/>
      <c r="P41" s="36"/>
      <c r="Q41" s="5"/>
      <c r="R41" s="5"/>
      <c r="S41" s="5"/>
      <c r="T41" s="5"/>
      <c r="U41" s="5"/>
      <c r="V41" s="36"/>
    </row>
    <row r="42" spans="1:39">
      <c r="A42" s="48"/>
      <c r="B42" s="49"/>
      <c r="C42" s="36"/>
      <c r="D42" s="36"/>
      <c r="E42" s="36"/>
      <c r="F42" s="50"/>
      <c r="G42" s="36"/>
      <c r="H42" s="48"/>
      <c r="I42" s="49"/>
      <c r="J42" s="49"/>
      <c r="K42" s="49"/>
      <c r="L42" s="36"/>
      <c r="M42" s="36"/>
      <c r="N42" s="36"/>
      <c r="O42" s="36"/>
      <c r="P42" s="36"/>
      <c r="Q42" s="5"/>
      <c r="R42" s="5"/>
      <c r="S42" s="5"/>
      <c r="T42" s="5"/>
      <c r="U42" s="5"/>
      <c r="V42" s="36"/>
    </row>
    <row r="43" spans="1:39">
      <c r="A43" s="48"/>
      <c r="B43" s="49"/>
      <c r="C43" s="36"/>
      <c r="D43" s="36"/>
      <c r="E43" s="36"/>
      <c r="F43" s="50"/>
      <c r="G43" s="36"/>
      <c r="H43" s="48"/>
      <c r="I43" s="49"/>
      <c r="J43" s="49"/>
      <c r="K43" s="49"/>
      <c r="L43" s="36"/>
      <c r="M43" s="36"/>
      <c r="N43" s="36"/>
      <c r="O43" s="36"/>
      <c r="P43" s="36"/>
      <c r="Q43" s="5"/>
      <c r="R43" s="5"/>
      <c r="S43" s="5"/>
      <c r="T43" s="5"/>
      <c r="U43" s="5"/>
      <c r="V43" s="36"/>
    </row>
    <row r="44" spans="1:39">
      <c r="A44" s="48"/>
      <c r="B44" s="49"/>
      <c r="C44" s="36"/>
      <c r="D44" s="36"/>
      <c r="E44" s="36"/>
      <c r="F44" s="50"/>
      <c r="G44" s="36"/>
      <c r="H44" s="48"/>
      <c r="I44" s="49"/>
      <c r="J44" s="49"/>
      <c r="K44" s="49"/>
      <c r="L44" s="36"/>
      <c r="M44" s="36"/>
      <c r="N44" s="36"/>
      <c r="O44" s="36"/>
      <c r="P44" s="36"/>
      <c r="Q44" s="5"/>
      <c r="R44" s="5"/>
      <c r="S44" s="5"/>
      <c r="T44" s="5"/>
      <c r="U44" s="5"/>
      <c r="V44" s="36"/>
    </row>
    <row r="45" spans="1:39">
      <c r="A45" s="48"/>
      <c r="B45" s="49"/>
      <c r="C45" s="36"/>
      <c r="D45" s="36"/>
      <c r="E45" s="36"/>
      <c r="F45" s="50"/>
      <c r="G45" s="36"/>
      <c r="H45" s="48"/>
      <c r="I45" s="49"/>
      <c r="J45" s="49"/>
      <c r="K45" s="49"/>
      <c r="L45" s="36"/>
      <c r="M45" s="36"/>
      <c r="N45" s="36"/>
      <c r="O45" s="36"/>
      <c r="P45" s="36"/>
      <c r="Q45" s="5"/>
      <c r="R45" s="5"/>
      <c r="S45" s="5"/>
      <c r="T45" s="5"/>
      <c r="U45" s="5"/>
      <c r="V45" s="36"/>
    </row>
    <row r="46" spans="1:39">
      <c r="A46" s="48"/>
      <c r="B46" s="49"/>
      <c r="C46" s="36"/>
      <c r="D46" s="36"/>
      <c r="E46" s="36"/>
      <c r="F46" s="50"/>
      <c r="G46" s="36"/>
      <c r="H46" s="48"/>
      <c r="I46" s="49"/>
      <c r="J46" s="49"/>
      <c r="K46" s="49"/>
      <c r="L46" s="36"/>
      <c r="M46" s="36"/>
      <c r="N46" s="36"/>
      <c r="O46" s="36"/>
      <c r="P46" s="36"/>
      <c r="Q46" s="5"/>
      <c r="R46" s="5"/>
      <c r="S46" s="5"/>
      <c r="T46" s="5"/>
      <c r="U46" s="5"/>
      <c r="V46" s="36"/>
    </row>
    <row r="47" spans="1:39">
      <c r="A47" s="48"/>
      <c r="B47" s="49"/>
      <c r="C47" s="36"/>
      <c r="D47" s="36"/>
      <c r="E47" s="36"/>
      <c r="F47" s="50"/>
      <c r="G47" s="36"/>
      <c r="H47" s="48"/>
      <c r="I47" s="49"/>
      <c r="J47" s="49"/>
      <c r="K47" s="49"/>
      <c r="L47" s="36"/>
      <c r="M47" s="36"/>
      <c r="N47" s="36"/>
      <c r="O47" s="36"/>
      <c r="P47" s="36"/>
      <c r="Q47" s="5"/>
      <c r="R47" s="5"/>
      <c r="S47" s="5"/>
      <c r="T47" s="5"/>
      <c r="U47" s="5"/>
      <c r="V47" s="36"/>
    </row>
    <row r="48" spans="1:39">
      <c r="A48" s="48"/>
      <c r="B48" s="49"/>
      <c r="C48" s="36"/>
      <c r="D48" s="36"/>
      <c r="E48" s="36"/>
      <c r="F48" s="50"/>
      <c r="G48" s="36"/>
      <c r="H48" s="48"/>
      <c r="I48" s="49"/>
      <c r="J48" s="49"/>
      <c r="K48" s="49"/>
      <c r="L48" s="36"/>
      <c r="M48" s="36"/>
      <c r="N48" s="36"/>
      <c r="O48" s="36"/>
      <c r="P48" s="36"/>
      <c r="Q48" s="5"/>
      <c r="R48" s="5"/>
      <c r="S48" s="5"/>
      <c r="T48" s="5"/>
      <c r="U48" s="5"/>
      <c r="V48" s="36"/>
    </row>
    <row r="49" spans="1:22">
      <c r="A49" s="48"/>
      <c r="B49" s="49"/>
      <c r="C49" s="36"/>
      <c r="D49" s="36"/>
      <c r="E49" s="36"/>
      <c r="F49" s="50"/>
      <c r="G49" s="36"/>
      <c r="H49" s="48"/>
      <c r="I49" s="49"/>
      <c r="J49" s="49"/>
      <c r="K49" s="49"/>
      <c r="L49" s="36"/>
      <c r="M49" s="36"/>
      <c r="N49" s="36"/>
      <c r="O49" s="36"/>
      <c r="P49" s="36"/>
      <c r="Q49" s="36"/>
      <c r="R49" s="5"/>
      <c r="S49" s="5"/>
      <c r="T49" s="5"/>
      <c r="U49" s="5"/>
      <c r="V49" s="36"/>
    </row>
    <row r="50" spans="1:22">
      <c r="A50" s="51"/>
      <c r="B50" s="52"/>
      <c r="C50" s="38"/>
      <c r="D50" s="38"/>
      <c r="E50" s="38"/>
      <c r="F50" s="53"/>
      <c r="G50" s="38"/>
      <c r="H50" s="51"/>
      <c r="I50" s="52"/>
      <c r="J50" s="52"/>
      <c r="K50" s="52"/>
      <c r="R50" s="38"/>
      <c r="S50" s="38"/>
      <c r="T50" s="38"/>
      <c r="U50" s="38"/>
    </row>
    <row r="51" spans="1:22">
      <c r="A51" s="51"/>
      <c r="B51" s="52"/>
      <c r="C51" s="38"/>
      <c r="D51" s="38"/>
      <c r="E51" s="38"/>
      <c r="F51" s="53"/>
      <c r="G51" s="38"/>
      <c r="H51" s="51"/>
      <c r="I51" s="52"/>
      <c r="J51" s="52"/>
      <c r="K51" s="52"/>
      <c r="R51" s="38"/>
      <c r="S51" s="38"/>
      <c r="T51" s="38"/>
      <c r="U51" s="38"/>
    </row>
    <row r="52" spans="1:22">
      <c r="R52" s="38"/>
      <c r="S52" s="38"/>
      <c r="T52" s="38"/>
      <c r="U52" s="38"/>
    </row>
    <row r="53" spans="1:22">
      <c r="R53" s="38"/>
      <c r="S53" s="38"/>
      <c r="T53" s="38"/>
      <c r="U53" s="38"/>
    </row>
    <row r="54" spans="1:22">
      <c r="R54" s="38"/>
      <c r="S54" s="38"/>
      <c r="T54" s="38"/>
      <c r="U54" s="38"/>
    </row>
    <row r="55" spans="1:22">
      <c r="R55" s="38"/>
      <c r="S55" s="38"/>
      <c r="T55" s="38"/>
      <c r="U55" s="38"/>
    </row>
    <row r="56" spans="1:22">
      <c r="R56" s="38"/>
      <c r="S56" s="38"/>
      <c r="T56" s="38"/>
      <c r="U56" s="38"/>
    </row>
  </sheetData>
  <sheetProtection sheet="1" objects="1" scenarios="1"/>
  <mergeCells count="16">
    <mergeCell ref="AD5:AE5"/>
    <mergeCell ref="AJ5:AK5"/>
    <mergeCell ref="G6:H6"/>
    <mergeCell ref="A6:B6"/>
    <mergeCell ref="R6:S7"/>
    <mergeCell ref="T6:T7"/>
    <mergeCell ref="I2:K2"/>
    <mergeCell ref="M32:P33"/>
    <mergeCell ref="M6:P7"/>
    <mergeCell ref="M8:P12"/>
    <mergeCell ref="M25:P29"/>
    <mergeCell ref="M13:P15"/>
    <mergeCell ref="I3:K3"/>
    <mergeCell ref="M16:P20"/>
    <mergeCell ref="M21:P24"/>
    <mergeCell ref="M2:P3"/>
  </mergeCells>
  <conditionalFormatting sqref="E7:E39 K7:K39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:R21">
    <cfRule type="expression" dxfId="166" priority="8">
      <formula>COUNTIF($A$7:$K$42,$R8)&gt;0</formula>
    </cfRule>
  </conditionalFormatting>
  <conditionalFormatting sqref="I3:K3">
    <cfRule type="cellIs" dxfId="165" priority="6" operator="between">
      <formula>2</formula>
      <formula>0</formula>
    </cfRule>
    <cfRule type="cellIs" dxfId="164" priority="7" operator="notEqual">
      <formula>0</formula>
    </cfRule>
  </conditionalFormatting>
  <conditionalFormatting sqref="M2:P3">
    <cfRule type="expression" dxfId="163" priority="4">
      <formula>AND($B$2&lt;&gt;0,$I$3&lt;0)</formula>
    </cfRule>
    <cfRule type="expression" dxfId="162" priority="5">
      <formula>AND($B$2&lt;&gt;0,$I$3&gt;=3)</formula>
    </cfRule>
  </conditionalFormatting>
  <conditionalFormatting sqref="A7:G39">
    <cfRule type="expression" dxfId="161" priority="2">
      <formula>OR(A7="CII-4A2",A7="CII-4B3",A7="CII-4[1]3",A7="CII-4[2]3",A7="CII-3_3",A7="CII-4[3]3",A7="CII-4[4]3",A7="CII-4E4")</formula>
    </cfRule>
    <cfRule type="expression" dxfId="160" priority="3">
      <formula>OR(A7="CII-1I3", A7="CII-1J3", A7="CII-2F3", A7="CII-2H3", A7="CII-2I2", A7="CII-2J4", A7="CII-2M3", A7="CII-3C3", A7="CII-3D4", A7="CII-3E3", A7="CII-3F1", A7="CII-3G3", A7="CII-3K2", A7="CII-4C3")</formula>
    </cfRule>
  </conditionalFormatting>
  <conditionalFormatting sqref="A7:C7">
    <cfRule type="expression" dxfId="159" priority="1">
      <formula>AND($F$4&lt;=2017,$A$7="CII-1E3")</formula>
    </cfRule>
  </conditionalFormatting>
  <dataValidations disablePrompts="1" count="1">
    <dataValidation type="list" allowBlank="1" showInputMessage="1" showErrorMessage="1" sqref="Q18:Q25 Q7:Q14 Q29:Q35">
      <formula1>"Y/N"</formula1>
    </dataValidation>
  </dataValidations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9" tint="0.79998168889431442"/>
  </sheetPr>
  <dimension ref="A1:AA87"/>
  <sheetViews>
    <sheetView tabSelected="1" zoomScale="79" zoomScaleNormal="130" workbookViewId="0">
      <pane xSplit="12" ySplit="5" topLeftCell="M6" activePane="bottomRight" state="frozen"/>
      <selection pane="topRight" activeCell="K1" sqref="K1"/>
      <selection pane="bottomLeft" activeCell="A6" sqref="A6"/>
      <selection pane="bottomRight" activeCell="H16" sqref="H16"/>
    </sheetView>
  </sheetViews>
  <sheetFormatPr defaultColWidth="8.875" defaultRowHeight="14.3"/>
  <cols>
    <col min="1" max="1" width="9" style="22" customWidth="1"/>
    <col min="2" max="2" width="35.125" style="23" customWidth="1"/>
    <col min="3" max="3" width="8" style="24" customWidth="1"/>
    <col min="4" max="5" width="4.875" style="24" customWidth="1"/>
    <col min="6" max="6" width="8" style="24" customWidth="1"/>
    <col min="7" max="7" width="9" style="22" customWidth="1"/>
    <col min="8" max="8" width="35.125" style="23" customWidth="1"/>
    <col min="9" max="9" width="8" style="24" customWidth="1"/>
    <col min="10" max="11" width="4.875" style="24" customWidth="1"/>
    <col min="12" max="12" width="6.375" style="38" customWidth="1"/>
    <col min="13" max="15" width="9.625" style="38" customWidth="1"/>
    <col min="16" max="16" width="11" style="38" customWidth="1"/>
    <col min="17" max="17" width="4.75" style="38" customWidth="1"/>
    <col min="18" max="18" width="9.125" style="6" customWidth="1"/>
    <col min="19" max="19" width="34.125" style="6" customWidth="1"/>
    <col min="20" max="20" width="4.875" style="6" customWidth="1"/>
    <col min="21" max="21" width="4.75" style="6" customWidth="1"/>
    <col min="22" max="22" width="9.125" style="6" customWidth="1"/>
    <col min="23" max="23" width="37.625" style="6" customWidth="1"/>
    <col min="24" max="24" width="4.875" style="6" customWidth="1"/>
    <col min="25" max="16384" width="8.875" style="6"/>
  </cols>
  <sheetData>
    <row r="1" spans="1:27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37"/>
      <c r="M1" s="37"/>
      <c r="N1" s="37"/>
      <c r="O1" s="37"/>
      <c r="P1" s="37"/>
      <c r="Q1" s="37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>
      <c r="A2" s="82" t="s">
        <v>110</v>
      </c>
      <c r="B2" s="8" t="str">
        <f>'Status Kelulusan'!B2</f>
        <v>MUHAMMAD RIFQI ARRAHIM NATADIKARTA</v>
      </c>
      <c r="C2" s="36"/>
      <c r="D2" s="134" t="s">
        <v>109</v>
      </c>
      <c r="E2" s="134"/>
      <c r="F2" s="62">
        <f>'Harus Ambil'!F2</f>
        <v>82</v>
      </c>
      <c r="G2" s="70"/>
      <c r="H2" s="102" t="s">
        <v>312</v>
      </c>
      <c r="I2" s="5"/>
      <c r="J2" s="3"/>
      <c r="K2" s="3"/>
      <c r="L2" s="36"/>
      <c r="M2" s="36"/>
      <c r="N2" s="36"/>
      <c r="O2" s="36"/>
      <c r="P2" s="36"/>
      <c r="Q2" s="36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>
      <c r="A3" s="82" t="s">
        <v>293</v>
      </c>
      <c r="B3" s="8">
        <f>'Status Kelulusan'!B3</f>
        <v>1301190425</v>
      </c>
      <c r="C3" s="36"/>
      <c r="D3" s="134" t="s">
        <v>250</v>
      </c>
      <c r="E3" s="134"/>
      <c r="F3" s="76">
        <f>F2+SUMIF(C7:C16,"&lt;&gt;Y",D7:D16)+SUMIF(I7:I16,"&lt;&gt;Y",J7:J16)+SUMIF(C20:C29,"&lt;&gt;Y",D20:D29)+SUMIF(I20:I29,"&lt;&gt;Y",J20:J29)+SUMIF(C33:C42,"&lt;&gt;Y",D33:D42)+SUMIF(I33:I42,"&lt;&gt;Y",J33:J42)</f>
        <v>175</v>
      </c>
      <c r="G3" s="5"/>
      <c r="H3" s="83" t="str">
        <f>'Status Kelulusan'!N2</f>
        <v>PHG</v>
      </c>
      <c r="I3" s="5"/>
      <c r="J3" s="5"/>
      <c r="K3" s="5"/>
      <c r="L3" s="36"/>
      <c r="M3" s="36"/>
      <c r="N3" s="36"/>
      <c r="O3" s="36"/>
      <c r="P3" s="36"/>
      <c r="Q3" s="36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>
      <c r="A4" s="82" t="s">
        <v>310</v>
      </c>
      <c r="B4" s="8" t="str">
        <f>'Status Kelulusan'!B4</f>
        <v>IF4308</v>
      </c>
      <c r="C4" s="5"/>
      <c r="D4" s="3"/>
      <c r="E4" s="3"/>
      <c r="F4" s="5"/>
      <c r="G4" s="5"/>
      <c r="H4" s="5"/>
      <c r="I4" s="3"/>
      <c r="J4" s="5"/>
      <c r="K4" s="5"/>
      <c r="L4" s="36"/>
      <c r="M4" s="36"/>
      <c r="N4" s="36"/>
      <c r="O4" s="36"/>
      <c r="P4" s="36"/>
      <c r="Q4" s="36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>
      <c r="A5" s="1"/>
      <c r="B5" s="101"/>
      <c r="C5" s="3"/>
      <c r="D5" s="3"/>
      <c r="E5" s="3"/>
      <c r="F5" s="3"/>
      <c r="G5" s="70"/>
      <c r="H5" s="101"/>
      <c r="I5" s="3"/>
      <c r="J5" s="3"/>
      <c r="K5" s="3"/>
      <c r="L5" s="36"/>
      <c r="M5" s="37"/>
      <c r="N5" s="37"/>
      <c r="O5" s="37"/>
      <c r="P5" s="37"/>
      <c r="Q5" s="36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>
      <c r="A6" s="149" t="s">
        <v>248</v>
      </c>
      <c r="B6" s="149"/>
      <c r="C6" s="100" t="s">
        <v>315</v>
      </c>
      <c r="D6" s="100" t="s">
        <v>1</v>
      </c>
      <c r="E6" s="100" t="s">
        <v>313</v>
      </c>
      <c r="F6" s="5"/>
      <c r="G6" s="149" t="s">
        <v>249</v>
      </c>
      <c r="H6" s="149"/>
      <c r="I6" s="106" t="s">
        <v>315</v>
      </c>
      <c r="J6" s="100" t="s">
        <v>1</v>
      </c>
      <c r="K6" s="100" t="s">
        <v>313</v>
      </c>
      <c r="L6" s="36"/>
      <c r="M6" s="145" t="s">
        <v>295</v>
      </c>
      <c r="N6" s="145"/>
      <c r="O6" s="145"/>
      <c r="P6" s="145"/>
      <c r="Q6" s="36"/>
      <c r="R6" s="149" t="s">
        <v>308</v>
      </c>
      <c r="S6" s="149"/>
      <c r="T6" s="195" t="s">
        <v>1</v>
      </c>
      <c r="U6" s="5"/>
      <c r="V6" s="149" t="s">
        <v>257</v>
      </c>
      <c r="W6" s="149"/>
      <c r="X6" s="100" t="s">
        <v>1</v>
      </c>
      <c r="Y6" s="5"/>
      <c r="Z6" s="5"/>
      <c r="AA6" s="5"/>
    </row>
    <row r="7" spans="1:27">
      <c r="A7" s="107" t="s">
        <v>122</v>
      </c>
      <c r="B7" s="108" t="s">
        <v>115</v>
      </c>
      <c r="C7" s="81" t="s">
        <v>395</v>
      </c>
      <c r="D7" s="88">
        <f>IF(ISBLANK(A7),"",VALUE(RIGHT(A7,1)))</f>
        <v>2</v>
      </c>
      <c r="E7" s="88">
        <f ca="1">IF(ISBLANK(A7),"",IF(ISNA(VLOOKUP(A7,'Harus Ambil'!$A$7:$E$39,5,FALSE)),IF(ISNA(VLOOKUP(A7,'Harus Ambil'!$G$7:$K$39,5,FALSE)),"-",VLOOKUP(A7,'Harus Ambil'!$G$7:$K$39,5,FALSE)),VLOOKUP(A7,'Harus Ambil'!$A$7:$E$39,5,FALSE)))</f>
        <v>1</v>
      </c>
      <c r="F7" s="5"/>
      <c r="G7" s="107" t="s">
        <v>150</v>
      </c>
      <c r="H7" s="108" t="s">
        <v>149</v>
      </c>
      <c r="I7" s="81" t="s">
        <v>395</v>
      </c>
      <c r="J7" s="88">
        <f>IF(ISBLANK(G7),"",VALUE(RIGHT(G7,1)))</f>
        <v>3</v>
      </c>
      <c r="K7" s="88" t="str">
        <f ca="1">IF(ISBLANK(G7),"",IF(ISNA(VLOOKUP(G7,'Harus Ambil'!$A$7:$E$39,5,FALSE)),IF(ISNA(VLOOKUP(G7,'Harus Ambil'!$G$7:$K$39,5,FALSE)),"-",VLOOKUP(G7,'Harus Ambil'!$G$7:$K$39,5,FALSE)),VLOOKUP(G7,'Harus Ambil'!$A$7:$E$39,5,FALSE)))</f>
        <v>-</v>
      </c>
      <c r="L7" s="36"/>
      <c r="M7" s="145"/>
      <c r="N7" s="145"/>
      <c r="O7" s="145"/>
      <c r="P7" s="145"/>
      <c r="Q7" s="36"/>
      <c r="R7" s="149"/>
      <c r="S7" s="149"/>
      <c r="T7" s="196"/>
      <c r="U7" s="5"/>
      <c r="V7" s="78" t="s">
        <v>258</v>
      </c>
      <c r="W7" s="14" t="s">
        <v>263</v>
      </c>
      <c r="X7" s="84">
        <v>3</v>
      </c>
      <c r="Y7" s="5"/>
      <c r="Z7" s="5"/>
      <c r="AA7" s="5"/>
    </row>
    <row r="8" spans="1:27" ht="14.95" customHeight="1">
      <c r="A8" s="107" t="s">
        <v>136</v>
      </c>
      <c r="B8" s="108" t="s">
        <v>48</v>
      </c>
      <c r="C8" s="81" t="s">
        <v>395</v>
      </c>
      <c r="D8" s="88">
        <f t="shared" ref="D8:D16" si="0">IF(ISBLANK(A8),"",VALUE(RIGHT(A8,1)))</f>
        <v>3</v>
      </c>
      <c r="E8" s="88" t="str">
        <f ca="1">IF(ISBLANK(A8),"",IF(ISNA(VLOOKUP(A8,'Harus Ambil'!$A$7:$E$39,5,FALSE)),IF(ISNA(VLOOKUP(A8,'Harus Ambil'!$G$7:$K$39,5,FALSE)),"-",VLOOKUP(A8,'Harus Ambil'!$G$7:$K$39,5,FALSE)),VLOOKUP(A8,'Harus Ambil'!$A$7:$E$39,5,FALSE)))</f>
        <v>-</v>
      </c>
      <c r="F8" s="5"/>
      <c r="G8" s="107" t="s">
        <v>153</v>
      </c>
      <c r="H8" s="108" t="s">
        <v>64</v>
      </c>
      <c r="I8" s="81" t="s">
        <v>395</v>
      </c>
      <c r="J8" s="88">
        <f t="shared" ref="J8:J16" si="1">IF(ISBLANK(G8),"",VALUE(RIGHT(G8,1)))</f>
        <v>4</v>
      </c>
      <c r="K8" s="88" t="str">
        <f ca="1">IF(ISBLANK(G8),"",IF(ISNA(VLOOKUP(G8,'Harus Ambil'!$A$7:$E$39,5,FALSE)),IF(ISNA(VLOOKUP(G8,'Harus Ambil'!$G$7:$K$39,5,FALSE)),"-",VLOOKUP(G8,'Harus Ambil'!$G$7:$K$39,5,FALSE)),VLOOKUP(G8,'Harus Ambil'!$A$7:$E$39,5,FALSE)))</f>
        <v>-</v>
      </c>
      <c r="L8" s="36"/>
      <c r="M8" s="133" t="s">
        <v>355</v>
      </c>
      <c r="N8" s="133"/>
      <c r="O8" s="133"/>
      <c r="P8" s="133"/>
      <c r="Q8" s="36"/>
      <c r="R8" s="13" t="s">
        <v>135</v>
      </c>
      <c r="S8" s="14" t="s">
        <v>56</v>
      </c>
      <c r="T8" s="84">
        <v>3</v>
      </c>
      <c r="U8" s="5"/>
      <c r="V8" s="78" t="s">
        <v>259</v>
      </c>
      <c r="W8" s="14" t="s">
        <v>264</v>
      </c>
      <c r="X8" s="84">
        <v>3</v>
      </c>
      <c r="Y8" s="5"/>
      <c r="Z8" s="5"/>
      <c r="AA8" s="5"/>
    </row>
    <row r="9" spans="1:27">
      <c r="A9" s="107" t="s">
        <v>135</v>
      </c>
      <c r="B9" s="108" t="s">
        <v>56</v>
      </c>
      <c r="C9" s="81" t="s">
        <v>395</v>
      </c>
      <c r="D9" s="88">
        <f t="shared" si="0"/>
        <v>3</v>
      </c>
      <c r="E9" s="88" t="str">
        <f ca="1">IF(ISBLANK(A9),"",IF(ISNA(VLOOKUP(A9,'Harus Ambil'!$A$7:$E$39,5,FALSE)),IF(ISNA(VLOOKUP(A9,'Harus Ambil'!$G$7:$K$39,5,FALSE)),"-",VLOOKUP(A9,'Harus Ambil'!$G$7:$K$39,5,FALSE)),VLOOKUP(A9,'Harus Ambil'!$A$7:$E$39,5,FALSE)))</f>
        <v>-</v>
      </c>
      <c r="F9" s="5"/>
      <c r="G9" s="107" t="s">
        <v>155</v>
      </c>
      <c r="H9" s="108" t="s">
        <v>154</v>
      </c>
      <c r="I9" s="81" t="s">
        <v>395</v>
      </c>
      <c r="J9" s="88">
        <f t="shared" si="1"/>
        <v>3</v>
      </c>
      <c r="K9" s="88" t="str">
        <f ca="1">IF(ISBLANK(G9),"",IF(ISNA(VLOOKUP(G9,'Harus Ambil'!$A$7:$E$39,5,FALSE)),IF(ISNA(VLOOKUP(G9,'Harus Ambil'!$G$7:$K$39,5,FALSE)),"-",VLOOKUP(G9,'Harus Ambil'!$G$7:$K$39,5,FALSE)),VLOOKUP(G9,'Harus Ambil'!$A$7:$E$39,5,FALSE)))</f>
        <v>-</v>
      </c>
      <c r="L9" s="36"/>
      <c r="M9" s="133"/>
      <c r="N9" s="133"/>
      <c r="O9" s="133"/>
      <c r="P9" s="133"/>
      <c r="Q9" s="36"/>
      <c r="R9" s="13" t="s">
        <v>136</v>
      </c>
      <c r="S9" s="14" t="s">
        <v>48</v>
      </c>
      <c r="T9" s="84">
        <v>3</v>
      </c>
      <c r="U9" s="5"/>
      <c r="V9" s="78" t="s">
        <v>260</v>
      </c>
      <c r="W9" s="14" t="s">
        <v>265</v>
      </c>
      <c r="X9" s="84">
        <v>3</v>
      </c>
      <c r="Y9" s="5"/>
      <c r="Z9" s="5"/>
      <c r="AA9" s="5"/>
    </row>
    <row r="10" spans="1:27">
      <c r="A10" s="107" t="s">
        <v>137</v>
      </c>
      <c r="B10" s="108" t="s">
        <v>58</v>
      </c>
      <c r="C10" s="81" t="s">
        <v>395</v>
      </c>
      <c r="D10" s="88">
        <f t="shared" si="0"/>
        <v>3</v>
      </c>
      <c r="E10" s="88" t="str">
        <f ca="1">IF(ISBLANK(A10),"",IF(ISNA(VLOOKUP(A10,'Harus Ambil'!$A$7:$E$39,5,FALSE)),IF(ISNA(VLOOKUP(A10,'Harus Ambil'!$G$7:$K$39,5,FALSE)),"-",VLOOKUP(A10,'Harus Ambil'!$G$7:$K$39,5,FALSE)),VLOOKUP(A10,'Harus Ambil'!$A$7:$E$39,5,FALSE)))</f>
        <v>-</v>
      </c>
      <c r="F10" s="5"/>
      <c r="G10" s="107" t="s">
        <v>157</v>
      </c>
      <c r="H10" s="108" t="s">
        <v>156</v>
      </c>
      <c r="I10" s="81" t="s">
        <v>395</v>
      </c>
      <c r="J10" s="88">
        <f t="shared" si="1"/>
        <v>3</v>
      </c>
      <c r="K10" s="88" t="str">
        <f ca="1">IF(ISBLANK(G10),"",IF(ISNA(VLOOKUP(G10,'Harus Ambil'!$A$7:$E$39,5,FALSE)),IF(ISNA(VLOOKUP(G10,'Harus Ambil'!$G$7:$K$39,5,FALSE)),"-",VLOOKUP(G10,'Harus Ambil'!$G$7:$K$39,5,FALSE)),VLOOKUP(G10,'Harus Ambil'!$A$7:$E$39,5,FALSE)))</f>
        <v>-</v>
      </c>
      <c r="L10" s="36"/>
      <c r="M10" s="133"/>
      <c r="N10" s="133"/>
      <c r="O10" s="133"/>
      <c r="P10" s="133"/>
      <c r="Q10" s="36"/>
      <c r="R10" s="13" t="s">
        <v>144</v>
      </c>
      <c r="S10" s="14" t="s">
        <v>42</v>
      </c>
      <c r="T10" s="84">
        <v>3</v>
      </c>
      <c r="U10" s="5"/>
      <c r="V10" s="74" t="s">
        <v>261</v>
      </c>
      <c r="W10" s="14" t="s">
        <v>266</v>
      </c>
      <c r="X10" s="84">
        <v>3</v>
      </c>
      <c r="Y10" s="5"/>
      <c r="Z10" s="5"/>
      <c r="AA10" s="5"/>
    </row>
    <row r="11" spans="1:27">
      <c r="A11" s="107" t="s">
        <v>140</v>
      </c>
      <c r="B11" s="108" t="s">
        <v>139</v>
      </c>
      <c r="C11" s="81" t="s">
        <v>395</v>
      </c>
      <c r="D11" s="88">
        <f t="shared" si="0"/>
        <v>2</v>
      </c>
      <c r="E11" s="88" t="str">
        <f ca="1">IF(ISBLANK(A11),"",IF(ISNA(VLOOKUP(A11,'Harus Ambil'!$A$7:$E$39,5,FALSE)),IF(ISNA(VLOOKUP(A11,'Harus Ambil'!$G$7:$K$39,5,FALSE)),"-",VLOOKUP(A11,'Harus Ambil'!$G$7:$K$39,5,FALSE)),VLOOKUP(A11,'Harus Ambil'!$A$7:$E$39,5,FALSE)))</f>
        <v>-</v>
      </c>
      <c r="F11" s="5"/>
      <c r="G11" s="107" t="s">
        <v>159</v>
      </c>
      <c r="H11" s="108" t="s">
        <v>158</v>
      </c>
      <c r="I11" s="81" t="s">
        <v>395</v>
      </c>
      <c r="J11" s="88">
        <f t="shared" si="1"/>
        <v>3</v>
      </c>
      <c r="K11" s="88" t="str">
        <f ca="1">IF(ISBLANK(G11),"",IF(ISNA(VLOOKUP(G11,'Harus Ambil'!$A$7:$E$39,5,FALSE)),IF(ISNA(VLOOKUP(G11,'Harus Ambil'!$G$7:$K$39,5,FALSE)),"-",VLOOKUP(G11,'Harus Ambil'!$G$7:$K$39,5,FALSE)),VLOOKUP(G11,'Harus Ambil'!$A$7:$E$39,5,FALSE)))</f>
        <v>-</v>
      </c>
      <c r="L11" s="36"/>
      <c r="M11" s="133"/>
      <c r="N11" s="133"/>
      <c r="O11" s="133"/>
      <c r="P11" s="133"/>
      <c r="Q11" s="36"/>
      <c r="R11" s="13" t="s">
        <v>150</v>
      </c>
      <c r="S11" s="14" t="s">
        <v>149</v>
      </c>
      <c r="T11" s="84">
        <v>3</v>
      </c>
      <c r="U11" s="5"/>
      <c r="V11" s="80" t="s">
        <v>262</v>
      </c>
      <c r="W11" s="14" t="s">
        <v>329</v>
      </c>
      <c r="X11" s="84">
        <v>3</v>
      </c>
      <c r="Y11" s="5"/>
      <c r="Z11" s="5"/>
      <c r="AA11" s="5"/>
    </row>
    <row r="12" spans="1:27">
      <c r="A12" s="107" t="s">
        <v>143</v>
      </c>
      <c r="B12" s="108" t="s">
        <v>142</v>
      </c>
      <c r="C12" s="81" t="s">
        <v>395</v>
      </c>
      <c r="D12" s="88">
        <f t="shared" si="0"/>
        <v>2</v>
      </c>
      <c r="E12" s="88" t="str">
        <f ca="1">IF(ISBLANK(A12),"",IF(ISNA(VLOOKUP(A12,'Harus Ambil'!$A$7:$E$39,5,FALSE)),IF(ISNA(VLOOKUP(A12,'Harus Ambil'!$G$7:$K$39,5,FALSE)),"-",VLOOKUP(A12,'Harus Ambil'!$G$7:$K$39,5,FALSE)),VLOOKUP(A12,'Harus Ambil'!$A$7:$E$39,5,FALSE)))</f>
        <v>-</v>
      </c>
      <c r="F12" s="5"/>
      <c r="G12" s="107"/>
      <c r="H12" s="108" t="s">
        <v>396</v>
      </c>
      <c r="I12" s="81" t="s">
        <v>395</v>
      </c>
      <c r="J12" s="88" t="str">
        <f t="shared" si="1"/>
        <v/>
      </c>
      <c r="K12" s="88" t="str">
        <f>IF(ISBLANK(G12),"",IF(ISNA(VLOOKUP(G12,'Harus Ambil'!$A$7:$E$39,5,FALSE)),IF(ISNA(VLOOKUP(G12,'Harus Ambil'!$G$7:$K$39,5,FALSE)),"-",VLOOKUP(G12,'Harus Ambil'!$G$7:$K$39,5,FALSE)),VLOOKUP(G12,'Harus Ambil'!$A$7:$E$39,5,FALSE)))</f>
        <v/>
      </c>
      <c r="L12" s="36"/>
      <c r="M12" s="133"/>
      <c r="N12" s="133"/>
      <c r="O12" s="133"/>
      <c r="P12" s="133"/>
      <c r="Q12" s="36"/>
      <c r="R12" s="13" t="s">
        <v>152</v>
      </c>
      <c r="S12" s="14" t="s">
        <v>151</v>
      </c>
      <c r="T12" s="84">
        <v>2</v>
      </c>
      <c r="U12" s="5"/>
      <c r="V12" s="13"/>
      <c r="W12" s="14"/>
      <c r="X12" s="84"/>
      <c r="Y12" s="5"/>
      <c r="Z12" s="5"/>
      <c r="AA12" s="5"/>
    </row>
    <row r="13" spans="1:27" ht="14.95" customHeight="1">
      <c r="A13" s="107" t="s">
        <v>146</v>
      </c>
      <c r="B13" s="108" t="s">
        <v>145</v>
      </c>
      <c r="C13" s="81" t="s">
        <v>395</v>
      </c>
      <c r="D13" s="88">
        <f t="shared" si="0"/>
        <v>3</v>
      </c>
      <c r="E13" s="88" t="str">
        <f ca="1">IF(ISBLANK(A13),"",IF(ISNA(VLOOKUP(A13,'Harus Ambil'!$A$7:$E$39,5,FALSE)),IF(ISNA(VLOOKUP(A13,'Harus Ambil'!$G$7:$K$39,5,FALSE)),"-",VLOOKUP(A13,'Harus Ambil'!$G$7:$K$39,5,FALSE)),VLOOKUP(A13,'Harus Ambil'!$A$7:$E$39,5,FALSE)))</f>
        <v>-</v>
      </c>
      <c r="F13" s="5"/>
      <c r="G13" s="107" t="s">
        <v>144</v>
      </c>
      <c r="H13" s="108" t="s">
        <v>42</v>
      </c>
      <c r="I13" s="81" t="s">
        <v>395</v>
      </c>
      <c r="J13" s="88">
        <f t="shared" si="1"/>
        <v>3</v>
      </c>
      <c r="K13" s="88" t="str">
        <f ca="1">IF(ISBLANK(G13),"",IF(ISNA(VLOOKUP(G13,'Harus Ambil'!$A$7:$E$39,5,FALSE)),IF(ISNA(VLOOKUP(G13,'Harus Ambil'!$G$7:$K$39,5,FALSE)),"-",VLOOKUP(G13,'Harus Ambil'!$G$7:$K$39,5,FALSE)),VLOOKUP(G13,'Harus Ambil'!$A$7:$E$39,5,FALSE)))</f>
        <v>-</v>
      </c>
      <c r="L13" s="36"/>
      <c r="M13" s="155" t="s">
        <v>318</v>
      </c>
      <c r="N13" s="156"/>
      <c r="O13" s="156"/>
      <c r="P13" s="157"/>
      <c r="Q13" s="36"/>
      <c r="R13" s="13" t="s">
        <v>153</v>
      </c>
      <c r="S13" s="14" t="s">
        <v>64</v>
      </c>
      <c r="T13" s="84">
        <v>4</v>
      </c>
      <c r="U13" s="5"/>
      <c r="V13" s="5"/>
      <c r="W13" s="5"/>
      <c r="X13" s="5"/>
      <c r="Y13" s="5"/>
      <c r="Z13" s="5"/>
      <c r="AA13" s="5"/>
    </row>
    <row r="14" spans="1:27" ht="14.95" customHeight="1">
      <c r="A14" s="107" t="s">
        <v>152</v>
      </c>
      <c r="B14" s="108" t="s">
        <v>151</v>
      </c>
      <c r="C14" s="81" t="s">
        <v>395</v>
      </c>
      <c r="D14" s="88">
        <f t="shared" si="0"/>
        <v>2</v>
      </c>
      <c r="E14" s="88" t="str">
        <f ca="1">IF(ISBLANK(A14),"",IF(ISNA(VLOOKUP(A14,'Harus Ambil'!$A$7:$E$39,5,FALSE)),IF(ISNA(VLOOKUP(A14,'Harus Ambil'!$G$7:$K$39,5,FALSE)),"-",VLOOKUP(A14,'Harus Ambil'!$G$7:$K$39,5,FALSE)),VLOOKUP(A14,'Harus Ambil'!$A$7:$E$39,5,FALSE)))</f>
        <v>-</v>
      </c>
      <c r="F14" s="5"/>
      <c r="G14" s="207" t="s">
        <v>175</v>
      </c>
      <c r="H14" s="208" t="s">
        <v>174</v>
      </c>
      <c r="I14" s="81" t="s">
        <v>395</v>
      </c>
      <c r="J14" s="88">
        <f t="shared" si="1"/>
        <v>3</v>
      </c>
      <c r="K14" s="88" t="str">
        <f ca="1">IF(ISBLANK(G14),"",IF(ISNA(VLOOKUP(G14,'Harus Ambil'!$A$7:$E$39,5,FALSE)),IF(ISNA(VLOOKUP(G14,'Harus Ambil'!$G$7:$K$39,5,FALSE)),"-",VLOOKUP(G14,'Harus Ambil'!$G$7:$K$39,5,FALSE)),VLOOKUP(G14,'Harus Ambil'!$A$7:$E$39,5,FALSE)))</f>
        <v>-</v>
      </c>
      <c r="L14" s="36"/>
      <c r="M14" s="158"/>
      <c r="N14" s="159"/>
      <c r="O14" s="159"/>
      <c r="P14" s="160"/>
      <c r="Q14" s="36"/>
      <c r="R14" s="13" t="s">
        <v>159</v>
      </c>
      <c r="S14" s="14" t="s">
        <v>158</v>
      </c>
      <c r="T14" s="84">
        <v>3</v>
      </c>
      <c r="U14" s="5"/>
      <c r="V14" s="149" t="s">
        <v>267</v>
      </c>
      <c r="W14" s="149"/>
      <c r="X14" s="100" t="s">
        <v>1</v>
      </c>
      <c r="Y14" s="5"/>
      <c r="Z14" s="5"/>
      <c r="AA14" s="5"/>
    </row>
    <row r="15" spans="1:27">
      <c r="A15" s="107"/>
      <c r="B15" s="108"/>
      <c r="C15" s="81"/>
      <c r="D15" s="88" t="str">
        <f t="shared" si="0"/>
        <v/>
      </c>
      <c r="E15" s="88" t="str">
        <f>IF(ISBLANK(A15),"",IF(ISNA(VLOOKUP(A15,'Harus Ambil'!$A$7:$E$39,5,FALSE)),IF(ISNA(VLOOKUP(A15,'Harus Ambil'!$G$7:$K$39,5,FALSE)),"-",VLOOKUP(A15,'Harus Ambil'!$G$7:$K$39,5,FALSE)),VLOOKUP(A15,'Harus Ambil'!$A$7:$E$39,5,FALSE)))</f>
        <v/>
      </c>
      <c r="F15" s="5"/>
      <c r="G15" s="107"/>
      <c r="H15" s="122"/>
      <c r="I15" s="81"/>
      <c r="J15" s="88" t="str">
        <f t="shared" si="1"/>
        <v/>
      </c>
      <c r="K15" s="88" t="str">
        <f>IF(ISBLANK(G15),"",IF(ISNA(VLOOKUP(G15,'Harus Ambil'!$A$7:$E$39,5,FALSE)),IF(ISNA(VLOOKUP(G15,'Harus Ambil'!$G$7:$K$39,5,FALSE)),"-",VLOOKUP(G15,'Harus Ambil'!$G$7:$K$39,5,FALSE)),VLOOKUP(G15,'Harus Ambil'!$A$7:$E$39,5,FALSE)))</f>
        <v/>
      </c>
      <c r="L15" s="36"/>
      <c r="M15" s="158"/>
      <c r="N15" s="159"/>
      <c r="O15" s="159"/>
      <c r="P15" s="160"/>
      <c r="Q15" s="36"/>
      <c r="R15" s="13" t="s">
        <v>165</v>
      </c>
      <c r="S15" s="14" t="s">
        <v>82</v>
      </c>
      <c r="T15" s="84">
        <v>3</v>
      </c>
      <c r="U15" s="5"/>
      <c r="V15" s="78" t="s">
        <v>268</v>
      </c>
      <c r="W15" s="14" t="s">
        <v>276</v>
      </c>
      <c r="X15" s="84">
        <v>3</v>
      </c>
      <c r="Y15" s="5"/>
      <c r="Z15" s="5"/>
      <c r="AA15" s="5"/>
    </row>
    <row r="16" spans="1:27">
      <c r="A16" s="85"/>
      <c r="B16" s="86"/>
      <c r="C16" s="81"/>
      <c r="D16" s="88" t="str">
        <f t="shared" si="0"/>
        <v/>
      </c>
      <c r="E16" s="88" t="str">
        <f>IF(ISBLANK(A16),"",IF(ISNA(VLOOKUP(A16,'Harus Ambil'!$A$7:$E$39,5,FALSE)),IF(ISNA(VLOOKUP(A16,'Harus Ambil'!$G$7:$K$39,5,FALSE)),"-",VLOOKUP(A16,'Harus Ambil'!$G$7:$K$39,5,FALSE)),VLOOKUP(A16,'Harus Ambil'!$A$7:$E$39,5,FALSE)))</f>
        <v/>
      </c>
      <c r="F16" s="5"/>
      <c r="G16" s="85"/>
      <c r="H16" s="86"/>
      <c r="I16" s="81"/>
      <c r="J16" s="88" t="str">
        <f t="shared" si="1"/>
        <v/>
      </c>
      <c r="K16" s="88" t="str">
        <f>IF(ISBLANK(G16),"",IF(ISNA(VLOOKUP(G16,'Harus Ambil'!$A$7:$E$39,5,FALSE)),IF(ISNA(VLOOKUP(G16,'Harus Ambil'!$G$7:$K$39,5,FALSE)),"-",VLOOKUP(G16,'Harus Ambil'!$G$7:$K$39,5,FALSE)),VLOOKUP(G16,'Harus Ambil'!$A$7:$E$39,5,FALSE)))</f>
        <v/>
      </c>
      <c r="L16" s="36"/>
      <c r="M16" s="158"/>
      <c r="N16" s="159"/>
      <c r="O16" s="159"/>
      <c r="P16" s="160"/>
      <c r="Q16" s="36"/>
      <c r="R16" s="13" t="s">
        <v>166</v>
      </c>
      <c r="S16" s="14" t="s">
        <v>74</v>
      </c>
      <c r="T16" s="84">
        <v>4</v>
      </c>
      <c r="U16" s="5"/>
      <c r="V16" s="78" t="s">
        <v>269</v>
      </c>
      <c r="W16" s="14" t="s">
        <v>277</v>
      </c>
      <c r="X16" s="84">
        <v>3</v>
      </c>
      <c r="Y16" s="5"/>
      <c r="Z16" s="5"/>
      <c r="AA16" s="5"/>
    </row>
    <row r="17" spans="1:27" ht="14.95" customHeight="1">
      <c r="A17" s="16"/>
      <c r="B17" s="30" t="s">
        <v>357</v>
      </c>
      <c r="C17" s="31">
        <f>SUM(D7:D16)</f>
        <v>20</v>
      </c>
      <c r="D17" s="5"/>
      <c r="E17" s="5"/>
      <c r="F17" s="5"/>
      <c r="G17" s="16"/>
      <c r="H17" s="30" t="s">
        <v>357</v>
      </c>
      <c r="I17" s="31">
        <f>SUM(J7:J16)</f>
        <v>22</v>
      </c>
      <c r="J17" s="5"/>
      <c r="K17" s="5"/>
      <c r="L17" s="36"/>
      <c r="M17" s="161"/>
      <c r="N17" s="162"/>
      <c r="O17" s="162"/>
      <c r="P17" s="163"/>
      <c r="Q17" s="36"/>
      <c r="R17" s="13" t="s">
        <v>168</v>
      </c>
      <c r="S17" s="14" t="s">
        <v>167</v>
      </c>
      <c r="T17" s="84">
        <v>3</v>
      </c>
      <c r="U17" s="5"/>
      <c r="V17" s="78" t="s">
        <v>270</v>
      </c>
      <c r="W17" s="14" t="s">
        <v>278</v>
      </c>
      <c r="X17" s="84">
        <v>3</v>
      </c>
      <c r="Y17" s="5"/>
      <c r="Z17" s="5"/>
      <c r="AA17" s="5"/>
    </row>
    <row r="18" spans="1:27">
      <c r="A18" s="16"/>
      <c r="B18" s="17"/>
      <c r="C18" s="5"/>
      <c r="D18" s="5"/>
      <c r="E18" s="5"/>
      <c r="F18" s="5"/>
      <c r="G18" s="16"/>
      <c r="H18" s="17"/>
      <c r="I18" s="5"/>
      <c r="J18" s="5"/>
      <c r="K18" s="5"/>
      <c r="L18" s="36"/>
      <c r="M18" s="155" t="s">
        <v>314</v>
      </c>
      <c r="N18" s="156"/>
      <c r="O18" s="156"/>
      <c r="P18" s="157"/>
      <c r="Q18" s="36"/>
      <c r="R18" s="13" t="s">
        <v>169</v>
      </c>
      <c r="S18" s="14" t="s">
        <v>347</v>
      </c>
      <c r="T18" s="84">
        <v>1</v>
      </c>
      <c r="U18" s="5"/>
      <c r="V18" s="78" t="s">
        <v>271</v>
      </c>
      <c r="W18" s="14" t="s">
        <v>279</v>
      </c>
      <c r="X18" s="84">
        <v>3</v>
      </c>
      <c r="Y18" s="5"/>
      <c r="Z18" s="5"/>
      <c r="AA18" s="5"/>
    </row>
    <row r="19" spans="1:27" ht="14.95" customHeight="1">
      <c r="A19" s="149" t="s">
        <v>251</v>
      </c>
      <c r="B19" s="149"/>
      <c r="C19" s="100" t="s">
        <v>315</v>
      </c>
      <c r="D19" s="100" t="s">
        <v>1</v>
      </c>
      <c r="E19" s="100" t="s">
        <v>313</v>
      </c>
      <c r="F19" s="5"/>
      <c r="G19" s="149" t="s">
        <v>252</v>
      </c>
      <c r="H19" s="149"/>
      <c r="I19" s="100" t="s">
        <v>315</v>
      </c>
      <c r="J19" s="100" t="s">
        <v>1</v>
      </c>
      <c r="K19" s="100" t="s">
        <v>313</v>
      </c>
      <c r="L19" s="36"/>
      <c r="M19" s="158"/>
      <c r="N19" s="159"/>
      <c r="O19" s="159"/>
      <c r="P19" s="160"/>
      <c r="Q19" s="36"/>
      <c r="R19" s="13" t="s">
        <v>171</v>
      </c>
      <c r="S19" s="14" t="s">
        <v>170</v>
      </c>
      <c r="T19" s="84">
        <v>3</v>
      </c>
      <c r="U19" s="5"/>
      <c r="V19" s="74" t="s">
        <v>272</v>
      </c>
      <c r="W19" s="14" t="s">
        <v>280</v>
      </c>
      <c r="X19" s="84">
        <v>3</v>
      </c>
      <c r="Y19" s="5"/>
      <c r="Z19" s="5"/>
      <c r="AA19" s="5"/>
    </row>
    <row r="20" spans="1:27" ht="14.95" customHeight="1">
      <c r="A20" s="107"/>
      <c r="B20" s="108"/>
      <c r="C20" s="81"/>
      <c r="D20" s="88" t="str">
        <f>IF(ISBLANK(A20),"",VALUE(RIGHT(A20,1)))</f>
        <v/>
      </c>
      <c r="E20" s="88" t="str">
        <f>IF(ISBLANK(A20),"",IF(ISNA(VLOOKUP(A20,'Harus Ambil'!$A$7:$E$39,5,FALSE)),IF(ISNA(VLOOKUP(A20,'Harus Ambil'!$G$7:$K$39,5,FALSE)),"-",VLOOKUP(A20,'Harus Ambil'!$G$7:$K$39,5,FALSE)),VLOOKUP(A20,'Harus Ambil'!$A$7:$E$39,5,FALSE)))</f>
        <v/>
      </c>
      <c r="F20" s="5"/>
      <c r="G20" s="107"/>
      <c r="H20" s="108"/>
      <c r="I20" s="81"/>
      <c r="J20" s="88" t="str">
        <f>IF(ISBLANK(G20),"",VALUE(RIGHT(G20,1)))</f>
        <v/>
      </c>
      <c r="K20" s="88" t="str">
        <f>IF(ISBLANK(G20),"",IF(ISNA(VLOOKUP(G20,'Harus Ambil'!$A$7:$E$39,5,FALSE)),IF(ISNA(VLOOKUP(G20,'Harus Ambil'!$G$7:$K$39,5,FALSE)),"-",VLOOKUP(G20,'Harus Ambil'!$G$7:$K$39,5,FALSE)),VLOOKUP(G20,'Harus Ambil'!$A$7:$E$39,5,FALSE)))</f>
        <v/>
      </c>
      <c r="L20" s="36"/>
      <c r="M20" s="158"/>
      <c r="N20" s="159"/>
      <c r="O20" s="159"/>
      <c r="P20" s="160"/>
      <c r="Q20" s="36"/>
      <c r="R20" s="13" t="s">
        <v>179</v>
      </c>
      <c r="S20" s="14" t="s">
        <v>178</v>
      </c>
      <c r="T20" s="84">
        <v>2</v>
      </c>
      <c r="U20" s="5"/>
      <c r="V20" s="74" t="s">
        <v>273</v>
      </c>
      <c r="W20" s="14" t="s">
        <v>281</v>
      </c>
      <c r="X20" s="84">
        <v>3</v>
      </c>
      <c r="Y20" s="5"/>
      <c r="Z20" s="5"/>
      <c r="AA20" s="5"/>
    </row>
    <row r="21" spans="1:27" s="7" customFormat="1">
      <c r="A21" s="107" t="s">
        <v>162</v>
      </c>
      <c r="B21" s="108" t="s">
        <v>161</v>
      </c>
      <c r="C21" s="81" t="s">
        <v>395</v>
      </c>
      <c r="D21" s="88">
        <f t="shared" ref="D21:D29" si="2">IF(ISBLANK(A21),"",VALUE(RIGHT(A21,1)))</f>
        <v>3</v>
      </c>
      <c r="E21" s="88">
        <f ca="1">IF(ISBLANK(A21),"",IF(ISNA(VLOOKUP(A21,'Harus Ambil'!$A$7:$E$39,5,FALSE)),IF(ISNA(VLOOKUP(A21,'Harus Ambil'!$G$7:$K$39,5,FALSE)),"-",VLOOKUP(A21,'Harus Ambil'!$G$7:$K$39,5,FALSE)),VLOOKUP(A21,'Harus Ambil'!$A$7:$E$39,5,FALSE)))</f>
        <v>26</v>
      </c>
      <c r="F21" s="5"/>
      <c r="G21" s="107" t="s">
        <v>173</v>
      </c>
      <c r="H21" s="108" t="s">
        <v>172</v>
      </c>
      <c r="I21" s="81" t="s">
        <v>395</v>
      </c>
      <c r="J21" s="88">
        <f t="shared" ref="J21:J29" si="3">IF(ISBLANK(G21),"",VALUE(RIGHT(G21,1)))</f>
        <v>4</v>
      </c>
      <c r="K21" s="88">
        <f ca="1">IF(ISBLANK(G21),"",IF(ISNA(VLOOKUP(G21,'Harus Ambil'!$A$7:$E$39,5,FALSE)),IF(ISNA(VLOOKUP(G21,'Harus Ambil'!$G$7:$K$39,5,FALSE)),"-",VLOOKUP(G21,'Harus Ambil'!$G$7:$K$39,5,FALSE)),VLOOKUP(G21,'Harus Ambil'!$A$7:$E$39,5,FALSE)))</f>
        <v>33</v>
      </c>
      <c r="L21" s="36"/>
      <c r="M21" s="158"/>
      <c r="N21" s="159"/>
      <c r="O21" s="159"/>
      <c r="P21" s="160"/>
      <c r="Q21" s="36"/>
      <c r="R21" s="13" t="s">
        <v>185</v>
      </c>
      <c r="S21" s="14" t="s">
        <v>184</v>
      </c>
      <c r="T21" s="84">
        <v>3</v>
      </c>
      <c r="U21" s="5"/>
      <c r="V21" s="80" t="s">
        <v>274</v>
      </c>
      <c r="W21" s="14" t="s">
        <v>282</v>
      </c>
      <c r="X21" s="84">
        <v>3</v>
      </c>
      <c r="Y21" s="5"/>
      <c r="Z21" s="5"/>
      <c r="AA21" s="5"/>
    </row>
    <row r="22" spans="1:27" s="7" customFormat="1">
      <c r="A22" s="107" t="s">
        <v>164</v>
      </c>
      <c r="B22" s="108" t="s">
        <v>163</v>
      </c>
      <c r="C22" s="81" t="s">
        <v>395</v>
      </c>
      <c r="D22" s="88">
        <f t="shared" si="2"/>
        <v>4</v>
      </c>
      <c r="E22" s="88">
        <f ca="1">IF(ISBLANK(A22),"",IF(ISNA(VLOOKUP(A22,'Harus Ambil'!$A$7:$E$39,5,FALSE)),IF(ISNA(VLOOKUP(A22,'Harus Ambil'!$G$7:$K$39,5,FALSE)),"-",VLOOKUP(A22,'Harus Ambil'!$G$7:$K$39,5,FALSE)),VLOOKUP(A22,'Harus Ambil'!$A$7:$E$39,5,FALSE)))</f>
        <v>27</v>
      </c>
      <c r="F22" s="5"/>
      <c r="G22" s="107" t="s">
        <v>177</v>
      </c>
      <c r="H22" s="108" t="s">
        <v>176</v>
      </c>
      <c r="I22" s="81" t="s">
        <v>395</v>
      </c>
      <c r="J22" s="88">
        <f t="shared" si="3"/>
        <v>4</v>
      </c>
      <c r="K22" s="88">
        <f ca="1">IF(ISBLANK(G22),"",IF(ISNA(VLOOKUP(G22,'Harus Ambil'!$A$7:$E$39,5,FALSE)),IF(ISNA(VLOOKUP(G22,'Harus Ambil'!$G$7:$K$39,5,FALSE)),"-",VLOOKUP(G22,'Harus Ambil'!$G$7:$K$39,5,FALSE)),VLOOKUP(G22,'Harus Ambil'!$A$7:$E$39,5,FALSE)))</f>
        <v>35</v>
      </c>
      <c r="L22" s="36"/>
      <c r="M22" s="161"/>
      <c r="N22" s="162"/>
      <c r="O22" s="162"/>
      <c r="P22" s="163"/>
      <c r="Q22" s="36"/>
      <c r="R22" s="5"/>
      <c r="S22" s="5"/>
      <c r="T22" s="5"/>
      <c r="U22" s="5"/>
      <c r="V22" s="80" t="s">
        <v>275</v>
      </c>
      <c r="W22" s="14" t="s">
        <v>283</v>
      </c>
      <c r="X22" s="84">
        <v>3</v>
      </c>
      <c r="Y22" s="5"/>
      <c r="Z22" s="5"/>
      <c r="AA22" s="5"/>
    </row>
    <row r="23" spans="1:27" s="7" customFormat="1" ht="14.95" customHeight="1">
      <c r="A23" s="107"/>
      <c r="B23" s="108"/>
      <c r="C23" s="81"/>
      <c r="D23" s="88" t="str">
        <f t="shared" si="2"/>
        <v/>
      </c>
      <c r="E23" s="88" t="str">
        <f>IF(ISBLANK(A23),"",IF(ISNA(VLOOKUP(A23,'Harus Ambil'!$A$7:$E$39,5,FALSE)),IF(ISNA(VLOOKUP(A23,'Harus Ambil'!$G$7:$K$39,5,FALSE)),"-",VLOOKUP(A23,'Harus Ambil'!$G$7:$K$39,5,FALSE)),VLOOKUP(A23,'Harus Ambil'!$A$7:$E$39,5,FALSE)))</f>
        <v/>
      </c>
      <c r="F23" s="5"/>
      <c r="G23" s="107" t="s">
        <v>182</v>
      </c>
      <c r="H23" s="108" t="s">
        <v>95</v>
      </c>
      <c r="I23" s="81" t="s">
        <v>395</v>
      </c>
      <c r="J23" s="88">
        <f t="shared" si="3"/>
        <v>2</v>
      </c>
      <c r="K23" s="88">
        <f ca="1">IF(ISBLANK(G23),"",IF(ISNA(VLOOKUP(G23,'Harus Ambil'!$A$7:$E$39,5,FALSE)),IF(ISNA(VLOOKUP(G23,'Harus Ambil'!$G$7:$K$39,5,FALSE)),"-",VLOOKUP(G23,'Harus Ambil'!$G$7:$K$39,5,FALSE)),VLOOKUP(G23,'Harus Ambil'!$A$7:$E$39,5,FALSE)))</f>
        <v>38</v>
      </c>
      <c r="L23" s="36"/>
      <c r="M23" s="155" t="s">
        <v>319</v>
      </c>
      <c r="N23" s="156"/>
      <c r="O23" s="156"/>
      <c r="P23" s="157"/>
      <c r="Q23" s="36"/>
      <c r="R23" s="5"/>
      <c r="S23" s="5"/>
      <c r="T23" s="5"/>
      <c r="U23" s="5"/>
      <c r="V23" s="13"/>
      <c r="W23" s="14"/>
      <c r="X23" s="84"/>
      <c r="Y23" s="5"/>
      <c r="Z23" s="5"/>
      <c r="AA23" s="5"/>
    </row>
    <row r="24" spans="1:27" s="7" customFormat="1" ht="14.95" customHeight="1">
      <c r="A24" s="107"/>
      <c r="B24" s="108"/>
      <c r="C24" s="81"/>
      <c r="D24" s="88" t="str">
        <f t="shared" si="2"/>
        <v/>
      </c>
      <c r="E24" s="88" t="str">
        <f>IF(ISBLANK(A24),"",IF(ISNA(VLOOKUP(A24,'Harus Ambil'!$A$7:$E$39,5,FALSE)),IF(ISNA(VLOOKUP(A24,'Harus Ambil'!$G$7:$K$39,5,FALSE)),"-",VLOOKUP(A24,'Harus Ambil'!$G$7:$K$39,5,FALSE)),VLOOKUP(A24,'Harus Ambil'!$A$7:$E$39,5,FALSE)))</f>
        <v/>
      </c>
      <c r="F24" s="5"/>
      <c r="G24" s="107" t="s">
        <v>185</v>
      </c>
      <c r="H24" s="108" t="s">
        <v>184</v>
      </c>
      <c r="I24" s="81" t="s">
        <v>395</v>
      </c>
      <c r="J24" s="88">
        <f t="shared" si="3"/>
        <v>3</v>
      </c>
      <c r="K24" s="88">
        <f ca="1">IF(ISBLANK(G24),"",IF(ISNA(VLOOKUP(G24,'Harus Ambil'!$A$7:$E$39,5,FALSE)),IF(ISNA(VLOOKUP(G24,'Harus Ambil'!$G$7:$K$39,5,FALSE)),"-",VLOOKUP(G24,'Harus Ambil'!$G$7:$K$39,5,FALSE)),VLOOKUP(G24,'Harus Ambil'!$A$7:$E$39,5,FALSE)))</f>
        <v>40</v>
      </c>
      <c r="L24" s="36"/>
      <c r="M24" s="158"/>
      <c r="N24" s="159"/>
      <c r="O24" s="159"/>
      <c r="P24" s="160"/>
      <c r="Q24" s="36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s="7" customFormat="1" ht="14.95" customHeight="1">
      <c r="A25" s="107" t="s">
        <v>169</v>
      </c>
      <c r="B25" s="108" t="s">
        <v>347</v>
      </c>
      <c r="C25" s="81" t="s">
        <v>395</v>
      </c>
      <c r="D25" s="88">
        <f t="shared" si="2"/>
        <v>1</v>
      </c>
      <c r="E25" s="88">
        <f ca="1">IF(ISBLANK(A25),"",IF(ISNA(VLOOKUP(A25,'Harus Ambil'!$A$7:$E$39,5,FALSE)),IF(ISNA(VLOOKUP(A25,'Harus Ambil'!$G$7:$K$39,5,FALSE)),"-",VLOOKUP(A25,'Harus Ambil'!$G$7:$K$39,5,FALSE)),VLOOKUP(A25,'Harus Ambil'!$A$7:$E$39,5,FALSE)))</f>
        <v>31</v>
      </c>
      <c r="F25" s="5"/>
      <c r="G25" s="107" t="s">
        <v>171</v>
      </c>
      <c r="H25" s="108" t="s">
        <v>170</v>
      </c>
      <c r="I25" s="81" t="s">
        <v>395</v>
      </c>
      <c r="J25" s="88">
        <f t="shared" si="3"/>
        <v>3</v>
      </c>
      <c r="K25" s="88">
        <f ca="1">IF(ISBLANK(G25),"",IF(ISNA(VLOOKUP(G25,'Harus Ambil'!$A$7:$E$39,5,FALSE)),IF(ISNA(VLOOKUP(G25,'Harus Ambil'!$G$7:$K$39,5,FALSE)),"-",VLOOKUP(G25,'Harus Ambil'!$G$7:$K$39,5,FALSE)),VLOOKUP(G25,'Harus Ambil'!$A$7:$E$39,5,FALSE)))</f>
        <v>32</v>
      </c>
      <c r="L25" s="36"/>
      <c r="M25" s="158"/>
      <c r="N25" s="159"/>
      <c r="O25" s="159"/>
      <c r="P25" s="160"/>
      <c r="Q25" s="36"/>
      <c r="R25" s="133" t="s">
        <v>339</v>
      </c>
      <c r="S25" s="133"/>
      <c r="T25" s="59"/>
      <c r="U25" s="5"/>
      <c r="V25" s="149" t="s">
        <v>306</v>
      </c>
      <c r="W25" s="149"/>
      <c r="X25" s="100" t="s">
        <v>1</v>
      </c>
      <c r="Y25" s="5"/>
      <c r="Z25" s="5"/>
      <c r="AA25" s="5"/>
    </row>
    <row r="26" spans="1:27" s="7" customFormat="1" ht="14.95" customHeight="1">
      <c r="A26" s="107" t="s">
        <v>165</v>
      </c>
      <c r="B26" s="108" t="s">
        <v>82</v>
      </c>
      <c r="C26" s="81" t="s">
        <v>395</v>
      </c>
      <c r="D26" s="88">
        <f t="shared" si="2"/>
        <v>3</v>
      </c>
      <c r="E26" s="88">
        <f ca="1">IF(ISBLANK(A26),"",IF(ISNA(VLOOKUP(A26,'Harus Ambil'!$A$7:$E$39,5,FALSE)),IF(ISNA(VLOOKUP(A26,'Harus Ambil'!$G$7:$K$39,5,FALSE)),"-",VLOOKUP(A26,'Harus Ambil'!$G$7:$K$39,5,FALSE)),VLOOKUP(A26,'Harus Ambil'!$A$7:$E$39,5,FALSE)))</f>
        <v>28</v>
      </c>
      <c r="F26" s="5"/>
      <c r="G26" s="107"/>
      <c r="H26" s="108"/>
      <c r="I26" s="81"/>
      <c r="J26" s="88" t="str">
        <f t="shared" si="3"/>
        <v/>
      </c>
      <c r="K26" s="88" t="str">
        <f>IF(ISBLANK(G26),"",IF(ISNA(VLOOKUP(G26,'Harus Ambil'!$A$7:$E$39,5,FALSE)),IF(ISNA(VLOOKUP(G26,'Harus Ambil'!$G$7:$K$39,5,FALSE)),"-",VLOOKUP(G26,'Harus Ambil'!$G$7:$K$39,5,FALSE)),VLOOKUP(G26,'Harus Ambil'!$A$7:$E$39,5,FALSE)))</f>
        <v/>
      </c>
      <c r="L26" s="36"/>
      <c r="M26" s="161"/>
      <c r="N26" s="162"/>
      <c r="O26" s="162"/>
      <c r="P26" s="163"/>
      <c r="Q26" s="36"/>
      <c r="R26" s="133"/>
      <c r="S26" s="133"/>
      <c r="T26" s="59"/>
      <c r="U26" s="59"/>
      <c r="V26" s="13" t="s">
        <v>284</v>
      </c>
      <c r="W26" s="14" t="s">
        <v>289</v>
      </c>
      <c r="X26" s="84">
        <v>3</v>
      </c>
      <c r="Y26" s="5"/>
      <c r="Z26" s="5"/>
      <c r="AA26" s="5"/>
    </row>
    <row r="27" spans="1:27" s="7" customFormat="1">
      <c r="A27" s="107" t="s">
        <v>160</v>
      </c>
      <c r="B27" s="108" t="s">
        <v>100</v>
      </c>
      <c r="C27" s="81" t="s">
        <v>395</v>
      </c>
      <c r="D27" s="88">
        <f t="shared" si="2"/>
        <v>2</v>
      </c>
      <c r="E27" s="88">
        <f ca="1">IF(ISBLANK(A27),"",IF(ISNA(VLOOKUP(A27,'Harus Ambil'!$A$7:$E$39,5,FALSE)),IF(ISNA(VLOOKUP(A27,'Harus Ambil'!$G$7:$K$39,5,FALSE)),"-",VLOOKUP(A27,'Harus Ambil'!$G$7:$K$39,5,FALSE)),VLOOKUP(A27,'Harus Ambil'!$A$7:$E$39,5,FALSE)))</f>
        <v>25</v>
      </c>
      <c r="F27" s="5"/>
      <c r="G27" s="107" t="s">
        <v>166</v>
      </c>
      <c r="H27" s="108" t="s">
        <v>74</v>
      </c>
      <c r="I27" s="81" t="s">
        <v>395</v>
      </c>
      <c r="J27" s="88">
        <f t="shared" si="3"/>
        <v>4</v>
      </c>
      <c r="K27" s="88">
        <f ca="1">IF(ISBLANK(G27),"",IF(ISNA(VLOOKUP(G27,'Harus Ambil'!$A$7:$E$39,5,FALSE)),IF(ISNA(VLOOKUP(G27,'Harus Ambil'!$G$7:$K$39,5,FALSE)),"-",VLOOKUP(G27,'Harus Ambil'!$G$7:$K$39,5,FALSE)),VLOOKUP(G27,'Harus Ambil'!$A$7:$E$39,5,FALSE)))</f>
        <v>29</v>
      </c>
      <c r="L27" s="36"/>
      <c r="M27" s="197" t="s">
        <v>320</v>
      </c>
      <c r="N27" s="198"/>
      <c r="O27" s="198"/>
      <c r="P27" s="199"/>
      <c r="Q27" s="36"/>
      <c r="R27" s="133"/>
      <c r="S27" s="133"/>
      <c r="T27" s="59"/>
      <c r="U27" s="59"/>
      <c r="V27" s="13" t="s">
        <v>285</v>
      </c>
      <c r="W27" s="14" t="s">
        <v>290</v>
      </c>
      <c r="X27" s="84">
        <v>3</v>
      </c>
      <c r="Y27" s="5"/>
      <c r="Z27" s="5"/>
      <c r="AA27" s="5"/>
    </row>
    <row r="28" spans="1:27">
      <c r="A28" s="85"/>
      <c r="B28" s="86"/>
      <c r="C28" s="81"/>
      <c r="D28" s="88" t="str">
        <f t="shared" si="2"/>
        <v/>
      </c>
      <c r="E28" s="88" t="str">
        <f>IF(ISBLANK(A28),"",IF(ISNA(VLOOKUP(A28,'Harus Ambil'!$A$7:$E$39,5,FALSE)),IF(ISNA(VLOOKUP(A28,'Harus Ambil'!$G$7:$K$39,5,FALSE)),"-",VLOOKUP(A28,'Harus Ambil'!$G$7:$K$39,5,FALSE)),VLOOKUP(A28,'Harus Ambil'!$A$7:$E$39,5,FALSE)))</f>
        <v/>
      </c>
      <c r="F28" s="5"/>
      <c r="G28" s="107" t="s">
        <v>168</v>
      </c>
      <c r="H28" s="108" t="s">
        <v>167</v>
      </c>
      <c r="I28" s="81" t="s">
        <v>395</v>
      </c>
      <c r="J28" s="88">
        <f t="shared" si="3"/>
        <v>3</v>
      </c>
      <c r="K28" s="88">
        <f ca="1">IF(ISBLANK(G28),"",IF(ISNA(VLOOKUP(G28,'Harus Ambil'!$A$7:$E$39,5,FALSE)),IF(ISNA(VLOOKUP(G28,'Harus Ambil'!$G$7:$K$39,5,FALSE)),"-",VLOOKUP(G28,'Harus Ambil'!$G$7:$K$39,5,FALSE)),VLOOKUP(G28,'Harus Ambil'!$A$7:$E$39,5,FALSE)))</f>
        <v>30</v>
      </c>
      <c r="L28" s="36"/>
      <c r="M28" s="200"/>
      <c r="N28" s="201"/>
      <c r="O28" s="201"/>
      <c r="P28" s="202"/>
      <c r="Q28" s="36"/>
      <c r="R28" s="133"/>
      <c r="S28" s="133"/>
      <c r="T28" s="59"/>
      <c r="U28" s="59"/>
      <c r="V28" s="13" t="s">
        <v>286</v>
      </c>
      <c r="W28" s="14" t="s">
        <v>307</v>
      </c>
      <c r="X28" s="84">
        <v>3</v>
      </c>
      <c r="Y28" s="5"/>
      <c r="Z28" s="5"/>
      <c r="AA28" s="5"/>
    </row>
    <row r="29" spans="1:27" s="7" customFormat="1" ht="14.95" customHeight="1">
      <c r="A29" s="85"/>
      <c r="B29" s="86"/>
      <c r="C29" s="81"/>
      <c r="D29" s="88" t="str">
        <f t="shared" si="2"/>
        <v/>
      </c>
      <c r="E29" s="88" t="str">
        <f>IF(ISBLANK(A29),"",IF(ISNA(VLOOKUP(A29,'Harus Ambil'!$A$7:$E$39,5,FALSE)),IF(ISNA(VLOOKUP(A29,'Harus Ambil'!$G$7:$K$39,5,FALSE)),"-",VLOOKUP(A29,'Harus Ambil'!$G$7:$K$39,5,FALSE)),VLOOKUP(A29,'Harus Ambil'!$A$7:$E$39,5,FALSE)))</f>
        <v/>
      </c>
      <c r="F29" s="5"/>
      <c r="G29" s="85"/>
      <c r="H29" s="86"/>
      <c r="I29" s="81"/>
      <c r="J29" s="88" t="str">
        <f t="shared" si="3"/>
        <v/>
      </c>
      <c r="K29" s="88" t="str">
        <f>IF(ISBLANK(G29),"",IF(ISNA(VLOOKUP(G29,'Harus Ambil'!$A$7:$E$39,5,FALSE)),IF(ISNA(VLOOKUP(G29,'Harus Ambil'!$G$7:$K$39,5,FALSE)),"-",VLOOKUP(G29,'Harus Ambil'!$G$7:$K$39,5,FALSE)),VLOOKUP(G29,'Harus Ambil'!$A$7:$E$39,5,FALSE)))</f>
        <v/>
      </c>
      <c r="L29" s="36"/>
      <c r="M29" s="203"/>
      <c r="N29" s="204"/>
      <c r="O29" s="204"/>
      <c r="P29" s="205"/>
      <c r="Q29" s="36"/>
      <c r="R29" s="5"/>
      <c r="S29" s="5"/>
      <c r="T29" s="59"/>
      <c r="U29" s="59"/>
      <c r="V29" s="13" t="s">
        <v>287</v>
      </c>
      <c r="W29" s="14" t="s">
        <v>291</v>
      </c>
      <c r="X29" s="84">
        <v>3</v>
      </c>
      <c r="Y29" s="5"/>
      <c r="Z29" s="5"/>
      <c r="AA29" s="5"/>
    </row>
    <row r="30" spans="1:27" s="7" customFormat="1" ht="14.95" customHeight="1">
      <c r="A30" s="16"/>
      <c r="B30" s="30" t="s">
        <v>357</v>
      </c>
      <c r="C30" s="31">
        <f>SUM(D20:D29)</f>
        <v>13</v>
      </c>
      <c r="D30" s="5"/>
      <c r="E30" s="5"/>
      <c r="F30" s="5"/>
      <c r="G30" s="16"/>
      <c r="H30" s="30" t="s">
        <v>357</v>
      </c>
      <c r="I30" s="31">
        <f>SUM(J20:J29)</f>
        <v>23</v>
      </c>
      <c r="J30" s="5"/>
      <c r="K30" s="5"/>
      <c r="L30" s="36"/>
      <c r="M30" s="5"/>
      <c r="N30" s="5"/>
      <c r="O30" s="5"/>
      <c r="P30" s="5"/>
      <c r="Q30" s="36"/>
      <c r="R30" s="133" t="s">
        <v>340</v>
      </c>
      <c r="S30" s="133"/>
      <c r="T30" s="5"/>
      <c r="U30" s="59"/>
      <c r="V30" s="13" t="s">
        <v>288</v>
      </c>
      <c r="W30" s="14" t="s">
        <v>292</v>
      </c>
      <c r="X30" s="84">
        <v>3</v>
      </c>
      <c r="Y30" s="5"/>
      <c r="Z30" s="5"/>
      <c r="AA30" s="5"/>
    </row>
    <row r="31" spans="1:27" s="7" customFormat="1">
      <c r="A31" s="16"/>
      <c r="B31" s="17"/>
      <c r="C31" s="5"/>
      <c r="D31" s="5"/>
      <c r="E31" s="5"/>
      <c r="F31" s="5"/>
      <c r="G31" s="16"/>
      <c r="H31" s="17"/>
      <c r="I31" s="5"/>
      <c r="J31" s="5"/>
      <c r="K31" s="5"/>
      <c r="L31" s="36"/>
      <c r="M31" s="206" t="s">
        <v>309</v>
      </c>
      <c r="N31" s="206"/>
      <c r="O31" s="206"/>
      <c r="P31" s="206"/>
      <c r="Q31" s="36"/>
      <c r="R31" s="133"/>
      <c r="S31" s="133"/>
      <c r="T31" s="5"/>
      <c r="U31" s="5"/>
      <c r="V31" s="13" t="s">
        <v>294</v>
      </c>
      <c r="W31" s="14" t="s">
        <v>299</v>
      </c>
      <c r="X31" s="84">
        <v>3</v>
      </c>
      <c r="Y31" s="5"/>
      <c r="Z31" s="5"/>
      <c r="AA31" s="5"/>
    </row>
    <row r="32" spans="1:27" s="7" customFormat="1">
      <c r="A32" s="149" t="s">
        <v>253</v>
      </c>
      <c r="B32" s="149"/>
      <c r="C32" s="100" t="s">
        <v>315</v>
      </c>
      <c r="D32" s="100" t="s">
        <v>1</v>
      </c>
      <c r="E32" s="100" t="s">
        <v>313</v>
      </c>
      <c r="F32" s="5"/>
      <c r="G32" s="149" t="s">
        <v>254</v>
      </c>
      <c r="H32" s="149"/>
      <c r="I32" s="100" t="s">
        <v>315</v>
      </c>
      <c r="J32" s="100" t="s">
        <v>1</v>
      </c>
      <c r="K32" s="100" t="s">
        <v>313</v>
      </c>
      <c r="L32" s="36"/>
      <c r="M32" s="206"/>
      <c r="N32" s="206"/>
      <c r="O32" s="206"/>
      <c r="P32" s="206"/>
      <c r="Q32" s="36"/>
      <c r="R32" s="133"/>
      <c r="S32" s="133"/>
      <c r="T32" s="5"/>
      <c r="U32" s="5"/>
      <c r="V32" s="13"/>
      <c r="W32" s="14"/>
      <c r="X32" s="84"/>
      <c r="Y32" s="5"/>
      <c r="Z32" s="5"/>
      <c r="AA32" s="5"/>
    </row>
    <row r="33" spans="1:27" s="7" customFormat="1">
      <c r="A33" s="107" t="s">
        <v>183</v>
      </c>
      <c r="B33" s="108" t="s">
        <v>87</v>
      </c>
      <c r="C33" s="81" t="s">
        <v>395</v>
      </c>
      <c r="D33" s="88">
        <f>IF(ISBLANK(A33),"",VALUE(RIGHT(A33,1)))</f>
        <v>3</v>
      </c>
      <c r="E33" s="88">
        <f ca="1">IF(ISBLANK(A33),"",IF(ISNA(VLOOKUP(A33,'Harus Ambil'!$A$7:$E$39,5,FALSE)),IF(ISNA(VLOOKUP(A33,'Harus Ambil'!$G$7:$K$39,5,FALSE)),"-",VLOOKUP(A33,'Harus Ambil'!$G$7:$K$39,5,FALSE)),VLOOKUP(A33,'Harus Ambil'!$A$7:$E$39,5,FALSE)))</f>
        <v>39</v>
      </c>
      <c r="F33" s="5"/>
      <c r="G33" s="85"/>
      <c r="H33" s="86"/>
      <c r="I33" s="81"/>
      <c r="J33" s="88" t="str">
        <f>IF(ISBLANK(G33),"",VALUE(RIGHT(G33,1)))</f>
        <v/>
      </c>
      <c r="K33" s="88" t="str">
        <f>IF(ISBLANK(G33),"",IF(ISNA(VLOOKUP(G33,'Harus Ambil'!$A$7:$E$39,5,FALSE)),IF(ISNA(VLOOKUP(G33,'Harus Ambil'!$G$7:$K$39,5,FALSE)),"-",VLOOKUP(G33,'Harus Ambil'!$G$7:$K$39,5,FALSE)),VLOOKUP(G33,'Harus Ambil'!$A$7:$E$39,5,FALSE)))</f>
        <v/>
      </c>
      <c r="L33" s="36"/>
      <c r="M33" s="5"/>
      <c r="N33" s="5"/>
      <c r="O33" s="5"/>
      <c r="P33" s="5"/>
      <c r="Q33" s="36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s="7" customFormat="1">
      <c r="A34" s="107" t="s">
        <v>181</v>
      </c>
      <c r="B34" s="108" t="s">
        <v>180</v>
      </c>
      <c r="C34" s="81" t="s">
        <v>395</v>
      </c>
      <c r="D34" s="88">
        <f t="shared" ref="D34:D42" si="4">IF(ISBLANK(A34),"",VALUE(RIGHT(A34,1)))</f>
        <v>3</v>
      </c>
      <c r="E34" s="88">
        <f ca="1">IF(ISBLANK(A34),"",IF(ISNA(VLOOKUP(A34,'Harus Ambil'!$A$7:$E$39,5,FALSE)),IF(ISNA(VLOOKUP(A34,'Harus Ambil'!$G$7:$K$39,5,FALSE)),"-",VLOOKUP(A34,'Harus Ambil'!$G$7:$K$39,5,FALSE)),VLOOKUP(A34,'Harus Ambil'!$A$7:$E$39,5,FALSE)))</f>
        <v>37</v>
      </c>
      <c r="F34" s="5"/>
      <c r="G34" s="85"/>
      <c r="H34" s="86"/>
      <c r="I34" s="81"/>
      <c r="J34" s="88" t="str">
        <f t="shared" ref="J34:J42" si="5">IF(ISBLANK(G34),"",VALUE(RIGHT(G34,1)))</f>
        <v/>
      </c>
      <c r="K34" s="88" t="str">
        <f>IF(ISBLANK(G34),"",IF(ISNA(VLOOKUP(G34,'Harus Ambil'!$A$7:$E$39,5,FALSE)),IF(ISNA(VLOOKUP(G34,'Harus Ambil'!$G$7:$K$39,5,FALSE)),"-",VLOOKUP(G34,'Harus Ambil'!$G$7:$K$39,5,FALSE)),VLOOKUP(G34,'Harus Ambil'!$A$7:$E$39,5,FALSE)))</f>
        <v/>
      </c>
      <c r="L34" s="36"/>
      <c r="M34" s="5"/>
      <c r="N34" s="5"/>
      <c r="O34" s="5"/>
      <c r="P34" s="5"/>
      <c r="Q34" s="36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s="7" customFormat="1">
      <c r="A35" s="107" t="s">
        <v>189</v>
      </c>
      <c r="B35" s="108" t="s">
        <v>93</v>
      </c>
      <c r="C35" s="81" t="s">
        <v>395</v>
      </c>
      <c r="D35" s="88">
        <f t="shared" si="4"/>
        <v>4</v>
      </c>
      <c r="E35" s="88">
        <f ca="1">IF(ISBLANK(A35),"",IF(ISNA(VLOOKUP(A35,'Harus Ambil'!$A$7:$E$39,5,FALSE)),IF(ISNA(VLOOKUP(A35,'Harus Ambil'!$G$7:$K$39,5,FALSE)),"-",VLOOKUP(A35,'Harus Ambil'!$G$7:$K$39,5,FALSE)),VLOOKUP(A35,'Harus Ambil'!$A$7:$E$39,5,FALSE)))</f>
        <v>45</v>
      </c>
      <c r="F35" s="5"/>
      <c r="G35" s="85"/>
      <c r="H35" s="86"/>
      <c r="I35" s="81"/>
      <c r="J35" s="88" t="str">
        <f t="shared" si="5"/>
        <v/>
      </c>
      <c r="K35" s="88" t="str">
        <f>IF(ISBLANK(G35),"",IF(ISNA(VLOOKUP(G35,'Harus Ambil'!$A$7:$E$39,5,FALSE)),IF(ISNA(VLOOKUP(G35,'Harus Ambil'!$G$7:$K$39,5,FALSE)),"-",VLOOKUP(G35,'Harus Ambil'!$G$7:$K$39,5,FALSE)),VLOOKUP(G35,'Harus Ambil'!$A$7:$E$39,5,FALSE)))</f>
        <v/>
      </c>
      <c r="L35" s="36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s="7" customFormat="1">
      <c r="A36" s="107" t="s">
        <v>179</v>
      </c>
      <c r="B36" s="108" t="s">
        <v>178</v>
      </c>
      <c r="C36" s="81" t="s">
        <v>395</v>
      </c>
      <c r="D36" s="88">
        <f t="shared" si="4"/>
        <v>2</v>
      </c>
      <c r="E36" s="88">
        <f ca="1">IF(ISBLANK(A36),"",IF(ISNA(VLOOKUP(A36,'Harus Ambil'!$A$7:$E$39,5,FALSE)),IF(ISNA(VLOOKUP(A36,'Harus Ambil'!$G$7:$K$39,5,FALSE)),"-",VLOOKUP(A36,'Harus Ambil'!$G$7:$K$39,5,FALSE)),VLOOKUP(A36,'Harus Ambil'!$A$7:$E$39,5,FALSE)))</f>
        <v>36</v>
      </c>
      <c r="F36" s="5"/>
      <c r="G36" s="85"/>
      <c r="H36" s="86"/>
      <c r="I36" s="81"/>
      <c r="J36" s="88" t="str">
        <f t="shared" si="5"/>
        <v/>
      </c>
      <c r="K36" s="88" t="str">
        <f>IF(ISBLANK(G36),"",IF(ISNA(VLOOKUP(G36,'Harus Ambil'!$A$7:$E$39,5,FALSE)),IF(ISNA(VLOOKUP(G36,'Harus Ambil'!$G$7:$K$39,5,FALSE)),"-",VLOOKUP(G36,'Harus Ambil'!$G$7:$K$39,5,FALSE)),VLOOKUP(G36,'Harus Ambil'!$A$7:$E$39,5,FALSE)))</f>
        <v/>
      </c>
      <c r="L36" s="36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s="7" customFormat="1">
      <c r="A37" s="107" t="s">
        <v>186</v>
      </c>
      <c r="B37" s="108" t="s">
        <v>326</v>
      </c>
      <c r="C37" s="81" t="s">
        <v>395</v>
      </c>
      <c r="D37" s="88">
        <f t="shared" si="4"/>
        <v>3</v>
      </c>
      <c r="E37" s="88">
        <f ca="1">IF(ISBLANK(A37),"",IF(ISNA(VLOOKUP(A37,'Harus Ambil'!$A$7:$E$39,5,FALSE)),IF(ISNA(VLOOKUP(A37,'Harus Ambil'!$G$7:$K$39,5,FALSE)),"-",VLOOKUP(A37,'Harus Ambil'!$G$7:$K$39,5,FALSE)),VLOOKUP(A37,'Harus Ambil'!$A$7:$E$39,5,FALSE)))</f>
        <v>41</v>
      </c>
      <c r="F37" s="5"/>
      <c r="G37" s="85"/>
      <c r="H37" s="86"/>
      <c r="I37" s="81"/>
      <c r="J37" s="88" t="str">
        <f t="shared" si="5"/>
        <v/>
      </c>
      <c r="K37" s="88" t="str">
        <f>IF(ISBLANK(G37),"",IF(ISNA(VLOOKUP(G37,'Harus Ambil'!$A$7:$E$39,5,FALSE)),IF(ISNA(VLOOKUP(G37,'Harus Ambil'!$G$7:$K$39,5,FALSE)),"-",VLOOKUP(G37,'Harus Ambil'!$G$7:$K$39,5,FALSE)),VLOOKUP(G37,'Harus Ambil'!$A$7:$E$39,5,FALSE)))</f>
        <v/>
      </c>
      <c r="L37" s="36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s="7" customFormat="1">
      <c r="A38" s="85"/>
      <c r="B38" s="86"/>
      <c r="C38" s="81"/>
      <c r="D38" s="88" t="str">
        <f t="shared" si="4"/>
        <v/>
      </c>
      <c r="E38" s="88" t="str">
        <f>IF(ISBLANK(A38),"",IF(ISNA(VLOOKUP(A38,'Harus Ambil'!$A$7:$E$39,5,FALSE)),IF(ISNA(VLOOKUP(A38,'Harus Ambil'!$G$7:$K$39,5,FALSE)),"-",VLOOKUP(A38,'Harus Ambil'!$G$7:$K$39,5,FALSE)),VLOOKUP(A38,'Harus Ambil'!$A$7:$E$39,5,FALSE)))</f>
        <v/>
      </c>
      <c r="F38" s="5"/>
      <c r="G38" s="85"/>
      <c r="H38" s="86"/>
      <c r="I38" s="81"/>
      <c r="J38" s="88" t="str">
        <f t="shared" si="5"/>
        <v/>
      </c>
      <c r="K38" s="88" t="str">
        <f>IF(ISBLANK(G38),"",IF(ISNA(VLOOKUP(G38,'Harus Ambil'!$A$7:$E$39,5,FALSE)),IF(ISNA(VLOOKUP(G38,'Harus Ambil'!$G$7:$K$39,5,FALSE)),"-",VLOOKUP(G38,'Harus Ambil'!$G$7:$K$39,5,FALSE)),VLOOKUP(G38,'Harus Ambil'!$A$7:$E$39,5,FALSE)))</f>
        <v/>
      </c>
      <c r="L38" s="36"/>
      <c r="M38" s="36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s="7" customFormat="1">
      <c r="A39" s="85"/>
      <c r="B39" s="86"/>
      <c r="C39" s="81"/>
      <c r="D39" s="88" t="str">
        <f t="shared" si="4"/>
        <v/>
      </c>
      <c r="E39" s="88" t="str">
        <f>IF(ISBLANK(A39),"",IF(ISNA(VLOOKUP(A39,'Harus Ambil'!$A$7:$E$39,5,FALSE)),IF(ISNA(VLOOKUP(A39,'Harus Ambil'!$G$7:$K$39,5,FALSE)),"-",VLOOKUP(A39,'Harus Ambil'!$G$7:$K$39,5,FALSE)),VLOOKUP(A39,'Harus Ambil'!$A$7:$E$39,5,FALSE)))</f>
        <v/>
      </c>
      <c r="F39" s="5"/>
      <c r="G39" s="85"/>
      <c r="H39" s="86"/>
      <c r="I39" s="81"/>
      <c r="J39" s="88" t="str">
        <f t="shared" si="5"/>
        <v/>
      </c>
      <c r="K39" s="88" t="str">
        <f>IF(ISBLANK(G39),"",IF(ISNA(VLOOKUP(G39,'Harus Ambil'!$A$7:$E$39,5,FALSE)),IF(ISNA(VLOOKUP(G39,'Harus Ambil'!$G$7:$K$39,5,FALSE)),"-",VLOOKUP(G39,'Harus Ambil'!$G$7:$K$39,5,FALSE)),VLOOKUP(G39,'Harus Ambil'!$A$7:$E$39,5,FALSE)))</f>
        <v/>
      </c>
      <c r="L39" s="36"/>
      <c r="M39" s="36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>
      <c r="A40" s="85"/>
      <c r="B40" s="86"/>
      <c r="C40" s="81"/>
      <c r="D40" s="88" t="str">
        <f t="shared" si="4"/>
        <v/>
      </c>
      <c r="E40" s="88" t="str">
        <f>IF(ISBLANK(A40),"",IF(ISNA(VLOOKUP(A40,'Harus Ambil'!$A$7:$E$39,5,FALSE)),IF(ISNA(VLOOKUP(A40,'Harus Ambil'!$G$7:$K$39,5,FALSE)),"-",VLOOKUP(A40,'Harus Ambil'!$G$7:$K$39,5,FALSE)),VLOOKUP(A40,'Harus Ambil'!$A$7:$E$39,5,FALSE)))</f>
        <v/>
      </c>
      <c r="F40" s="5"/>
      <c r="G40" s="85"/>
      <c r="H40" s="86"/>
      <c r="I40" s="81"/>
      <c r="J40" s="88" t="str">
        <f t="shared" si="5"/>
        <v/>
      </c>
      <c r="K40" s="88" t="str">
        <f>IF(ISBLANK(G40),"",IF(ISNA(VLOOKUP(G40,'Harus Ambil'!$A$7:$E$39,5,FALSE)),IF(ISNA(VLOOKUP(G40,'Harus Ambil'!$G$7:$K$39,5,FALSE)),"-",VLOOKUP(G40,'Harus Ambil'!$G$7:$K$39,5,FALSE)),VLOOKUP(G40,'Harus Ambil'!$A$7:$E$39,5,FALSE)))</f>
        <v/>
      </c>
      <c r="L40" s="36"/>
      <c r="M40" s="36"/>
      <c r="N40" s="36"/>
      <c r="O40" s="36"/>
      <c r="P40" s="36"/>
      <c r="Q40" s="5"/>
      <c r="R40" s="36"/>
      <c r="S40" s="5"/>
      <c r="T40" s="5"/>
      <c r="U40" s="5"/>
      <c r="V40" s="5"/>
      <c r="W40" s="5"/>
      <c r="X40" s="5"/>
      <c r="Y40" s="5"/>
      <c r="Z40" s="5"/>
      <c r="AA40" s="5"/>
    </row>
    <row r="41" spans="1:27" s="7" customFormat="1">
      <c r="A41" s="85"/>
      <c r="B41" s="86"/>
      <c r="C41" s="81"/>
      <c r="D41" s="88" t="str">
        <f t="shared" si="4"/>
        <v/>
      </c>
      <c r="E41" s="88" t="str">
        <f>IF(ISBLANK(A41),"",IF(ISNA(VLOOKUP(A41,'Harus Ambil'!$A$7:$E$39,5,FALSE)),IF(ISNA(VLOOKUP(A41,'Harus Ambil'!$G$7:$K$39,5,FALSE)),"-",VLOOKUP(A41,'Harus Ambil'!$G$7:$K$39,5,FALSE)),VLOOKUP(A41,'Harus Ambil'!$A$7:$E$39,5,FALSE)))</f>
        <v/>
      </c>
      <c r="F41" s="5"/>
      <c r="G41" s="85"/>
      <c r="H41" s="86"/>
      <c r="I41" s="81"/>
      <c r="J41" s="88" t="str">
        <f t="shared" si="5"/>
        <v/>
      </c>
      <c r="K41" s="88" t="str">
        <f>IF(ISBLANK(G41),"",IF(ISNA(VLOOKUP(G41,'Harus Ambil'!$A$7:$E$39,5,FALSE)),IF(ISNA(VLOOKUP(G41,'Harus Ambil'!$G$7:$K$39,5,FALSE)),"-",VLOOKUP(G41,'Harus Ambil'!$G$7:$K$39,5,FALSE)),VLOOKUP(G41,'Harus Ambil'!$A$7:$E$39,5,FALSE)))</f>
        <v/>
      </c>
      <c r="L41" s="36"/>
      <c r="M41" s="36"/>
      <c r="N41" s="36"/>
      <c r="O41" s="36"/>
      <c r="P41" s="36"/>
      <c r="Q41" s="5"/>
      <c r="R41" s="36"/>
      <c r="S41" s="5"/>
      <c r="T41" s="5"/>
      <c r="U41" s="5"/>
      <c r="V41" s="5"/>
      <c r="W41" s="5"/>
      <c r="X41" s="5"/>
      <c r="Y41" s="5"/>
      <c r="Z41" s="5"/>
      <c r="AA41" s="5"/>
    </row>
    <row r="42" spans="1:27" s="7" customFormat="1">
      <c r="A42" s="85"/>
      <c r="B42" s="86"/>
      <c r="C42" s="81"/>
      <c r="D42" s="88" t="str">
        <f t="shared" si="4"/>
        <v/>
      </c>
      <c r="E42" s="88" t="str">
        <f>IF(ISBLANK(A42),"",IF(ISNA(VLOOKUP(A42,'Harus Ambil'!$A$7:$E$39,5,FALSE)),IF(ISNA(VLOOKUP(A42,'Harus Ambil'!$G$7:$K$39,5,FALSE)),"-",VLOOKUP(A42,'Harus Ambil'!$G$7:$K$39,5,FALSE)),VLOOKUP(A42,'Harus Ambil'!$A$7:$E$39,5,FALSE)))</f>
        <v/>
      </c>
      <c r="F42" s="5"/>
      <c r="G42" s="85"/>
      <c r="H42" s="86"/>
      <c r="I42" s="81"/>
      <c r="J42" s="88" t="str">
        <f t="shared" si="5"/>
        <v/>
      </c>
      <c r="K42" s="88" t="str">
        <f>IF(ISBLANK(G42),"",IF(ISNA(VLOOKUP(G42,'Harus Ambil'!$A$7:$E$39,5,FALSE)),IF(ISNA(VLOOKUP(G42,'Harus Ambil'!$G$7:$K$39,5,FALSE)),"-",VLOOKUP(G42,'Harus Ambil'!$G$7:$K$39,5,FALSE)),VLOOKUP(G42,'Harus Ambil'!$A$7:$E$39,5,FALSE)))</f>
        <v/>
      </c>
      <c r="L42" s="36"/>
      <c r="M42" s="36"/>
      <c r="N42" s="36"/>
      <c r="O42" s="36"/>
      <c r="P42" s="36"/>
      <c r="Q42" s="5"/>
      <c r="R42" s="36"/>
      <c r="S42" s="5"/>
      <c r="T42" s="5"/>
      <c r="U42" s="5"/>
      <c r="V42" s="5"/>
      <c r="W42" s="5"/>
      <c r="X42" s="5"/>
      <c r="Y42" s="5"/>
      <c r="Z42" s="5"/>
      <c r="AA42" s="5"/>
    </row>
    <row r="43" spans="1:27">
      <c r="A43" s="16"/>
      <c r="B43" s="30" t="s">
        <v>357</v>
      </c>
      <c r="C43" s="31">
        <f>SUM(D33:D42)</f>
        <v>15</v>
      </c>
      <c r="D43" s="5"/>
      <c r="E43" s="5"/>
      <c r="F43" s="5"/>
      <c r="G43" s="16"/>
      <c r="H43" s="30" t="s">
        <v>357</v>
      </c>
      <c r="I43" s="31">
        <f>SUM(J33:J42)</f>
        <v>0</v>
      </c>
      <c r="J43" s="5"/>
      <c r="K43" s="5"/>
      <c r="L43" s="36"/>
      <c r="M43" s="36"/>
      <c r="N43" s="36"/>
      <c r="O43" s="36"/>
      <c r="P43" s="36"/>
      <c r="Q43" s="5"/>
      <c r="R43" s="36"/>
      <c r="S43" s="5"/>
      <c r="T43" s="5"/>
      <c r="U43" s="5"/>
      <c r="V43" s="5"/>
      <c r="W43" s="5"/>
      <c r="X43" s="5"/>
      <c r="Y43" s="5"/>
      <c r="Z43" s="5"/>
      <c r="AA43" s="5"/>
    </row>
    <row r="44" spans="1:27">
      <c r="A44" s="16"/>
      <c r="B44" s="17"/>
      <c r="C44" s="5"/>
      <c r="D44" s="5"/>
      <c r="E44" s="5"/>
      <c r="F44" s="5"/>
      <c r="G44" s="16"/>
      <c r="H44" s="17"/>
      <c r="I44" s="5"/>
      <c r="J44" s="5"/>
      <c r="K44" s="5"/>
      <c r="L44" s="36"/>
      <c r="M44" s="36"/>
      <c r="N44" s="36"/>
      <c r="O44" s="36"/>
      <c r="P44" s="36"/>
      <c r="Q44" s="5"/>
      <c r="R44" s="36"/>
      <c r="S44" s="5"/>
      <c r="T44" s="5"/>
      <c r="U44" s="5"/>
      <c r="V44" s="5"/>
      <c r="W44" s="5"/>
      <c r="X44" s="5"/>
      <c r="Y44" s="5"/>
      <c r="Z44" s="5"/>
      <c r="AA44" s="5"/>
    </row>
    <row r="45" spans="1:27">
      <c r="A45" s="36"/>
      <c r="B45" s="36"/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5"/>
      <c r="R45" s="36"/>
      <c r="S45" s="5"/>
      <c r="T45" s="5"/>
      <c r="U45" s="5"/>
      <c r="V45" s="5"/>
      <c r="W45" s="5"/>
      <c r="X45" s="5"/>
      <c r="Y45" s="5"/>
      <c r="Z45" s="5"/>
      <c r="AA45" s="5"/>
    </row>
    <row r="46" spans="1:27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5"/>
      <c r="R46" s="36"/>
      <c r="S46" s="5"/>
      <c r="T46" s="5"/>
      <c r="U46" s="5"/>
      <c r="V46" s="5"/>
      <c r="W46" s="5"/>
      <c r="X46" s="5"/>
      <c r="Y46" s="5"/>
      <c r="Z46" s="5"/>
      <c r="AA46" s="5"/>
    </row>
    <row r="47" spans="1:27">
      <c r="A47" s="36"/>
      <c r="B47" s="36"/>
      <c r="C47" s="36"/>
      <c r="D47" s="36"/>
      <c r="E47" s="36"/>
      <c r="F47" s="36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5"/>
      <c r="R47" s="36"/>
      <c r="S47" s="5"/>
      <c r="T47" s="5"/>
      <c r="U47" s="5"/>
      <c r="V47" s="5"/>
      <c r="W47" s="5"/>
      <c r="X47" s="5"/>
      <c r="Y47" s="5"/>
      <c r="Z47" s="5"/>
      <c r="AA47" s="5"/>
    </row>
    <row r="48" spans="1:27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5"/>
      <c r="R48" s="36"/>
      <c r="S48" s="5"/>
      <c r="T48" s="5"/>
      <c r="U48" s="5"/>
      <c r="V48" s="5"/>
      <c r="W48" s="5"/>
      <c r="X48" s="5"/>
      <c r="Y48" s="5"/>
      <c r="Z48" s="5"/>
      <c r="AA48" s="5"/>
    </row>
    <row r="49" spans="1:27">
      <c r="A49" s="36"/>
      <c r="B49" s="36"/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5"/>
      <c r="R49" s="36"/>
      <c r="S49" s="5"/>
      <c r="T49" s="5"/>
      <c r="U49" s="5"/>
      <c r="V49" s="5"/>
      <c r="W49" s="5"/>
      <c r="X49" s="5"/>
      <c r="Y49" s="5"/>
      <c r="Z49" s="5"/>
      <c r="AA49" s="5"/>
    </row>
    <row r="50" spans="1:27">
      <c r="A50" s="36"/>
      <c r="B50" s="36"/>
      <c r="C50" s="36"/>
      <c r="D50" s="36"/>
      <c r="E50" s="36"/>
      <c r="F50" s="36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5"/>
      <c r="R50" s="36"/>
      <c r="S50" s="5"/>
      <c r="T50" s="5"/>
      <c r="U50" s="5"/>
      <c r="V50" s="5"/>
      <c r="W50" s="5"/>
      <c r="X50" s="5"/>
      <c r="Y50" s="5"/>
      <c r="Z50" s="5"/>
      <c r="AA50" s="5"/>
    </row>
    <row r="51" spans="1:27">
      <c r="A51" s="36"/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5"/>
      <c r="R51" s="36"/>
      <c r="S51" s="5"/>
      <c r="T51" s="5"/>
      <c r="U51" s="5"/>
      <c r="V51" s="5"/>
      <c r="W51" s="5"/>
      <c r="X51" s="5"/>
      <c r="Y51" s="5"/>
      <c r="Z51" s="5"/>
      <c r="AA51" s="5"/>
    </row>
    <row r="52" spans="1:27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5"/>
      <c r="T52" s="5"/>
      <c r="U52" s="5"/>
      <c r="V52" s="5"/>
      <c r="W52" s="5"/>
      <c r="X52" s="5"/>
      <c r="Y52" s="5"/>
      <c r="Z52" s="5"/>
      <c r="AA52" s="5"/>
    </row>
    <row r="53" spans="1:27">
      <c r="A53" s="36"/>
      <c r="B53" s="36"/>
      <c r="C53" s="36"/>
      <c r="D53" s="36"/>
      <c r="E53" s="36"/>
      <c r="F53" s="36"/>
      <c r="G53" s="36"/>
      <c r="H53" s="36"/>
      <c r="I53" s="36"/>
      <c r="J53" s="36"/>
      <c r="K53" s="36"/>
      <c r="L53" s="36"/>
      <c r="M53" s="5"/>
      <c r="N53" s="5"/>
      <c r="O53" s="5"/>
      <c r="P53" s="5"/>
      <c r="Q53" s="5"/>
      <c r="R53" s="36"/>
      <c r="S53" s="5"/>
      <c r="T53" s="5"/>
      <c r="U53" s="5"/>
      <c r="V53" s="5"/>
      <c r="W53" s="5"/>
      <c r="X53" s="5"/>
      <c r="Y53" s="5"/>
      <c r="Z53" s="5"/>
      <c r="AA53" s="5"/>
    </row>
    <row r="54" spans="1:27">
      <c r="A54" s="36"/>
      <c r="B54" s="36"/>
      <c r="C54" s="36"/>
      <c r="D54" s="36"/>
      <c r="E54" s="36"/>
      <c r="F54" s="36"/>
      <c r="G54" s="36"/>
      <c r="H54" s="36"/>
      <c r="I54" s="36"/>
      <c r="J54" s="36"/>
      <c r="K54" s="36"/>
      <c r="L54" s="36"/>
      <c r="M54" s="5"/>
      <c r="N54" s="5"/>
      <c r="O54" s="5"/>
      <c r="P54" s="5"/>
      <c r="Q54" s="5"/>
      <c r="R54" s="36"/>
      <c r="S54" s="5"/>
      <c r="T54" s="5"/>
      <c r="U54" s="5"/>
      <c r="V54" s="5"/>
      <c r="W54" s="5"/>
      <c r="X54" s="5"/>
      <c r="Y54" s="5"/>
      <c r="Z54" s="5"/>
      <c r="AA54" s="5"/>
    </row>
    <row r="55" spans="1:27">
      <c r="A55" s="36"/>
      <c r="B55" s="36"/>
      <c r="C55" s="36"/>
      <c r="D55" s="36"/>
      <c r="E55" s="36"/>
      <c r="F55" s="36"/>
      <c r="G55" s="36"/>
      <c r="H55" s="36"/>
      <c r="I55" s="36"/>
      <c r="J55" s="36"/>
      <c r="K55" s="36"/>
      <c r="L55" s="36"/>
      <c r="M55" s="5"/>
      <c r="N55" s="5"/>
      <c r="O55" s="5"/>
      <c r="P55" s="5"/>
      <c r="Q55" s="5"/>
      <c r="R55" s="36"/>
      <c r="S55" s="5"/>
      <c r="T55" s="5"/>
      <c r="U55" s="5"/>
      <c r="V55" s="5"/>
      <c r="W55" s="5"/>
      <c r="X55" s="5"/>
      <c r="Y55" s="5"/>
      <c r="Z55" s="5"/>
      <c r="AA55" s="5"/>
    </row>
    <row r="56" spans="1:27">
      <c r="A56" s="36"/>
      <c r="B56" s="36"/>
      <c r="C56" s="36"/>
      <c r="D56" s="36"/>
      <c r="E56" s="36"/>
      <c r="F56" s="36"/>
      <c r="G56" s="36"/>
      <c r="H56" s="36"/>
      <c r="I56" s="36"/>
      <c r="J56" s="36"/>
      <c r="K56" s="36"/>
      <c r="L56" s="36"/>
      <c r="M56" s="5"/>
      <c r="N56" s="5"/>
      <c r="O56" s="5"/>
      <c r="P56" s="5"/>
      <c r="Q56" s="5"/>
      <c r="R56" s="36"/>
      <c r="S56" s="5"/>
      <c r="T56" s="5"/>
      <c r="U56" s="5"/>
      <c r="V56" s="5"/>
      <c r="W56" s="5"/>
      <c r="X56" s="5"/>
      <c r="Y56" s="5"/>
      <c r="Z56" s="5"/>
      <c r="AA56" s="5"/>
    </row>
    <row r="57" spans="1:27">
      <c r="A57" s="36"/>
      <c r="B57" s="36"/>
      <c r="C57" s="36"/>
      <c r="D57" s="36"/>
      <c r="E57" s="36"/>
      <c r="F57" s="36"/>
      <c r="G57" s="36"/>
      <c r="H57" s="36"/>
      <c r="I57" s="36"/>
      <c r="J57" s="36"/>
      <c r="K57" s="36"/>
      <c r="L57" s="36"/>
      <c r="M57" s="5"/>
      <c r="N57" s="5"/>
      <c r="O57" s="5"/>
      <c r="P57" s="5"/>
      <c r="Q57" s="5"/>
      <c r="R57" s="36"/>
      <c r="S57" s="5"/>
      <c r="T57" s="5"/>
      <c r="U57" s="5"/>
      <c r="V57" s="5"/>
      <c r="W57" s="5"/>
      <c r="X57" s="5"/>
      <c r="Y57" s="5"/>
      <c r="Z57" s="5"/>
      <c r="AA57" s="5"/>
    </row>
    <row r="58" spans="1:27">
      <c r="A58" s="36"/>
      <c r="B58" s="36"/>
      <c r="C58" s="36"/>
      <c r="D58" s="36"/>
      <c r="E58" s="36"/>
      <c r="F58" s="36"/>
      <c r="G58" s="36"/>
      <c r="H58" s="36"/>
      <c r="I58" s="36"/>
      <c r="J58" s="36"/>
      <c r="K58" s="36"/>
      <c r="L58" s="36"/>
      <c r="M58" s="5"/>
      <c r="N58" s="5"/>
      <c r="O58" s="5"/>
      <c r="P58" s="5"/>
      <c r="Q58" s="5"/>
      <c r="R58" s="36"/>
      <c r="S58" s="5"/>
      <c r="T58" s="5"/>
      <c r="U58" s="5"/>
      <c r="V58" s="5"/>
      <c r="W58" s="5"/>
      <c r="X58" s="5"/>
      <c r="Y58" s="5"/>
      <c r="Z58" s="5"/>
      <c r="AA58" s="5"/>
    </row>
    <row r="67" spans="1:11">
      <c r="A67" s="19"/>
      <c r="B67" s="20"/>
      <c r="C67" s="6"/>
      <c r="D67" s="6"/>
      <c r="E67" s="6"/>
      <c r="F67" s="6"/>
      <c r="G67" s="19"/>
      <c r="H67" s="20"/>
      <c r="I67" s="6"/>
      <c r="J67" s="6"/>
      <c r="K67" s="6"/>
    </row>
    <row r="68" spans="1:11">
      <c r="A68" s="19"/>
      <c r="B68" s="20"/>
      <c r="C68" s="6"/>
      <c r="D68" s="6"/>
      <c r="E68" s="6"/>
      <c r="F68" s="6"/>
      <c r="G68" s="19"/>
      <c r="H68" s="20"/>
      <c r="I68" s="6"/>
      <c r="J68" s="6"/>
      <c r="K68" s="6"/>
    </row>
    <row r="69" spans="1:11">
      <c r="A69" s="19"/>
      <c r="B69" s="20"/>
      <c r="C69" s="6"/>
      <c r="D69" s="6"/>
      <c r="E69" s="6"/>
      <c r="F69" s="6"/>
      <c r="G69" s="19"/>
      <c r="H69" s="20"/>
      <c r="I69" s="6"/>
      <c r="J69" s="6"/>
      <c r="K69" s="6"/>
    </row>
    <row r="70" spans="1:11">
      <c r="A70" s="19"/>
      <c r="B70" s="20"/>
      <c r="C70" s="6"/>
      <c r="D70" s="6"/>
      <c r="E70" s="6"/>
      <c r="F70" s="6"/>
      <c r="G70" s="19"/>
      <c r="H70" s="20"/>
      <c r="I70" s="6"/>
      <c r="J70" s="6"/>
      <c r="K70" s="6"/>
    </row>
    <row r="71" spans="1:11">
      <c r="A71" s="19"/>
      <c r="B71" s="20"/>
      <c r="C71" s="6"/>
      <c r="D71" s="6"/>
      <c r="E71" s="6"/>
      <c r="F71" s="6"/>
      <c r="G71" s="19"/>
      <c r="H71" s="20"/>
      <c r="I71" s="6"/>
      <c r="J71" s="6"/>
      <c r="K71" s="6"/>
    </row>
    <row r="72" spans="1:11">
      <c r="A72" s="19"/>
      <c r="B72" s="20"/>
      <c r="C72" s="6"/>
      <c r="D72" s="6"/>
      <c r="E72" s="6"/>
      <c r="F72" s="6"/>
      <c r="G72" s="19"/>
      <c r="H72" s="20"/>
      <c r="I72" s="6"/>
      <c r="J72" s="6"/>
      <c r="K72" s="6"/>
    </row>
    <row r="73" spans="1:11">
      <c r="A73" s="19"/>
      <c r="B73" s="20"/>
      <c r="C73" s="6"/>
      <c r="D73" s="6"/>
      <c r="E73" s="6"/>
      <c r="F73" s="6"/>
      <c r="G73" s="19"/>
      <c r="H73" s="20"/>
      <c r="I73" s="6"/>
      <c r="J73" s="6"/>
      <c r="K73" s="6"/>
    </row>
    <row r="74" spans="1:11">
      <c r="A74" s="19"/>
      <c r="B74" s="20"/>
      <c r="C74" s="6"/>
      <c r="D74" s="6"/>
      <c r="E74" s="6"/>
      <c r="F74" s="6"/>
      <c r="G74" s="19"/>
      <c r="H74" s="20"/>
      <c r="I74" s="6"/>
      <c r="J74" s="6"/>
      <c r="K74" s="6"/>
    </row>
    <row r="75" spans="1:11">
      <c r="A75" s="19"/>
      <c r="B75" s="20"/>
      <c r="C75" s="6"/>
      <c r="D75" s="6"/>
      <c r="E75" s="6"/>
      <c r="F75" s="6"/>
      <c r="G75" s="19"/>
      <c r="H75" s="20"/>
      <c r="I75" s="6"/>
      <c r="J75" s="6"/>
      <c r="K75" s="6"/>
    </row>
    <row r="76" spans="1:11">
      <c r="A76" s="19"/>
      <c r="B76" s="20"/>
      <c r="C76" s="6"/>
      <c r="D76" s="6"/>
      <c r="E76" s="6"/>
      <c r="F76" s="6"/>
      <c r="G76" s="19"/>
      <c r="H76" s="20"/>
      <c r="I76" s="6"/>
      <c r="J76" s="6"/>
      <c r="K76" s="6"/>
    </row>
    <row r="77" spans="1:11">
      <c r="A77" s="19"/>
      <c r="B77" s="20"/>
      <c r="C77" s="6"/>
      <c r="D77" s="6"/>
      <c r="E77" s="6"/>
      <c r="F77" s="6"/>
      <c r="G77" s="19"/>
      <c r="H77" s="20"/>
      <c r="I77" s="6"/>
      <c r="J77" s="6"/>
      <c r="K77" s="6"/>
    </row>
    <row r="78" spans="1:11">
      <c r="A78" s="19"/>
      <c r="B78" s="20"/>
      <c r="C78" s="6"/>
      <c r="D78" s="6"/>
      <c r="E78" s="6"/>
      <c r="F78" s="6"/>
      <c r="G78" s="19"/>
      <c r="H78" s="20"/>
      <c r="I78" s="6"/>
      <c r="J78" s="6"/>
      <c r="K78" s="6"/>
    </row>
    <row r="79" spans="1:11">
      <c r="A79" s="19"/>
      <c r="B79" s="20"/>
      <c r="C79" s="6"/>
      <c r="D79" s="6"/>
      <c r="E79" s="6"/>
      <c r="F79" s="6"/>
      <c r="G79" s="19"/>
      <c r="H79" s="20"/>
      <c r="I79" s="6"/>
      <c r="J79" s="6"/>
      <c r="K79" s="6"/>
    </row>
    <row r="80" spans="1:11">
      <c r="A80" s="19"/>
      <c r="B80" s="20"/>
      <c r="C80" s="6"/>
      <c r="D80" s="6"/>
      <c r="E80" s="6"/>
      <c r="F80" s="6"/>
      <c r="G80" s="19"/>
      <c r="H80" s="20"/>
      <c r="I80" s="6"/>
      <c r="J80" s="6"/>
      <c r="K80" s="6"/>
    </row>
    <row r="81" spans="1:11">
      <c r="A81" s="19"/>
      <c r="B81" s="20"/>
      <c r="C81" s="6"/>
      <c r="D81" s="6"/>
      <c r="E81" s="6"/>
      <c r="F81" s="6"/>
      <c r="G81" s="19"/>
      <c r="H81" s="20"/>
      <c r="I81" s="6"/>
      <c r="J81" s="6"/>
      <c r="K81" s="6"/>
    </row>
    <row r="82" spans="1:11">
      <c r="A82" s="19"/>
      <c r="B82" s="20"/>
      <c r="C82" s="6"/>
      <c r="D82" s="6"/>
      <c r="E82" s="6"/>
      <c r="F82" s="6"/>
      <c r="G82" s="19"/>
      <c r="H82" s="20"/>
      <c r="I82" s="6"/>
      <c r="J82" s="6"/>
      <c r="K82" s="6"/>
    </row>
    <row r="83" spans="1:11">
      <c r="A83" s="19"/>
      <c r="B83" s="20"/>
      <c r="C83" s="6"/>
      <c r="D83" s="6"/>
      <c r="E83" s="6"/>
      <c r="F83" s="6"/>
      <c r="G83" s="19"/>
      <c r="H83" s="20"/>
      <c r="I83" s="6"/>
      <c r="J83" s="6"/>
      <c r="K83" s="6"/>
    </row>
    <row r="84" spans="1:11">
      <c r="A84" s="19"/>
      <c r="B84" s="20"/>
      <c r="C84" s="6"/>
      <c r="D84" s="6"/>
      <c r="E84" s="6"/>
      <c r="F84" s="6"/>
      <c r="G84" s="19"/>
      <c r="H84" s="20"/>
      <c r="I84" s="6"/>
      <c r="J84" s="6"/>
      <c r="K84" s="6"/>
    </row>
    <row r="85" spans="1:11">
      <c r="A85" s="19"/>
      <c r="B85" s="20"/>
      <c r="C85" s="6"/>
      <c r="D85" s="6"/>
      <c r="E85" s="6"/>
      <c r="F85" s="6"/>
      <c r="G85" s="19"/>
      <c r="H85" s="20"/>
      <c r="I85" s="6"/>
      <c r="J85" s="6"/>
      <c r="K85" s="6"/>
    </row>
    <row r="86" spans="1:11">
      <c r="A86" s="19"/>
      <c r="B86" s="20"/>
      <c r="C86" s="6"/>
      <c r="D86" s="6"/>
      <c r="E86" s="6"/>
      <c r="F86" s="6"/>
      <c r="G86" s="19"/>
      <c r="H86" s="20"/>
      <c r="I86" s="6"/>
      <c r="J86" s="6"/>
      <c r="K86" s="6"/>
    </row>
    <row r="87" spans="1:11">
      <c r="A87" s="19"/>
      <c r="B87" s="20"/>
      <c r="C87" s="6"/>
      <c r="D87" s="6"/>
      <c r="E87" s="6"/>
      <c r="F87" s="6"/>
      <c r="G87" s="19"/>
      <c r="H87" s="20"/>
      <c r="I87" s="6"/>
      <c r="J87" s="6"/>
      <c r="K87" s="6"/>
    </row>
  </sheetData>
  <sheetProtection sheet="1" objects="1" scenarios="1"/>
  <mergeCells count="22">
    <mergeCell ref="M31:P32"/>
    <mergeCell ref="D2:E2"/>
    <mergeCell ref="D3:E3"/>
    <mergeCell ref="R30:S32"/>
    <mergeCell ref="M23:P26"/>
    <mergeCell ref="V6:W6"/>
    <mergeCell ref="V14:W14"/>
    <mergeCell ref="V25:W25"/>
    <mergeCell ref="M6:P7"/>
    <mergeCell ref="R6:S7"/>
    <mergeCell ref="T6:T7"/>
    <mergeCell ref="R25:S28"/>
    <mergeCell ref="M27:P29"/>
    <mergeCell ref="M8:P12"/>
    <mergeCell ref="M13:P17"/>
    <mergeCell ref="M18:P22"/>
    <mergeCell ref="A32:B32"/>
    <mergeCell ref="G32:H32"/>
    <mergeCell ref="A6:B6"/>
    <mergeCell ref="G6:H6"/>
    <mergeCell ref="A19:B19"/>
    <mergeCell ref="G19:H19"/>
  </mergeCells>
  <conditionalFormatting sqref="E7:E16 K7:K16 E20:E29 K20:K29 E33:E42 K33:K42">
    <cfRule type="colorScale" priority="35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R8:R21">
    <cfRule type="expression" dxfId="158" priority="182">
      <formula>COUNTIF($A$7:$K$42,$R8)&gt;0</formula>
    </cfRule>
  </conditionalFormatting>
  <conditionalFormatting sqref="A16:H19 A29:H32 C7:F15 A38:H42 C33:H37 C20:F27 A28:F28">
    <cfRule type="expression" dxfId="157" priority="178">
      <formula>OR(A7="CII-4A2",A7="CII-4B3",A7="CII-4[1]3",A7="CII-4[2]3",A7="CII-3_3",A7="CII-4[3]3",A7="CII-4[4]3",A7="CII-4E4", A7="CII-3L3",A7="CII-3M3",A7="CII-3N3",A7="CII-3O3",A7="CII-3P3",A7="CII-4F3",A7="CII-4G3",A7="CII-4H3",A7="CII-4I3",A7="CII-4J3",A7="CII-4K3",A7="CII-4L3",A7="CII-4M3",A7="CII-4N3",A7="CII-4O3",A7="CII-4P3",A7="CII-4Q3",A7="CII-4R3",A7="CII-4S3")</formula>
    </cfRule>
    <cfRule type="expression" dxfId="156" priority="179">
      <formula>OR(A7="CII-1I3", A7="CII-1J3", A7="CII-2F3", A7="CII-2H3", A7="CII-2I2", A7="CII-2J4", A7="CII-2M3", A7="CII-3C3", A7="CII-3D4", A7="CII-3E3", A7="CII-3F1", A7="CII-3G3", A7="CII-3K2", A7="CII-4C3")</formula>
    </cfRule>
  </conditionalFormatting>
  <conditionalFormatting sqref="B43">
    <cfRule type="expression" dxfId="155" priority="171">
      <formula>OR(B43="CII-4A2",B43="CII-4B3",B43="CII-4[1]3",B43="CII-4[2]3",B43="CII-3_3",B43="CII-4[3]3",B43="CII-4[4]3",B43="CII-4E4", B43="CII-3L3",B43="CII-3M3",B43="CII-3N3",B43="CII-3O3",B43="CII-3P3",B43="CII-4F3",B43="CII-4G3",B43="CII-4H3",B43="CII-4I3",B43="CII-4J3",B43="CII-4K3",B43="CII-4L3",B43="CII-4M3",B43="CII-4N3",B43="CII-4O3",B43="CII-4P3",B43="CII-4Q3",B43="CII-4R3",B43="CII-4S3")</formula>
    </cfRule>
    <cfRule type="expression" dxfId="154" priority="172">
      <formula>OR(B43="CII-1I3", B43="CII-1J3", B43="CII-2F3", B43="CII-2H3", B43="CII-2I2", B43="CII-2J4", B43="CII-2M3", B43="CII-3C3", B43="CII-3D4", B43="CII-3E3", B43="CII-3F1", B43="CII-3G3", B43="CII-3K2", B43="CII-4C3")</formula>
    </cfRule>
  </conditionalFormatting>
  <conditionalFormatting sqref="H43">
    <cfRule type="expression" dxfId="153" priority="169">
      <formula>OR(H43="CII-4A2",H43="CII-4B3",H43="CII-4[1]3",H43="CII-4[2]3",H43="CII-3_3",H43="CII-4[3]3",H43="CII-4[4]3",H43="CII-4E4", H43="CII-3L3",H43="CII-3M3",H43="CII-3N3",H43="CII-3O3",H43="CII-3P3",H43="CII-4F3",H43="CII-4G3",H43="CII-4H3",H43="CII-4I3",H43="CII-4J3",H43="CII-4K3",H43="CII-4L3",H43="CII-4M3",H43="CII-4N3",H43="CII-4O3",H43="CII-4P3",H43="CII-4Q3",H43="CII-4R3",H43="CII-4S3")</formula>
    </cfRule>
    <cfRule type="expression" dxfId="152" priority="170">
      <formula>OR(H43="CII-1I3", H43="CII-1J3", H43="CII-2F3", H43="CII-2H3", H43="CII-2I2", H43="CII-2J4", H43="CII-2M3", H43="CII-3C3", H43="CII-3D4", H43="CII-3E3", H43="CII-3F1", H43="CII-3G3", H43="CII-3K2", H43="CII-4C3")</formula>
    </cfRule>
  </conditionalFormatting>
  <conditionalFormatting sqref="A7">
    <cfRule type="expression" dxfId="151" priority="167">
      <formula>OR(A7="CII-4A2",A7="CII-4B3",A7="CII-4[1]3",A7="CII-4[2]3",A7="CII-3_3",A7="CII-4[3]3",A7="CII-4[4]3",A7="CII-4E4")</formula>
    </cfRule>
    <cfRule type="expression" dxfId="150" priority="168">
      <formula>OR(A7="CII-1I3", A7="CII-1J3", A7="CII-2F3", A7="CII-2H3", A7="CII-2I2", A7="CII-2J4", A7="CII-2M3", A7="CII-3C3", A7="CII-3D4", A7="CII-3E3", A7="CII-3F1", A7="CII-3G3", A7="CII-3K2", A7="CII-4C3")</formula>
    </cfRule>
  </conditionalFormatting>
  <conditionalFormatting sqref="A7">
    <cfRule type="expression" dxfId="149" priority="166">
      <formula>AND($F$4&lt;=2017,$A$7="CII-1E3")</formula>
    </cfRule>
  </conditionalFormatting>
  <conditionalFormatting sqref="B7">
    <cfRule type="expression" dxfId="148" priority="164">
      <formula>OR(B7="CII-4A2",B7="CII-4B3",B7="CII-4[1]3",B7="CII-4[2]3",B7="CII-3_3",B7="CII-4[3]3",B7="CII-4[4]3",B7="CII-4E4")</formula>
    </cfRule>
    <cfRule type="expression" dxfId="147" priority="165">
      <formula>OR(B7="CII-1I3", B7="CII-1J3", B7="CII-2F3", B7="CII-2H3", B7="CII-2I2", B7="CII-2J4", B7="CII-2M3", B7="CII-3C3", B7="CII-3D4", B7="CII-3E3", B7="CII-3F1", B7="CII-3G3", B7="CII-3K2", B7="CII-4C3")</formula>
    </cfRule>
  </conditionalFormatting>
  <conditionalFormatting sqref="B7">
    <cfRule type="expression" dxfId="146" priority="163">
      <formula>AND($F$4&lt;=2017,$A$7="CII-1E3")</formula>
    </cfRule>
  </conditionalFormatting>
  <conditionalFormatting sqref="A8">
    <cfRule type="expression" dxfId="145" priority="161">
      <formula>OR(A8="CII-4A2",A8="CII-4B3",A8="CII-4[1]3",A8="CII-4[2]3",A8="CII-3_3",A8="CII-4[3]3",A8="CII-4[4]3",A8="CII-4E4")</formula>
    </cfRule>
    <cfRule type="expression" dxfId="144" priority="162">
      <formula>OR(A8="CII-1I3", A8="CII-1J3", A8="CII-2F3", A8="CII-2H3", A8="CII-2I2", A8="CII-2J4", A8="CII-2M3", A8="CII-3C3", A8="CII-3D4", A8="CII-3E3", A8="CII-3F1", A8="CII-3G3", A8="CII-3K2", A8="CII-4C3")</formula>
    </cfRule>
  </conditionalFormatting>
  <conditionalFormatting sqref="A9">
    <cfRule type="expression" dxfId="143" priority="159">
      <formula>OR(A9="CII-4A2",A9="CII-4B3",A9="CII-4[1]3",A9="CII-4[2]3",A9="CII-3_3",A9="CII-4[3]3",A9="CII-4[4]3",A9="CII-4E4")</formula>
    </cfRule>
    <cfRule type="expression" dxfId="142" priority="160">
      <formula>OR(A9="CII-1I3", A9="CII-1J3", A9="CII-2F3", A9="CII-2H3", A9="CII-2I2", A9="CII-2J4", A9="CII-2M3", A9="CII-3C3", A9="CII-3D4", A9="CII-3E3", A9="CII-3F1", A9="CII-3G3", A9="CII-3K2", A9="CII-4C3")</formula>
    </cfRule>
  </conditionalFormatting>
  <conditionalFormatting sqref="B10">
    <cfRule type="expression" dxfId="141" priority="157">
      <formula>OR(B10="CII-4A2",B10="CII-4B3",B10="CII-4[1]3",B10="CII-4[2]3",B10="CII-3_3",B10="CII-4[3]3",B10="CII-4[4]3",B10="CII-4E4")</formula>
    </cfRule>
    <cfRule type="expression" dxfId="140" priority="158">
      <formula>OR(B10="CII-1I3", B10="CII-1J3", B10="CII-2F3", B10="CII-2H3", B10="CII-2I2", B10="CII-2J4", B10="CII-2M3", B10="CII-3C3", B10="CII-3D4", B10="CII-3E3", B10="CII-3F1", B10="CII-3G3", B10="CII-3K2", B10="CII-4C3")</formula>
    </cfRule>
  </conditionalFormatting>
  <conditionalFormatting sqref="A10">
    <cfRule type="expression" dxfId="139" priority="155">
      <formula>OR(A10="CII-4A2",A10="CII-4B3",A10="CII-4[1]3",A10="CII-4[2]3",A10="CII-3_3",A10="CII-4[3]3",A10="CII-4[4]3",A10="CII-4E4")</formula>
    </cfRule>
    <cfRule type="expression" dxfId="138" priority="156">
      <formula>OR(A10="CII-1I3", A10="CII-1J3", A10="CII-2F3", A10="CII-2H3", A10="CII-2I2", A10="CII-2J4", A10="CII-2M3", A10="CII-3C3", A10="CII-3D4", A10="CII-3E3", A10="CII-3F1", A10="CII-3G3", A10="CII-3K2", A10="CII-4C3")</formula>
    </cfRule>
  </conditionalFormatting>
  <conditionalFormatting sqref="B11">
    <cfRule type="expression" dxfId="137" priority="153">
      <formula>OR(B11="CII-4A2",B11="CII-4B3",B11="CII-4[1]3",B11="CII-4[2]3",B11="CII-3_3",B11="CII-4[3]3",B11="CII-4[4]3",B11="CII-4E4")</formula>
    </cfRule>
    <cfRule type="expression" dxfId="136" priority="154">
      <formula>OR(B11="CII-1I3", B11="CII-1J3", B11="CII-2F3", B11="CII-2H3", B11="CII-2I2", B11="CII-2J4", B11="CII-2M3", B11="CII-3C3", B11="CII-3D4", B11="CII-3E3", B11="CII-3F1", B11="CII-3G3", B11="CII-3K2", B11="CII-4C3")</formula>
    </cfRule>
  </conditionalFormatting>
  <conditionalFormatting sqref="A11">
    <cfRule type="expression" dxfId="135" priority="151">
      <formula>OR(A11="CII-4A2",A11="CII-4B3",A11="CII-4[1]3",A11="CII-4[2]3",A11="CII-3_3",A11="CII-4[3]3",A11="CII-4[4]3",A11="CII-4E4")</formula>
    </cfRule>
    <cfRule type="expression" dxfId="134" priority="152">
      <formula>OR(A11="CII-1I3", A11="CII-1J3", A11="CII-2F3", A11="CII-2H3", A11="CII-2I2", A11="CII-2J4", A11="CII-2M3", A11="CII-3C3", A11="CII-3D4", A11="CII-3E3", A11="CII-3F1", A11="CII-3G3", A11="CII-3K2", A11="CII-4C3")</formula>
    </cfRule>
  </conditionalFormatting>
  <conditionalFormatting sqref="B12">
    <cfRule type="expression" dxfId="133" priority="149">
      <formula>OR(B12="CII-4A2",B12="CII-4B3",B12="CII-4[1]3",B12="CII-4[2]3",B12="CII-3_3",B12="CII-4[3]3",B12="CII-4[4]3",B12="CII-4E4")</formula>
    </cfRule>
    <cfRule type="expression" dxfId="132" priority="150">
      <formula>OR(B12="CII-1I3", B12="CII-1J3", B12="CII-2F3", B12="CII-2H3", B12="CII-2I2", B12="CII-2J4", B12="CII-2M3", B12="CII-3C3", B12="CII-3D4", B12="CII-3E3", B12="CII-3F1", B12="CII-3G3", B12="CII-3K2", B12="CII-4C3")</formula>
    </cfRule>
  </conditionalFormatting>
  <conditionalFormatting sqref="A12">
    <cfRule type="expression" dxfId="131" priority="147">
      <formula>OR(A12="CII-4A2",A12="CII-4B3",A12="CII-4[1]3",A12="CII-4[2]3",A12="CII-3_3",A12="CII-4[3]3",A12="CII-4[4]3",A12="CII-4E4")</formula>
    </cfRule>
    <cfRule type="expression" dxfId="130" priority="148">
      <formula>OR(A12="CII-1I3", A12="CII-1J3", A12="CII-2F3", A12="CII-2H3", A12="CII-2I2", A12="CII-2J4", A12="CII-2M3", A12="CII-3C3", A12="CII-3D4", A12="CII-3E3", A12="CII-3F1", A12="CII-3G3", A12="CII-3K2", A12="CII-4C3")</formula>
    </cfRule>
  </conditionalFormatting>
  <conditionalFormatting sqref="B13">
    <cfRule type="expression" dxfId="129" priority="145">
      <formula>OR(B13="CII-4A2",B13="CII-4B3",B13="CII-4[1]3",B13="CII-4[2]3",B13="CII-3_3",B13="CII-4[3]3",B13="CII-4[4]3",B13="CII-4E4")</formula>
    </cfRule>
    <cfRule type="expression" dxfId="128" priority="146">
      <formula>OR(B13="CII-1I3", B13="CII-1J3", B13="CII-2F3", B13="CII-2H3", B13="CII-2I2", B13="CII-2J4", B13="CII-2M3", B13="CII-3C3", B13="CII-3D4", B13="CII-3E3", B13="CII-3F1", B13="CII-3G3", B13="CII-3K2", B13="CII-4C3")</formula>
    </cfRule>
  </conditionalFormatting>
  <conditionalFormatting sqref="A13">
    <cfRule type="expression" dxfId="127" priority="143">
      <formula>OR(A13="CII-4A2",A13="CII-4B3",A13="CII-4[1]3",A13="CII-4[2]3",A13="CII-3_3",A13="CII-4[3]3",A13="CII-4[4]3",A13="CII-4E4")</formula>
    </cfRule>
    <cfRule type="expression" dxfId="126" priority="144">
      <formula>OR(A13="CII-1I3", A13="CII-1J3", A13="CII-2F3", A13="CII-2H3", A13="CII-2I2", A13="CII-2J4", A13="CII-2M3", A13="CII-3C3", A13="CII-3D4", A13="CII-3E3", A13="CII-3F1", A13="CII-3G3", A13="CII-3K2", A13="CII-4C3")</formula>
    </cfRule>
  </conditionalFormatting>
  <conditionalFormatting sqref="B15">
    <cfRule type="expression" dxfId="125" priority="139">
      <formula>OR(B15="CII-4A2",B15="CII-4B3",B15="CII-4[1]3",B15="CII-4[2]3",B15="CII-3_3",B15="CII-4[3]3",B15="CII-4[4]3",B15="CII-4E4")</formula>
    </cfRule>
    <cfRule type="expression" dxfId="124" priority="140">
      <formula>OR(B15="CII-1I3", B15="CII-1J3", B15="CII-2F3", B15="CII-2H3", B15="CII-2I2", B15="CII-2J4", B15="CII-2M3", B15="CII-3C3", B15="CII-3D4", B15="CII-3E3", B15="CII-3F1", B15="CII-3G3", B15="CII-3K2", B15="CII-4C3")</formula>
    </cfRule>
  </conditionalFormatting>
  <conditionalFormatting sqref="A15">
    <cfRule type="expression" dxfId="123" priority="133">
      <formula>OR(A15="CII-4A2",A15="CII-4B3",A15="CII-4[1]3",A15="CII-4[2]3",A15="CII-3_3",A15="CII-4[3]3",A15="CII-4[4]3",A15="CII-4E4")</formula>
    </cfRule>
    <cfRule type="expression" dxfId="122" priority="134">
      <formula>OR(A15="CII-1I3", A15="CII-1J3", A15="CII-2F3", A15="CII-2H3", A15="CII-2I2", A15="CII-2J4", A15="CII-2M3", A15="CII-3C3", A15="CII-3D4", A15="CII-3E3", A15="CII-3F1", A15="CII-3G3", A15="CII-3K2", A15="CII-4C3")</formula>
    </cfRule>
  </conditionalFormatting>
  <conditionalFormatting sqref="G7">
    <cfRule type="expression" dxfId="121" priority="131">
      <formula>OR(G7="CII-4A2",G7="CII-4B3",G7="CII-4[1]3",G7="CII-4[2]3",G7="CII-3_3",G7="CII-4[3]3",G7="CII-4[4]3",G7="CII-4E4")</formula>
    </cfRule>
    <cfRule type="expression" dxfId="120" priority="132">
      <formula>OR(G7="CII-1I3", G7="CII-1J3", G7="CII-2F3", G7="CII-2H3", G7="CII-2I2", G7="CII-2J4", G7="CII-2M3", G7="CII-3C3", G7="CII-3D4", G7="CII-3E3", G7="CII-3F1", G7="CII-3G3", G7="CII-3K2", G7="CII-4C3")</formula>
    </cfRule>
  </conditionalFormatting>
  <conditionalFormatting sqref="G8">
    <cfRule type="expression" dxfId="119" priority="129">
      <formula>OR(G8="CII-4A2",G8="CII-4B3",G8="CII-4[1]3",G8="CII-4[2]3",G8="CII-3_3",G8="CII-4[3]3",G8="CII-4[4]3",G8="CII-4E4")</formula>
    </cfRule>
    <cfRule type="expression" dxfId="118" priority="130">
      <formula>OR(G8="CII-1I3", G8="CII-1J3", G8="CII-2F3", G8="CII-2H3", G8="CII-2I2", G8="CII-2J4", G8="CII-2M3", G8="CII-3C3", G8="CII-3D4", G8="CII-3E3", G8="CII-3F1", G8="CII-3G3", G8="CII-3K2", G8="CII-4C3")</formula>
    </cfRule>
  </conditionalFormatting>
  <conditionalFormatting sqref="G9">
    <cfRule type="expression" dxfId="117" priority="127">
      <formula>OR(G9="CII-4A2",G9="CII-4B3",G9="CII-4[1]3",G9="CII-4[2]3",G9="CII-3_3",G9="CII-4[3]3",G9="CII-4[4]3",G9="CII-4E4")</formula>
    </cfRule>
    <cfRule type="expression" dxfId="116" priority="128">
      <formula>OR(G9="CII-1I3", G9="CII-1J3", G9="CII-2F3", G9="CII-2H3", G9="CII-2I2", G9="CII-2J4", G9="CII-2M3", G9="CII-3C3", G9="CII-3D4", G9="CII-3E3", G9="CII-3F1", G9="CII-3G3", G9="CII-3K2", G9="CII-4C3")</formula>
    </cfRule>
  </conditionalFormatting>
  <conditionalFormatting sqref="G10">
    <cfRule type="expression" dxfId="115" priority="125">
      <formula>OR(G10="CII-4A2",G10="CII-4B3",G10="CII-4[1]3",G10="CII-4[2]3",G10="CII-3_3",G10="CII-4[3]3",G10="CII-4[4]3",G10="CII-4E4")</formula>
    </cfRule>
    <cfRule type="expression" dxfId="114" priority="126">
      <formula>OR(G10="CII-1I3", G10="CII-1J3", G10="CII-2F3", G10="CII-2H3", G10="CII-2I2", G10="CII-2J4", G10="CII-2M3", G10="CII-3C3", G10="CII-3D4", G10="CII-3E3", G10="CII-3F1", G10="CII-3G3", G10="CII-3K2", G10="CII-4C3")</formula>
    </cfRule>
  </conditionalFormatting>
  <conditionalFormatting sqref="G11">
    <cfRule type="expression" dxfId="113" priority="123">
      <formula>OR(G11="CII-4A2",G11="CII-4B3",G11="CII-4[1]3",G11="CII-4[2]3",G11="CII-3_3",G11="CII-4[3]3",G11="CII-4[4]3",G11="CII-4E4")</formula>
    </cfRule>
    <cfRule type="expression" dxfId="112" priority="124">
      <formula>OR(G11="CII-1I3", G11="CII-1J3", G11="CII-2F3", G11="CII-2H3", G11="CII-2I2", G11="CII-2J4", G11="CII-2M3", G11="CII-3C3", G11="CII-3D4", G11="CII-3E3", G11="CII-3F1", G11="CII-3G3", G11="CII-3K2", G11="CII-4C3")</formula>
    </cfRule>
  </conditionalFormatting>
  <conditionalFormatting sqref="B20">
    <cfRule type="expression" dxfId="111" priority="115">
      <formula>OR(B20="CII-4A2",B20="CII-4B3",B20="CII-4[1]3",B20="CII-4[2]3",B20="CII-3_3",B20="CII-4[3]3",B20="CII-4[4]3",B20="CII-4E4")</formula>
    </cfRule>
    <cfRule type="expression" dxfId="110" priority="116">
      <formula>OR(B20="CII-1I3", B20="CII-1J3", B20="CII-2F3", B20="CII-2H3", B20="CII-2I2", B20="CII-2J4", B20="CII-2M3", B20="CII-3C3", B20="CII-3D4", B20="CII-3E3", B20="CII-3F1", B20="CII-3G3", B20="CII-3K2", B20="CII-4C3")</formula>
    </cfRule>
  </conditionalFormatting>
  <conditionalFormatting sqref="A20">
    <cfRule type="expression" dxfId="109" priority="113">
      <formula>OR(A20="CII-4A2",A20="CII-4B3",A20="CII-4[1]3",A20="CII-4[2]3",A20="CII-3_3",A20="CII-4[3]3",A20="CII-4[4]3",A20="CII-4E4")</formula>
    </cfRule>
    <cfRule type="expression" dxfId="108" priority="114">
      <formula>OR(A20="CII-1I3", A20="CII-1J3", A20="CII-2F3", A20="CII-2H3", A20="CII-2I2", A20="CII-2J4", A20="CII-2M3", A20="CII-3C3", A20="CII-3D4", A20="CII-3E3", A20="CII-3F1", A20="CII-3G3", A20="CII-3K2", A20="CII-4C3")</formula>
    </cfRule>
  </conditionalFormatting>
  <conditionalFormatting sqref="B21">
    <cfRule type="expression" dxfId="107" priority="111">
      <formula>OR(B21="CII-4A2",B21="CII-4B3",B21="CII-4[1]3",B21="CII-4[2]3",B21="CII-3_3",B21="CII-4[3]3",B21="CII-4[4]3",B21="CII-4E4")</formula>
    </cfRule>
    <cfRule type="expression" dxfId="106" priority="112">
      <formula>OR(B21="CII-1I3", B21="CII-1J3", B21="CII-2F3", B21="CII-2H3", B21="CII-2I2", B21="CII-2J4", B21="CII-2M3", B21="CII-3C3", B21="CII-3D4", B21="CII-3E3", B21="CII-3F1", B21="CII-3G3", B21="CII-3K2", B21="CII-4C3")</formula>
    </cfRule>
  </conditionalFormatting>
  <conditionalFormatting sqref="A21">
    <cfRule type="expression" dxfId="105" priority="109">
      <formula>OR(A21="CII-4A2",A21="CII-4B3",A21="CII-4[1]3",A21="CII-4[2]3",A21="CII-3_3",A21="CII-4[3]3",A21="CII-4[4]3",A21="CII-4E4")</formula>
    </cfRule>
    <cfRule type="expression" dxfId="104" priority="110">
      <formula>OR(A21="CII-1I3", A21="CII-1J3", A21="CII-2F3", A21="CII-2H3", A21="CII-2I2", A21="CII-2J4", A21="CII-2M3", A21="CII-3C3", A21="CII-3D4", A21="CII-3E3", A21="CII-3F1", A21="CII-3G3", A21="CII-3K2", A21="CII-4C3")</formula>
    </cfRule>
  </conditionalFormatting>
  <conditionalFormatting sqref="B22">
    <cfRule type="expression" dxfId="103" priority="107">
      <formula>OR(B22="CII-4A2",B22="CII-4B3",B22="CII-4[1]3",B22="CII-4[2]3",B22="CII-3_3",B22="CII-4[3]3",B22="CII-4[4]3",B22="CII-4E4")</formula>
    </cfRule>
    <cfRule type="expression" dxfId="102" priority="108">
      <formula>OR(B22="CII-1I3", B22="CII-1J3", B22="CII-2F3", B22="CII-2H3", B22="CII-2I2", B22="CII-2J4", B22="CII-2M3", B22="CII-3C3", B22="CII-3D4", B22="CII-3E3", B22="CII-3F1", B22="CII-3G3", B22="CII-3K2", B22="CII-4C3")</formula>
    </cfRule>
  </conditionalFormatting>
  <conditionalFormatting sqref="A22">
    <cfRule type="expression" dxfId="101" priority="105">
      <formula>OR(A22="CII-4A2",A22="CII-4B3",A22="CII-4[1]3",A22="CII-4[2]3",A22="CII-3_3",A22="CII-4[3]3",A22="CII-4[4]3",A22="CII-4E4")</formula>
    </cfRule>
    <cfRule type="expression" dxfId="100" priority="106">
      <formula>OR(A22="CII-1I3", A22="CII-1J3", A22="CII-2F3", A22="CII-2H3", A22="CII-2I2", A22="CII-2J4", A22="CII-2M3", A22="CII-3C3", A22="CII-3D4", A22="CII-3E3", A22="CII-3F1", A22="CII-3G3", A22="CII-3K2", A22="CII-4C3")</formula>
    </cfRule>
  </conditionalFormatting>
  <conditionalFormatting sqref="B23">
    <cfRule type="expression" dxfId="99" priority="103">
      <formula>OR(B23="CII-4A2",B23="CII-4B3",B23="CII-4[1]3",B23="CII-4[2]3",B23="CII-3_3",B23="CII-4[3]3",B23="CII-4[4]3",B23="CII-4E4")</formula>
    </cfRule>
    <cfRule type="expression" dxfId="98" priority="104">
      <formula>OR(B23="CII-1I3", B23="CII-1J3", B23="CII-2F3", B23="CII-2H3", B23="CII-2I2", B23="CII-2J4", B23="CII-2M3", B23="CII-3C3", B23="CII-3D4", B23="CII-3E3", B23="CII-3F1", B23="CII-3G3", B23="CII-3K2", B23="CII-4C3")</formula>
    </cfRule>
  </conditionalFormatting>
  <conditionalFormatting sqref="A23">
    <cfRule type="expression" dxfId="97" priority="101">
      <formula>OR(A23="CII-4A2",A23="CII-4B3",A23="CII-4[1]3",A23="CII-4[2]3",A23="CII-3_3",A23="CII-4[3]3",A23="CII-4[4]3",A23="CII-4E4")</formula>
    </cfRule>
    <cfRule type="expression" dxfId="96" priority="102">
      <formula>OR(A23="CII-1I3", A23="CII-1J3", A23="CII-2F3", A23="CII-2H3", A23="CII-2I2", A23="CII-2J4", A23="CII-2M3", A23="CII-3C3", A23="CII-3D4", A23="CII-3E3", A23="CII-3F1", A23="CII-3G3", A23="CII-3K2", A23="CII-4C3")</formula>
    </cfRule>
  </conditionalFormatting>
  <conditionalFormatting sqref="G21">
    <cfRule type="expression" dxfId="91" priority="89">
      <formula>OR(G21="CII-4A2",G21="CII-4B3",G21="CII-4[1]3",G21="CII-4[2]3",G21="CII-3_3",G21="CII-4[3]3",G21="CII-4[4]3",G21="CII-4E4")</formula>
    </cfRule>
    <cfRule type="expression" dxfId="90" priority="90">
      <formula>OR(G21="CII-1I3", G21="CII-1J3", G21="CII-2F3", G21="CII-2H3", G21="CII-2I2", G21="CII-2J4", G21="CII-2M3", G21="CII-3C3", G21="CII-3D4", G21="CII-3E3", G21="CII-3F1", G21="CII-3G3", G21="CII-3K2", G21="CII-4C3")</formula>
    </cfRule>
  </conditionalFormatting>
  <conditionalFormatting sqref="G22">
    <cfRule type="expression" dxfId="89" priority="87">
      <formula>OR(G22="CII-4A2",G22="CII-4B3",G22="CII-4[1]3",G22="CII-4[2]3",G22="CII-3_3",G22="CII-4[3]3",G22="CII-4[4]3",G22="CII-4E4")</formula>
    </cfRule>
    <cfRule type="expression" dxfId="88" priority="88">
      <formula>OR(G22="CII-1I3", G22="CII-1J3", G22="CII-2F3", G22="CII-2H3", G22="CII-2I2", G22="CII-2J4", G22="CII-2M3", G22="CII-3C3", G22="CII-3D4", G22="CII-3E3", G22="CII-3F1", G22="CII-3G3", G22="CII-3K2", G22="CII-4C3")</formula>
    </cfRule>
  </conditionalFormatting>
  <conditionalFormatting sqref="H23">
    <cfRule type="expression" dxfId="87" priority="85">
      <formula>OR(H23="CII-4A2",H23="CII-4B3",H23="CII-4[1]3",H23="CII-4[2]3",H23="CII-3_3",H23="CII-4[3]3",H23="CII-4[4]3",H23="CII-4E4")</formula>
    </cfRule>
    <cfRule type="expression" dxfId="86" priority="86">
      <formula>OR(H23="CII-1I3", H23="CII-1J3", H23="CII-2F3", H23="CII-2H3", H23="CII-2I2", H23="CII-2J4", H23="CII-2M3", H23="CII-3C3", H23="CII-3D4", H23="CII-3E3", H23="CII-3F1", H23="CII-3G3", H23="CII-3K2", H23="CII-4C3")</formula>
    </cfRule>
  </conditionalFormatting>
  <conditionalFormatting sqref="H24">
    <cfRule type="expression" dxfId="85" priority="83">
      <formula>OR(H24="CII-4A2",H24="CII-4B3",H24="CII-4[1]3",H24="CII-4[2]3",H24="CII-3_3",H24="CII-4[3]3",H24="CII-4[4]3",H24="CII-4E4")</formula>
    </cfRule>
    <cfRule type="expression" dxfId="84" priority="84">
      <formula>OR(H24="CII-1I3", H24="CII-1J3", H24="CII-2F3", H24="CII-2H3", H24="CII-2I2", H24="CII-2J4", H24="CII-2M3", H24="CII-3C3", H24="CII-3D4", H24="CII-3E3", H24="CII-3F1", H24="CII-3G3", H24="CII-3K2", H24="CII-4C3")</formula>
    </cfRule>
  </conditionalFormatting>
  <conditionalFormatting sqref="G23">
    <cfRule type="expression" dxfId="83" priority="81">
      <formula>OR(G23="CII-4A2",G23="CII-4B3",G23="CII-4[1]3",G23="CII-4[2]3",G23="CII-3_3",G23="CII-4[3]3",G23="CII-4[4]3",G23="CII-4E4")</formula>
    </cfRule>
    <cfRule type="expression" dxfId="82" priority="82">
      <formula>OR(G23="CII-1I3", G23="CII-1J3", G23="CII-2F3", G23="CII-2H3", G23="CII-2I2", G23="CII-2J4", G23="CII-2M3", G23="CII-3C3", G23="CII-3D4", G23="CII-3E3", G23="CII-3F1", G23="CII-3G3", G23="CII-3K2", G23="CII-4C3")</formula>
    </cfRule>
  </conditionalFormatting>
  <conditionalFormatting sqref="G24">
    <cfRule type="expression" dxfId="81" priority="79">
      <formula>OR(G24="CII-4A2",G24="CII-4B3",G24="CII-4[1]3",G24="CII-4[2]3",G24="CII-3_3",G24="CII-4[3]3",G24="CII-4[4]3",G24="CII-4E4")</formula>
    </cfRule>
    <cfRule type="expression" dxfId="80" priority="80">
      <formula>OR(G24="CII-1I3", G24="CII-1J3", G24="CII-2F3", G24="CII-2H3", G24="CII-2I2", G24="CII-2J4", G24="CII-2M3", G24="CII-3C3", G24="CII-3D4", G24="CII-3E3", G24="CII-3F1", G24="CII-3G3", G24="CII-3K2", G24="CII-4C3")</formula>
    </cfRule>
  </conditionalFormatting>
  <conditionalFormatting sqref="G25">
    <cfRule type="expression" dxfId="79" priority="77">
      <formula>OR(G25="CII-4A2",G25="CII-4B3",G25="CII-4[1]3",G25="CII-4[2]3",G25="CII-3_3",G25="CII-4[3]3",G25="CII-4[4]3",G25="CII-4E4")</formula>
    </cfRule>
    <cfRule type="expression" dxfId="78" priority="78">
      <formula>OR(G25="CII-1I3", G25="CII-1J3", G25="CII-2F3", G25="CII-2H3", G25="CII-2I2", G25="CII-2J4", G25="CII-2M3", G25="CII-3C3", G25="CII-3D4", G25="CII-3E3", G25="CII-3F1", G25="CII-3G3", G25="CII-3K2", G25="CII-4C3")</formula>
    </cfRule>
  </conditionalFormatting>
  <conditionalFormatting sqref="B33">
    <cfRule type="expression" dxfId="77" priority="75">
      <formula>OR(B33="CII-4A2",B33="CII-4B3",B33="CII-4[1]3",B33="CII-4[2]3",B33="CII-3_3",B33="CII-4[3]3",B33="CII-4[4]3",B33="CII-4E4")</formula>
    </cfRule>
    <cfRule type="expression" dxfId="76" priority="76">
      <formula>OR(B33="CII-1I3", B33="CII-1J3", B33="CII-2F3", B33="CII-2H3", B33="CII-2I2", B33="CII-2J4", B33="CII-2M3", B33="CII-3C3", B33="CII-3D4", B33="CII-3E3", B33="CII-3F1", B33="CII-3G3", B33="CII-3K2", B33="CII-4C3")</formula>
    </cfRule>
  </conditionalFormatting>
  <conditionalFormatting sqref="A33">
    <cfRule type="expression" dxfId="75" priority="73">
      <formula>OR(A33="CII-4A2",A33="CII-4B3",A33="CII-4[1]3",A33="CII-4[2]3",A33="CII-3_3",A33="CII-4[3]3",A33="CII-4[4]3",A33="CII-4E4")</formula>
    </cfRule>
    <cfRule type="expression" dxfId="74" priority="74">
      <formula>OR(A33="CII-1I3", A33="CII-1J3", A33="CII-2F3", A33="CII-2H3", A33="CII-2I2", A33="CII-2J4", A33="CII-2M3", A33="CII-3C3", A33="CII-3D4", A33="CII-3E3", A33="CII-3F1", A33="CII-3G3", A33="CII-3K2", A33="CII-4C3")</formula>
    </cfRule>
  </conditionalFormatting>
  <conditionalFormatting sqref="A35">
    <cfRule type="expression" dxfId="69" priority="67">
      <formula>OR(A35="CII-4A2",A35="CII-4B3",A35="CII-4[1]3",A35="CII-4[2]3",A35="CII-3_3",A35="CII-4[3]3",A35="CII-4[4]3",A35="CII-4E4")</formula>
    </cfRule>
    <cfRule type="expression" dxfId="68" priority="68">
      <formula>OR(A35="CII-1I3", A35="CII-1J3", A35="CII-2F3", A35="CII-2H3", A35="CII-2I2", A35="CII-2J4", A35="CII-2M3", A35="CII-3C3", A35="CII-3D4", A35="CII-3E3", A35="CII-3F1", A35="CII-3G3", A35="CII-3K2", A35="CII-4C3")</formula>
    </cfRule>
  </conditionalFormatting>
  <conditionalFormatting sqref="B26">
    <cfRule type="expression" dxfId="61" priority="57">
      <formula>OR(B26="CII-4A2",B26="CII-4B3",B26="CII-4[1]3",B26="CII-4[2]3",B26="CII-3_3",B26="CII-4[3]3",B26="CII-4[4]3",B26="CII-4E4")</formula>
    </cfRule>
    <cfRule type="expression" dxfId="60" priority="58">
      <formula>OR(B26="CII-1I3", B26="CII-1J3", B26="CII-2F3", B26="CII-2H3", B26="CII-2I2", B26="CII-2J4", B26="CII-2M3", B26="CII-3C3", B26="CII-3D4", B26="CII-3E3", B26="CII-3F1", B26="CII-3G3", B26="CII-3K2", B26="CII-4C3")</formula>
    </cfRule>
  </conditionalFormatting>
  <conditionalFormatting sqref="A26">
    <cfRule type="expression" dxfId="59" priority="55">
      <formula>OR(A26="CII-4A2",A26="CII-4B3",A26="CII-4[1]3",A26="CII-4[2]3",A26="CII-3_3",A26="CII-4[3]3",A26="CII-4[4]3",A26="CII-4E4")</formula>
    </cfRule>
    <cfRule type="expression" dxfId="58" priority="56">
      <formula>OR(A26="CII-1I3", A26="CII-1J3", A26="CII-2F3", A26="CII-2H3", A26="CII-2I2", A26="CII-2J4", A26="CII-2M3", A26="CII-3C3", A26="CII-3D4", A26="CII-3E3", A26="CII-3F1", A26="CII-3G3", A26="CII-3K2", A26="CII-4C3")</formula>
    </cfRule>
  </conditionalFormatting>
  <conditionalFormatting sqref="B37">
    <cfRule type="expression" dxfId="57" priority="53">
      <formula>OR(B37="CII-4A2",B37="CII-4B3",B37="CII-4[1]3",B37="CII-4[2]3",B37="CII-3_3",B37="CII-4[3]3",B37="CII-4[4]3",B37="CII-4E4")</formula>
    </cfRule>
    <cfRule type="expression" dxfId="56" priority="54">
      <formula>OR(B37="CII-1I3", B37="CII-1J3", B37="CII-2F3", B37="CII-2H3", B37="CII-2I2", B37="CII-2J4", B37="CII-2M3", B37="CII-3C3", B37="CII-3D4", B37="CII-3E3", B37="CII-3F1", B37="CII-3G3", B37="CII-3K2", B37="CII-4C3")</formula>
    </cfRule>
  </conditionalFormatting>
  <conditionalFormatting sqref="A37">
    <cfRule type="expression" dxfId="55" priority="51">
      <formula>OR(A37="CII-4A2",A37="CII-4B3",A37="CII-4[1]3",A37="CII-4[2]3",A37="CII-3_3",A37="CII-4[3]3",A37="CII-4[4]3",A37="CII-4E4")</formula>
    </cfRule>
    <cfRule type="expression" dxfId="54" priority="52">
      <formula>OR(A37="CII-1I3", A37="CII-1J3", A37="CII-2F3", A37="CII-2H3", A37="CII-2I2", A37="CII-2J4", A37="CII-2M3", A37="CII-3C3", A37="CII-3D4", A37="CII-3E3", A37="CII-3F1", A37="CII-3G3", A37="CII-3K2", A37="CII-4C3")</formula>
    </cfRule>
  </conditionalFormatting>
  <conditionalFormatting sqref="A24">
    <cfRule type="expression" dxfId="53" priority="49">
      <formula>OR(A24="CII-4A2",A24="CII-4B3",A24="CII-4[1]3",A24="CII-4[2]3",A24="CII-3_3",A24="CII-4[3]3",A24="CII-4[4]3",A24="CII-4E4")</formula>
    </cfRule>
    <cfRule type="expression" dxfId="52" priority="50">
      <formula>OR(A24="CII-1I3", A24="CII-1J3", A24="CII-2F3", A24="CII-2H3", A24="CII-2I2", A24="CII-2J4", A24="CII-2M3", A24="CII-3C3", A24="CII-3D4", A24="CII-3E3", A24="CII-3F1", A24="CII-3G3", A24="CII-3K2", A24="CII-4C3")</formula>
    </cfRule>
  </conditionalFormatting>
  <conditionalFormatting sqref="G20">
    <cfRule type="expression" dxfId="51" priority="47">
      <formula>OR(G20="CII-4A2",G20="CII-4B3",G20="CII-4[1]3",G20="CII-4[2]3",G20="CII-3_3",G20="CII-4[3]3",G20="CII-4[4]3",G20="CII-4E4")</formula>
    </cfRule>
    <cfRule type="expression" dxfId="50" priority="48">
      <formula>OR(G20="CII-1I3", G20="CII-1J3", G20="CII-2F3", G20="CII-2H3", G20="CII-2I2", G20="CII-2J4", G20="CII-2M3", G20="CII-3C3", G20="CII-3D4", G20="CII-3E3", G20="CII-3F1", G20="CII-3G3", G20="CII-3K2", G20="CII-4C3")</formula>
    </cfRule>
  </conditionalFormatting>
  <conditionalFormatting sqref="H13">
    <cfRule type="expression" dxfId="49" priority="45">
      <formula>OR(H13="CII-4A2",H13="CII-4B3",H13="CII-4[1]3",H13="CII-4[2]3",H13="CII-3_3",H13="CII-4[3]3",H13="CII-4[4]3",H13="CII-4E4")</formula>
    </cfRule>
    <cfRule type="expression" dxfId="48" priority="46">
      <formula>OR(H13="CII-1I3", H13="CII-1J3", H13="CII-2F3", H13="CII-2H3", H13="CII-2I2", H13="CII-2J4", H13="CII-2M3", H13="CII-3C3", H13="CII-3D4", H13="CII-3E3", H13="CII-3F1", H13="CII-3G3", H13="CII-3K2", H13="CII-4C3")</formula>
    </cfRule>
  </conditionalFormatting>
  <conditionalFormatting sqref="G13">
    <cfRule type="expression" dxfId="47" priority="43">
      <formula>OR(G13="CII-4A2",G13="CII-4B3",G13="CII-4[1]3",G13="CII-4[2]3",G13="CII-3_3",G13="CII-4[3]3",G13="CII-4[4]3",G13="CII-4E4")</formula>
    </cfRule>
    <cfRule type="expression" dxfId="46" priority="44">
      <formula>OR(G13="CII-1I3", G13="CII-1J3", G13="CII-2F3", G13="CII-2H3", G13="CII-2I2", G13="CII-2J4", G13="CII-2M3", G13="CII-3C3", G13="CII-3D4", G13="CII-3E3", G13="CII-3F1", G13="CII-3G3", G13="CII-3K2", G13="CII-4C3")</formula>
    </cfRule>
  </conditionalFormatting>
  <conditionalFormatting sqref="A14">
    <cfRule type="expression" dxfId="45" priority="41">
      <formula>OR(A14="CII-4A2",A14="CII-4B3",A14="CII-4[1]3",A14="CII-4[2]3",A14="CII-3_3",A14="CII-4[3]3",A14="CII-4[4]3",A14="CII-4E4")</formula>
    </cfRule>
    <cfRule type="expression" dxfId="44" priority="42">
      <formula>OR(A14="CII-1I3", A14="CII-1J3", A14="CII-2F3", A14="CII-2H3", A14="CII-2I2", A14="CII-2J4", A14="CII-2M3", A14="CII-3C3", A14="CII-3D4", A14="CII-3E3", A14="CII-3F1", A14="CII-3G3", A14="CII-3K2", A14="CII-4C3")</formula>
    </cfRule>
  </conditionalFormatting>
  <conditionalFormatting sqref="G12">
    <cfRule type="expression" dxfId="43" priority="39">
      <formula>OR(G12="CII-4A2",G12="CII-4B3",G12="CII-4[1]3",G12="CII-4[2]3",G12="CII-3_3",G12="CII-4[3]3",G12="CII-4[4]3",G12="CII-4E4")</formula>
    </cfRule>
    <cfRule type="expression" dxfId="42" priority="40">
      <formula>OR(G12="CII-1I3", G12="CII-1J3", G12="CII-2F3", G12="CII-2H3", G12="CII-2I2", G12="CII-2J4", G12="CII-2M3", G12="CII-3C3", G12="CII-3D4", G12="CII-3E3", G12="CII-3F1", G12="CII-3G3", G12="CII-3K2", G12="CII-4C3")</formula>
    </cfRule>
  </conditionalFormatting>
  <conditionalFormatting sqref="H12">
    <cfRule type="expression" dxfId="41" priority="37">
      <formula>OR(H12="CII-4A2",H12="CII-4B3",H12="CII-4[1]3",H12="CII-4[2]3",H12="CII-3_3",H12="CII-4[3]3",H12="CII-4[4]3",H12="CII-4E4")</formula>
    </cfRule>
    <cfRule type="expression" dxfId="40" priority="38">
      <formula>OR(H12="CII-1I3", H12="CII-1J3", H12="CII-2F3", H12="CII-2H3", H12="CII-2I2", H12="CII-2J4", H12="CII-2M3", H12="CII-3C3", H12="CII-3D4", H12="CII-3E3", H12="CII-3F1", H12="CII-3G3", H12="CII-3K2", H12="CII-4C3")</formula>
    </cfRule>
  </conditionalFormatting>
  <conditionalFormatting sqref="G15">
    <cfRule type="expression" dxfId="37" priority="29">
      <formula>OR(G15="CII-4A2",G15="CII-4B3",G15="CII-4[1]3",G15="CII-4[2]3",G15="CII-3_3",G15="CII-4[3]3",G15="CII-4[4]3",G15="CII-4E4")</formula>
    </cfRule>
    <cfRule type="expression" dxfId="36" priority="30">
      <formula>OR(G15="CII-1I3", G15="CII-1J3", G15="CII-2F3", G15="CII-2H3", G15="CII-2I2", G15="CII-2J4", G15="CII-2M3", G15="CII-3C3", G15="CII-3D4", G15="CII-3E3", G15="CII-3F1", G15="CII-3G3", G15="CII-3K2", G15="CII-4C3")</formula>
    </cfRule>
  </conditionalFormatting>
  <conditionalFormatting sqref="B27">
    <cfRule type="expression" dxfId="35" priority="27">
      <formula>OR(B27="CII-4A2",B27="CII-4B3",B27="CII-4[1]3",B27="CII-4[2]3",B27="CII-3_3",B27="CII-4[3]3",B27="CII-4[4]3",B27="CII-4E4")</formula>
    </cfRule>
    <cfRule type="expression" dxfId="34" priority="28">
      <formula>OR(B27="CII-1I3", B27="CII-1J3", B27="CII-2F3", B27="CII-2H3", B27="CII-2I2", B27="CII-2J4", B27="CII-2M3", B27="CII-3C3", B27="CII-3D4", B27="CII-3E3", B27="CII-3F1", B27="CII-3G3", B27="CII-3K2", B27="CII-4C3")</formula>
    </cfRule>
  </conditionalFormatting>
  <conditionalFormatting sqref="A27">
    <cfRule type="expression" dxfId="33" priority="25">
      <formula>OR(A27="CII-4A2",A27="CII-4B3",A27="CII-4[1]3",A27="CII-4[2]3",A27="CII-3_3",A27="CII-4[3]3",A27="CII-4[4]3",A27="CII-4E4")</formula>
    </cfRule>
    <cfRule type="expression" dxfId="32" priority="26">
      <formula>OR(A27="CII-1I3", A27="CII-1J3", A27="CII-2F3", A27="CII-2H3", A27="CII-2I2", A27="CII-2J4", A27="CII-2M3", A27="CII-3C3", A27="CII-3D4", A27="CII-3E3", A27="CII-3F1", A27="CII-3G3", A27="CII-3K2", A27="CII-4C3")</formula>
    </cfRule>
  </conditionalFormatting>
  <conditionalFormatting sqref="G27">
    <cfRule type="expression" dxfId="25" priority="23">
      <formula>OR(G27="CII-4A2",G27="CII-4B3",G27="CII-4[1]3",G27="CII-4[2]3",G27="CII-3_3",G27="CII-4[3]3",G27="CII-4[4]3",G27="CII-4E4")</formula>
    </cfRule>
    <cfRule type="expression" dxfId="24" priority="24">
      <formula>OR(G27="CII-1I3", G27="CII-1J3", G27="CII-2F3", G27="CII-2H3", G27="CII-2I2", G27="CII-2J4", G27="CII-2M3", G27="CII-3C3", G27="CII-3D4", G27="CII-3E3", G27="CII-3F1", G27="CII-3G3", G27="CII-3K2", G27="CII-4C3")</formula>
    </cfRule>
  </conditionalFormatting>
  <conditionalFormatting sqref="H27">
    <cfRule type="expression" dxfId="23" priority="21">
      <formula>OR(H27="CII-4A2",H27="CII-4B3",H27="CII-4[1]3",H27="CII-4[2]3",H27="CII-3_3",H27="CII-4[3]3",H27="CII-4[4]3",H27="CII-4E4")</formula>
    </cfRule>
    <cfRule type="expression" dxfId="22" priority="22">
      <formula>OR(H27="CII-1I3", H27="CII-1J3", H27="CII-2F3", H27="CII-2H3", H27="CII-2I2", H27="CII-2J4", H27="CII-2M3", H27="CII-3C3", H27="CII-3D4", H27="CII-3E3", H27="CII-3F1", H27="CII-3G3", H27="CII-3K2", H27="CII-4C3")</formula>
    </cfRule>
  </conditionalFormatting>
  <conditionalFormatting sqref="G28">
    <cfRule type="expression" dxfId="21" priority="19">
      <formula>OR(G28="CII-4A2",G28="CII-4B3",G28="CII-4[1]3",G28="CII-4[2]3",G28="CII-3_3",G28="CII-4[3]3",G28="CII-4[4]3",G28="CII-4E4")</formula>
    </cfRule>
    <cfRule type="expression" dxfId="20" priority="20">
      <formula>OR(G28="CII-1I3", G28="CII-1J3", G28="CII-2F3", G28="CII-2H3", G28="CII-2I2", G28="CII-2J4", G28="CII-2M3", G28="CII-3C3", G28="CII-3D4", G28="CII-3E3", G28="CII-3F1", G28="CII-3G3", G28="CII-3K2", G28="CII-4C3")</formula>
    </cfRule>
  </conditionalFormatting>
  <conditionalFormatting sqref="H28">
    <cfRule type="expression" dxfId="19" priority="17">
      <formula>OR(H28="CII-4A2",H28="CII-4B3",H28="CII-4[1]3",H28="CII-4[2]3",H28="CII-3_3",H28="CII-4[3]3",H28="CII-4[4]3",H28="CII-4E4")</formula>
    </cfRule>
    <cfRule type="expression" dxfId="18" priority="18">
      <formula>OR(H28="CII-1I3", H28="CII-1J3", H28="CII-2F3", H28="CII-2H3", H28="CII-2I2", H28="CII-2J4", H28="CII-2M3", H28="CII-3C3", H28="CII-3D4", H28="CII-3E3", H28="CII-3F1", H28="CII-3G3", H28="CII-3K2", H28="CII-4C3")</formula>
    </cfRule>
  </conditionalFormatting>
  <conditionalFormatting sqref="G26">
    <cfRule type="expression" dxfId="15" priority="15">
      <formula>OR(G26="CII-4A2",G26="CII-4B3",G26="CII-4[1]3",G26="CII-4[2]3",G26="CII-3_3",G26="CII-4[3]3",G26="CII-4[4]3",G26="CII-4E4")</formula>
    </cfRule>
    <cfRule type="expression" dxfId="14" priority="16">
      <formula>OR(G26="CII-1I3", G26="CII-1J3", G26="CII-2F3", G26="CII-2H3", G26="CII-2I2", G26="CII-2J4", G26="CII-2M3", G26="CII-3C3", G26="CII-3D4", G26="CII-3E3", G26="CII-3F1", G26="CII-3G3", G26="CII-3K2", G26="CII-4C3")</formula>
    </cfRule>
  </conditionalFormatting>
  <conditionalFormatting sqref="H26">
    <cfRule type="expression" dxfId="13" priority="13">
      <formula>OR(H26="CII-4A2",H26="CII-4B3",H26="CII-4[1]3",H26="CII-4[2]3",H26="CII-3_3",H26="CII-4[3]3",H26="CII-4[4]3",H26="CII-4E4")</formula>
    </cfRule>
    <cfRule type="expression" dxfId="12" priority="14">
      <formula>OR(H26="CII-1I3", H26="CII-1J3", H26="CII-2F3", H26="CII-2H3", H26="CII-2I2", H26="CII-2J4", H26="CII-2M3", H26="CII-3C3", H26="CII-3D4", H26="CII-3E3", H26="CII-3F1", H26="CII-3G3", H26="CII-3K2", H26="CII-4C3")</formula>
    </cfRule>
  </conditionalFormatting>
  <conditionalFormatting sqref="A36">
    <cfRule type="expression" dxfId="7" priority="7">
      <formula>OR(A36="CII-4A2",A36="CII-4B3",A36="CII-4[1]3",A36="CII-4[2]3",A36="CII-3_3",A36="CII-4[3]3",A36="CII-4[4]3",A36="CII-4E4")</formula>
    </cfRule>
    <cfRule type="expression" dxfId="6" priority="8">
      <formula>OR(A36="CII-1I3", A36="CII-1J3", A36="CII-2F3", A36="CII-2H3", A36="CII-2I2", A36="CII-2J4", A36="CII-2M3", A36="CII-3C3", A36="CII-3D4", A36="CII-3E3", A36="CII-3F1", A36="CII-3G3", A36="CII-3K2", A36="CII-4C3")</formula>
    </cfRule>
  </conditionalFormatting>
  <conditionalFormatting sqref="A25">
    <cfRule type="expression" dxfId="5" priority="5">
      <formula>OR(A25="CII-4A2",A25="CII-4B3",A25="CII-4[1]3",A25="CII-4[2]3",A25="CII-3_3",A25="CII-4[3]3",A25="CII-4[4]3",A25="CII-4E4")</formula>
    </cfRule>
    <cfRule type="expression" dxfId="4" priority="6">
      <formula>OR(A25="CII-1I3", A25="CII-1J3", A25="CII-2F3", A25="CII-2H3", A25="CII-2I2", A25="CII-2J4", A25="CII-2M3", A25="CII-3C3", A25="CII-3D4", A25="CII-3E3", A25="CII-3F1", A25="CII-3G3", A25="CII-3K2", A25="CII-4C3")</formula>
    </cfRule>
  </conditionalFormatting>
  <conditionalFormatting sqref="B25">
    <cfRule type="expression" dxfId="3" priority="3">
      <formula>OR(B25="CII-4A2",B25="CII-4B3",B25="CII-4[1]3",B25="CII-4[2]3",B25="CII-3_3",B25="CII-4[3]3",B25="CII-4[4]3",B25="CII-4E4")</formula>
    </cfRule>
    <cfRule type="expression" dxfId="2" priority="4">
      <formula>OR(B25="CII-1I3", B25="CII-1J3", B25="CII-2F3", B25="CII-2H3", B25="CII-2I2", B25="CII-2J4", B25="CII-2M3", B25="CII-3C3", B25="CII-3D4", B25="CII-3E3", B25="CII-3F1", B25="CII-3G3", B25="CII-3K2", B25="CII-4C3")</formula>
    </cfRule>
  </conditionalFormatting>
  <conditionalFormatting sqref="A34">
    <cfRule type="expression" dxfId="1" priority="1">
      <formula>OR(A34="CII-4A2",A34="CII-4B3",A34="CII-4[1]3",A34="CII-4[2]3",A34="CII-3_3",A34="CII-4[3]3",A34="CII-4[4]3",A34="CII-4E4")</formula>
    </cfRule>
    <cfRule type="expression" dxfId="0" priority="2">
      <formula>OR(A34="CII-1I3", A34="CII-1J3", A34="CII-2F3", A34="CII-2H3", A34="CII-2I2", A34="CII-2J4", A34="CII-2M3", A34="CII-3C3", A34="CII-3D4", A34="CII-3E3", A34="CII-3F1", A34="CII-3G3", A34="CII-3K2", A34="CII-4C3")</formula>
    </cfRule>
  </conditionalFormatting>
  <dataValidations count="2">
    <dataValidation type="list" allowBlank="1" showInputMessage="1" showErrorMessage="1" sqref="M7:P7">
      <formula1>"Y/N"</formula1>
    </dataValidation>
    <dataValidation type="list" allowBlank="1" showInputMessage="1" showErrorMessage="1" promptTitle="Pernah Lulus Sebelumnya?" prompt="Isi Y jika matakuliah sudah pernah lulus agar SKS tidak terhitung duplikat_x000a_" sqref="C20:C29 C7:C16 I20:I29 I33:I42 I7:I16 C33:C42">
      <formula1>"Y, N"</formula1>
    </dataValidation>
  </dataValidations>
  <pageMargins left="0.7" right="0.7" top="0.75" bottom="0.75" header="0.3" footer="0.3"/>
  <pageSetup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5" tint="0.79998168889431442"/>
  </sheetPr>
  <dimension ref="A1:I55"/>
  <sheetViews>
    <sheetView zoomScale="73" zoomScaleNormal="130" workbookViewId="0">
      <pane ySplit="1" topLeftCell="A11" activePane="bottomLeft" state="frozen"/>
      <selection pane="bottomLeft" activeCell="H30" sqref="H30"/>
    </sheetView>
  </sheetViews>
  <sheetFormatPr defaultColWidth="9.125" defaultRowHeight="14.3"/>
  <cols>
    <col min="1" max="1" width="10.25" style="7" customWidth="1"/>
    <col min="2" max="2" width="38.625" style="7" customWidth="1"/>
    <col min="3" max="4" width="7" style="29" customWidth="1"/>
    <col min="5" max="5" width="10.25" style="7" customWidth="1"/>
    <col min="6" max="6" width="38.625" style="7" customWidth="1"/>
    <col min="7" max="8" width="7" style="29" customWidth="1"/>
    <col min="9" max="9" width="41.25" style="7" hidden="1" customWidth="1"/>
    <col min="10" max="16384" width="9.125" style="7"/>
  </cols>
  <sheetData>
    <row r="1" spans="1:9">
      <c r="A1" s="26" t="s">
        <v>201</v>
      </c>
      <c r="B1" s="26" t="s">
        <v>327</v>
      </c>
      <c r="C1" s="26" t="s">
        <v>1</v>
      </c>
      <c r="D1" s="26" t="s">
        <v>202</v>
      </c>
      <c r="E1" s="26" t="s">
        <v>201</v>
      </c>
      <c r="F1" s="26" t="s">
        <v>328</v>
      </c>
      <c r="G1" s="26" t="s">
        <v>1</v>
      </c>
      <c r="H1" s="26" t="s">
        <v>202</v>
      </c>
      <c r="I1" s="35"/>
    </row>
    <row r="2" spans="1:9">
      <c r="A2" s="27" t="s">
        <v>3</v>
      </c>
      <c r="B2" s="27" t="s">
        <v>4</v>
      </c>
      <c r="C2" s="28">
        <v>3</v>
      </c>
      <c r="D2" s="28">
        <v>1</v>
      </c>
      <c r="E2" s="27" t="s">
        <v>123</v>
      </c>
      <c r="F2" s="27" t="s">
        <v>116</v>
      </c>
      <c r="G2" s="28">
        <v>3</v>
      </c>
      <c r="H2" s="28">
        <v>1</v>
      </c>
      <c r="I2" s="93" t="str" cm="1">
        <f t="array" aca="1" ref="I2" ca="1">IF(ISNA(MATCH(A2,'Status Kelulusan'!$A$7:$A$39,0)),CELL("address",INDEX('Status Kelulusan'!$I$7:$N$39,MATCH(A2,'Status Kelulusan'!$I$7:$I$39,0),6)),CELL("address",INDEX('Status Kelulusan'!$A$7:$F$39,MATCH(A2,'Status Kelulusan'!$A$7:$A$39,0),6)))</f>
        <v>'[1301190425_MUHAMMAD RIFQI.xlsx]Status Kelulusan'!$F$7</v>
      </c>
    </row>
    <row r="3" spans="1:9">
      <c r="A3" s="27" t="s">
        <v>8</v>
      </c>
      <c r="B3" s="27" t="s">
        <v>9</v>
      </c>
      <c r="C3" s="28">
        <v>2</v>
      </c>
      <c r="D3" s="28">
        <v>1</v>
      </c>
      <c r="E3" s="27" t="s">
        <v>118</v>
      </c>
      <c r="F3" s="27" t="s">
        <v>9</v>
      </c>
      <c r="G3" s="28">
        <v>2</v>
      </c>
      <c r="H3" s="28">
        <v>1</v>
      </c>
      <c r="I3" s="93" t="str" cm="1">
        <f t="array" aca="1" ref="I3" ca="1">IF(ISNA(MATCH(A3,'Status Kelulusan'!$A$7:$A$39,0)),CELL("address",INDEX('Status Kelulusan'!$I$7:$N$39,MATCH(A3,'Status Kelulusan'!$I$7:$I$39,0),6)),CELL("address",INDEX('Status Kelulusan'!$A$7:$F$39,MATCH(A3,'Status Kelulusan'!$A$7:$A$39,0),6)))</f>
        <v>'[1301190425_MUHAMMAD RIFQI.xlsx]Status Kelulusan'!$F$8</v>
      </c>
    </row>
    <row r="4" spans="1:9">
      <c r="A4" s="27" t="s">
        <v>13</v>
      </c>
      <c r="B4" s="27" t="s">
        <v>14</v>
      </c>
      <c r="C4" s="28">
        <v>2</v>
      </c>
      <c r="D4" s="28">
        <v>1</v>
      </c>
      <c r="E4" s="27" t="s">
        <v>122</v>
      </c>
      <c r="F4" s="27" t="s">
        <v>115</v>
      </c>
      <c r="G4" s="28">
        <v>2</v>
      </c>
      <c r="H4" s="28">
        <v>1</v>
      </c>
      <c r="I4" s="93" t="str" cm="1">
        <f t="array" aca="1" ref="I4" ca="1">IF(ISNA(MATCH(A4,'Status Kelulusan'!$A$7:$A$39,0)),CELL("address",INDEX('Status Kelulusan'!$I$7:$N$39,MATCH(A4,'Status Kelulusan'!$I$7:$I$39,0),6)),CELL("address",INDEX('Status Kelulusan'!$A$7:$F$39,MATCH(A4,'Status Kelulusan'!$A$7:$A$39,0),6)))</f>
        <v>'[1301190425_MUHAMMAD RIFQI.xlsx]Status Kelulusan'!$F$9</v>
      </c>
    </row>
    <row r="5" spans="1:9">
      <c r="A5" s="27" t="s">
        <v>17</v>
      </c>
      <c r="B5" s="27" t="s">
        <v>18</v>
      </c>
      <c r="C5" s="28">
        <v>2</v>
      </c>
      <c r="D5" s="28">
        <v>1</v>
      </c>
      <c r="E5" s="27" t="s">
        <v>120</v>
      </c>
      <c r="F5" s="27" t="s">
        <v>113</v>
      </c>
      <c r="G5" s="28">
        <v>3</v>
      </c>
      <c r="H5" s="28">
        <v>1</v>
      </c>
      <c r="I5" s="93" t="str" cm="1">
        <f t="array" aca="1" ref="I5" ca="1">IF(ISNA(MATCH(A5,'Status Kelulusan'!$A$7:$A$39,0)),CELL("address",INDEX('Status Kelulusan'!$I$7:$N$39,MATCH(A5,'Status Kelulusan'!$I$7:$I$39,0),6)),CELL("address",INDEX('Status Kelulusan'!$A$7:$F$39,MATCH(A5,'Status Kelulusan'!$A$7:$A$39,0),6)))</f>
        <v>'[1301190425_MUHAMMAD RIFQI.xlsx]Status Kelulusan'!$F$10</v>
      </c>
    </row>
    <row r="6" spans="1:9">
      <c r="A6" s="27" t="s">
        <v>25</v>
      </c>
      <c r="B6" s="27" t="s">
        <v>26</v>
      </c>
      <c r="C6" s="28">
        <v>3</v>
      </c>
      <c r="D6" s="28">
        <v>1</v>
      </c>
      <c r="E6" s="27" t="s">
        <v>121</v>
      </c>
      <c r="F6" s="27" t="s">
        <v>203</v>
      </c>
      <c r="G6" s="28">
        <v>3</v>
      </c>
      <c r="H6" s="28">
        <v>1</v>
      </c>
      <c r="I6" s="93" t="str" cm="1">
        <f t="array" aca="1" ref="I6" ca="1">IF(ISNA(MATCH(A6,'Status Kelulusan'!$A$7:$A$39,0)),CELL("address",INDEX('Status Kelulusan'!$I$7:$N$39,MATCH(A6,'Status Kelulusan'!$I$7:$I$39,0),6)),CELL("address",INDEX('Status Kelulusan'!$A$7:$F$39,MATCH(A6,'Status Kelulusan'!$A$7:$A$39,0),6)))</f>
        <v>'[1301190425_MUHAMMAD RIFQI.xlsx]Status Kelulusan'!$F$12</v>
      </c>
    </row>
    <row r="7" spans="1:9">
      <c r="A7" s="27" t="s">
        <v>29</v>
      </c>
      <c r="B7" s="27" t="s">
        <v>204</v>
      </c>
      <c r="C7" s="28">
        <v>2</v>
      </c>
      <c r="D7" s="28">
        <v>1</v>
      </c>
      <c r="E7" s="27" t="s">
        <v>124</v>
      </c>
      <c r="F7" s="27" t="s">
        <v>205</v>
      </c>
      <c r="G7" s="28">
        <v>3</v>
      </c>
      <c r="H7" s="28">
        <v>1</v>
      </c>
      <c r="I7" s="93" t="str" cm="1">
        <f t="array" aca="1" ref="I7" ca="1">IF(ISNA(MATCH(A7,'Status Kelulusan'!$A$7:$A$39,0)),CELL("address",INDEX('Status Kelulusan'!$I$7:$N$39,MATCH(A7,'Status Kelulusan'!$I$7:$I$39,0),6)),CELL("address",INDEX('Status Kelulusan'!$A$7:$F$39,MATCH(A7,'Status Kelulusan'!$A$7:$A$39,0),6)))</f>
        <v>'[1301190425_MUHAMMAD RIFQI.xlsx]Status Kelulusan'!$F$13</v>
      </c>
    </row>
    <row r="8" spans="1:9">
      <c r="A8" s="27" t="s">
        <v>31</v>
      </c>
      <c r="B8" s="27" t="s">
        <v>32</v>
      </c>
      <c r="C8" s="28">
        <v>3</v>
      </c>
      <c r="D8" s="28">
        <v>2</v>
      </c>
      <c r="E8" s="27" t="s">
        <v>119</v>
      </c>
      <c r="F8" s="27" t="s">
        <v>112</v>
      </c>
      <c r="G8" s="28">
        <v>4</v>
      </c>
      <c r="H8" s="28">
        <v>1</v>
      </c>
      <c r="I8" s="93" t="str" cm="1">
        <f t="array" aca="1" ref="I8" ca="1">IF(ISNA(MATCH(A8,'Status Kelulusan'!$A$7:$A$39,0)),CELL("address",INDEX('Status Kelulusan'!$I$7:$N$39,MATCH(A8,'Status Kelulusan'!$I$7:$I$39,0),6)),CELL("address",INDEX('Status Kelulusan'!$A$7:$F$39,MATCH(A8,'Status Kelulusan'!$A$7:$A$39,0),6)))</f>
        <v>'[1301190425_MUHAMMAD RIFQI.xlsx]Status Kelulusan'!$N$13</v>
      </c>
    </row>
    <row r="9" spans="1:9">
      <c r="A9" s="27" t="s">
        <v>21</v>
      </c>
      <c r="B9" s="27" t="s">
        <v>22</v>
      </c>
      <c r="C9" s="28">
        <v>4</v>
      </c>
      <c r="D9" s="28">
        <v>1</v>
      </c>
      <c r="E9" s="27" t="s">
        <v>130</v>
      </c>
      <c r="F9" s="27" t="s">
        <v>206</v>
      </c>
      <c r="G9" s="28">
        <v>4</v>
      </c>
      <c r="H9" s="28">
        <v>2</v>
      </c>
      <c r="I9" s="93" t="str" cm="1">
        <f t="array" aca="1" ref="I9" ca="1">IF(ISNA(MATCH(A9,'Status Kelulusan'!$A$7:$A$39,0)),CELL("address",INDEX('Status Kelulusan'!$I$7:$N$39,MATCH(A9,'Status Kelulusan'!$I$7:$I$39,0),6)),CELL("address",INDEX('Status Kelulusan'!$A$7:$F$39,MATCH(A9,'Status Kelulusan'!$A$7:$A$39,0),6)))</f>
        <v>'[1301190425_MUHAMMAD RIFQI.xlsx]Status Kelulusan'!$F$11</v>
      </c>
    </row>
    <row r="10" spans="1:9">
      <c r="A10" s="27" t="s">
        <v>6</v>
      </c>
      <c r="B10" s="27" t="s">
        <v>7</v>
      </c>
      <c r="C10" s="28">
        <v>3</v>
      </c>
      <c r="D10" s="28">
        <v>2</v>
      </c>
      <c r="E10" s="27" t="s">
        <v>132</v>
      </c>
      <c r="F10" s="27" t="s">
        <v>207</v>
      </c>
      <c r="G10" s="28">
        <v>3</v>
      </c>
      <c r="H10" s="28">
        <v>2</v>
      </c>
      <c r="I10" s="93" t="str" cm="1">
        <f t="array" aca="1" ref="I10" ca="1">IF(ISNA(MATCH(A10,'Status Kelulusan'!$A$7:$A$39,0)),CELL("address",INDEX('Status Kelulusan'!$I$7:$N$39,MATCH(A10,'Status Kelulusan'!$I$7:$I$39,0),6)),CELL("address",INDEX('Status Kelulusan'!$A$7:$F$39,MATCH(A10,'Status Kelulusan'!$A$7:$A$39,0),6)))</f>
        <v>'[1301190425_MUHAMMAD RIFQI.xlsx]Status Kelulusan'!$N$7</v>
      </c>
    </row>
    <row r="11" spans="1:9">
      <c r="A11" s="27" t="s">
        <v>11</v>
      </c>
      <c r="B11" s="27" t="s">
        <v>12</v>
      </c>
      <c r="C11" s="28">
        <v>3</v>
      </c>
      <c r="D11" s="28">
        <v>2</v>
      </c>
      <c r="E11" s="27" t="s">
        <v>134</v>
      </c>
      <c r="F11" s="27" t="s">
        <v>208</v>
      </c>
      <c r="G11" s="28">
        <v>3</v>
      </c>
      <c r="H11" s="28">
        <v>2</v>
      </c>
      <c r="I11" s="93" t="str" cm="1">
        <f t="array" aca="1" ref="I11" ca="1">IF(ISNA(MATCH(A11,'Status Kelulusan'!$A$7:$A$39,0)),CELL("address",INDEX('Status Kelulusan'!$I$7:$N$39,MATCH(A11,'Status Kelulusan'!$I$7:$I$39,0),6)),CELL("address",INDEX('Status Kelulusan'!$A$7:$F$39,MATCH(A11,'Status Kelulusan'!$A$7:$A$39,0),6)))</f>
        <v>'[1301190425_MUHAMMAD RIFQI.xlsx]Status Kelulusan'!$N$8</v>
      </c>
    </row>
    <row r="12" spans="1:9">
      <c r="A12" s="27" t="s">
        <v>19</v>
      </c>
      <c r="B12" s="27" t="s">
        <v>20</v>
      </c>
      <c r="C12" s="28">
        <v>2</v>
      </c>
      <c r="D12" s="28">
        <v>2</v>
      </c>
      <c r="E12" s="27" t="s">
        <v>126</v>
      </c>
      <c r="F12" s="27" t="s">
        <v>125</v>
      </c>
      <c r="G12" s="28">
        <v>2</v>
      </c>
      <c r="H12" s="28">
        <v>2</v>
      </c>
      <c r="I12" s="93" t="str" cm="1">
        <f t="array" aca="1" ref="I12" ca="1">IF(ISNA(MATCH(A12,'Status Kelulusan'!$A$7:$A$39,0)),CELL("address",INDEX('Status Kelulusan'!$I$7:$N$39,MATCH(A12,'Status Kelulusan'!$I$7:$I$39,0),6)),CELL("address",INDEX('Status Kelulusan'!$A$7:$F$39,MATCH(A12,'Status Kelulusan'!$A$7:$A$39,0),6)))</f>
        <v>'[1301190425_MUHAMMAD RIFQI.xlsx]Status Kelulusan'!$N$10</v>
      </c>
    </row>
    <row r="13" spans="1:9">
      <c r="A13" s="27" t="s">
        <v>27</v>
      </c>
      <c r="B13" s="27" t="s">
        <v>28</v>
      </c>
      <c r="C13" s="28">
        <v>2</v>
      </c>
      <c r="D13" s="28">
        <v>2</v>
      </c>
      <c r="E13" s="27" t="s">
        <v>128</v>
      </c>
      <c r="F13" s="27" t="s">
        <v>127</v>
      </c>
      <c r="G13" s="28">
        <v>2</v>
      </c>
      <c r="H13" s="28">
        <v>2</v>
      </c>
      <c r="I13" s="93" t="str" cm="1">
        <f t="array" aca="1" ref="I13" ca="1">IF(ISNA(MATCH(A13,'Status Kelulusan'!$A$7:$A$39,0)),CELL("address",INDEX('Status Kelulusan'!$I$7:$N$39,MATCH(A13,'Status Kelulusan'!$I$7:$I$39,0),6)),CELL("address",INDEX('Status Kelulusan'!$A$7:$F$39,MATCH(A13,'Status Kelulusan'!$A$7:$A$39,0),6)))</f>
        <v>'[1301190425_MUHAMMAD RIFQI.xlsx]Status Kelulusan'!$N$12</v>
      </c>
    </row>
    <row r="14" spans="1:9">
      <c r="A14" s="27" t="s">
        <v>47</v>
      </c>
      <c r="B14" s="27" t="s">
        <v>48</v>
      </c>
      <c r="C14" s="28">
        <v>3</v>
      </c>
      <c r="D14" s="28">
        <v>3</v>
      </c>
      <c r="E14" s="27" t="s">
        <v>136</v>
      </c>
      <c r="F14" s="27" t="s">
        <v>209</v>
      </c>
      <c r="G14" s="28">
        <v>3</v>
      </c>
      <c r="H14" s="28">
        <v>2</v>
      </c>
      <c r="I14" s="93" t="str" cm="1">
        <f t="array" aca="1" ref="I14" ca="1">IF(ISNA(MATCH(A14,'Status Kelulusan'!$A$7:$A$39,0)),CELL("address",INDEX('Status Kelulusan'!$I$7:$N$39,MATCH(A14,'Status Kelulusan'!$I$7:$I$39,0),6)),CELL("address",INDEX('Status Kelulusan'!$A$7:$F$39,MATCH(A14,'Status Kelulusan'!$A$7:$A$39,0),6)))</f>
        <v>'[1301190425_MUHAMMAD RIFQI.xlsx]Status Kelulusan'!$F$19</v>
      </c>
    </row>
    <row r="15" spans="1:9">
      <c r="A15" s="27" t="s">
        <v>55</v>
      </c>
      <c r="B15" s="27" t="s">
        <v>56</v>
      </c>
      <c r="C15" s="28">
        <v>3</v>
      </c>
      <c r="D15" s="28">
        <v>3</v>
      </c>
      <c r="E15" s="27" t="s">
        <v>135</v>
      </c>
      <c r="F15" s="27" t="s">
        <v>56</v>
      </c>
      <c r="G15" s="28">
        <v>3</v>
      </c>
      <c r="H15" s="28">
        <v>2</v>
      </c>
      <c r="I15" s="93" t="str" cm="1">
        <f t="array" aca="1" ref="I15" ca="1">IF(ISNA(MATCH(A15,'Status Kelulusan'!$A$7:$A$39,0)),CELL("address",INDEX('Status Kelulusan'!$I$7:$N$39,MATCH(A15,'Status Kelulusan'!$I$7:$I$39,0),6)),CELL("address",INDEX('Status Kelulusan'!$A$7:$F$39,MATCH(A15,'Status Kelulusan'!$A$7:$A$39,0),6)))</f>
        <v>'[1301190425_MUHAMMAD RIFQI.xlsx]Status Kelulusan'!$F$21</v>
      </c>
    </row>
    <row r="16" spans="1:9">
      <c r="A16" s="27" t="s">
        <v>15</v>
      </c>
      <c r="B16" s="27" t="s">
        <v>16</v>
      </c>
      <c r="C16" s="28">
        <v>4</v>
      </c>
      <c r="D16" s="28">
        <v>2</v>
      </c>
      <c r="E16" s="27" t="s">
        <v>138</v>
      </c>
      <c r="F16" s="27" t="s">
        <v>210</v>
      </c>
      <c r="G16" s="28">
        <v>4</v>
      </c>
      <c r="H16" s="28">
        <v>3</v>
      </c>
      <c r="I16" s="93" t="str" cm="1">
        <f t="array" aca="1" ref="I16" ca="1">IF(ISNA(MATCH(A16,'Status Kelulusan'!$A$7:$A$39,0)),CELL("address",INDEX('Status Kelulusan'!$I$7:$N$39,MATCH(A16,'Status Kelulusan'!$I$7:$I$39,0),6)),CELL("address",INDEX('Status Kelulusan'!$A$7:$F$39,MATCH(A16,'Status Kelulusan'!$A$7:$A$39,0),6)))</f>
        <v>'[1301190425_MUHAMMAD RIFQI.xlsx]Status Kelulusan'!$N$9</v>
      </c>
    </row>
    <row r="17" spans="1:9">
      <c r="A17" s="27" t="s">
        <v>23</v>
      </c>
      <c r="B17" s="27" t="s">
        <v>24</v>
      </c>
      <c r="C17" s="28">
        <v>3</v>
      </c>
      <c r="D17" s="28">
        <v>2</v>
      </c>
      <c r="E17" s="27" t="s">
        <v>141</v>
      </c>
      <c r="F17" s="27" t="s">
        <v>211</v>
      </c>
      <c r="G17" s="28">
        <v>3</v>
      </c>
      <c r="H17" s="28">
        <v>3</v>
      </c>
      <c r="I17" s="93" t="str" cm="1">
        <f t="array" aca="1" ref="I17" ca="1">IF(ISNA(MATCH(A17,'Status Kelulusan'!$A$7:$A$39,0)),CELL("address",INDEX('Status Kelulusan'!$I$7:$N$39,MATCH(A17,'Status Kelulusan'!$I$7:$I$39,0),6)),CELL("address",INDEX('Status Kelulusan'!$A$7:$F$39,MATCH(A17,'Status Kelulusan'!$A$7:$A$39,0),6)))</f>
        <v>'[1301190425_MUHAMMAD RIFQI.xlsx]Status Kelulusan'!$N$11</v>
      </c>
    </row>
    <row r="18" spans="1:9">
      <c r="A18" s="27" t="s">
        <v>35</v>
      </c>
      <c r="B18" s="27" t="s">
        <v>36</v>
      </c>
      <c r="C18" s="28">
        <v>3</v>
      </c>
      <c r="D18" s="28">
        <v>3</v>
      </c>
      <c r="E18" s="27" t="s">
        <v>146</v>
      </c>
      <c r="F18" s="27" t="s">
        <v>145</v>
      </c>
      <c r="G18" s="28">
        <v>3</v>
      </c>
      <c r="H18" s="28">
        <v>3</v>
      </c>
      <c r="I18" s="93" t="str" cm="1">
        <f t="array" aca="1" ref="I18" ca="1">IF(ISNA(MATCH(A18,'Status Kelulusan'!$A$7:$A$39,0)),CELL("address",INDEX('Status Kelulusan'!$I$7:$N$39,MATCH(A18,'Status Kelulusan'!$I$7:$I$39,0),6)),CELL("address",INDEX('Status Kelulusan'!$A$7:$F$39,MATCH(A18,'Status Kelulusan'!$A$7:$A$39,0),6)))</f>
        <v>'[1301190425_MUHAMMAD RIFQI.xlsx]Status Kelulusan'!$F$16</v>
      </c>
    </row>
    <row r="19" spans="1:9">
      <c r="A19" s="27" t="s">
        <v>39</v>
      </c>
      <c r="B19" s="27" t="s">
        <v>40</v>
      </c>
      <c r="C19" s="28">
        <v>3</v>
      </c>
      <c r="D19" s="28">
        <v>3</v>
      </c>
      <c r="E19" s="27" t="s">
        <v>164</v>
      </c>
      <c r="F19" s="27" t="s">
        <v>212</v>
      </c>
      <c r="G19" s="28">
        <v>4</v>
      </c>
      <c r="H19" s="28">
        <v>3</v>
      </c>
      <c r="I19" s="93" t="str" cm="1">
        <f t="array" aca="1" ref="I19" ca="1">IF(ISNA(MATCH(A19,'Status Kelulusan'!$A$7:$A$39,0)),CELL("address",INDEX('Status Kelulusan'!$I$7:$N$39,MATCH(A19,'Status Kelulusan'!$I$7:$I$39,0),6)),CELL("address",INDEX('Status Kelulusan'!$A$7:$F$39,MATCH(A19,'Status Kelulusan'!$A$7:$A$39,0),6)))</f>
        <v>'[1301190425_MUHAMMAD RIFQI.xlsx]Status Kelulusan'!$F$17</v>
      </c>
    </row>
    <row r="20" spans="1:9">
      <c r="A20" s="27" t="s">
        <v>37</v>
      </c>
      <c r="B20" s="27" t="s">
        <v>38</v>
      </c>
      <c r="C20" s="28">
        <v>4</v>
      </c>
      <c r="D20" s="28">
        <v>4</v>
      </c>
      <c r="E20" s="27" t="s">
        <v>143</v>
      </c>
      <c r="F20" s="27" t="s">
        <v>213</v>
      </c>
      <c r="G20" s="28">
        <v>2</v>
      </c>
      <c r="H20" s="28">
        <v>3</v>
      </c>
      <c r="I20" s="93" t="str" cm="1">
        <f t="array" aca="1" ref="I20" ca="1">IF(ISNA(MATCH(A20,'Status Kelulusan'!$A$7:$A$39,0)),CELL("address",INDEX('Status Kelulusan'!$I$7:$N$39,MATCH(A20,'Status Kelulusan'!$I$7:$I$39,0),6)),CELL("address",INDEX('Status Kelulusan'!$A$7:$F$39,MATCH(A20,'Status Kelulusan'!$A$7:$A$39,0),6)))</f>
        <v>'[1301190425_MUHAMMAD RIFQI.xlsx]Status Kelulusan'!$N$16</v>
      </c>
    </row>
    <row r="21" spans="1:9">
      <c r="A21" s="27" t="s">
        <v>41</v>
      </c>
      <c r="B21" s="27" t="s">
        <v>42</v>
      </c>
      <c r="C21" s="28">
        <v>3</v>
      </c>
      <c r="D21" s="28">
        <v>4</v>
      </c>
      <c r="E21" s="27" t="s">
        <v>144</v>
      </c>
      <c r="F21" s="27" t="s">
        <v>214</v>
      </c>
      <c r="G21" s="28">
        <v>3</v>
      </c>
      <c r="H21" s="28">
        <v>3</v>
      </c>
      <c r="I21" s="93" t="str" cm="1">
        <f t="array" aca="1" ref="I21" ca="1">IF(ISNA(MATCH(A21,'Status Kelulusan'!$A$7:$A$39,0)),CELL("address",INDEX('Status Kelulusan'!$I$7:$N$39,MATCH(A21,'Status Kelulusan'!$I$7:$I$39,0),6)),CELL("address",INDEX('Status Kelulusan'!$A$7:$F$39,MATCH(A21,'Status Kelulusan'!$A$7:$A$39,0),6)))</f>
        <v>'[1301190425_MUHAMMAD RIFQI.xlsx]Status Kelulusan'!$N$17</v>
      </c>
    </row>
    <row r="22" spans="1:9">
      <c r="A22" s="27" t="s">
        <v>45</v>
      </c>
      <c r="B22" s="27" t="s">
        <v>46</v>
      </c>
      <c r="C22" s="28">
        <v>3</v>
      </c>
      <c r="D22" s="28">
        <v>4</v>
      </c>
      <c r="E22" s="27" t="s">
        <v>140</v>
      </c>
      <c r="F22" s="27" t="s">
        <v>215</v>
      </c>
      <c r="G22" s="28">
        <v>2</v>
      </c>
      <c r="H22" s="28">
        <v>3</v>
      </c>
      <c r="I22" s="93" t="str" cm="1">
        <f t="array" aca="1" ref="I22" ca="1">IF(ISNA(MATCH(A22,'Status Kelulusan'!$A$7:$A$39,0)),CELL("address",INDEX('Status Kelulusan'!$I$7:$N$39,MATCH(A22,'Status Kelulusan'!$I$7:$I$39,0),6)),CELL("address",INDEX('Status Kelulusan'!$A$7:$F$39,MATCH(A22,'Status Kelulusan'!$A$7:$A$39,0),6)))</f>
        <v>'[1301190425_MUHAMMAD RIFQI.xlsx]Status Kelulusan'!$N$18</v>
      </c>
    </row>
    <row r="23" spans="1:9">
      <c r="A23" s="27" t="s">
        <v>57</v>
      </c>
      <c r="B23" s="27" t="s">
        <v>58</v>
      </c>
      <c r="C23" s="28">
        <v>3</v>
      </c>
      <c r="D23" s="28">
        <v>4</v>
      </c>
      <c r="E23" s="27" t="s">
        <v>137</v>
      </c>
      <c r="F23" s="27" t="s">
        <v>58</v>
      </c>
      <c r="G23" s="28">
        <v>3</v>
      </c>
      <c r="H23" s="28">
        <v>3</v>
      </c>
      <c r="I23" s="93" t="str" cm="1">
        <f t="array" aca="1" ref="I23" ca="1">IF(ISNA(MATCH(A23,'Status Kelulusan'!$A$7:$A$39,0)),CELL("address",INDEX('Status Kelulusan'!$I$7:$N$39,MATCH(A23,'Status Kelulusan'!$I$7:$I$39,0),6)),CELL("address",INDEX('Status Kelulusan'!$A$7:$F$39,MATCH(A23,'Status Kelulusan'!$A$7:$A$39,0),6)))</f>
        <v>'[1301190425_MUHAMMAD RIFQI.xlsx]Status Kelulusan'!$N$21</v>
      </c>
    </row>
    <row r="24" spans="1:9">
      <c r="A24" s="27" t="s">
        <v>31</v>
      </c>
      <c r="B24" s="27" t="s">
        <v>32</v>
      </c>
      <c r="C24" s="28">
        <v>3</v>
      </c>
      <c r="D24" s="28">
        <v>2</v>
      </c>
      <c r="E24" s="27" t="s">
        <v>148</v>
      </c>
      <c r="F24" s="27" t="s">
        <v>147</v>
      </c>
      <c r="G24" s="28">
        <v>4</v>
      </c>
      <c r="H24" s="28">
        <v>4</v>
      </c>
      <c r="I24" s="93" t="str" cm="1">
        <f t="array" aca="1" ref="I24" ca="1">IF(ISNA(MATCH(A24,'Status Kelulusan'!$A$7:$A$39,0)),CELL("address",INDEX('Status Kelulusan'!$I$7:$N$39,MATCH(A24,'Status Kelulusan'!$I$7:$I$39,0),6)),CELL("address",INDEX('Status Kelulusan'!$A$7:$F$39,MATCH(A24,'Status Kelulusan'!$A$7:$A$39,0),6)))</f>
        <v>'[1301190425_MUHAMMAD RIFQI.xlsx]Status Kelulusan'!$N$13</v>
      </c>
    </row>
    <row r="25" spans="1:9">
      <c r="A25" s="27" t="s">
        <v>43</v>
      </c>
      <c r="B25" s="27" t="s">
        <v>44</v>
      </c>
      <c r="C25" s="28">
        <v>3</v>
      </c>
      <c r="D25" s="28">
        <v>3</v>
      </c>
      <c r="E25" s="27" t="s">
        <v>157</v>
      </c>
      <c r="F25" s="27" t="s">
        <v>216</v>
      </c>
      <c r="G25" s="28">
        <v>3</v>
      </c>
      <c r="H25" s="28">
        <v>4</v>
      </c>
      <c r="I25" s="93" t="str" cm="1">
        <f t="array" aca="1" ref="I25" ca="1">IF(ISNA(MATCH(A25,'Status Kelulusan'!$A$7:$A$39,0)),CELL("address",INDEX('Status Kelulusan'!$I$7:$N$39,MATCH(A25,'Status Kelulusan'!$I$7:$I$39,0),6)),CELL("address",INDEX('Status Kelulusan'!$A$7:$F$39,MATCH(A25,'Status Kelulusan'!$A$7:$A$39,0),6)))</f>
        <v>'[1301190425_MUHAMMAD RIFQI.xlsx]Status Kelulusan'!$F$18</v>
      </c>
    </row>
    <row r="26" spans="1:9">
      <c r="A26" s="27" t="s">
        <v>45</v>
      </c>
      <c r="B26" s="27" t="s">
        <v>46</v>
      </c>
      <c r="C26" s="28">
        <v>3</v>
      </c>
      <c r="D26" s="28">
        <v>4</v>
      </c>
      <c r="E26" s="27" t="s">
        <v>155</v>
      </c>
      <c r="F26" s="27" t="s">
        <v>217</v>
      </c>
      <c r="G26" s="28">
        <v>3</v>
      </c>
      <c r="H26" s="28">
        <v>4</v>
      </c>
      <c r="I26" s="93" t="str" cm="1">
        <f t="array" aca="1" ref="I26" ca="1">IF(ISNA(MATCH(A26,'Status Kelulusan'!$A$7:$A$39,0)),CELL("address",INDEX('Status Kelulusan'!$I$7:$N$39,MATCH(A26,'Status Kelulusan'!$I$7:$I$39,0),6)),CELL("address",INDEX('Status Kelulusan'!$A$7:$F$39,MATCH(A26,'Status Kelulusan'!$A$7:$A$39,0),6)))</f>
        <v>'[1301190425_MUHAMMAD RIFQI.xlsx]Status Kelulusan'!$N$18</v>
      </c>
    </row>
    <row r="27" spans="1:9">
      <c r="A27" s="27" t="s">
        <v>63</v>
      </c>
      <c r="B27" s="27" t="s">
        <v>64</v>
      </c>
      <c r="C27" s="28">
        <v>4</v>
      </c>
      <c r="D27" s="28">
        <v>5</v>
      </c>
      <c r="E27" s="27" t="s">
        <v>153</v>
      </c>
      <c r="F27" s="27" t="s">
        <v>218</v>
      </c>
      <c r="G27" s="28">
        <v>4</v>
      </c>
      <c r="H27" s="28">
        <v>4</v>
      </c>
      <c r="I27" s="93" t="str" cm="1">
        <f t="array" aca="1" ref="I27" ca="1">IF(ISNA(MATCH(A27,'Status Kelulusan'!$A$7:$A$39,0)),CELL("address",INDEX('Status Kelulusan'!$I$7:$N$39,MATCH(A27,'Status Kelulusan'!$I$7:$I$39,0),6)),CELL("address",INDEX('Status Kelulusan'!$A$7:$F$39,MATCH(A27,'Status Kelulusan'!$A$7:$A$39,0),6)))</f>
        <v>'[1301190425_MUHAMMAD RIFQI.xlsx]Status Kelulusan'!$F$25</v>
      </c>
    </row>
    <row r="28" spans="1:9">
      <c r="A28" s="27" t="s">
        <v>67</v>
      </c>
      <c r="B28" s="27" t="s">
        <v>68</v>
      </c>
      <c r="C28" s="28">
        <v>3</v>
      </c>
      <c r="D28" s="28">
        <v>5</v>
      </c>
      <c r="E28" s="27" t="s">
        <v>159</v>
      </c>
      <c r="F28" s="27" t="s">
        <v>158</v>
      </c>
      <c r="G28" s="28">
        <v>3</v>
      </c>
      <c r="H28" s="28">
        <v>4</v>
      </c>
      <c r="I28" s="93" t="str" cm="1">
        <f t="array" aca="1" ref="I28" ca="1">IF(ISNA(MATCH(A28,'Status Kelulusan'!$A$7:$A$39,0)),CELL("address",INDEX('Status Kelulusan'!$I$7:$N$39,MATCH(A28,'Status Kelulusan'!$I$7:$I$39,0),6)),CELL("address",INDEX('Status Kelulusan'!$A$7:$F$39,MATCH(A28,'Status Kelulusan'!$A$7:$A$39,0),6)))</f>
        <v>'[1301190425_MUHAMMAD RIFQI.xlsx]Status Kelulusan'!$F$26</v>
      </c>
    </row>
    <row r="29" spans="1:9">
      <c r="A29" s="27" t="s">
        <v>79</v>
      </c>
      <c r="B29" s="27" t="s">
        <v>80</v>
      </c>
      <c r="C29" s="28">
        <v>3</v>
      </c>
      <c r="D29" s="28">
        <v>5</v>
      </c>
      <c r="E29" s="27" t="s">
        <v>150</v>
      </c>
      <c r="F29" s="27" t="s">
        <v>149</v>
      </c>
      <c r="G29" s="28">
        <v>3</v>
      </c>
      <c r="H29" s="28">
        <v>4</v>
      </c>
      <c r="I29" s="93" t="str" cm="1">
        <f t="array" aca="1" ref="I29" ca="1">IF(ISNA(MATCH(A29,'Status Kelulusan'!$A$7:$A$39,0)),CELL("address",INDEX('Status Kelulusan'!$I$7:$N$39,MATCH(A29,'Status Kelulusan'!$I$7:$I$39,0),6)),CELL("address",INDEX('Status Kelulusan'!$A$7:$F$39,MATCH(A29,'Status Kelulusan'!$A$7:$A$39,0),6)))</f>
        <v>'[1301190425_MUHAMMAD RIFQI.xlsx]Status Kelulusan'!$F$29</v>
      </c>
    </row>
    <row r="30" spans="1:9">
      <c r="A30" s="27" t="s">
        <v>90</v>
      </c>
      <c r="B30" s="27" t="s">
        <v>91</v>
      </c>
      <c r="C30" s="28">
        <v>3</v>
      </c>
      <c r="D30" s="28">
        <v>7</v>
      </c>
      <c r="E30" s="27" t="s">
        <v>152</v>
      </c>
      <c r="F30" s="27" t="s">
        <v>219</v>
      </c>
      <c r="G30" s="28">
        <v>3</v>
      </c>
      <c r="H30" s="28">
        <v>4</v>
      </c>
      <c r="I30" s="93" t="str" cm="1">
        <f t="array" aca="1" ref="I30" ca="1">IF(ISNA(MATCH(A30,'Status Kelulusan'!$A$7:$A$39,0)),CELL("address",INDEX('Status Kelulusan'!$I$7:$N$39,MATCH(A30,'Status Kelulusan'!$I$7:$I$39,0),6)),CELL("address",INDEX('Status Kelulusan'!$A$7:$F$39,MATCH(A30,'Status Kelulusan'!$A$7:$A$39,0),6)))</f>
        <v>'[1301190425_MUHAMMAD RIFQI.xlsx]Status Kelulusan'!$F$34</v>
      </c>
    </row>
    <row r="31" spans="1:9">
      <c r="A31" s="27" t="s">
        <v>99</v>
      </c>
      <c r="B31" s="27" t="s">
        <v>100</v>
      </c>
      <c r="C31" s="28">
        <v>2</v>
      </c>
      <c r="D31" s="28">
        <v>8</v>
      </c>
      <c r="E31" s="27" t="s">
        <v>160</v>
      </c>
      <c r="F31" s="27" t="s">
        <v>100</v>
      </c>
      <c r="G31" s="28">
        <v>2</v>
      </c>
      <c r="H31" s="28">
        <v>4</v>
      </c>
      <c r="I31" s="93" t="str" cm="1">
        <f t="array" aca="1" ref="I31" ca="1">IF(ISNA(MATCH(A31,'Status Kelulusan'!$A$7:$A$39,0)),CELL("address",INDEX('Status Kelulusan'!$I$7:$N$39,MATCH(A31,'Status Kelulusan'!$I$7:$I$39,0),6)),CELL("address",INDEX('Status Kelulusan'!$A$7:$F$39,MATCH(A31,'Status Kelulusan'!$A$7:$A$39,0),6)))</f>
        <v>'[1301190425_MUHAMMAD RIFQI.xlsx]Status Kelulusan'!$N$36</v>
      </c>
    </row>
    <row r="32" spans="1:9">
      <c r="A32" s="27" t="s">
        <v>75</v>
      </c>
      <c r="B32" s="27" t="s">
        <v>76</v>
      </c>
      <c r="C32" s="28">
        <v>3</v>
      </c>
      <c r="D32" s="28">
        <v>5</v>
      </c>
      <c r="E32" s="27" t="s">
        <v>162</v>
      </c>
      <c r="F32" s="27" t="s">
        <v>220</v>
      </c>
      <c r="G32" s="28">
        <v>3</v>
      </c>
      <c r="H32" s="28">
        <v>5</v>
      </c>
      <c r="I32" s="93" t="str" cm="1">
        <f t="array" aca="1" ref="I32" ca="1">IF(ISNA(MATCH(A32,'Status Kelulusan'!$A$7:$A$39,0)),CELL("address",INDEX('Status Kelulusan'!$I$7:$N$39,MATCH(A32,'Status Kelulusan'!$I$7:$I$39,0),6)),CELL("address",INDEX('Status Kelulusan'!$A$7:$F$39,MATCH(A32,'Status Kelulusan'!$A$7:$A$39,0),6)))</f>
        <v>'[1301190425_MUHAMMAD RIFQI.xlsx]Status Kelulusan'!$F$28</v>
      </c>
    </row>
    <row r="33" spans="1:9">
      <c r="A33" s="27" t="s">
        <v>73</v>
      </c>
      <c r="B33" s="27" t="s">
        <v>74</v>
      </c>
      <c r="C33" s="28">
        <v>3</v>
      </c>
      <c r="D33" s="28">
        <v>6</v>
      </c>
      <c r="E33" s="27" t="s">
        <v>166</v>
      </c>
      <c r="F33" s="27" t="s">
        <v>221</v>
      </c>
      <c r="G33" s="28">
        <v>4</v>
      </c>
      <c r="H33" s="28">
        <v>5</v>
      </c>
      <c r="I33" s="93" t="str" cm="1">
        <f t="array" aca="1" ref="I33" ca="1">IF(ISNA(MATCH(A33,'Status Kelulusan'!$A$7:$A$39,0)),CELL("address",INDEX('Status Kelulusan'!$I$7:$N$39,MATCH(A33,'Status Kelulusan'!$I$7:$I$39,0),6)),CELL("address",INDEX('Status Kelulusan'!$A$7:$F$39,MATCH(A33,'Status Kelulusan'!$A$7:$A$39,0),6)))</f>
        <v>'[1301190425_MUHAMMAD RIFQI.xlsx]Status Kelulusan'!$N$27</v>
      </c>
    </row>
    <row r="34" spans="1:9">
      <c r="A34" s="27" t="s">
        <v>81</v>
      </c>
      <c r="B34" s="27" t="s">
        <v>82</v>
      </c>
      <c r="C34" s="28">
        <v>3</v>
      </c>
      <c r="D34" s="28">
        <v>6</v>
      </c>
      <c r="E34" s="27" t="s">
        <v>165</v>
      </c>
      <c r="F34" s="27" t="s">
        <v>222</v>
      </c>
      <c r="G34" s="28">
        <v>3</v>
      </c>
      <c r="H34" s="28">
        <v>5</v>
      </c>
      <c r="I34" s="93" t="str" cm="1">
        <f t="array" aca="1" ref="I34" ca="1">IF(ISNA(MATCH(A34,'Status Kelulusan'!$A$7:$A$39,0)),CELL("address",INDEX('Status Kelulusan'!$I$7:$N$39,MATCH(A34,'Status Kelulusan'!$I$7:$I$39,0),6)),CELL("address",INDEX('Status Kelulusan'!$A$7:$F$39,MATCH(A34,'Status Kelulusan'!$A$7:$A$39,0),6)))</f>
        <v>'[1301190425_MUHAMMAD RIFQI.xlsx]Status Kelulusan'!$N$29</v>
      </c>
    </row>
    <row r="35" spans="1:9">
      <c r="A35" s="27" t="s">
        <v>243</v>
      </c>
      <c r="B35" s="27" t="s">
        <v>98</v>
      </c>
      <c r="C35" s="28">
        <v>3</v>
      </c>
      <c r="D35" s="28">
        <v>7</v>
      </c>
      <c r="E35" s="27" t="s">
        <v>171</v>
      </c>
      <c r="F35" s="27" t="s">
        <v>223</v>
      </c>
      <c r="G35" s="28">
        <v>3</v>
      </c>
      <c r="H35" s="28">
        <v>5</v>
      </c>
      <c r="I35" s="93" t="str" cm="1">
        <f t="array" aca="1" ref="I35" ca="1">IF(ISNA(MATCH(A35,'Status Kelulusan'!$A$7:$A$39,0)),CELL("address",INDEX('Status Kelulusan'!$I$7:$N$39,MATCH(A35,'Status Kelulusan'!$I$7:$I$39,0),6)),CELL("address",INDEX('Status Kelulusan'!$A$7:$F$39,MATCH(A35,'Status Kelulusan'!$A$7:$A$39,0),6)))</f>
        <v>'[1301190425_MUHAMMAD RIFQI.xlsx]Status Kelulusan'!$F$36</v>
      </c>
    </row>
    <row r="36" spans="1:9">
      <c r="A36" s="27" t="s">
        <v>224</v>
      </c>
      <c r="B36" s="27" t="s">
        <v>101</v>
      </c>
      <c r="C36" s="28">
        <v>3</v>
      </c>
      <c r="D36" s="28">
        <v>7</v>
      </c>
      <c r="E36" s="27" t="s">
        <v>169</v>
      </c>
      <c r="F36" s="27" t="s">
        <v>225</v>
      </c>
      <c r="G36" s="28">
        <v>1</v>
      </c>
      <c r="H36" s="28">
        <v>5</v>
      </c>
      <c r="I36" s="93" t="str" cm="1">
        <f t="array" aca="1" ref="I36" ca="1">IF(ISNA(MATCH(A36,'Status Kelulusan'!$A$7:$A$39,0)),CELL("address",INDEX('Status Kelulusan'!$I$7:$N$39,MATCH(A36,'Status Kelulusan'!$I$7:$I$39,0),6)),CELL("address",INDEX('Status Kelulusan'!$A$7:$F$39,MATCH(A36,'Status Kelulusan'!$A$7:$A$39,0),6)))</f>
        <v>'[1301190425_MUHAMMAD RIFQI.xlsx]Status Kelulusan'!$F$37</v>
      </c>
    </row>
    <row r="37" spans="1:9">
      <c r="A37" s="27" t="s">
        <v>59</v>
      </c>
      <c r="B37" s="27" t="s">
        <v>60</v>
      </c>
      <c r="C37" s="28">
        <v>2</v>
      </c>
      <c r="D37" s="28">
        <v>3</v>
      </c>
      <c r="E37" s="27" t="s">
        <v>175</v>
      </c>
      <c r="F37" s="27" t="s">
        <v>226</v>
      </c>
      <c r="G37" s="28">
        <v>3</v>
      </c>
      <c r="H37" s="28">
        <v>6</v>
      </c>
      <c r="I37" s="93" t="str" cm="1">
        <f t="array" aca="1" ref="I37" ca="1">IF(ISNA(MATCH(A37,'Status Kelulusan'!$A$7:$A$39,0)),CELL("address",INDEX('Status Kelulusan'!$I$7:$N$39,MATCH(A37,'Status Kelulusan'!$I$7:$I$39,0),6)),CELL("address",INDEX('Status Kelulusan'!$A$7:$F$39,MATCH(A37,'Status Kelulusan'!$A$7:$A$39,0),6)))</f>
        <v>'[1301190425_MUHAMMAD RIFQI.xlsx]Status Kelulusan'!$F$22</v>
      </c>
    </row>
    <row r="38" spans="1:9">
      <c r="A38" s="27" t="s">
        <v>53</v>
      </c>
      <c r="B38" s="27" t="s">
        <v>54</v>
      </c>
      <c r="C38" s="28">
        <v>3</v>
      </c>
      <c r="D38" s="28">
        <v>4</v>
      </c>
      <c r="E38" s="27" t="s">
        <v>173</v>
      </c>
      <c r="F38" s="27" t="s">
        <v>227</v>
      </c>
      <c r="G38" s="28">
        <v>4</v>
      </c>
      <c r="H38" s="28">
        <v>6</v>
      </c>
      <c r="I38" s="93" t="str" cm="1">
        <f t="array" aca="1" ref="I38" ca="1">IF(ISNA(MATCH(A38,'Status Kelulusan'!$A$7:$A$39,0)),CELL("address",INDEX('Status Kelulusan'!$I$7:$N$39,MATCH(A38,'Status Kelulusan'!$I$7:$I$39,0),6)),CELL("address",INDEX('Status Kelulusan'!$A$7:$F$39,MATCH(A38,'Status Kelulusan'!$A$7:$A$39,0),6)))</f>
        <v>'[1301190425_MUHAMMAD RIFQI.xlsx]Status Kelulusan'!$N$20</v>
      </c>
    </row>
    <row r="39" spans="1:9">
      <c r="A39" s="27" t="s">
        <v>71</v>
      </c>
      <c r="B39" s="27" t="s">
        <v>72</v>
      </c>
      <c r="C39" s="28">
        <v>3</v>
      </c>
      <c r="D39" s="28">
        <v>5</v>
      </c>
      <c r="E39" s="27" t="s">
        <v>177</v>
      </c>
      <c r="F39" s="27" t="s">
        <v>228</v>
      </c>
      <c r="G39" s="28">
        <v>4</v>
      </c>
      <c r="H39" s="28">
        <v>6</v>
      </c>
      <c r="I39" s="93" t="str" cm="1">
        <f t="array" aca="1" ref="I39" ca="1">IF(ISNA(MATCH(A39,'Status Kelulusan'!$A$7:$A$39,0)),CELL("address",INDEX('Status Kelulusan'!$I$7:$N$39,MATCH(A39,'Status Kelulusan'!$I$7:$I$39,0),6)),CELL("address",INDEX('Status Kelulusan'!$A$7:$F$39,MATCH(A39,'Status Kelulusan'!$A$7:$A$39,0),6)))</f>
        <v>'[1301190425_MUHAMMAD RIFQI.xlsx]Status Kelulusan'!$F$27</v>
      </c>
    </row>
    <row r="40" spans="1:9">
      <c r="A40" s="27" t="s">
        <v>196</v>
      </c>
      <c r="B40" s="27" t="s">
        <v>229</v>
      </c>
      <c r="C40" s="28">
        <v>3</v>
      </c>
      <c r="D40" s="28">
        <v>6</v>
      </c>
      <c r="E40" s="27" t="s">
        <v>181</v>
      </c>
      <c r="F40" s="27" t="s">
        <v>230</v>
      </c>
      <c r="G40" s="28">
        <v>3</v>
      </c>
      <c r="H40" s="28">
        <v>6</v>
      </c>
      <c r="I40" s="93" t="str" cm="1">
        <f t="array" aca="1" ref="I40" ca="1">IF(ISNA(MATCH(A40,'Status Kelulusan'!$A$7:$A$39,0)),CELL("address",INDEX('Status Kelulusan'!$I$7:$N$39,MATCH(A40,'Status Kelulusan'!$I$7:$I$39,0),6)),CELL("address",INDEX('Status Kelulusan'!$A$7:$F$39,MATCH(A40,'Status Kelulusan'!$A$7:$A$39,0),6)))</f>
        <v>'[1301190425_MUHAMMAD RIFQI.xlsx]Status Kelulusan'!$N$30</v>
      </c>
    </row>
    <row r="41" spans="1:9">
      <c r="A41" s="27" t="s">
        <v>224</v>
      </c>
      <c r="B41" s="27" t="s">
        <v>101</v>
      </c>
      <c r="C41" s="28">
        <v>3</v>
      </c>
      <c r="D41" s="28">
        <v>7</v>
      </c>
      <c r="E41" s="27" t="s">
        <v>179</v>
      </c>
      <c r="F41" s="27" t="s">
        <v>231</v>
      </c>
      <c r="G41" s="28">
        <v>2</v>
      </c>
      <c r="H41" s="28">
        <v>6</v>
      </c>
      <c r="I41" s="93" t="str" cm="1">
        <f t="array" aca="1" ref="I41" ca="1">IF(ISNA(MATCH(A41,'Status Kelulusan'!$A$7:$A$39,0)),CELL("address",INDEX('Status Kelulusan'!$I$7:$N$39,MATCH(A41,'Status Kelulusan'!$I$7:$I$39,0),6)),CELL("address",INDEX('Status Kelulusan'!$A$7:$F$39,MATCH(A41,'Status Kelulusan'!$A$7:$A$39,0),6)))</f>
        <v>'[1301190425_MUHAMMAD RIFQI.xlsx]Status Kelulusan'!$F$37</v>
      </c>
    </row>
    <row r="42" spans="1:9">
      <c r="A42" s="27" t="s">
        <v>65</v>
      </c>
      <c r="B42" s="27" t="s">
        <v>66</v>
      </c>
      <c r="C42" s="28">
        <v>2</v>
      </c>
      <c r="D42" s="28">
        <v>6</v>
      </c>
      <c r="E42" s="27" t="s">
        <v>193</v>
      </c>
      <c r="F42" s="27" t="s">
        <v>188</v>
      </c>
      <c r="G42" s="28">
        <v>3</v>
      </c>
      <c r="H42" s="28">
        <v>7</v>
      </c>
      <c r="I42" s="93" t="str" cm="1">
        <f t="array" aca="1" ref="I42" ca="1">IF(ISNA(MATCH(A42,'Status Kelulusan'!$A$7:$A$39,0)),CELL("address",INDEX('Status Kelulusan'!$I$7:$N$39,MATCH(A42,'Status Kelulusan'!$I$7:$I$39,0),6)),CELL("address",INDEX('Status Kelulusan'!$A$7:$F$39,MATCH(A42,'Status Kelulusan'!$A$7:$A$39,0),6)))</f>
        <v>'[1301190425_MUHAMMAD RIFQI.xlsx]Status Kelulusan'!$N$25</v>
      </c>
    </row>
    <row r="43" spans="1:9">
      <c r="A43" s="27" t="s">
        <v>86</v>
      </c>
      <c r="B43" s="27" t="s">
        <v>87</v>
      </c>
      <c r="C43" s="28">
        <v>2</v>
      </c>
      <c r="D43" s="28">
        <v>6</v>
      </c>
      <c r="E43" s="27" t="s">
        <v>183</v>
      </c>
      <c r="F43" s="27" t="s">
        <v>232</v>
      </c>
      <c r="G43" s="28">
        <v>3</v>
      </c>
      <c r="H43" s="28">
        <v>7</v>
      </c>
      <c r="I43" s="93" t="str" cm="1">
        <f t="array" aca="1" ref="I43" ca="1">IF(ISNA(MATCH(A43,'Status Kelulusan'!$A$7:$A$39,0)),CELL("address",INDEX('Status Kelulusan'!$I$7:$N$39,MATCH(A43,'Status Kelulusan'!$I$7:$I$39,0),6)),CELL("address",INDEX('Status Kelulusan'!$A$7:$F$39,MATCH(A43,'Status Kelulusan'!$A$7:$A$39,0),6)))</f>
        <v>'[1301190425_MUHAMMAD RIFQI.xlsx]Status Kelulusan'!$N$31</v>
      </c>
    </row>
    <row r="44" spans="1:9">
      <c r="A44" s="27" t="s">
        <v>77</v>
      </c>
      <c r="B44" s="27" t="s">
        <v>78</v>
      </c>
      <c r="C44" s="28">
        <v>2</v>
      </c>
      <c r="D44" s="28">
        <v>6</v>
      </c>
      <c r="E44" s="27" t="s">
        <v>185</v>
      </c>
      <c r="F44" s="27" t="s">
        <v>233</v>
      </c>
      <c r="G44" s="28">
        <v>3</v>
      </c>
      <c r="H44" s="28">
        <v>7</v>
      </c>
      <c r="I44" s="93" t="str" cm="1">
        <f t="array" aca="1" ref="I44" ca="1">IF(ISNA(MATCH(A44,'Status Kelulusan'!$A$7:$A$39,0)),CELL("address",INDEX('Status Kelulusan'!$I$7:$N$39,MATCH(A44,'Status Kelulusan'!$I$7:$I$39,0),6)),CELL("address",INDEX('Status Kelulusan'!$A$7:$F$39,MATCH(A44,'Status Kelulusan'!$A$7:$A$39,0),6)))</f>
        <v>'[1301190425_MUHAMMAD RIFQI.xlsx]Status Kelulusan'!$N$28</v>
      </c>
    </row>
    <row r="45" spans="1:9">
      <c r="A45" s="27" t="s">
        <v>94</v>
      </c>
      <c r="B45" s="27" t="s">
        <v>95</v>
      </c>
      <c r="C45" s="28">
        <v>3</v>
      </c>
      <c r="D45" s="28">
        <v>7</v>
      </c>
      <c r="E45" s="27" t="s">
        <v>182</v>
      </c>
      <c r="F45" s="27" t="s">
        <v>234</v>
      </c>
      <c r="G45" s="28">
        <v>2</v>
      </c>
      <c r="H45" s="28">
        <v>7</v>
      </c>
      <c r="I45" s="93" t="str" cm="1">
        <f t="array" aca="1" ref="I45" ca="1">IF(ISNA(MATCH(A45,'Status Kelulusan'!$A$7:$A$39,0)),CELL("address",INDEX('Status Kelulusan'!$I$7:$N$39,MATCH(A45,'Status Kelulusan'!$I$7:$I$39,0),6)),CELL("address",INDEX('Status Kelulusan'!$A$7:$F$39,MATCH(A45,'Status Kelulusan'!$A$7:$A$39,0),6)))</f>
        <v>'[1301190425_MUHAMMAD RIFQI.xlsx]Status Kelulusan'!$F$35</v>
      </c>
    </row>
    <row r="46" spans="1:9">
      <c r="A46" s="27" t="s">
        <v>197</v>
      </c>
      <c r="B46" s="27" t="s">
        <v>235</v>
      </c>
      <c r="C46" s="28">
        <v>3</v>
      </c>
      <c r="D46" s="28">
        <v>7</v>
      </c>
      <c r="E46" s="27" t="s">
        <v>192</v>
      </c>
      <c r="F46" s="27" t="s">
        <v>236</v>
      </c>
      <c r="G46" s="28">
        <v>3</v>
      </c>
      <c r="H46" s="28">
        <v>7</v>
      </c>
      <c r="I46" s="93" t="str" cm="1">
        <f t="array" aca="1" ref="I46" ca="1">IF(ISNA(MATCH(A46,'Status Kelulusan'!$A$7:$A$39,0)),CELL("address",INDEX('Status Kelulusan'!$I$7:$N$39,MATCH(A46,'Status Kelulusan'!$I$7:$I$39,0),6)),CELL("address",INDEX('Status Kelulusan'!$A$7:$F$39,MATCH(A46,'Status Kelulusan'!$A$7:$A$39,0),6)))</f>
        <v>'[1301190425_MUHAMMAD RIFQI.xlsx]Status Kelulusan'!$F$38</v>
      </c>
    </row>
    <row r="47" spans="1:9">
      <c r="A47" s="27" t="s">
        <v>198</v>
      </c>
      <c r="B47" s="27" t="s">
        <v>237</v>
      </c>
      <c r="C47" s="28">
        <v>3</v>
      </c>
      <c r="D47" s="28">
        <v>7</v>
      </c>
      <c r="E47" s="27" t="s">
        <v>193</v>
      </c>
      <c r="F47" s="27" t="s">
        <v>188</v>
      </c>
      <c r="G47" s="28">
        <v>3</v>
      </c>
      <c r="H47" s="28">
        <v>7</v>
      </c>
      <c r="I47" s="93" t="str" cm="1">
        <f t="array" aca="1" ref="I47" ca="1">IF(ISNA(MATCH(A47,'Status Kelulusan'!$A$7:$A$39,0)),CELL("address",INDEX('Status Kelulusan'!$I$7:$N$39,MATCH(A47,'Status Kelulusan'!$I$7:$I$39,0),6)),CELL("address",INDEX('Status Kelulusan'!$A$7:$F$39,MATCH(A47,'Status Kelulusan'!$A$7:$A$39,0),6)))</f>
        <v>'[1301190425_MUHAMMAD RIFQI.xlsx]Status Kelulusan'!$F$39</v>
      </c>
    </row>
    <row r="48" spans="1:9">
      <c r="A48" s="27" t="s">
        <v>96</v>
      </c>
      <c r="B48" s="27" t="s">
        <v>97</v>
      </c>
      <c r="C48" s="28">
        <v>2</v>
      </c>
      <c r="D48" s="28">
        <v>8</v>
      </c>
      <c r="E48" s="27" t="s">
        <v>186</v>
      </c>
      <c r="F48" s="27" t="s">
        <v>326</v>
      </c>
      <c r="G48" s="28">
        <v>3</v>
      </c>
      <c r="H48" s="28">
        <v>7</v>
      </c>
      <c r="I48" s="93" t="str" cm="1">
        <f t="array" aca="1" ref="I48" ca="1">IF(ISNA(MATCH(A48,'Status Kelulusan'!$A$7:$A$39,0)),CELL("address",INDEX('Status Kelulusan'!$I$7:$N$39,MATCH(A48,'Status Kelulusan'!$I$7:$I$39,0),6)),CELL("address",INDEX('Status Kelulusan'!$A$7:$F$39,MATCH(A48,'Status Kelulusan'!$A$7:$A$39,0),6)))</f>
        <v>'[1301190425_MUHAMMAD RIFQI.xlsx]Status Kelulusan'!$N$35</v>
      </c>
    </row>
    <row r="49" spans="1:9">
      <c r="A49" s="27" t="s">
        <v>92</v>
      </c>
      <c r="B49" s="27" t="s">
        <v>93</v>
      </c>
      <c r="C49" s="28">
        <v>4</v>
      </c>
      <c r="D49" s="28">
        <v>8</v>
      </c>
      <c r="E49" s="27" t="s">
        <v>189</v>
      </c>
      <c r="F49" s="27" t="s">
        <v>238</v>
      </c>
      <c r="G49" s="28">
        <v>4</v>
      </c>
      <c r="H49" s="28">
        <v>8</v>
      </c>
      <c r="I49" s="93" t="str" cm="1">
        <f t="array" aca="1" ref="I49" ca="1">IF(ISNA(MATCH(A49,'Status Kelulusan'!$A$7:$A$39,0)),CELL("address",INDEX('Status Kelulusan'!$I$7:$N$39,MATCH(A49,'Status Kelulusan'!$I$7:$I$39,0),6)),CELL("address",INDEX('Status Kelulusan'!$A$7:$F$39,MATCH(A49,'Status Kelulusan'!$A$7:$A$39,0),6)))</f>
        <v>'[1301190425_MUHAMMAD RIFQI.xlsx]Status Kelulusan'!$N$34</v>
      </c>
    </row>
    <row r="50" spans="1:9">
      <c r="A50" s="27" t="s">
        <v>199</v>
      </c>
      <c r="B50" s="27" t="s">
        <v>239</v>
      </c>
      <c r="C50" s="28">
        <v>3</v>
      </c>
      <c r="D50" s="28">
        <v>8</v>
      </c>
      <c r="E50" s="27" t="s">
        <v>194</v>
      </c>
      <c r="F50" s="27" t="s">
        <v>190</v>
      </c>
      <c r="G50" s="28">
        <v>3</v>
      </c>
      <c r="H50" s="28">
        <v>8</v>
      </c>
      <c r="I50" s="93" t="str" cm="1">
        <f t="array" aca="1" ref="I50" ca="1">IF(ISNA(MATCH(A50,'Status Kelulusan'!$A$7:$A$39,0)),CELL("address",INDEX('Status Kelulusan'!$I$7:$N$39,MATCH(A50,'Status Kelulusan'!$I$7:$I$39,0),6)),CELL("address",INDEX('Status Kelulusan'!$A$7:$F$39,MATCH(A50,'Status Kelulusan'!$A$7:$A$39,0),6)))</f>
        <v>'[1301190425_MUHAMMAD RIFQI.xlsx]Status Kelulusan'!$N$37</v>
      </c>
    </row>
    <row r="51" spans="1:9">
      <c r="A51" s="27" t="s">
        <v>200</v>
      </c>
      <c r="B51" s="27" t="s">
        <v>240</v>
      </c>
      <c r="C51" s="28">
        <v>3</v>
      </c>
      <c r="D51" s="28">
        <v>8</v>
      </c>
      <c r="E51" s="27" t="s">
        <v>195</v>
      </c>
      <c r="F51" s="27" t="s">
        <v>191</v>
      </c>
      <c r="G51" s="28">
        <v>3</v>
      </c>
      <c r="H51" s="28">
        <v>8</v>
      </c>
      <c r="I51" s="93" t="str" cm="1">
        <f t="array" aca="1" ref="I51" ca="1">IF(ISNA(MATCH(A51,'Status Kelulusan'!$A$7:$A$39,0)),CELL("address",INDEX('Status Kelulusan'!$I$7:$N$39,MATCH(A51,'Status Kelulusan'!$I$7:$I$39,0),6)),CELL("address",INDEX('Status Kelulusan'!$A$7:$F$39,MATCH(A51,'Status Kelulusan'!$A$7:$A$39,0),6)))</f>
        <v>'[1301190425_MUHAMMAD RIFQI.xlsx]Status Kelulusan'!$N$38</v>
      </c>
    </row>
    <row r="52" spans="1:9">
      <c r="A52" s="27" t="s">
        <v>51</v>
      </c>
      <c r="B52" s="27" t="s">
        <v>241</v>
      </c>
      <c r="C52" s="28">
        <v>3</v>
      </c>
      <c r="D52" s="28">
        <v>3</v>
      </c>
      <c r="E52" s="32" t="e">
        <v>#N/A</v>
      </c>
      <c r="F52" s="32" t="s">
        <v>256</v>
      </c>
      <c r="G52" s="33" t="s">
        <v>242</v>
      </c>
      <c r="H52" s="33" t="s">
        <v>242</v>
      </c>
      <c r="I52" s="93" t="str" cm="1">
        <f t="array" aca="1" ref="I52" ca="1">IF(ISNA(MATCH(A52,'Status Kelulusan'!$A$7:$A$39,0)),CELL("address",INDEX('Status Kelulusan'!$I$7:$N$39,MATCH(A52,'Status Kelulusan'!$I$7:$I$39,0),6)),CELL("address",INDEX('Status Kelulusan'!$A$7:$F$39,MATCH(A52,'Status Kelulusan'!$A$7:$A$39,0),6)))</f>
        <v>'[1301190425_MUHAMMAD RIFQI.xlsx]Status Kelulusan'!$F$20</v>
      </c>
    </row>
    <row r="53" spans="1:9">
      <c r="A53" s="27" t="s">
        <v>49</v>
      </c>
      <c r="B53" s="27" t="s">
        <v>50</v>
      </c>
      <c r="C53" s="28">
        <v>3</v>
      </c>
      <c r="D53" s="28">
        <v>4</v>
      </c>
      <c r="E53" s="32" t="e">
        <v>#N/A</v>
      </c>
      <c r="F53" s="32" t="s">
        <v>256</v>
      </c>
      <c r="G53" s="33" t="s">
        <v>242</v>
      </c>
      <c r="H53" s="33" t="s">
        <v>242</v>
      </c>
      <c r="I53" s="93" t="str" cm="1">
        <f t="array" aca="1" ref="I53" ca="1">IF(ISNA(MATCH(A53,'Status Kelulusan'!$A$7:$A$39,0)),CELL("address",INDEX('Status Kelulusan'!$I$7:$N$39,MATCH(A53,'Status Kelulusan'!$I$7:$I$39,0),6)),CELL("address",INDEX('Status Kelulusan'!$A$7:$F$39,MATCH(A53,'Status Kelulusan'!$A$7:$A$39,0),6)))</f>
        <v>'[1301190425_MUHAMMAD RIFQI.xlsx]Status Kelulusan'!$N$19</v>
      </c>
    </row>
    <row r="54" spans="1:9">
      <c r="A54" s="27" t="s">
        <v>83</v>
      </c>
      <c r="B54" s="27" t="s">
        <v>84</v>
      </c>
      <c r="C54" s="28">
        <v>2</v>
      </c>
      <c r="D54" s="28">
        <v>5</v>
      </c>
      <c r="E54" s="32" t="e">
        <v>#N/A</v>
      </c>
      <c r="F54" s="32" t="s">
        <v>256</v>
      </c>
      <c r="G54" s="33" t="s">
        <v>242</v>
      </c>
      <c r="H54" s="33" t="s">
        <v>242</v>
      </c>
      <c r="I54" s="93" t="str" cm="1">
        <f t="array" aca="1" ref="I54" ca="1">IF(ISNA(MATCH(A54,'Status Kelulusan'!$A$7:$A$39,0)),CELL("address",INDEX('Status Kelulusan'!$I$7:$N$39,MATCH(A54,'Status Kelulusan'!$I$7:$I$39,0),6)),CELL("address",INDEX('Status Kelulusan'!$A$7:$F$39,MATCH(A54,'Status Kelulusan'!$A$7:$A$39,0),6)))</f>
        <v>'[1301190425_MUHAMMAD RIFQI.xlsx]Status Kelulusan'!$F$30</v>
      </c>
    </row>
    <row r="55" spans="1:9">
      <c r="A55" s="27" t="s">
        <v>69</v>
      </c>
      <c r="B55" s="27" t="s">
        <v>70</v>
      </c>
      <c r="C55" s="28">
        <v>3</v>
      </c>
      <c r="D55" s="28">
        <v>6</v>
      </c>
      <c r="E55" s="32" t="e">
        <v>#N/A</v>
      </c>
      <c r="F55" s="32" t="s">
        <v>256</v>
      </c>
      <c r="G55" s="33" t="s">
        <v>242</v>
      </c>
      <c r="H55" s="33" t="s">
        <v>242</v>
      </c>
      <c r="I55" s="93" t="str" cm="1">
        <f t="array" aca="1" ref="I55" ca="1">IF(ISNA(MATCH(A55,'Status Kelulusan'!$A$7:$A$39,0)),CELL("address",INDEX('Status Kelulusan'!$I$7:$N$39,MATCH(A55,'Status Kelulusan'!$I$7:$I$39,0),6)),CELL("address",INDEX('Status Kelulusan'!$A$7:$F$39,MATCH(A55,'Status Kelulusan'!$A$7:$A$39,0),6)))</f>
        <v>'[1301190425_MUHAMMAD RIFQI.xlsx]Status Kelulusan'!$N$26</v>
      </c>
    </row>
  </sheetData>
  <sheetProtection sheet="1" sort="0" autoFilter="0"/>
  <conditionalFormatting sqref="A2:D55">
    <cfRule type="expression" dxfId="31" priority="4">
      <formula>OR($D2=3,$D2=7)</formula>
    </cfRule>
    <cfRule type="expression" dxfId="30" priority="5">
      <formula>OR($D2=2,$D2=6)</formula>
    </cfRule>
    <cfRule type="expression" dxfId="29" priority="6">
      <formula>OR($D2=1,$D2=5)</formula>
    </cfRule>
  </conditionalFormatting>
  <conditionalFormatting sqref="E2:H55">
    <cfRule type="expression" dxfId="28" priority="1">
      <formula>OR($H2=2,$H2=6)</formula>
    </cfRule>
    <cfRule type="expression" dxfId="27" priority="2">
      <formula>OR($H2=1,$H2=5)</formula>
    </cfRule>
    <cfRule type="expression" dxfId="26" priority="3">
      <formula>OR($H2=3,$H2=7)</formula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79998168889431442"/>
  </sheetPr>
  <dimension ref="A1"/>
  <sheetViews>
    <sheetView topLeftCell="A2" zoomScale="95" zoomScaleNormal="130" workbookViewId="0"/>
  </sheetViews>
  <sheetFormatPr defaultRowHeight="14.3"/>
  <sheetData/>
  <sheetProtection sheet="1" objects="1" scenarios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Petunjuk</vt:lpstr>
      <vt:lpstr>Status Kelulusan</vt:lpstr>
      <vt:lpstr>Kurikulum 2020</vt:lpstr>
      <vt:lpstr>Prioritas Drop</vt:lpstr>
      <vt:lpstr>Harus Ambil</vt:lpstr>
      <vt:lpstr>Rencana Studi</vt:lpstr>
      <vt:lpstr>Ekuivalensi</vt:lpstr>
      <vt:lpstr>Diagram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Anditya Arifianto</dc:creator>
  <cp:lastModifiedBy>Acer</cp:lastModifiedBy>
  <dcterms:created xsi:type="dcterms:W3CDTF">2020-06-29T06:33:32Z</dcterms:created>
  <dcterms:modified xsi:type="dcterms:W3CDTF">2021-07-28T09:09:03Z</dcterms:modified>
</cp:coreProperties>
</file>